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ThisWorkbook" defaultThemeVersion="124226"/>
  <bookViews>
    <workbookView xWindow="0" yWindow="0" windowWidth="20490" windowHeight="7755"/>
  </bookViews>
  <sheets>
    <sheet name="Forecast &amp; Options" sheetId="1" r:id="rId1"/>
    <sheet name="Mortgage" sheetId="2" r:id="rId2"/>
    <sheet name="Bankruptcy" sheetId="4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N36" i="4" l="1"/>
  <c r="M36" i="4"/>
  <c r="L36" i="4"/>
  <c r="K36" i="4"/>
  <c r="J36" i="4"/>
  <c r="I36" i="4"/>
  <c r="H36" i="4"/>
  <c r="G36" i="4"/>
  <c r="F36" i="4"/>
  <c r="E36" i="4"/>
  <c r="D36" i="4"/>
  <c r="N60" i="4"/>
  <c r="M60" i="4"/>
  <c r="L60" i="4"/>
  <c r="K60" i="4"/>
  <c r="J60" i="4"/>
  <c r="I60" i="4"/>
  <c r="H60" i="4"/>
  <c r="G60" i="4"/>
  <c r="F60" i="4"/>
  <c r="E60" i="4"/>
  <c r="D60" i="4"/>
  <c r="H21" i="2"/>
  <c r="B3" i="2"/>
  <c r="B5" i="2"/>
  <c r="D368" i="2"/>
  <c r="D369" i="2"/>
  <c r="D361" i="2"/>
  <c r="D362" i="2"/>
  <c r="D363" i="2"/>
  <c r="D364" i="2"/>
  <c r="D365" i="2"/>
  <c r="D366" i="2"/>
  <c r="D367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G10" i="2"/>
  <c r="F10" i="2"/>
  <c r="E10" i="2"/>
  <c r="D10" i="2"/>
  <c r="B6" i="2"/>
  <c r="D112" i="1"/>
  <c r="D71" i="1"/>
  <c r="D51" i="1"/>
  <c r="D49" i="1"/>
  <c r="P88" i="4"/>
  <c r="N88" i="4"/>
  <c r="P89" i="4" s="1"/>
  <c r="N89" i="4" s="1"/>
  <c r="N87" i="4"/>
  <c r="P84" i="4"/>
  <c r="N84" i="4"/>
  <c r="P85" i="4" s="1"/>
  <c r="N85" i="4" s="1"/>
  <c r="N92" i="1"/>
  <c r="P93" i="1" s="1"/>
  <c r="N93" i="1" s="1"/>
  <c r="E72" i="1"/>
  <c r="F72" i="1"/>
  <c r="G72" i="1"/>
  <c r="H72" i="1"/>
  <c r="I72" i="1"/>
  <c r="J72" i="1"/>
  <c r="K72" i="1"/>
  <c r="L72" i="1"/>
  <c r="M72" i="1"/>
  <c r="N72" i="1"/>
  <c r="D72" i="1"/>
  <c r="D22" i="1" l="1"/>
  <c r="E22" i="1" s="1"/>
  <c r="F22" i="1" s="1"/>
  <c r="G22" i="1" s="1"/>
  <c r="H22" i="1" s="1"/>
  <c r="I22" i="1" s="1"/>
  <c r="J22" i="1" s="1"/>
  <c r="K22" i="1" s="1"/>
  <c r="L22" i="1" s="1"/>
  <c r="M22" i="1" s="1"/>
  <c r="N22" i="1" s="1"/>
  <c r="C120" i="4" l="1"/>
  <c r="M113" i="4"/>
  <c r="L113" i="4"/>
  <c r="K113" i="4"/>
  <c r="J113" i="4"/>
  <c r="I113" i="4"/>
  <c r="H113" i="4"/>
  <c r="G113" i="4"/>
  <c r="F113" i="4"/>
  <c r="E113" i="4"/>
  <c r="D113" i="4"/>
  <c r="C113" i="4"/>
  <c r="C116" i="4" s="1"/>
  <c r="C108" i="4"/>
  <c r="H102" i="4"/>
  <c r="W99" i="4"/>
  <c r="Q96" i="4"/>
  <c r="S95" i="4"/>
  <c r="Q95" i="4"/>
  <c r="S94" i="4"/>
  <c r="T94" i="4" s="1"/>
  <c r="R89" i="4"/>
  <c r="S97" i="4" s="1"/>
  <c r="T97" i="4" s="1"/>
  <c r="R83" i="4"/>
  <c r="R82" i="4"/>
  <c r="C79" i="4"/>
  <c r="R67" i="4"/>
  <c r="H101" i="4"/>
  <c r="D101" i="4"/>
  <c r="C101" i="4"/>
  <c r="C104" i="4" s="1"/>
  <c r="G50" i="4"/>
  <c r="H50" i="4" s="1"/>
  <c r="I50" i="4" s="1"/>
  <c r="J50" i="4" s="1"/>
  <c r="K50" i="4" s="1"/>
  <c r="L50" i="4" s="1"/>
  <c r="M50" i="4" s="1"/>
  <c r="N50" i="4" s="1"/>
  <c r="E50" i="4"/>
  <c r="F50" i="4" s="1"/>
  <c r="F47" i="4"/>
  <c r="E79" i="4" s="1"/>
  <c r="E47" i="4"/>
  <c r="D79" i="4" s="1"/>
  <c r="N37" i="4"/>
  <c r="N115" i="4" s="1"/>
  <c r="M37" i="4"/>
  <c r="M115" i="4" s="1"/>
  <c r="L37" i="4"/>
  <c r="L115" i="4" s="1"/>
  <c r="K37" i="4"/>
  <c r="K115" i="4" s="1"/>
  <c r="J37" i="4"/>
  <c r="J115" i="4" s="1"/>
  <c r="I37" i="4"/>
  <c r="I115" i="4" s="1"/>
  <c r="H37" i="4"/>
  <c r="H115" i="4" s="1"/>
  <c r="G37" i="4"/>
  <c r="G115" i="4" s="1"/>
  <c r="F37" i="4"/>
  <c r="F115" i="4" s="1"/>
  <c r="E37" i="4"/>
  <c r="E115" i="4" s="1"/>
  <c r="D37" i="4"/>
  <c r="D115" i="4" s="1"/>
  <c r="N103" i="4"/>
  <c r="M103" i="4"/>
  <c r="L103" i="4"/>
  <c r="K103" i="4"/>
  <c r="J103" i="4"/>
  <c r="I103" i="4"/>
  <c r="H103" i="4"/>
  <c r="G103" i="4"/>
  <c r="F103" i="4"/>
  <c r="E103" i="4"/>
  <c r="D103" i="4"/>
  <c r="D34" i="4"/>
  <c r="E34" i="4" s="1"/>
  <c r="F34" i="4" s="1"/>
  <c r="G34" i="4" s="1"/>
  <c r="H34" i="4" s="1"/>
  <c r="I34" i="4" s="1"/>
  <c r="J34" i="4" s="1"/>
  <c r="K34" i="4" s="1"/>
  <c r="L34" i="4" s="1"/>
  <c r="M34" i="4" s="1"/>
  <c r="N34" i="4" s="1"/>
  <c r="N33" i="4"/>
  <c r="M33" i="4"/>
  <c r="L33" i="4"/>
  <c r="K33" i="4"/>
  <c r="J33" i="4"/>
  <c r="I33" i="4"/>
  <c r="H33" i="4"/>
  <c r="G33" i="4"/>
  <c r="F33" i="4"/>
  <c r="E33" i="4"/>
  <c r="D33" i="4"/>
  <c r="N32" i="4"/>
  <c r="M32" i="4"/>
  <c r="L32" i="4"/>
  <c r="K32" i="4"/>
  <c r="J32" i="4"/>
  <c r="I32" i="4"/>
  <c r="H32" i="4"/>
  <c r="G32" i="4"/>
  <c r="F32" i="4"/>
  <c r="E32" i="4"/>
  <c r="D32" i="4"/>
  <c r="N31" i="4"/>
  <c r="M31" i="4"/>
  <c r="L31" i="4"/>
  <c r="K31" i="4"/>
  <c r="J31" i="4"/>
  <c r="I31" i="4"/>
  <c r="H31" i="4"/>
  <c r="G31" i="4"/>
  <c r="F31" i="4"/>
  <c r="E31" i="4"/>
  <c r="D31" i="4"/>
  <c r="D22" i="4"/>
  <c r="E22" i="4" s="1"/>
  <c r="F22" i="4" s="1"/>
  <c r="C16" i="4"/>
  <c r="M53" i="4" s="1"/>
  <c r="C8" i="4"/>
  <c r="C7" i="4"/>
  <c r="C3" i="4"/>
  <c r="C5" i="4" s="1"/>
  <c r="D7" i="4" s="1"/>
  <c r="L116" i="4" l="1"/>
  <c r="J116" i="4"/>
  <c r="X94" i="4"/>
  <c r="Y94" i="4" s="1"/>
  <c r="Z94" i="4" s="1"/>
  <c r="I53" i="4"/>
  <c r="I52" i="4" s="1"/>
  <c r="D8" i="4"/>
  <c r="D25" i="4" s="1"/>
  <c r="E25" i="4" s="1"/>
  <c r="G47" i="4"/>
  <c r="E101" i="4"/>
  <c r="E104" i="4" s="1"/>
  <c r="I101" i="4"/>
  <c r="D116" i="4"/>
  <c r="L101" i="4"/>
  <c r="L104" i="4" s="1"/>
  <c r="M52" i="4"/>
  <c r="F30" i="4"/>
  <c r="G22" i="4"/>
  <c r="D26" i="4"/>
  <c r="D30" i="4"/>
  <c r="D53" i="4"/>
  <c r="D52" i="4" s="1"/>
  <c r="J53" i="4"/>
  <c r="I104" i="4"/>
  <c r="Q66" i="4"/>
  <c r="R66" i="4" s="1"/>
  <c r="M101" i="4"/>
  <c r="M104" i="4" s="1"/>
  <c r="E30" i="4"/>
  <c r="E53" i="4"/>
  <c r="F101" i="4"/>
  <c r="F104" i="4" s="1"/>
  <c r="G101" i="4"/>
  <c r="G104" i="4" s="1"/>
  <c r="J101" i="4"/>
  <c r="J104" i="4" s="1"/>
  <c r="K101" i="4"/>
  <c r="K104" i="4" s="1"/>
  <c r="K53" i="4"/>
  <c r="G53" i="4"/>
  <c r="L53" i="4"/>
  <c r="F53" i="4"/>
  <c r="H53" i="4"/>
  <c r="N53" i="4"/>
  <c r="Q94" i="4"/>
  <c r="F116" i="4"/>
  <c r="X95" i="4"/>
  <c r="Y95" i="4" s="1"/>
  <c r="Z95" i="4" s="1"/>
  <c r="T95" i="4"/>
  <c r="E116" i="4"/>
  <c r="I116" i="4"/>
  <c r="M116" i="4"/>
  <c r="H116" i="4"/>
  <c r="D104" i="4"/>
  <c r="H104" i="4"/>
  <c r="G116" i="4"/>
  <c r="K116" i="4"/>
  <c r="F79" i="4" l="1"/>
  <c r="H47" i="4"/>
  <c r="D9" i="4"/>
  <c r="G87" i="4"/>
  <c r="H52" i="4"/>
  <c r="K87" i="4"/>
  <c r="L52" i="4"/>
  <c r="L83" i="4" s="1"/>
  <c r="F87" i="4"/>
  <c r="G52" i="4"/>
  <c r="H87" i="4"/>
  <c r="R68" i="4"/>
  <c r="S67" i="4" s="1"/>
  <c r="J87" i="4"/>
  <c r="K52" i="4"/>
  <c r="D87" i="4"/>
  <c r="E52" i="4"/>
  <c r="D83" i="4" s="1"/>
  <c r="I87" i="4"/>
  <c r="J52" i="4"/>
  <c r="I83" i="4" s="1"/>
  <c r="D49" i="4"/>
  <c r="C80" i="4" s="1"/>
  <c r="E26" i="4"/>
  <c r="E29" i="4" s="1"/>
  <c r="D28" i="4"/>
  <c r="G30" i="4"/>
  <c r="H22" i="4"/>
  <c r="L87" i="4"/>
  <c r="O54" i="4"/>
  <c r="R53" i="4"/>
  <c r="M87" i="4"/>
  <c r="N52" i="4"/>
  <c r="E87" i="4"/>
  <c r="F52" i="4"/>
  <c r="D29" i="4"/>
  <c r="U66" i="4"/>
  <c r="C83" i="4"/>
  <c r="D27" i="4"/>
  <c r="F25" i="4"/>
  <c r="S92" i="1"/>
  <c r="T92" i="1" s="1"/>
  <c r="P92" i="1" s="1"/>
  <c r="G90" i="1"/>
  <c r="H90" i="1" s="1"/>
  <c r="I90" i="1" s="1"/>
  <c r="J90" i="1" s="1"/>
  <c r="K90" i="1" s="1"/>
  <c r="L90" i="1" s="1"/>
  <c r="M90" i="1" s="1"/>
  <c r="S66" i="4" l="1"/>
  <c r="E27" i="4"/>
  <c r="F83" i="4"/>
  <c r="G79" i="4"/>
  <c r="I47" i="4"/>
  <c r="E83" i="4"/>
  <c r="J83" i="4"/>
  <c r="G25" i="4"/>
  <c r="K83" i="4"/>
  <c r="D54" i="4"/>
  <c r="N35" i="4"/>
  <c r="N73" i="4" s="1"/>
  <c r="J35" i="4"/>
  <c r="J73" i="4" s="1"/>
  <c r="F35" i="4"/>
  <c r="F73" i="4" s="1"/>
  <c r="I35" i="4"/>
  <c r="I73" i="4" s="1"/>
  <c r="D35" i="4"/>
  <c r="D73" i="4" s="1"/>
  <c r="H35" i="4"/>
  <c r="H73" i="4" s="1"/>
  <c r="M35" i="4"/>
  <c r="M73" i="4" s="1"/>
  <c r="G35" i="4"/>
  <c r="G73" i="4" s="1"/>
  <c r="L35" i="4"/>
  <c r="L73" i="4" s="1"/>
  <c r="E35" i="4"/>
  <c r="E73" i="4" s="1"/>
  <c r="K35" i="4"/>
  <c r="K73" i="4" s="1"/>
  <c r="D59" i="4"/>
  <c r="D38" i="4"/>
  <c r="D72" i="4"/>
  <c r="V66" i="4"/>
  <c r="N102" i="4"/>
  <c r="N104" i="4" s="1"/>
  <c r="C107" i="4" s="1"/>
  <c r="C109" i="4" s="1"/>
  <c r="M83" i="4"/>
  <c r="R52" i="4"/>
  <c r="R60" i="4" s="1"/>
  <c r="S61" i="4" s="1"/>
  <c r="N83" i="4"/>
  <c r="E49" i="4"/>
  <c r="D80" i="4" s="1"/>
  <c r="E28" i="4"/>
  <c r="F26" i="4"/>
  <c r="F29" i="4" s="1"/>
  <c r="G83" i="4"/>
  <c r="H83" i="4"/>
  <c r="I22" i="4"/>
  <c r="H30" i="4"/>
  <c r="N124" i="1"/>
  <c r="D124" i="1"/>
  <c r="E124" i="1"/>
  <c r="E154" i="1" s="1"/>
  <c r="F124" i="1"/>
  <c r="G124" i="1"/>
  <c r="G154" i="1" s="1"/>
  <c r="H124" i="1"/>
  <c r="I124" i="1"/>
  <c r="I154" i="1" s="1"/>
  <c r="J124" i="1"/>
  <c r="K124" i="1"/>
  <c r="K154" i="1" s="1"/>
  <c r="L124" i="1"/>
  <c r="M124" i="1"/>
  <c r="M154" i="1" s="1"/>
  <c r="C124" i="1"/>
  <c r="C154" i="1" s="1"/>
  <c r="N125" i="1" l="1"/>
  <c r="F27" i="4"/>
  <c r="H79" i="4"/>
  <c r="J47" i="4"/>
  <c r="E59" i="4"/>
  <c r="D51" i="4"/>
  <c r="C81" i="4" s="1"/>
  <c r="E72" i="4"/>
  <c r="E38" i="4"/>
  <c r="D74" i="4"/>
  <c r="D75" i="4" s="1"/>
  <c r="C92" i="4" s="1"/>
  <c r="D76" i="4"/>
  <c r="H25" i="4"/>
  <c r="D39" i="4"/>
  <c r="D40" i="4" s="1"/>
  <c r="D63" i="4" s="1"/>
  <c r="D64" i="4" s="1"/>
  <c r="G26" i="4"/>
  <c r="F28" i="4"/>
  <c r="F49" i="4"/>
  <c r="E80" i="4" s="1"/>
  <c r="C91" i="4"/>
  <c r="D55" i="4"/>
  <c r="E54" i="4"/>
  <c r="J22" i="4"/>
  <c r="I30" i="4"/>
  <c r="N154" i="1"/>
  <c r="N155" i="1" s="1"/>
  <c r="N156" i="1" s="1"/>
  <c r="J154" i="1"/>
  <c r="F154" i="1"/>
  <c r="L154" i="1"/>
  <c r="H154" i="1"/>
  <c r="D154" i="1"/>
  <c r="N140" i="1"/>
  <c r="M140" i="1"/>
  <c r="L140" i="1"/>
  <c r="K140" i="1"/>
  <c r="J140" i="1"/>
  <c r="I140" i="1"/>
  <c r="H140" i="1"/>
  <c r="G140" i="1"/>
  <c r="F140" i="1"/>
  <c r="E140" i="1"/>
  <c r="D140" i="1"/>
  <c r="D66" i="4" l="1"/>
  <c r="K47" i="4"/>
  <c r="I79" i="4"/>
  <c r="C94" i="4"/>
  <c r="F59" i="4"/>
  <c r="E51" i="4"/>
  <c r="D81" i="4" s="1"/>
  <c r="F72" i="4"/>
  <c r="E74" i="4"/>
  <c r="E75" i="4" s="1"/>
  <c r="D92" i="4" s="1"/>
  <c r="J30" i="4"/>
  <c r="K22" i="4"/>
  <c r="G28" i="4"/>
  <c r="G38" i="4" s="1"/>
  <c r="H26" i="4"/>
  <c r="G49" i="4"/>
  <c r="F80" i="4" s="1"/>
  <c r="G27" i="4"/>
  <c r="F38" i="4"/>
  <c r="G29" i="4"/>
  <c r="D91" i="4"/>
  <c r="D94" i="4" s="1"/>
  <c r="F54" i="4"/>
  <c r="E55" i="4"/>
  <c r="E39" i="4"/>
  <c r="E40" i="4" s="1"/>
  <c r="E63" i="4" s="1"/>
  <c r="H27" i="4"/>
  <c r="I25" i="4"/>
  <c r="H29" i="4"/>
  <c r="T61" i="1"/>
  <c r="Y61" i="1" s="1"/>
  <c r="T60" i="1"/>
  <c r="U60" i="1" s="1"/>
  <c r="D34" i="1"/>
  <c r="E34" i="1" s="1"/>
  <c r="F34" i="1" s="1"/>
  <c r="G34" i="1" s="1"/>
  <c r="H34" i="1" s="1"/>
  <c r="I34" i="1" s="1"/>
  <c r="J34" i="1" s="1"/>
  <c r="K34" i="1" s="1"/>
  <c r="L34" i="1" s="1"/>
  <c r="M34" i="1" s="1"/>
  <c r="N34" i="1" s="1"/>
  <c r="E33" i="1"/>
  <c r="F33" i="1"/>
  <c r="G33" i="1"/>
  <c r="H33" i="1"/>
  <c r="I33" i="1"/>
  <c r="J33" i="1"/>
  <c r="K33" i="1"/>
  <c r="L33" i="1"/>
  <c r="M33" i="1"/>
  <c r="N33" i="1"/>
  <c r="D33" i="1"/>
  <c r="E32" i="1"/>
  <c r="F32" i="1"/>
  <c r="G32" i="1"/>
  <c r="H32" i="1"/>
  <c r="I32" i="1"/>
  <c r="J32" i="1"/>
  <c r="K32" i="1"/>
  <c r="L32" i="1"/>
  <c r="M32" i="1"/>
  <c r="N32" i="1"/>
  <c r="D32" i="1"/>
  <c r="E31" i="1"/>
  <c r="F31" i="1"/>
  <c r="G31" i="1"/>
  <c r="H31" i="1"/>
  <c r="I31" i="1"/>
  <c r="J31" i="1"/>
  <c r="K31" i="1"/>
  <c r="L31" i="1"/>
  <c r="M31" i="1"/>
  <c r="N31" i="1"/>
  <c r="D31" i="1"/>
  <c r="D37" i="1"/>
  <c r="E37" i="1"/>
  <c r="F37" i="1"/>
  <c r="G37" i="1"/>
  <c r="H37" i="1"/>
  <c r="I37" i="1"/>
  <c r="J37" i="1"/>
  <c r="K37" i="1"/>
  <c r="L37" i="1"/>
  <c r="M37" i="1"/>
  <c r="N37" i="1"/>
  <c r="R62" i="1"/>
  <c r="X65" i="1"/>
  <c r="S55" i="1"/>
  <c r="T63" i="1" s="1"/>
  <c r="U63" i="1" s="1"/>
  <c r="S49" i="1"/>
  <c r="S48" i="1"/>
  <c r="J79" i="4" l="1"/>
  <c r="L47" i="4"/>
  <c r="E64" i="4"/>
  <c r="E66" i="4" s="1"/>
  <c r="F39" i="4"/>
  <c r="F40" i="4" s="1"/>
  <c r="F63" i="4" s="1"/>
  <c r="K30" i="4"/>
  <c r="L22" i="4"/>
  <c r="G59" i="4"/>
  <c r="F51" i="4"/>
  <c r="E81" i="4" s="1"/>
  <c r="G72" i="4"/>
  <c r="E76" i="4"/>
  <c r="G39" i="4"/>
  <c r="G40" i="4" s="1"/>
  <c r="F74" i="4"/>
  <c r="F75" i="4" s="1"/>
  <c r="E92" i="4" s="1"/>
  <c r="J25" i="4"/>
  <c r="I27" i="4"/>
  <c r="G54" i="4"/>
  <c r="F55" i="4"/>
  <c r="I26" i="4"/>
  <c r="H49" i="4"/>
  <c r="G80" i="4" s="1"/>
  <c r="H28" i="4"/>
  <c r="E91" i="4"/>
  <c r="U61" i="1"/>
  <c r="Y60" i="1"/>
  <c r="Z60" i="1" s="1"/>
  <c r="AA60" i="1" s="1"/>
  <c r="Z61" i="1"/>
  <c r="AA61" i="1" s="1"/>
  <c r="K79" i="4" l="1"/>
  <c r="M47" i="4"/>
  <c r="G63" i="4"/>
  <c r="G64" i="4" s="1"/>
  <c r="F64" i="4"/>
  <c r="F66" i="4" s="1"/>
  <c r="H59" i="4"/>
  <c r="G51" i="4"/>
  <c r="F81" i="4" s="1"/>
  <c r="H72" i="4"/>
  <c r="H38" i="4"/>
  <c r="E94" i="4"/>
  <c r="J29" i="4"/>
  <c r="K25" i="4"/>
  <c r="F76" i="4"/>
  <c r="G74" i="4"/>
  <c r="G75" i="4" s="1"/>
  <c r="F92" i="4" s="1"/>
  <c r="M22" i="4"/>
  <c r="L30" i="4"/>
  <c r="I49" i="4"/>
  <c r="H80" i="4" s="1"/>
  <c r="I28" i="4"/>
  <c r="I72" i="4" s="1"/>
  <c r="J26" i="4"/>
  <c r="J27" i="4" s="1"/>
  <c r="G55" i="4"/>
  <c r="H54" i="4"/>
  <c r="I29" i="4"/>
  <c r="F91" i="4"/>
  <c r="C3" i="1"/>
  <c r="C5" i="1" s="1"/>
  <c r="I38" i="4" l="1"/>
  <c r="I39" i="4" s="1"/>
  <c r="I40" i="4" s="1"/>
  <c r="L79" i="4"/>
  <c r="N47" i="4"/>
  <c r="I74" i="4"/>
  <c r="I75" i="4" s="1"/>
  <c r="I54" i="4"/>
  <c r="G66" i="4"/>
  <c r="F94" i="4"/>
  <c r="H39" i="4"/>
  <c r="H40" i="4" s="1"/>
  <c r="H63" i="4" s="1"/>
  <c r="J49" i="4"/>
  <c r="I80" i="4" s="1"/>
  <c r="K26" i="4"/>
  <c r="K27" i="4" s="1"/>
  <c r="J28" i="4"/>
  <c r="M30" i="4"/>
  <c r="N22" i="4"/>
  <c r="N30" i="4" s="1"/>
  <c r="J38" i="4"/>
  <c r="J72" i="4"/>
  <c r="H74" i="4"/>
  <c r="H75" i="4" s="1"/>
  <c r="G92" i="4" s="1"/>
  <c r="G91" i="4"/>
  <c r="I59" i="4"/>
  <c r="H51" i="4"/>
  <c r="G81" i="4" s="1"/>
  <c r="G76" i="4"/>
  <c r="L25" i="4"/>
  <c r="S47" i="4" l="1"/>
  <c r="N79" i="4"/>
  <c r="M79" i="4"/>
  <c r="I63" i="4"/>
  <c r="I64" i="4" s="1"/>
  <c r="H64" i="4"/>
  <c r="H91" i="4"/>
  <c r="H92" i="4"/>
  <c r="K29" i="4"/>
  <c r="H76" i="4"/>
  <c r="I76" i="4"/>
  <c r="G94" i="4"/>
  <c r="J74" i="4"/>
  <c r="J75" i="4" s="1"/>
  <c r="I92" i="4" s="1"/>
  <c r="I51" i="4"/>
  <c r="H81" i="4" s="1"/>
  <c r="J59" i="4"/>
  <c r="J54" i="4"/>
  <c r="L27" i="4"/>
  <c r="M25" i="4"/>
  <c r="J39" i="4"/>
  <c r="J40" i="4" s="1"/>
  <c r="K49" i="4"/>
  <c r="J80" i="4" s="1"/>
  <c r="K28" i="4"/>
  <c r="L26" i="4"/>
  <c r="H55" i="4"/>
  <c r="D52" i="1"/>
  <c r="E52" i="1"/>
  <c r="F52" i="1"/>
  <c r="G52" i="1"/>
  <c r="H52" i="1"/>
  <c r="I52" i="1"/>
  <c r="J52" i="1"/>
  <c r="K52" i="1"/>
  <c r="L52" i="1"/>
  <c r="M52" i="1"/>
  <c r="N52" i="1"/>
  <c r="H66" i="4" l="1"/>
  <c r="I55" i="4"/>
  <c r="I66" i="4" s="1"/>
  <c r="K72" i="4"/>
  <c r="K74" i="4"/>
  <c r="K75" i="4" s="1"/>
  <c r="J92" i="4" s="1"/>
  <c r="L28" i="4"/>
  <c r="M26" i="4"/>
  <c r="L49" i="4"/>
  <c r="K80" i="4" s="1"/>
  <c r="I91" i="4"/>
  <c r="K38" i="4"/>
  <c r="K59" i="4"/>
  <c r="J51" i="4"/>
  <c r="I81" i="4" s="1"/>
  <c r="N25" i="4"/>
  <c r="M27" i="4"/>
  <c r="M29" i="4"/>
  <c r="L29" i="4"/>
  <c r="K54" i="4"/>
  <c r="J76" i="4"/>
  <c r="H94" i="4"/>
  <c r="J63" i="4"/>
  <c r="L120" i="1"/>
  <c r="H120" i="1"/>
  <c r="H86" i="1" s="1"/>
  <c r="J120" i="1"/>
  <c r="J86" i="1" s="1"/>
  <c r="F120" i="1"/>
  <c r="F150" i="1" s="1"/>
  <c r="N120" i="1"/>
  <c r="M120" i="1"/>
  <c r="M86" i="1" s="1"/>
  <c r="I120" i="1"/>
  <c r="I86" i="1" s="1"/>
  <c r="E120" i="1"/>
  <c r="E86" i="1" s="1"/>
  <c r="H82" i="1"/>
  <c r="J150" i="1"/>
  <c r="J82" i="1"/>
  <c r="K120" i="1"/>
  <c r="K86" i="1" s="1"/>
  <c r="G120" i="1"/>
  <c r="G86" i="1" s="1"/>
  <c r="P83" i="1"/>
  <c r="D120" i="1"/>
  <c r="D86" i="1" s="1"/>
  <c r="C120" i="1"/>
  <c r="E47" i="1"/>
  <c r="D116" i="1" s="1"/>
  <c r="C116" i="1"/>
  <c r="P121" i="1" l="1"/>
  <c r="N121" i="1"/>
  <c r="L72" i="4"/>
  <c r="I94" i="4"/>
  <c r="L74" i="4"/>
  <c r="L75" i="4" s="1"/>
  <c r="K92" i="4" s="1"/>
  <c r="J55" i="4"/>
  <c r="L54" i="4"/>
  <c r="J64" i="4"/>
  <c r="M49" i="4"/>
  <c r="L80" i="4" s="1"/>
  <c r="M28" i="4"/>
  <c r="N26" i="4"/>
  <c r="N27" i="4" s="1"/>
  <c r="L59" i="4"/>
  <c r="K51" i="4"/>
  <c r="J81" i="4" s="1"/>
  <c r="J91" i="4"/>
  <c r="J94" i="4" s="1"/>
  <c r="L38" i="4"/>
  <c r="K39" i="4"/>
  <c r="K40" i="4" s="1"/>
  <c r="K63" i="4" s="1"/>
  <c r="K76" i="4"/>
  <c r="H150" i="1"/>
  <c r="C146" i="1"/>
  <c r="C78" i="1"/>
  <c r="L150" i="1"/>
  <c r="L86" i="1"/>
  <c r="D146" i="1"/>
  <c r="D78" i="1"/>
  <c r="F82" i="1"/>
  <c r="F86" i="1"/>
  <c r="N87" i="1"/>
  <c r="L82" i="1"/>
  <c r="M150" i="1"/>
  <c r="M82" i="1"/>
  <c r="N150" i="1"/>
  <c r="N151" i="1" s="1"/>
  <c r="N152" i="1" s="1"/>
  <c r="N82" i="1"/>
  <c r="G150" i="1"/>
  <c r="G82" i="1"/>
  <c r="E150" i="1"/>
  <c r="E82" i="1"/>
  <c r="K150" i="1"/>
  <c r="K82" i="1"/>
  <c r="I150" i="1"/>
  <c r="I82" i="1"/>
  <c r="C150" i="1"/>
  <c r="C82" i="1"/>
  <c r="D150" i="1"/>
  <c r="D82" i="1"/>
  <c r="F47" i="1"/>
  <c r="P122" i="1" l="1"/>
  <c r="N122" i="1" s="1"/>
  <c r="K55" i="4"/>
  <c r="K64" i="4"/>
  <c r="K66" i="4" s="1"/>
  <c r="L39" i="4"/>
  <c r="L40" i="4" s="1"/>
  <c r="L63" i="4" s="1"/>
  <c r="K91" i="4"/>
  <c r="L76" i="4"/>
  <c r="N28" i="4"/>
  <c r="N49" i="4"/>
  <c r="M54" i="4"/>
  <c r="J66" i="4"/>
  <c r="N29" i="4"/>
  <c r="M59" i="4"/>
  <c r="L51" i="4"/>
  <c r="K81" i="4" s="1"/>
  <c r="K94" i="4" s="1"/>
  <c r="M72" i="4"/>
  <c r="M38" i="4"/>
  <c r="N83" i="1"/>
  <c r="P151" i="1"/>
  <c r="G47" i="1"/>
  <c r="E116" i="1"/>
  <c r="L64" i="4" l="1"/>
  <c r="M39" i="4"/>
  <c r="M40" i="4" s="1"/>
  <c r="M63" i="4" s="1"/>
  <c r="M80" i="4"/>
  <c r="N80" i="4"/>
  <c r="S49" i="4"/>
  <c r="M74" i="4"/>
  <c r="M75" i="4" s="1"/>
  <c r="L92" i="4" s="1"/>
  <c r="N51" i="4"/>
  <c r="N59" i="4"/>
  <c r="M51" i="4"/>
  <c r="L81" i="4" s="1"/>
  <c r="N72" i="4"/>
  <c r="N38" i="4"/>
  <c r="L55" i="4"/>
  <c r="L91" i="4"/>
  <c r="M55" i="4"/>
  <c r="N54" i="4"/>
  <c r="N55" i="4" s="1"/>
  <c r="E146" i="1"/>
  <c r="E78" i="1"/>
  <c r="P152" i="1"/>
  <c r="P84" i="1"/>
  <c r="N84" i="1" s="1"/>
  <c r="F116" i="1"/>
  <c r="H47" i="1"/>
  <c r="L66" i="4" l="1"/>
  <c r="L94" i="4"/>
  <c r="M64" i="4"/>
  <c r="M66" i="4" s="1"/>
  <c r="M91" i="4"/>
  <c r="N91" i="4"/>
  <c r="S59" i="4"/>
  <c r="N39" i="4"/>
  <c r="N40" i="4" s="1"/>
  <c r="N63" i="4" s="1"/>
  <c r="N81" i="4"/>
  <c r="M81" i="4"/>
  <c r="S51" i="4"/>
  <c r="S60" i="4" s="1"/>
  <c r="S63" i="4" s="1"/>
  <c r="T67" i="4" s="1"/>
  <c r="U67" i="4" s="1"/>
  <c r="N74" i="4"/>
  <c r="N75" i="4" s="1"/>
  <c r="M76" i="4"/>
  <c r="F146" i="1"/>
  <c r="F78" i="1"/>
  <c r="I47" i="1"/>
  <c r="G116" i="1"/>
  <c r="Q97" i="4" l="1"/>
  <c r="Q99" i="4" s="1"/>
  <c r="N64" i="4"/>
  <c r="N66" i="4" s="1"/>
  <c r="N114" i="4"/>
  <c r="V67" i="4"/>
  <c r="M92" i="4"/>
  <c r="N92" i="4"/>
  <c r="M94" i="4"/>
  <c r="N76" i="4"/>
  <c r="G146" i="1"/>
  <c r="G78" i="1"/>
  <c r="J47" i="1"/>
  <c r="H116" i="1"/>
  <c r="O114" i="4" l="1"/>
  <c r="N116" i="4"/>
  <c r="C119" i="4" s="1"/>
  <c r="C121" i="4" s="1"/>
  <c r="R97" i="4"/>
  <c r="R95" i="4"/>
  <c r="U95" i="4" s="1"/>
  <c r="R94" i="4"/>
  <c r="N94" i="4"/>
  <c r="C95" i="4" s="1"/>
  <c r="H146" i="1"/>
  <c r="H78" i="1"/>
  <c r="I116" i="1"/>
  <c r="K47" i="1"/>
  <c r="U97" i="4" l="1"/>
  <c r="R79" i="4"/>
  <c r="R78" i="4"/>
  <c r="U94" i="4"/>
  <c r="R99" i="4"/>
  <c r="I146" i="1"/>
  <c r="I78" i="1"/>
  <c r="L47" i="1"/>
  <c r="J116" i="1"/>
  <c r="R80" i="4" l="1"/>
  <c r="R84" i="4" s="1"/>
  <c r="R90" i="4" s="1"/>
  <c r="X97" i="4" s="1"/>
  <c r="Y97" i="4" s="1"/>
  <c r="Z97" i="4" s="1"/>
  <c r="Z99" i="4" s="1"/>
  <c r="U99" i="4"/>
  <c r="C96" i="4" s="1"/>
  <c r="C97" i="4" s="1"/>
  <c r="J146" i="1"/>
  <c r="J78" i="1"/>
  <c r="M47" i="1"/>
  <c r="K116" i="1"/>
  <c r="K146" i="1" l="1"/>
  <c r="K78" i="1"/>
  <c r="N47" i="1"/>
  <c r="L116" i="1"/>
  <c r="L146" i="1" l="1"/>
  <c r="L78" i="1"/>
  <c r="M116" i="1"/>
  <c r="N116" i="1"/>
  <c r="N146" i="1" l="1"/>
  <c r="N78" i="1"/>
  <c r="M146" i="1"/>
  <c r="M78" i="1"/>
  <c r="D30" i="1"/>
  <c r="N30" i="1" l="1"/>
  <c r="E30" i="1"/>
  <c r="D14" i="2"/>
  <c r="E50" i="1"/>
  <c r="F50" i="1" s="1"/>
  <c r="G50" i="1" s="1"/>
  <c r="H50" i="1" s="1"/>
  <c r="I50" i="1" s="1"/>
  <c r="J50" i="1" s="1"/>
  <c r="K50" i="1" s="1"/>
  <c r="L50" i="1" s="1"/>
  <c r="M50" i="1" s="1"/>
  <c r="N50" i="1" s="1"/>
  <c r="N51" i="1" s="1"/>
  <c r="O54" i="1"/>
  <c r="C8" i="1"/>
  <c r="D8" i="1" s="1"/>
  <c r="D25" i="1" s="1"/>
  <c r="C7" i="1"/>
  <c r="D7" i="1" s="1"/>
  <c r="H30" i="1" l="1"/>
  <c r="I30" i="1"/>
  <c r="L30" i="1"/>
  <c r="M30" i="1"/>
  <c r="G30" i="1"/>
  <c r="D9" i="1"/>
  <c r="D26" i="1"/>
  <c r="D27" i="1" s="1"/>
  <c r="F30" i="1"/>
  <c r="I35" i="1"/>
  <c r="I110" i="1" s="1"/>
  <c r="D54" i="1"/>
  <c r="E54" i="1" s="1"/>
  <c r="F54" i="1" s="1"/>
  <c r="J30" i="1"/>
  <c r="K30" i="1"/>
  <c r="E25" i="1"/>
  <c r="L35" i="1"/>
  <c r="L110" i="1" s="1"/>
  <c r="F35" i="1"/>
  <c r="F110" i="1" s="1"/>
  <c r="D183" i="2"/>
  <c r="D173" i="2"/>
  <c r="D162" i="2"/>
  <c r="D151" i="2"/>
  <c r="D141" i="2"/>
  <c r="D129" i="2"/>
  <c r="D113" i="2"/>
  <c r="D97" i="2"/>
  <c r="D81" i="2"/>
  <c r="D65" i="2"/>
  <c r="D49" i="2"/>
  <c r="D41" i="2"/>
  <c r="D187" i="2"/>
  <c r="D182" i="2"/>
  <c r="D177" i="2"/>
  <c r="D171" i="2"/>
  <c r="D166" i="2"/>
  <c r="D161" i="2"/>
  <c r="D155" i="2"/>
  <c r="D150" i="2"/>
  <c r="D145" i="2"/>
  <c r="D139" i="2"/>
  <c r="D134" i="2"/>
  <c r="D126" i="2"/>
  <c r="D118" i="2"/>
  <c r="D110" i="2"/>
  <c r="D102" i="2"/>
  <c r="D94" i="2"/>
  <c r="D86" i="2"/>
  <c r="D78" i="2"/>
  <c r="D70" i="2"/>
  <c r="D62" i="2"/>
  <c r="D54" i="2"/>
  <c r="D46" i="2"/>
  <c r="D38" i="2"/>
  <c r="D22" i="2"/>
  <c r="N35" i="1"/>
  <c r="N110" i="1" s="1"/>
  <c r="D191" i="2"/>
  <c r="D186" i="2"/>
  <c r="D181" i="2"/>
  <c r="D175" i="2"/>
  <c r="D170" i="2"/>
  <c r="D165" i="2"/>
  <c r="D159" i="2"/>
  <c r="D154" i="2"/>
  <c r="D149" i="2"/>
  <c r="D143" i="2"/>
  <c r="D138" i="2"/>
  <c r="D133" i="2"/>
  <c r="D125" i="2"/>
  <c r="D117" i="2"/>
  <c r="D109" i="2"/>
  <c r="D101" i="2"/>
  <c r="D93" i="2"/>
  <c r="D85" i="2"/>
  <c r="D77" i="2"/>
  <c r="D69" i="2"/>
  <c r="D61" i="2"/>
  <c r="D53" i="2"/>
  <c r="D45" i="2"/>
  <c r="D34" i="2"/>
  <c r="D18" i="2"/>
  <c r="D189" i="2"/>
  <c r="D178" i="2"/>
  <c r="D167" i="2"/>
  <c r="D157" i="2"/>
  <c r="D146" i="2"/>
  <c r="D135" i="2"/>
  <c r="D121" i="2"/>
  <c r="D105" i="2"/>
  <c r="D89" i="2"/>
  <c r="D73" i="2"/>
  <c r="D57" i="2"/>
  <c r="D26" i="2"/>
  <c r="G35" i="1"/>
  <c r="G110" i="1" s="1"/>
  <c r="K35" i="1"/>
  <c r="K110" i="1" s="1"/>
  <c r="D35" i="1"/>
  <c r="D110" i="1" s="1"/>
  <c r="J35" i="1"/>
  <c r="J110" i="1" s="1"/>
  <c r="E35" i="1"/>
  <c r="E110" i="1" s="1"/>
  <c r="M35" i="1"/>
  <c r="M110" i="1" s="1"/>
  <c r="H35" i="1"/>
  <c r="H110" i="1" s="1"/>
  <c r="D190" i="2"/>
  <c r="D185" i="2"/>
  <c r="D179" i="2"/>
  <c r="D174" i="2"/>
  <c r="D169" i="2"/>
  <c r="D163" i="2"/>
  <c r="D158" i="2"/>
  <c r="D153" i="2"/>
  <c r="D147" i="2"/>
  <c r="D142" i="2"/>
  <c r="D137" i="2"/>
  <c r="D130" i="2"/>
  <c r="D122" i="2"/>
  <c r="D114" i="2"/>
  <c r="D106" i="2"/>
  <c r="D98" i="2"/>
  <c r="D90" i="2"/>
  <c r="D82" i="2"/>
  <c r="D74" i="2"/>
  <c r="D66" i="2"/>
  <c r="D58" i="2"/>
  <c r="D50" i="2"/>
  <c r="D42" i="2"/>
  <c r="D30" i="2"/>
  <c r="D11" i="2"/>
  <c r="D15" i="2"/>
  <c r="D19" i="2"/>
  <c r="D23" i="2"/>
  <c r="D27" i="2"/>
  <c r="D31" i="2"/>
  <c r="D35" i="2"/>
  <c r="D39" i="2"/>
  <c r="D43" i="2"/>
  <c r="D47" i="2"/>
  <c r="D51" i="2"/>
  <c r="D55" i="2"/>
  <c r="D59" i="2"/>
  <c r="D63" i="2"/>
  <c r="D67" i="2"/>
  <c r="D71" i="2"/>
  <c r="D75" i="2"/>
  <c r="D79" i="2"/>
  <c r="D83" i="2"/>
  <c r="D87" i="2"/>
  <c r="D91" i="2"/>
  <c r="D95" i="2"/>
  <c r="D99" i="2"/>
  <c r="D103" i="2"/>
  <c r="D107" i="2"/>
  <c r="D111" i="2"/>
  <c r="D115" i="2"/>
  <c r="D119" i="2"/>
  <c r="D123" i="2"/>
  <c r="D127" i="2"/>
  <c r="D131" i="2"/>
  <c r="D12" i="2"/>
  <c r="D16" i="2"/>
  <c r="D20" i="2"/>
  <c r="D24" i="2"/>
  <c r="D28" i="2"/>
  <c r="D32" i="2"/>
  <c r="D36" i="2"/>
  <c r="D40" i="2"/>
  <c r="D44" i="2"/>
  <c r="D48" i="2"/>
  <c r="D52" i="2"/>
  <c r="D56" i="2"/>
  <c r="D60" i="2"/>
  <c r="D64" i="2"/>
  <c r="D68" i="2"/>
  <c r="D72" i="2"/>
  <c r="D76" i="2"/>
  <c r="D80" i="2"/>
  <c r="D84" i="2"/>
  <c r="D88" i="2"/>
  <c r="D92" i="2"/>
  <c r="D96" i="2"/>
  <c r="D100" i="2"/>
  <c r="D104" i="2"/>
  <c r="D108" i="2"/>
  <c r="D112" i="2"/>
  <c r="D116" i="2"/>
  <c r="D120" i="2"/>
  <c r="D124" i="2"/>
  <c r="D128" i="2"/>
  <c r="D132" i="2"/>
  <c r="D136" i="2"/>
  <c r="D140" i="2"/>
  <c r="D144" i="2"/>
  <c r="D148" i="2"/>
  <c r="D152" i="2"/>
  <c r="D156" i="2"/>
  <c r="D160" i="2"/>
  <c r="D164" i="2"/>
  <c r="D168" i="2"/>
  <c r="D172" i="2"/>
  <c r="D176" i="2"/>
  <c r="D180" i="2"/>
  <c r="D184" i="2"/>
  <c r="D188" i="2"/>
  <c r="D192" i="2"/>
  <c r="D13" i="2"/>
  <c r="D17" i="2"/>
  <c r="D21" i="2"/>
  <c r="D25" i="2"/>
  <c r="D29" i="2"/>
  <c r="D33" i="2"/>
  <c r="D37" i="2"/>
  <c r="F25" i="1" l="1"/>
  <c r="G25" i="1" s="1"/>
  <c r="E11" i="2"/>
  <c r="G54" i="1"/>
  <c r="H54" i="1" s="1"/>
  <c r="I54" i="1" s="1"/>
  <c r="F11" i="2" l="1"/>
  <c r="G11" i="2" s="1"/>
  <c r="E12" i="2" s="1"/>
  <c r="F12" i="2" s="1"/>
  <c r="G12" i="2" s="1"/>
  <c r="E13" i="2" s="1"/>
  <c r="F13" i="2" s="1"/>
  <c r="G13" i="2" s="1"/>
  <c r="D28" i="1"/>
  <c r="J54" i="1"/>
  <c r="K54" i="1" s="1"/>
  <c r="L54" i="1" s="1"/>
  <c r="M54" i="1" s="1"/>
  <c r="N54" i="1" s="1"/>
  <c r="H25" i="1"/>
  <c r="E26" i="1"/>
  <c r="D29" i="1"/>
  <c r="P87" i="1" l="1"/>
  <c r="P125" i="1"/>
  <c r="P126" i="1" s="1"/>
  <c r="N126" i="1" s="1"/>
  <c r="P88" i="1"/>
  <c r="N88" i="1" s="1"/>
  <c r="P155" i="1"/>
  <c r="P156" i="1" s="1"/>
  <c r="E28" i="1"/>
  <c r="E27" i="1"/>
  <c r="C117" i="1"/>
  <c r="D109" i="1"/>
  <c r="D59" i="1"/>
  <c r="C128" i="1" s="1"/>
  <c r="E49" i="1"/>
  <c r="D117" i="1" s="1"/>
  <c r="F26" i="1"/>
  <c r="E29" i="1"/>
  <c r="I25" i="1"/>
  <c r="E14" i="2"/>
  <c r="D147" i="1" l="1"/>
  <c r="D79" i="1"/>
  <c r="E109" i="1"/>
  <c r="E111" i="1" s="1"/>
  <c r="E112" i="1" s="1"/>
  <c r="E113" i="1" s="1"/>
  <c r="D139" i="1"/>
  <c r="C158" i="1"/>
  <c r="C97" i="1"/>
  <c r="C147" i="1"/>
  <c r="C79" i="1"/>
  <c r="F28" i="1"/>
  <c r="E51" i="1" s="1"/>
  <c r="F27" i="1"/>
  <c r="D111" i="1"/>
  <c r="C129" i="1" s="1"/>
  <c r="G26" i="1"/>
  <c r="F49" i="1"/>
  <c r="E117" i="1" s="1"/>
  <c r="F29" i="1"/>
  <c r="J25" i="1"/>
  <c r="F14" i="2"/>
  <c r="G14" i="2" s="1"/>
  <c r="E15" i="2" s="1"/>
  <c r="F15" i="2" s="1"/>
  <c r="G15" i="2" s="1"/>
  <c r="E16" i="2" s="1"/>
  <c r="F16" i="2" s="1"/>
  <c r="G16" i="2" s="1"/>
  <c r="E17" i="2" s="1"/>
  <c r="F17" i="2" s="1"/>
  <c r="G17" i="2" s="1"/>
  <c r="E18" i="2" s="1"/>
  <c r="F18" i="2" s="1"/>
  <c r="G18" i="2" s="1"/>
  <c r="E19" i="2" s="1"/>
  <c r="F19" i="2" s="1"/>
  <c r="G19" i="2" s="1"/>
  <c r="E59" i="1"/>
  <c r="D128" i="1" s="1"/>
  <c r="D73" i="1" l="1"/>
  <c r="D74" i="1" s="1"/>
  <c r="D75" i="1" s="1"/>
  <c r="F109" i="1"/>
  <c r="F111" i="1" s="1"/>
  <c r="F112" i="1" s="1"/>
  <c r="E129" i="1" s="1"/>
  <c r="D141" i="1"/>
  <c r="D142" i="1" s="1"/>
  <c r="D143" i="1" s="1"/>
  <c r="D158" i="1"/>
  <c r="D97" i="1"/>
  <c r="E147" i="1"/>
  <c r="E79" i="1"/>
  <c r="E139" i="1"/>
  <c r="E71" i="1"/>
  <c r="C159" i="1"/>
  <c r="C98" i="1"/>
  <c r="C118" i="1"/>
  <c r="C131" i="1" s="1"/>
  <c r="D55" i="1"/>
  <c r="D118" i="1"/>
  <c r="G28" i="1"/>
  <c r="G27" i="1"/>
  <c r="D113" i="1"/>
  <c r="D129" i="1"/>
  <c r="E55" i="1"/>
  <c r="F59" i="1"/>
  <c r="E128" i="1" s="1"/>
  <c r="K25" i="1"/>
  <c r="H26" i="1"/>
  <c r="G49" i="1"/>
  <c r="F117" i="1" s="1"/>
  <c r="G29" i="1"/>
  <c r="E20" i="2"/>
  <c r="F20" i="2" s="1"/>
  <c r="G20" i="2" s="1"/>
  <c r="F51" i="1" l="1"/>
  <c r="E118" i="1" s="1"/>
  <c r="E73" i="1"/>
  <c r="E74" i="1" s="1"/>
  <c r="E75" i="1" s="1"/>
  <c r="E141" i="1"/>
  <c r="E142" i="1" s="1"/>
  <c r="E143" i="1" s="1"/>
  <c r="F147" i="1"/>
  <c r="F79" i="1"/>
  <c r="C148" i="1"/>
  <c r="C161" i="1" s="1"/>
  <c r="C80" i="1"/>
  <c r="E158" i="1"/>
  <c r="E97" i="1"/>
  <c r="D148" i="1"/>
  <c r="D80" i="1"/>
  <c r="F139" i="1"/>
  <c r="F71" i="1"/>
  <c r="F73" i="1" s="1"/>
  <c r="F74" i="1" s="1"/>
  <c r="F75" i="1" s="1"/>
  <c r="E159" i="1"/>
  <c r="E98" i="1"/>
  <c r="D159" i="1"/>
  <c r="D98" i="1"/>
  <c r="G109" i="1"/>
  <c r="H28" i="1"/>
  <c r="H27" i="1"/>
  <c r="F113" i="1"/>
  <c r="D131" i="1"/>
  <c r="F55" i="1"/>
  <c r="G59" i="1"/>
  <c r="F128" i="1" s="1"/>
  <c r="L25" i="1"/>
  <c r="I26" i="1"/>
  <c r="H49" i="1"/>
  <c r="G117" i="1" s="1"/>
  <c r="H29" i="1"/>
  <c r="E21" i="2"/>
  <c r="E131" i="1" l="1"/>
  <c r="E148" i="1"/>
  <c r="E80" i="1"/>
  <c r="E100" i="1" s="1"/>
  <c r="G51" i="1"/>
  <c r="F118" i="1" s="1"/>
  <c r="E161" i="1"/>
  <c r="H109" i="1"/>
  <c r="H111" i="1" s="1"/>
  <c r="H112" i="1" s="1"/>
  <c r="F158" i="1"/>
  <c r="F97" i="1"/>
  <c r="D100" i="1"/>
  <c r="G111" i="1"/>
  <c r="G112" i="1" s="1"/>
  <c r="F129" i="1" s="1"/>
  <c r="G139" i="1"/>
  <c r="G71" i="1"/>
  <c r="G147" i="1"/>
  <c r="G79" i="1"/>
  <c r="D161" i="1"/>
  <c r="F141" i="1"/>
  <c r="F142" i="1" s="1"/>
  <c r="F143" i="1" s="1"/>
  <c r="I28" i="1"/>
  <c r="I27" i="1"/>
  <c r="G55" i="1"/>
  <c r="J26" i="1"/>
  <c r="I49" i="1"/>
  <c r="H117" i="1" s="1"/>
  <c r="I29" i="1"/>
  <c r="H59" i="1"/>
  <c r="G128" i="1" s="1"/>
  <c r="F21" i="2"/>
  <c r="G21" i="2" s="1"/>
  <c r="D60" i="1" s="1"/>
  <c r="D36" i="1"/>
  <c r="M25" i="1"/>
  <c r="F148" i="1" l="1"/>
  <c r="F80" i="1"/>
  <c r="F100" i="1" s="1"/>
  <c r="F131" i="1"/>
  <c r="G118" i="1"/>
  <c r="G148" i="1" s="1"/>
  <c r="H51" i="1"/>
  <c r="G129" i="1"/>
  <c r="F98" i="1"/>
  <c r="G113" i="1"/>
  <c r="G131" i="1" s="1"/>
  <c r="F159" i="1"/>
  <c r="I109" i="1"/>
  <c r="I71" i="1" s="1"/>
  <c r="G141" i="1"/>
  <c r="G142" i="1" s="1"/>
  <c r="G143" i="1" s="1"/>
  <c r="F161" i="1"/>
  <c r="H139" i="1"/>
  <c r="H71" i="1"/>
  <c r="G158" i="1"/>
  <c r="G97" i="1"/>
  <c r="I139" i="1"/>
  <c r="G80" i="1"/>
  <c r="G73" i="1"/>
  <c r="G74" i="1" s="1"/>
  <c r="G75" i="1" s="1"/>
  <c r="H147" i="1"/>
  <c r="H79" i="1"/>
  <c r="G159" i="1"/>
  <c r="G98" i="1"/>
  <c r="J28" i="1"/>
  <c r="J27" i="1"/>
  <c r="H113" i="1"/>
  <c r="D38" i="1"/>
  <c r="H55" i="1"/>
  <c r="E22" i="2"/>
  <c r="F22" i="2" s="1"/>
  <c r="G22" i="2" s="1"/>
  <c r="E23" i="2" s="1"/>
  <c r="F23" i="2" s="1"/>
  <c r="G23" i="2" s="1"/>
  <c r="N25" i="1"/>
  <c r="I59" i="1"/>
  <c r="H128" i="1" s="1"/>
  <c r="K26" i="1"/>
  <c r="J49" i="1"/>
  <c r="I117" i="1" s="1"/>
  <c r="J29" i="1"/>
  <c r="I51" i="1" l="1"/>
  <c r="H118" i="1" s="1"/>
  <c r="D39" i="1"/>
  <c r="D40" i="1" s="1"/>
  <c r="D63" i="1" s="1"/>
  <c r="D64" i="1" s="1"/>
  <c r="I111" i="1"/>
  <c r="I112" i="1" s="1"/>
  <c r="H129" i="1" s="1"/>
  <c r="H98" i="1" s="1"/>
  <c r="G100" i="1"/>
  <c r="I147" i="1"/>
  <c r="I79" i="1"/>
  <c r="I73" i="1"/>
  <c r="I74" i="1" s="1"/>
  <c r="I75" i="1" s="1"/>
  <c r="H73" i="1"/>
  <c r="H74" i="1" s="1"/>
  <c r="H75" i="1" s="1"/>
  <c r="H158" i="1"/>
  <c r="H97" i="1"/>
  <c r="G161" i="1"/>
  <c r="I141" i="1"/>
  <c r="I142" i="1" s="1"/>
  <c r="I143" i="1" s="1"/>
  <c r="H141" i="1"/>
  <c r="H142" i="1" s="1"/>
  <c r="H143" i="1" s="1"/>
  <c r="J109" i="1"/>
  <c r="H159" i="1"/>
  <c r="K28" i="1"/>
  <c r="K27" i="1"/>
  <c r="I55" i="1"/>
  <c r="L26" i="1"/>
  <c r="K49" i="1"/>
  <c r="J117" i="1" s="1"/>
  <c r="K29" i="1"/>
  <c r="J59" i="1"/>
  <c r="I128" i="1" s="1"/>
  <c r="E24" i="2"/>
  <c r="F24" i="2" s="1"/>
  <c r="G24" i="2" s="1"/>
  <c r="H148" i="1" l="1"/>
  <c r="H131" i="1"/>
  <c r="H80" i="1"/>
  <c r="I118" i="1"/>
  <c r="I80" i="1" s="1"/>
  <c r="J51" i="1"/>
  <c r="I113" i="1"/>
  <c r="H100" i="1"/>
  <c r="I158" i="1"/>
  <c r="I97" i="1"/>
  <c r="H161" i="1"/>
  <c r="J139" i="1"/>
  <c r="J71" i="1"/>
  <c r="J73" i="1" s="1"/>
  <c r="J74" i="1" s="1"/>
  <c r="J75" i="1" s="1"/>
  <c r="J147" i="1"/>
  <c r="J79" i="1"/>
  <c r="J111" i="1"/>
  <c r="J112" i="1" s="1"/>
  <c r="I129" i="1" s="1"/>
  <c r="I159" i="1" s="1"/>
  <c r="I148" i="1"/>
  <c r="K109" i="1"/>
  <c r="K111" i="1" s="1"/>
  <c r="K112" i="1" s="1"/>
  <c r="L28" i="1"/>
  <c r="L27" i="1"/>
  <c r="J55" i="1"/>
  <c r="K59" i="1"/>
  <c r="J128" i="1" s="1"/>
  <c r="M26" i="1"/>
  <c r="L49" i="1"/>
  <c r="K117" i="1" s="1"/>
  <c r="L29" i="1"/>
  <c r="E25" i="2"/>
  <c r="F25" i="2" s="1"/>
  <c r="G25" i="2" s="1"/>
  <c r="K51" i="1" l="1"/>
  <c r="J118" i="1" s="1"/>
  <c r="J129" i="1"/>
  <c r="J98" i="1" s="1"/>
  <c r="J113" i="1"/>
  <c r="I98" i="1"/>
  <c r="I100" i="1" s="1"/>
  <c r="I161" i="1"/>
  <c r="K147" i="1"/>
  <c r="K79" i="1"/>
  <c r="J158" i="1"/>
  <c r="J97" i="1"/>
  <c r="J141" i="1"/>
  <c r="J142" i="1" s="1"/>
  <c r="J143" i="1" s="1"/>
  <c r="I131" i="1"/>
  <c r="K139" i="1"/>
  <c r="K71" i="1"/>
  <c r="J159" i="1"/>
  <c r="L109" i="1"/>
  <c r="M28" i="1"/>
  <c r="M27" i="1"/>
  <c r="K113" i="1"/>
  <c r="K55" i="1"/>
  <c r="N26" i="1"/>
  <c r="M49" i="1"/>
  <c r="L117" i="1" s="1"/>
  <c r="M29" i="1"/>
  <c r="L59" i="1"/>
  <c r="K128" i="1" s="1"/>
  <c r="E26" i="2"/>
  <c r="F26" i="2" s="1"/>
  <c r="G26" i="2" s="1"/>
  <c r="J148" i="1" l="1"/>
  <c r="J80" i="1"/>
  <c r="J100" i="1" s="1"/>
  <c r="L51" i="1"/>
  <c r="L55" i="1" s="1"/>
  <c r="J131" i="1"/>
  <c r="K141" i="1"/>
  <c r="K142" i="1" s="1"/>
  <c r="K143" i="1" s="1"/>
  <c r="L147" i="1"/>
  <c r="L79" i="1"/>
  <c r="K158" i="1"/>
  <c r="K97" i="1"/>
  <c r="K73" i="1"/>
  <c r="K74" i="1" s="1"/>
  <c r="K75" i="1" s="1"/>
  <c r="L111" i="1"/>
  <c r="L112" i="1" s="1"/>
  <c r="K129" i="1" s="1"/>
  <c r="L139" i="1"/>
  <c r="L71" i="1"/>
  <c r="J161" i="1"/>
  <c r="M109" i="1"/>
  <c r="N28" i="1"/>
  <c r="M51" i="1" s="1"/>
  <c r="N27" i="1"/>
  <c r="M59" i="1"/>
  <c r="L128" i="1" s="1"/>
  <c r="N49" i="1"/>
  <c r="N29" i="1"/>
  <c r="E27" i="2"/>
  <c r="F27" i="2" s="1"/>
  <c r="G27" i="2" s="1"/>
  <c r="K118" i="1" l="1"/>
  <c r="L113" i="1"/>
  <c r="K98" i="1"/>
  <c r="K159" i="1"/>
  <c r="L141" i="1"/>
  <c r="L142" i="1" s="1"/>
  <c r="L143" i="1" s="1"/>
  <c r="L158" i="1"/>
  <c r="L97" i="1"/>
  <c r="N109" i="1"/>
  <c r="M111" i="1"/>
  <c r="M112" i="1" s="1"/>
  <c r="L129" i="1" s="1"/>
  <c r="L98" i="1" s="1"/>
  <c r="M139" i="1"/>
  <c r="M71" i="1"/>
  <c r="L73" i="1"/>
  <c r="L74" i="1" s="1"/>
  <c r="L75" i="1" s="1"/>
  <c r="L118" i="1"/>
  <c r="M117" i="1"/>
  <c r="N117" i="1"/>
  <c r="N59" i="1"/>
  <c r="E28" i="2"/>
  <c r="F28" i="2" s="1"/>
  <c r="G28" i="2" s="1"/>
  <c r="K100" i="1" l="1"/>
  <c r="K148" i="1"/>
  <c r="K80" i="1"/>
  <c r="K161" i="1"/>
  <c r="K131" i="1"/>
  <c r="L159" i="1"/>
  <c r="M113" i="1"/>
  <c r="L131" i="1"/>
  <c r="M55" i="1"/>
  <c r="N139" i="1"/>
  <c r="N71" i="1"/>
  <c r="M147" i="1"/>
  <c r="M79" i="1"/>
  <c r="M141" i="1"/>
  <c r="M142" i="1" s="1"/>
  <c r="M143" i="1" s="1"/>
  <c r="L148" i="1"/>
  <c r="L80" i="1"/>
  <c r="N147" i="1"/>
  <c r="N79" i="1"/>
  <c r="N111" i="1"/>
  <c r="N112" i="1" s="1"/>
  <c r="N113" i="1" s="1"/>
  <c r="L100" i="1"/>
  <c r="M73" i="1"/>
  <c r="M74" i="1" s="1"/>
  <c r="M75" i="1" s="1"/>
  <c r="N118" i="1"/>
  <c r="M118" i="1"/>
  <c r="N55" i="1"/>
  <c r="M128" i="1"/>
  <c r="N128" i="1"/>
  <c r="E29" i="2"/>
  <c r="F29" i="2" s="1"/>
  <c r="G29" i="2" s="1"/>
  <c r="L161" i="1" l="1"/>
  <c r="M129" i="1"/>
  <c r="M159" i="1" s="1"/>
  <c r="M148" i="1"/>
  <c r="M80" i="1"/>
  <c r="N141" i="1"/>
  <c r="N142" i="1" s="1"/>
  <c r="N143" i="1" s="1"/>
  <c r="N158" i="1"/>
  <c r="N97" i="1"/>
  <c r="N148" i="1"/>
  <c r="N80" i="1"/>
  <c r="M158" i="1"/>
  <c r="M97" i="1"/>
  <c r="N129" i="1"/>
  <c r="N159" i="1" s="1"/>
  <c r="N73" i="1"/>
  <c r="N74" i="1" s="1"/>
  <c r="N75" i="1" s="1"/>
  <c r="M131" i="1"/>
  <c r="E30" i="2"/>
  <c r="F30" i="2" s="1"/>
  <c r="G30" i="2" s="1"/>
  <c r="M98" i="1" l="1"/>
  <c r="M100" i="1" s="1"/>
  <c r="N161" i="1"/>
  <c r="N98" i="1"/>
  <c r="M161" i="1"/>
  <c r="N131" i="1"/>
  <c r="C132" i="1" s="1"/>
  <c r="E31" i="2"/>
  <c r="F31" i="2" s="1"/>
  <c r="G31" i="2" s="1"/>
  <c r="N100" i="1" l="1"/>
  <c r="C101" i="1" s="1"/>
  <c r="C162" i="1"/>
  <c r="E32" i="2"/>
  <c r="F32" i="2" s="1"/>
  <c r="G32" i="2" s="1"/>
  <c r="E33" i="2" l="1"/>
  <c r="F33" i="2" l="1"/>
  <c r="G33" i="2" s="1"/>
  <c r="E60" i="1" s="1"/>
  <c r="H33" i="2"/>
  <c r="E36" i="1" s="1"/>
  <c r="E38" i="1" s="1"/>
  <c r="E39" i="1" s="1"/>
  <c r="E40" i="1" s="1"/>
  <c r="E63" i="1" s="1"/>
  <c r="E64" i="1" l="1"/>
  <c r="E66" i="1" s="1"/>
  <c r="E34" i="2"/>
  <c r="F34" i="2" l="1"/>
  <c r="G34" i="2" s="1"/>
  <c r="E35" i="2" l="1"/>
  <c r="F35" i="2" l="1"/>
  <c r="G35" i="2" s="1"/>
  <c r="E36" i="2" l="1"/>
  <c r="F36" i="2" l="1"/>
  <c r="G36" i="2" s="1"/>
  <c r="E37" i="2" s="1"/>
  <c r="F37" i="2" s="1"/>
  <c r="G37" i="2" s="1"/>
  <c r="E38" i="2" l="1"/>
  <c r="F38" i="2" s="1"/>
  <c r="G38" i="2" s="1"/>
  <c r="E39" i="2" l="1"/>
  <c r="F39" i="2" s="1"/>
  <c r="G39" i="2" s="1"/>
  <c r="E40" i="2" s="1"/>
  <c r="F40" i="2" s="1"/>
  <c r="G40" i="2" s="1"/>
  <c r="E41" i="2" s="1"/>
  <c r="F41" i="2" s="1"/>
  <c r="G41" i="2" s="1"/>
  <c r="E42" i="2" s="1"/>
  <c r="F42" i="2" s="1"/>
  <c r="G42" i="2" s="1"/>
  <c r="E43" i="2" l="1"/>
  <c r="F43" i="2" s="1"/>
  <c r="G43" i="2" s="1"/>
  <c r="E44" i="2" l="1"/>
  <c r="F44" i="2" s="1"/>
  <c r="G44" i="2" s="1"/>
  <c r="E45" i="2" l="1"/>
  <c r="F45" i="2" l="1"/>
  <c r="G45" i="2" s="1"/>
  <c r="F60" i="1" s="1"/>
  <c r="H45" i="2"/>
  <c r="F36" i="1" s="1"/>
  <c r="F38" i="1" s="1"/>
  <c r="F39" i="1" s="1"/>
  <c r="F40" i="1" s="1"/>
  <c r="F63" i="1" s="1"/>
  <c r="F64" i="1" l="1"/>
  <c r="F66" i="1" s="1"/>
  <c r="E46" i="2"/>
  <c r="F46" i="2" l="1"/>
  <c r="G46" i="2" s="1"/>
  <c r="E47" i="2" l="1"/>
  <c r="F47" i="2" l="1"/>
  <c r="G47" i="2" s="1"/>
  <c r="E48" i="2" s="1"/>
  <c r="F48" i="2" s="1"/>
  <c r="G48" i="2" s="1"/>
  <c r="E49" i="2" l="1"/>
  <c r="F49" i="2" s="1"/>
  <c r="G49" i="2" s="1"/>
  <c r="E50" i="2" l="1"/>
  <c r="F50" i="2" s="1"/>
  <c r="G50" i="2" s="1"/>
  <c r="E51" i="2" l="1"/>
  <c r="F51" i="2" s="1"/>
  <c r="G51" i="2" s="1"/>
  <c r="E52" i="2" s="1"/>
  <c r="F52" i="2" s="1"/>
  <c r="G52" i="2" s="1"/>
  <c r="E53" i="2" s="1"/>
  <c r="F53" i="2" s="1"/>
  <c r="G53" i="2" s="1"/>
  <c r="E54" i="2" l="1"/>
  <c r="F54" i="2" s="1"/>
  <c r="G54" i="2" s="1"/>
  <c r="E55" i="2" l="1"/>
  <c r="F55" i="2" s="1"/>
  <c r="G55" i="2" s="1"/>
  <c r="E56" i="2" l="1"/>
  <c r="F56" i="2" s="1"/>
  <c r="G56" i="2" s="1"/>
  <c r="E57" i="2" l="1"/>
  <c r="F57" i="2" l="1"/>
  <c r="G57" i="2" s="1"/>
  <c r="G60" i="1" s="1"/>
  <c r="H57" i="2"/>
  <c r="G36" i="1" s="1"/>
  <c r="G38" i="1" s="1"/>
  <c r="G39" i="1" s="1"/>
  <c r="G40" i="1" s="1"/>
  <c r="G63" i="1" s="1"/>
  <c r="G64" i="1" l="1"/>
  <c r="G66" i="1" s="1"/>
  <c r="E58" i="2"/>
  <c r="F58" i="2" l="1"/>
  <c r="G58" i="2" s="1"/>
  <c r="E59" i="2" s="1"/>
  <c r="F59" i="2" s="1"/>
  <c r="G59" i="2" s="1"/>
  <c r="E60" i="2" s="1"/>
  <c r="F60" i="2" s="1"/>
  <c r="G60" i="2" s="1"/>
  <c r="E61" i="2" l="1"/>
  <c r="F61" i="2" s="1"/>
  <c r="G61" i="2" s="1"/>
  <c r="E62" i="2" l="1"/>
  <c r="F62" i="2" s="1"/>
  <c r="G62" i="2" s="1"/>
  <c r="E63" i="2" l="1"/>
  <c r="F63" i="2" s="1"/>
  <c r="G63" i="2" s="1"/>
  <c r="E64" i="2" l="1"/>
  <c r="F64" i="2" l="1"/>
  <c r="G64" i="2" s="1"/>
  <c r="E65" i="2" s="1"/>
  <c r="F65" i="2" s="1"/>
  <c r="G65" i="2" s="1"/>
  <c r="E66" i="2" l="1"/>
  <c r="F66" i="2" s="1"/>
  <c r="G66" i="2" s="1"/>
  <c r="E67" i="2" l="1"/>
  <c r="F67" i="2" s="1"/>
  <c r="G67" i="2" s="1"/>
  <c r="E68" i="2" l="1"/>
  <c r="F68" i="2" s="1"/>
  <c r="G68" i="2" s="1"/>
  <c r="E69" i="2" l="1"/>
  <c r="F69" i="2" l="1"/>
  <c r="G69" i="2" s="1"/>
  <c r="H60" i="1" s="1"/>
  <c r="H69" i="2"/>
  <c r="H36" i="1" s="1"/>
  <c r="H38" i="1" s="1"/>
  <c r="H39" i="1" s="1"/>
  <c r="H40" i="1" l="1"/>
  <c r="E70" i="2"/>
  <c r="H63" i="1" l="1"/>
  <c r="H64" i="1" s="1"/>
  <c r="H66" i="1" s="1"/>
  <c r="F70" i="2"/>
  <c r="G70" i="2" s="1"/>
  <c r="E71" i="2" s="1"/>
  <c r="F71" i="2" s="1"/>
  <c r="G71" i="2" s="1"/>
  <c r="E72" i="2" s="1"/>
  <c r="F72" i="2" s="1"/>
  <c r="G72" i="2" s="1"/>
  <c r="E73" i="2" l="1"/>
  <c r="F73" i="2" s="1"/>
  <c r="G73" i="2" s="1"/>
  <c r="E74" i="2" l="1"/>
  <c r="F74" i="2" s="1"/>
  <c r="G74" i="2" s="1"/>
  <c r="E75" i="2" l="1"/>
  <c r="F75" i="2" s="1"/>
  <c r="G75" i="2" s="1"/>
  <c r="E76" i="2" l="1"/>
  <c r="F76" i="2" s="1"/>
  <c r="G76" i="2" s="1"/>
  <c r="E77" i="2" l="1"/>
  <c r="F77" i="2" s="1"/>
  <c r="G77" i="2" s="1"/>
  <c r="E78" i="2" l="1"/>
  <c r="F78" i="2" s="1"/>
  <c r="G78" i="2" s="1"/>
  <c r="E79" i="2" l="1"/>
  <c r="F79" i="2" s="1"/>
  <c r="G79" i="2" s="1"/>
  <c r="E80" i="2" l="1"/>
  <c r="F80" i="2" s="1"/>
  <c r="G80" i="2" s="1"/>
  <c r="E81" i="2" l="1"/>
  <c r="F81" i="2" l="1"/>
  <c r="G81" i="2" s="1"/>
  <c r="I60" i="1" s="1"/>
  <c r="H81" i="2"/>
  <c r="I36" i="1" s="1"/>
  <c r="I38" i="1" s="1"/>
  <c r="I39" i="1" s="1"/>
  <c r="I40" i="1" l="1"/>
  <c r="E82" i="2"/>
  <c r="I63" i="1" l="1"/>
  <c r="I64" i="1" s="1"/>
  <c r="I66" i="1" s="1"/>
  <c r="F82" i="2"/>
  <c r="G82" i="2" s="1"/>
  <c r="E83" i="2" s="1"/>
  <c r="F83" i="2" s="1"/>
  <c r="G83" i="2" s="1"/>
  <c r="E84" i="2" s="1"/>
  <c r="F84" i="2" s="1"/>
  <c r="G84" i="2" l="1"/>
  <c r="E85" i="2" s="1"/>
  <c r="F85" i="2" s="1"/>
  <c r="G85" i="2" s="1"/>
  <c r="E86" i="2" l="1"/>
  <c r="F86" i="2" s="1"/>
  <c r="G86" i="2" s="1"/>
  <c r="E87" i="2" l="1"/>
  <c r="F87" i="2" s="1"/>
  <c r="G87" i="2" s="1"/>
  <c r="E88" i="2" l="1"/>
  <c r="F88" i="2" s="1"/>
  <c r="G88" i="2" s="1"/>
  <c r="E89" i="2" l="1"/>
  <c r="F89" i="2" s="1"/>
  <c r="G89" i="2" s="1"/>
  <c r="E90" i="2" l="1"/>
  <c r="F90" i="2" s="1"/>
  <c r="G90" i="2" s="1"/>
  <c r="E91" i="2" l="1"/>
  <c r="F91" i="2" s="1"/>
  <c r="G91" i="2" s="1"/>
  <c r="E92" i="2" l="1"/>
  <c r="F92" i="2" s="1"/>
  <c r="G92" i="2" s="1"/>
  <c r="E93" i="2" l="1"/>
  <c r="F93" i="2" l="1"/>
  <c r="G93" i="2" s="1"/>
  <c r="J60" i="1" s="1"/>
  <c r="H93" i="2"/>
  <c r="J36" i="1" s="1"/>
  <c r="J38" i="1" s="1"/>
  <c r="J39" i="1" l="1"/>
  <c r="E94" i="2"/>
  <c r="J40" i="1" l="1"/>
  <c r="F94" i="2"/>
  <c r="G94" i="2" s="1"/>
  <c r="E95" i="2" s="1"/>
  <c r="F95" i="2" s="1"/>
  <c r="G95" i="2" s="1"/>
  <c r="E96" i="2" s="1"/>
  <c r="F96" i="2" s="1"/>
  <c r="J63" i="1" l="1"/>
  <c r="J64" i="1" s="1"/>
  <c r="J66" i="1" s="1"/>
  <c r="G96" i="2"/>
  <c r="E97" i="2" s="1"/>
  <c r="F97" i="2" s="1"/>
  <c r="G97" i="2" s="1"/>
  <c r="E98" i="2" l="1"/>
  <c r="F98" i="2" s="1"/>
  <c r="G98" i="2" s="1"/>
  <c r="E99" i="2" l="1"/>
  <c r="F99" i="2" s="1"/>
  <c r="G99" i="2" s="1"/>
  <c r="E100" i="2" l="1"/>
  <c r="F100" i="2" s="1"/>
  <c r="G100" i="2" s="1"/>
  <c r="E101" i="2" l="1"/>
  <c r="F101" i="2" s="1"/>
  <c r="G101" i="2" s="1"/>
  <c r="E102" i="2" l="1"/>
  <c r="F102" i="2" s="1"/>
  <c r="G102" i="2" s="1"/>
  <c r="E103" i="2" l="1"/>
  <c r="F103" i="2" s="1"/>
  <c r="G103" i="2" s="1"/>
  <c r="E104" i="2" l="1"/>
  <c r="F104" i="2" s="1"/>
  <c r="G104" i="2" s="1"/>
  <c r="E105" i="2" l="1"/>
  <c r="F105" i="2" l="1"/>
  <c r="G105" i="2" s="1"/>
  <c r="K60" i="1" s="1"/>
  <c r="H105" i="2"/>
  <c r="K36" i="1" s="1"/>
  <c r="K38" i="1" s="1"/>
  <c r="E106" i="2" l="1"/>
  <c r="K39" i="1"/>
  <c r="K40" i="1" l="1"/>
  <c r="F106" i="2"/>
  <c r="G106" i="2" s="1"/>
  <c r="E107" i="2" s="1"/>
  <c r="F107" i="2" s="1"/>
  <c r="G107" i="2" s="1"/>
  <c r="E108" i="2" s="1"/>
  <c r="K63" i="1" l="1"/>
  <c r="K64" i="1" s="1"/>
  <c r="K66" i="1" s="1"/>
  <c r="F108" i="2"/>
  <c r="G108" i="2" s="1"/>
  <c r="E109" i="2" s="1"/>
  <c r="F109" i="2" l="1"/>
  <c r="G109" i="2" s="1"/>
  <c r="E110" i="2" s="1"/>
  <c r="F110" i="2" l="1"/>
  <c r="G110" i="2" s="1"/>
  <c r="E111" i="2" s="1"/>
  <c r="F111" i="2" l="1"/>
  <c r="G111" i="2" s="1"/>
  <c r="E112" i="2" s="1"/>
  <c r="F112" i="2" s="1"/>
  <c r="G112" i="2" l="1"/>
  <c r="E113" i="2" s="1"/>
  <c r="F113" i="2" s="1"/>
  <c r="G113" i="2" s="1"/>
  <c r="E114" i="2" l="1"/>
  <c r="F114" i="2" s="1"/>
  <c r="G114" i="2" s="1"/>
  <c r="E115" i="2" l="1"/>
  <c r="F115" i="2" s="1"/>
  <c r="G115" i="2" s="1"/>
  <c r="E116" i="2" l="1"/>
  <c r="F116" i="2" s="1"/>
  <c r="G116" i="2" s="1"/>
  <c r="E117" i="2" l="1"/>
  <c r="F117" i="2" l="1"/>
  <c r="G117" i="2" s="1"/>
  <c r="L60" i="1" s="1"/>
  <c r="H117" i="2"/>
  <c r="L36" i="1" s="1"/>
  <c r="L38" i="1" s="1"/>
  <c r="E118" i="2" l="1"/>
  <c r="L39" i="1"/>
  <c r="L40" i="1" s="1"/>
  <c r="L63" i="1" s="1"/>
  <c r="L64" i="1" s="1"/>
  <c r="L66" i="1" s="1"/>
  <c r="F118" i="2" l="1"/>
  <c r="G118" i="2" s="1"/>
  <c r="E119" i="2" s="1"/>
  <c r="F119" i="2" s="1"/>
  <c r="G119" i="2" s="1"/>
  <c r="E120" i="2" s="1"/>
  <c r="F120" i="2" s="1"/>
  <c r="G120" i="2" s="1"/>
  <c r="E121" i="2" l="1"/>
  <c r="F121" i="2" l="1"/>
  <c r="G121" i="2" s="1"/>
  <c r="E122" i="2" s="1"/>
  <c r="F122" i="2" l="1"/>
  <c r="G122" i="2" s="1"/>
  <c r="E123" i="2" s="1"/>
  <c r="F123" i="2" l="1"/>
  <c r="G123" i="2" s="1"/>
  <c r="E124" i="2" s="1"/>
  <c r="F124" i="2" l="1"/>
  <c r="G124" i="2" s="1"/>
  <c r="E125" i="2" s="1"/>
  <c r="F125" i="2" s="1"/>
  <c r="G125" i="2" s="1"/>
  <c r="E126" i="2" l="1"/>
  <c r="F126" i="2" s="1"/>
  <c r="G126" i="2" s="1"/>
  <c r="E127" i="2" l="1"/>
  <c r="F127" i="2" s="1"/>
  <c r="G127" i="2" s="1"/>
  <c r="E128" i="2" l="1"/>
  <c r="F128" i="2" s="1"/>
  <c r="G128" i="2" s="1"/>
  <c r="E129" i="2" l="1"/>
  <c r="F129" i="2" l="1"/>
  <c r="G129" i="2" s="1"/>
  <c r="M60" i="1" s="1"/>
  <c r="H129" i="2"/>
  <c r="M36" i="1" s="1"/>
  <c r="M38" i="1" s="1"/>
  <c r="M39" i="1" s="1"/>
  <c r="M40" i="1" s="1"/>
  <c r="M63" i="1" s="1"/>
  <c r="M64" i="1" l="1"/>
  <c r="M66" i="1" s="1"/>
  <c r="E130" i="2"/>
  <c r="F130" i="2" l="1"/>
  <c r="G130" i="2" s="1"/>
  <c r="E131" i="2" s="1"/>
  <c r="F131" i="2" s="1"/>
  <c r="G131" i="2" s="1"/>
  <c r="E132" i="2" s="1"/>
  <c r="F132" i="2" s="1"/>
  <c r="G132" i="2" s="1"/>
  <c r="E133" i="2" l="1"/>
  <c r="F133" i="2" s="1"/>
  <c r="G133" i="2" s="1"/>
  <c r="E134" i="2" l="1"/>
  <c r="F134" i="2" s="1"/>
  <c r="G134" i="2" s="1"/>
  <c r="E135" i="2" l="1"/>
  <c r="F135" i="2" s="1"/>
  <c r="G135" i="2" s="1"/>
  <c r="E136" i="2" l="1"/>
  <c r="F136" i="2" s="1"/>
  <c r="G136" i="2" s="1"/>
  <c r="E137" i="2" l="1"/>
  <c r="F137" i="2" s="1"/>
  <c r="G137" i="2" s="1"/>
  <c r="E138" i="2" l="1"/>
  <c r="F138" i="2" s="1"/>
  <c r="G138" i="2" s="1"/>
  <c r="E139" i="2" l="1"/>
  <c r="F139" i="2" s="1"/>
  <c r="G139" i="2" s="1"/>
  <c r="E140" i="2" l="1"/>
  <c r="F140" i="2" s="1"/>
  <c r="G140" i="2" s="1"/>
  <c r="E141" i="2" l="1"/>
  <c r="F141" i="2" l="1"/>
  <c r="G141" i="2" s="1"/>
  <c r="N60" i="1" s="1"/>
  <c r="R60" i="1" s="1"/>
  <c r="H141" i="2"/>
  <c r="N36" i="1" s="1"/>
  <c r="N38" i="1" s="1"/>
  <c r="N39" i="1" s="1"/>
  <c r="N40" i="1" s="1"/>
  <c r="N63" i="1" s="1"/>
  <c r="R63" i="1" s="1"/>
  <c r="R65" i="1" l="1"/>
  <c r="N64" i="1"/>
  <c r="N66" i="1" s="1"/>
  <c r="E142" i="2"/>
  <c r="F142" i="2" s="1"/>
  <c r="G142" i="2" s="1"/>
  <c r="E143" i="2" s="1"/>
  <c r="F143" i="2" s="1"/>
  <c r="G143" i="2" s="1"/>
  <c r="S60" i="1" l="1"/>
  <c r="S61" i="1"/>
  <c r="V61" i="1" s="1"/>
  <c r="S63" i="1"/>
  <c r="E144" i="2"/>
  <c r="F144" i="2" s="1"/>
  <c r="G144" i="2" s="1"/>
  <c r="S65" i="1" l="1"/>
  <c r="S45" i="1"/>
  <c r="V63" i="1"/>
  <c r="V60" i="1"/>
  <c r="S44" i="1"/>
  <c r="E145" i="2"/>
  <c r="F145" i="2" s="1"/>
  <c r="G145" i="2" s="1"/>
  <c r="V65" i="1" l="1"/>
  <c r="S46" i="1"/>
  <c r="S50" i="1" s="1"/>
  <c r="E146" i="2"/>
  <c r="F146" i="2" s="1"/>
  <c r="G146" i="2" s="1"/>
  <c r="C100" i="1" l="1"/>
  <c r="B94" i="1"/>
  <c r="S56" i="1"/>
  <c r="Y63" i="1" s="1"/>
  <c r="Z63" i="1" s="1"/>
  <c r="AA63" i="1" s="1"/>
  <c r="AA65" i="1" s="1"/>
  <c r="C133" i="1"/>
  <c r="C134" i="1" s="1"/>
  <c r="C163" i="1"/>
  <c r="C164" i="1" s="1"/>
  <c r="C102" i="1"/>
  <c r="C103" i="1" s="1"/>
  <c r="E147" i="2"/>
  <c r="F147" i="2" s="1"/>
  <c r="G147" i="2" s="1"/>
  <c r="C168" i="1" l="1"/>
  <c r="E148" i="2"/>
  <c r="F148" i="2" s="1"/>
  <c r="G148" i="2" s="1"/>
  <c r="E149" i="2" l="1"/>
  <c r="F149" i="2" s="1"/>
  <c r="G149" i="2" s="1"/>
  <c r="E150" i="2" l="1"/>
  <c r="F150" i="2" s="1"/>
  <c r="G150" i="2" s="1"/>
  <c r="E151" i="2" l="1"/>
  <c r="F151" i="2" s="1"/>
  <c r="G151" i="2" s="1"/>
  <c r="E152" i="2" l="1"/>
  <c r="F152" i="2" s="1"/>
  <c r="G152" i="2" s="1"/>
  <c r="E153" i="2" l="1"/>
  <c r="F153" i="2" s="1"/>
  <c r="G153" i="2" s="1"/>
  <c r="E154" i="2" l="1"/>
  <c r="F154" i="2" s="1"/>
  <c r="G154" i="2" s="1"/>
  <c r="E155" i="2" l="1"/>
  <c r="F155" i="2" s="1"/>
  <c r="G155" i="2" s="1"/>
  <c r="E156" i="2" l="1"/>
  <c r="F156" i="2" s="1"/>
  <c r="G156" i="2" s="1"/>
  <c r="E157" i="2" l="1"/>
  <c r="F157" i="2" s="1"/>
  <c r="G157" i="2" s="1"/>
  <c r="E158" i="2" l="1"/>
  <c r="F158" i="2" s="1"/>
  <c r="G158" i="2" s="1"/>
  <c r="E159" i="2" l="1"/>
  <c r="F159" i="2" s="1"/>
  <c r="G159" i="2" s="1"/>
  <c r="E160" i="2" l="1"/>
  <c r="F160" i="2" s="1"/>
  <c r="G160" i="2" s="1"/>
  <c r="E161" i="2" l="1"/>
  <c r="F161" i="2" s="1"/>
  <c r="G161" i="2" s="1"/>
  <c r="E162" i="2" l="1"/>
  <c r="F162" i="2" s="1"/>
  <c r="G162" i="2" s="1"/>
  <c r="E163" i="2" l="1"/>
  <c r="F163" i="2" s="1"/>
  <c r="G163" i="2" s="1"/>
  <c r="E164" i="2" l="1"/>
  <c r="F164" i="2" s="1"/>
  <c r="G164" i="2" s="1"/>
  <c r="E165" i="2" l="1"/>
  <c r="F165" i="2" s="1"/>
  <c r="G165" i="2" s="1"/>
  <c r="E166" i="2" l="1"/>
  <c r="F166" i="2" s="1"/>
  <c r="G166" i="2" s="1"/>
  <c r="E167" i="2" l="1"/>
  <c r="F167" i="2" s="1"/>
  <c r="G167" i="2" s="1"/>
  <c r="E168" i="2" l="1"/>
  <c r="F168" i="2" s="1"/>
  <c r="G168" i="2" s="1"/>
  <c r="E169" i="2" l="1"/>
  <c r="F169" i="2" s="1"/>
  <c r="G169" i="2" s="1"/>
  <c r="E170" i="2" l="1"/>
  <c r="F170" i="2" s="1"/>
  <c r="G170" i="2" s="1"/>
  <c r="E171" i="2" l="1"/>
  <c r="F171" i="2" s="1"/>
  <c r="G171" i="2" s="1"/>
  <c r="E172" i="2" l="1"/>
  <c r="F172" i="2" s="1"/>
  <c r="G172" i="2" s="1"/>
  <c r="E173" i="2" l="1"/>
  <c r="F173" i="2" s="1"/>
  <c r="G173" i="2" s="1"/>
  <c r="E174" i="2" l="1"/>
  <c r="F174" i="2" s="1"/>
  <c r="G174" i="2" s="1"/>
  <c r="E175" i="2" l="1"/>
  <c r="F175" i="2" s="1"/>
  <c r="G175" i="2" s="1"/>
  <c r="E176" i="2" l="1"/>
  <c r="F176" i="2" s="1"/>
  <c r="G176" i="2" s="1"/>
  <c r="E177" i="2" l="1"/>
  <c r="F177" i="2" s="1"/>
  <c r="G177" i="2" s="1"/>
  <c r="E178" i="2" l="1"/>
  <c r="F178" i="2" s="1"/>
  <c r="G178" i="2" s="1"/>
  <c r="E179" i="2" l="1"/>
  <c r="F179" i="2" s="1"/>
  <c r="G179" i="2" s="1"/>
  <c r="E180" i="2" l="1"/>
  <c r="F180" i="2" s="1"/>
  <c r="G180" i="2" s="1"/>
  <c r="E181" i="2" l="1"/>
  <c r="F181" i="2" s="1"/>
  <c r="G181" i="2" s="1"/>
  <c r="E182" i="2" l="1"/>
  <c r="F182" i="2" s="1"/>
  <c r="G182" i="2" s="1"/>
  <c r="E183" i="2" l="1"/>
  <c r="F183" i="2" s="1"/>
  <c r="G183" i="2" s="1"/>
  <c r="E184" i="2" l="1"/>
  <c r="F184" i="2" s="1"/>
  <c r="G184" i="2" s="1"/>
  <c r="E185" i="2" l="1"/>
  <c r="F185" i="2" s="1"/>
  <c r="G185" i="2" s="1"/>
  <c r="E186" i="2" l="1"/>
  <c r="F186" i="2" s="1"/>
  <c r="G186" i="2" s="1"/>
  <c r="E187" i="2" l="1"/>
  <c r="F187" i="2" s="1"/>
  <c r="G187" i="2" s="1"/>
  <c r="E188" i="2" l="1"/>
  <c r="F188" i="2" s="1"/>
  <c r="G188" i="2" s="1"/>
  <c r="E189" i="2" l="1"/>
  <c r="F189" i="2" s="1"/>
  <c r="G189" i="2" s="1"/>
  <c r="E190" i="2" l="1"/>
  <c r="F190" i="2" s="1"/>
  <c r="G190" i="2" s="1"/>
  <c r="E191" i="2" l="1"/>
  <c r="F191" i="2" s="1"/>
  <c r="G191" i="2" s="1"/>
  <c r="E192" i="2" l="1"/>
  <c r="F192" i="2" s="1"/>
  <c r="G192" i="2" s="1"/>
  <c r="E193" i="2" s="1"/>
  <c r="F193" i="2" s="1"/>
  <c r="G193" i="2" s="1"/>
  <c r="E194" i="2" s="1"/>
  <c r="F194" i="2" s="1"/>
  <c r="G194" i="2" s="1"/>
  <c r="E195" i="2" l="1"/>
  <c r="F195" i="2" s="1"/>
  <c r="G195" i="2" s="1"/>
  <c r="D66" i="1"/>
  <c r="E196" i="2" l="1"/>
  <c r="F196" i="2" s="1"/>
  <c r="G196" i="2" s="1"/>
  <c r="E197" i="2" l="1"/>
  <c r="F197" i="2" s="1"/>
  <c r="G197" i="2" s="1"/>
  <c r="E198" i="2" l="1"/>
  <c r="F198" i="2" s="1"/>
  <c r="G198" i="2" s="1"/>
  <c r="E199" i="2" l="1"/>
  <c r="F199" i="2" s="1"/>
  <c r="G199" i="2" s="1"/>
  <c r="E200" i="2" l="1"/>
  <c r="F200" i="2" s="1"/>
  <c r="G200" i="2" s="1"/>
  <c r="E201" i="2" l="1"/>
  <c r="F201" i="2" s="1"/>
  <c r="G201" i="2" s="1"/>
  <c r="E202" i="2" l="1"/>
  <c r="F202" i="2" s="1"/>
  <c r="G202" i="2" s="1"/>
  <c r="E203" i="2" l="1"/>
  <c r="F203" i="2" s="1"/>
  <c r="G203" i="2" s="1"/>
  <c r="E204" i="2" l="1"/>
  <c r="F204" i="2" s="1"/>
  <c r="G204" i="2" s="1"/>
  <c r="E205" i="2" l="1"/>
  <c r="F205" i="2" s="1"/>
  <c r="G205" i="2" s="1"/>
  <c r="E206" i="2" l="1"/>
  <c r="F206" i="2" s="1"/>
  <c r="G206" i="2" s="1"/>
  <c r="E207" i="2" l="1"/>
  <c r="F207" i="2" s="1"/>
  <c r="G207" i="2"/>
  <c r="E208" i="2" l="1"/>
  <c r="F208" i="2" s="1"/>
  <c r="G208" i="2" s="1"/>
  <c r="E209" i="2" l="1"/>
  <c r="F209" i="2" s="1"/>
  <c r="G209" i="2" s="1"/>
  <c r="E210" i="2" l="1"/>
  <c r="F210" i="2" s="1"/>
  <c r="G210" i="2" s="1"/>
  <c r="E211" i="2" s="1"/>
  <c r="F211" i="2" s="1"/>
  <c r="G211" i="2" s="1"/>
  <c r="E212" i="2" l="1"/>
  <c r="F212" i="2" s="1"/>
  <c r="G212" i="2" s="1"/>
  <c r="E213" i="2" s="1"/>
  <c r="F213" i="2" s="1"/>
  <c r="G213" i="2" s="1"/>
  <c r="E214" i="2" s="1"/>
  <c r="F214" i="2" s="1"/>
  <c r="G214" i="2" s="1"/>
  <c r="E215" i="2" s="1"/>
  <c r="F215" i="2" s="1"/>
  <c r="G215" i="2" s="1"/>
  <c r="E216" i="2" s="1"/>
  <c r="F216" i="2" s="1"/>
  <c r="G216" i="2" s="1"/>
  <c r="E217" i="2" s="1"/>
  <c r="F217" i="2" s="1"/>
  <c r="G217" i="2" s="1"/>
  <c r="E218" i="2" l="1"/>
  <c r="F218" i="2" s="1"/>
  <c r="G218" i="2" s="1"/>
  <c r="E219" i="2" s="1"/>
  <c r="F219" i="2" s="1"/>
  <c r="G219" i="2" s="1"/>
  <c r="E220" i="2" l="1"/>
  <c r="F220" i="2" s="1"/>
  <c r="G220" i="2" s="1"/>
  <c r="E221" i="2" l="1"/>
  <c r="F221" i="2" s="1"/>
  <c r="G221" i="2" s="1"/>
  <c r="E222" i="2" l="1"/>
  <c r="F222" i="2" s="1"/>
  <c r="G222" i="2" s="1"/>
  <c r="E223" i="2" l="1"/>
  <c r="F223" i="2" s="1"/>
  <c r="G223" i="2" s="1"/>
  <c r="E224" i="2" l="1"/>
  <c r="F224" i="2" s="1"/>
  <c r="G224" i="2" s="1"/>
  <c r="E225" i="2" l="1"/>
  <c r="F225" i="2" s="1"/>
  <c r="G225" i="2" s="1"/>
  <c r="E226" i="2" l="1"/>
  <c r="F226" i="2" s="1"/>
  <c r="G226" i="2" s="1"/>
  <c r="E227" i="2" l="1"/>
  <c r="F227" i="2" s="1"/>
  <c r="G227" i="2" s="1"/>
  <c r="E228" i="2" l="1"/>
  <c r="F228" i="2" s="1"/>
  <c r="G228" i="2" s="1"/>
  <c r="E229" i="2" l="1"/>
  <c r="F229" i="2" s="1"/>
  <c r="G229" i="2" s="1"/>
  <c r="E230" i="2" l="1"/>
  <c r="F230" i="2" s="1"/>
  <c r="G230" i="2" s="1"/>
  <c r="E231" i="2" l="1"/>
  <c r="F231" i="2" s="1"/>
  <c r="G231" i="2" s="1"/>
  <c r="E232" i="2" l="1"/>
  <c r="F232" i="2" s="1"/>
  <c r="G232" i="2" s="1"/>
  <c r="E233" i="2" l="1"/>
  <c r="F233" i="2" s="1"/>
  <c r="G233" i="2" s="1"/>
  <c r="E234" i="2" s="1"/>
  <c r="F234" i="2" s="1"/>
  <c r="G234" i="2" s="1"/>
  <c r="E235" i="2" s="1"/>
  <c r="F235" i="2" s="1"/>
  <c r="G235" i="2" s="1"/>
  <c r="E236" i="2" s="1"/>
  <c r="F236" i="2" s="1"/>
  <c r="G236" i="2" s="1"/>
  <c r="E237" i="2" s="1"/>
  <c r="F237" i="2" s="1"/>
  <c r="G237" i="2" s="1"/>
  <c r="E238" i="2" s="1"/>
  <c r="F238" i="2" s="1"/>
  <c r="G238" i="2" s="1"/>
  <c r="E239" i="2" s="1"/>
  <c r="F239" i="2" s="1"/>
  <c r="G239" i="2" s="1"/>
  <c r="E240" i="2" s="1"/>
  <c r="F240" i="2" s="1"/>
  <c r="G240" i="2" s="1"/>
  <c r="E241" i="2" s="1"/>
  <c r="F241" i="2" s="1"/>
  <c r="G241" i="2" s="1"/>
  <c r="E242" i="2" s="1"/>
  <c r="F242" i="2" s="1"/>
  <c r="G242" i="2" s="1"/>
  <c r="E243" i="2" s="1"/>
  <c r="F243" i="2" s="1"/>
  <c r="G243" i="2" s="1"/>
  <c r="E244" i="2" s="1"/>
  <c r="F244" i="2" s="1"/>
  <c r="G244" i="2" s="1"/>
  <c r="E245" i="2" s="1"/>
  <c r="F245" i="2" s="1"/>
  <c r="G245" i="2" s="1"/>
  <c r="E246" i="2" s="1"/>
  <c r="F246" i="2" s="1"/>
  <c r="G246" i="2" s="1"/>
  <c r="E247" i="2" s="1"/>
  <c r="F247" i="2" s="1"/>
  <c r="G247" i="2" s="1"/>
  <c r="E248" i="2" s="1"/>
  <c r="F248" i="2" s="1"/>
  <c r="G248" i="2" s="1"/>
  <c r="E249" i="2" s="1"/>
  <c r="F249" i="2" s="1"/>
  <c r="G249" i="2" s="1"/>
  <c r="E250" i="2" s="1"/>
  <c r="F250" i="2" s="1"/>
  <c r="G250" i="2" s="1"/>
  <c r="E251" i="2" s="1"/>
  <c r="F251" i="2" s="1"/>
  <c r="G251" i="2" s="1"/>
  <c r="E252" i="2" s="1"/>
  <c r="F252" i="2" s="1"/>
  <c r="G252" i="2" s="1"/>
  <c r="E253" i="2" s="1"/>
  <c r="F253" i="2" s="1"/>
  <c r="G253" i="2" s="1"/>
  <c r="E254" i="2" s="1"/>
  <c r="F254" i="2" s="1"/>
  <c r="G254" i="2" s="1"/>
  <c r="E255" i="2" s="1"/>
  <c r="F255" i="2" s="1"/>
  <c r="G255" i="2" s="1"/>
  <c r="E256" i="2" s="1"/>
  <c r="F256" i="2" s="1"/>
  <c r="G256" i="2" s="1"/>
  <c r="E257" i="2" s="1"/>
  <c r="F257" i="2" s="1"/>
  <c r="G257" i="2" s="1"/>
  <c r="E258" i="2" s="1"/>
  <c r="F258" i="2" s="1"/>
  <c r="G258" i="2" s="1"/>
  <c r="E259" i="2" s="1"/>
  <c r="F259" i="2" s="1"/>
  <c r="G259" i="2" s="1"/>
  <c r="E260" i="2" s="1"/>
  <c r="F260" i="2" s="1"/>
  <c r="G260" i="2" s="1"/>
  <c r="E261" i="2" l="1"/>
  <c r="F261" i="2" s="1"/>
  <c r="G261" i="2" s="1"/>
  <c r="E262" i="2" s="1"/>
  <c r="F262" i="2" s="1"/>
  <c r="G262" i="2" s="1"/>
  <c r="E263" i="2" s="1"/>
  <c r="F263" i="2" s="1"/>
  <c r="G263" i="2" s="1"/>
  <c r="E264" i="2" s="1"/>
  <c r="F264" i="2" s="1"/>
  <c r="G264" i="2" s="1"/>
  <c r="E265" i="2" s="1"/>
  <c r="F265" i="2" s="1"/>
  <c r="G265" i="2" s="1"/>
  <c r="E266" i="2" s="1"/>
  <c r="F266" i="2" s="1"/>
  <c r="G266" i="2" s="1"/>
  <c r="E267" i="2" s="1"/>
  <c r="F267" i="2" s="1"/>
  <c r="G267" i="2" s="1"/>
  <c r="E268" i="2" s="1"/>
  <c r="F268" i="2" s="1"/>
  <c r="G268" i="2" s="1"/>
  <c r="E269" i="2" s="1"/>
  <c r="F269" i="2" s="1"/>
  <c r="G269" i="2" s="1"/>
  <c r="E270" i="2" s="1"/>
  <c r="F270" i="2" s="1"/>
  <c r="G270" i="2" s="1"/>
  <c r="E271" i="2" s="1"/>
  <c r="F271" i="2" s="1"/>
  <c r="G271" i="2" s="1"/>
  <c r="E272" i="2" s="1"/>
  <c r="F272" i="2" s="1"/>
  <c r="G272" i="2" s="1"/>
  <c r="E273" i="2" s="1"/>
  <c r="F273" i="2" s="1"/>
  <c r="G273" i="2" s="1"/>
  <c r="E274" i="2" s="1"/>
  <c r="F274" i="2" s="1"/>
  <c r="G274" i="2" s="1"/>
  <c r="E275" i="2" s="1"/>
  <c r="F275" i="2" s="1"/>
  <c r="G275" i="2" s="1"/>
  <c r="E276" i="2" s="1"/>
  <c r="F276" i="2" s="1"/>
  <c r="G276" i="2" s="1"/>
  <c r="E277" i="2" s="1"/>
  <c r="F277" i="2" s="1"/>
  <c r="G277" i="2" s="1"/>
  <c r="E278" i="2" s="1"/>
  <c r="F278" i="2" s="1"/>
  <c r="G278" i="2" s="1"/>
  <c r="E279" i="2" s="1"/>
  <c r="F279" i="2" s="1"/>
  <c r="G279" i="2" s="1"/>
  <c r="E280" i="2" s="1"/>
  <c r="F280" i="2" s="1"/>
  <c r="G280" i="2" s="1"/>
  <c r="E281" i="2" s="1"/>
  <c r="F281" i="2" s="1"/>
  <c r="G281" i="2" s="1"/>
  <c r="E282" i="2" s="1"/>
  <c r="F282" i="2" s="1"/>
  <c r="G282" i="2" s="1"/>
  <c r="E283" i="2" s="1"/>
  <c r="F283" i="2" s="1"/>
  <c r="G283" i="2" s="1"/>
  <c r="E284" i="2" s="1"/>
  <c r="F284" i="2" s="1"/>
  <c r="G284" i="2" s="1"/>
  <c r="E285" i="2" s="1"/>
  <c r="F285" i="2" s="1"/>
  <c r="G285" i="2" s="1"/>
  <c r="E286" i="2" s="1"/>
  <c r="F286" i="2" s="1"/>
  <c r="G286" i="2" s="1"/>
  <c r="E287" i="2" s="1"/>
  <c r="F287" i="2" s="1"/>
  <c r="G287" i="2" s="1"/>
  <c r="E288" i="2" s="1"/>
  <c r="F288" i="2" s="1"/>
  <c r="G288" i="2" s="1"/>
  <c r="E289" i="2" s="1"/>
  <c r="F289" i="2" s="1"/>
  <c r="G289" i="2" s="1"/>
  <c r="E290" i="2" s="1"/>
  <c r="F290" i="2" s="1"/>
  <c r="G290" i="2" s="1"/>
  <c r="E291" i="2" s="1"/>
  <c r="F291" i="2" s="1"/>
  <c r="G291" i="2" s="1"/>
  <c r="E292" i="2" s="1"/>
  <c r="F292" i="2" s="1"/>
  <c r="G292" i="2" s="1"/>
  <c r="E293" i="2" s="1"/>
  <c r="F293" i="2" s="1"/>
  <c r="G293" i="2" s="1"/>
  <c r="E294" i="2" s="1"/>
  <c r="F294" i="2" s="1"/>
  <c r="G294" i="2" s="1"/>
  <c r="E295" i="2" s="1"/>
  <c r="F295" i="2" s="1"/>
  <c r="G295" i="2" s="1"/>
  <c r="E296" i="2" s="1"/>
  <c r="F296" i="2" s="1"/>
  <c r="G296" i="2" s="1"/>
  <c r="E297" i="2" s="1"/>
  <c r="F297" i="2" s="1"/>
  <c r="G297" i="2" s="1"/>
  <c r="E298" i="2" s="1"/>
  <c r="F298" i="2" s="1"/>
  <c r="G298" i="2" s="1"/>
  <c r="E299" i="2" s="1"/>
  <c r="F299" i="2" s="1"/>
  <c r="G299" i="2" s="1"/>
  <c r="E300" i="2" s="1"/>
  <c r="F300" i="2" s="1"/>
  <c r="G300" i="2" s="1"/>
  <c r="E301" i="2" s="1"/>
  <c r="F301" i="2" s="1"/>
  <c r="G301" i="2" s="1"/>
  <c r="E302" i="2" s="1"/>
  <c r="F302" i="2" s="1"/>
  <c r="G302" i="2" s="1"/>
  <c r="E303" i="2" s="1"/>
  <c r="F303" i="2" s="1"/>
  <c r="G303" i="2" s="1"/>
  <c r="E304" i="2" s="1"/>
  <c r="F304" i="2" s="1"/>
  <c r="G304" i="2" s="1"/>
  <c r="E305" i="2" s="1"/>
  <c r="F305" i="2" s="1"/>
  <c r="G305" i="2" s="1"/>
  <c r="E306" i="2" s="1"/>
  <c r="F306" i="2" s="1"/>
  <c r="G306" i="2" s="1"/>
  <c r="E307" i="2" s="1"/>
  <c r="F307" i="2" s="1"/>
  <c r="G307" i="2" s="1"/>
  <c r="E308" i="2" s="1"/>
  <c r="F308" i="2" s="1"/>
  <c r="G308" i="2" s="1"/>
  <c r="E309" i="2" s="1"/>
  <c r="F309" i="2" s="1"/>
  <c r="G309" i="2" s="1"/>
  <c r="E310" i="2" s="1"/>
  <c r="F310" i="2" s="1"/>
  <c r="G310" i="2" s="1"/>
  <c r="E311" i="2" l="1"/>
  <c r="F311" i="2" s="1"/>
  <c r="G311" i="2" s="1"/>
  <c r="E312" i="2" l="1"/>
  <c r="F312" i="2" s="1"/>
  <c r="G312" i="2" s="1"/>
  <c r="E313" i="2" s="1"/>
  <c r="F313" i="2" s="1"/>
  <c r="G313" i="2" s="1"/>
  <c r="E314" i="2" l="1"/>
  <c r="F314" i="2" s="1"/>
  <c r="G314" i="2" s="1"/>
  <c r="E315" i="2" s="1"/>
  <c r="F315" i="2" s="1"/>
  <c r="G315" i="2" s="1"/>
  <c r="E316" i="2" l="1"/>
  <c r="F316" i="2" s="1"/>
  <c r="G316" i="2" s="1"/>
  <c r="E317" i="2" s="1"/>
  <c r="F317" i="2" s="1"/>
  <c r="G317" i="2" s="1"/>
  <c r="E318" i="2" l="1"/>
  <c r="F318" i="2" s="1"/>
  <c r="G318" i="2" s="1"/>
  <c r="E319" i="2" s="1"/>
  <c r="F319" i="2" s="1"/>
  <c r="G319" i="2" s="1"/>
  <c r="E320" i="2" s="1"/>
  <c r="F320" i="2" s="1"/>
  <c r="G320" i="2" s="1"/>
  <c r="E321" i="2" s="1"/>
  <c r="F321" i="2" s="1"/>
  <c r="G321" i="2" s="1"/>
  <c r="E322" i="2" l="1"/>
  <c r="F322" i="2" s="1"/>
  <c r="G322" i="2" s="1"/>
  <c r="E323" i="2" s="1"/>
  <c r="F323" i="2" s="1"/>
  <c r="G323" i="2" s="1"/>
  <c r="E324" i="2" l="1"/>
  <c r="F324" i="2" s="1"/>
  <c r="G324" i="2" s="1"/>
  <c r="E325" i="2" s="1"/>
  <c r="F325" i="2" s="1"/>
  <c r="G325" i="2" s="1"/>
  <c r="E326" i="2" l="1"/>
  <c r="F326" i="2" s="1"/>
  <c r="G326" i="2" s="1"/>
  <c r="E327" i="2" s="1"/>
  <c r="F327" i="2" s="1"/>
  <c r="G327" i="2" s="1"/>
  <c r="E328" i="2" s="1"/>
  <c r="F328" i="2" s="1"/>
  <c r="G328" i="2" s="1"/>
  <c r="E329" i="2" s="1"/>
  <c r="F329" i="2" s="1"/>
  <c r="G329" i="2" s="1"/>
  <c r="E330" i="2" s="1"/>
  <c r="F330" i="2" s="1"/>
  <c r="G330" i="2" s="1"/>
  <c r="E331" i="2" s="1"/>
  <c r="F331" i="2" s="1"/>
  <c r="G331" i="2" s="1"/>
  <c r="E332" i="2" l="1"/>
  <c r="F332" i="2" s="1"/>
  <c r="G332" i="2" s="1"/>
  <c r="E333" i="2" s="1"/>
  <c r="F333" i="2" s="1"/>
  <c r="G333" i="2" s="1"/>
  <c r="E334" i="2" s="1"/>
  <c r="F334" i="2" s="1"/>
  <c r="G334" i="2" s="1"/>
  <c r="E335" i="2" s="1"/>
  <c r="F335" i="2" s="1"/>
  <c r="G335" i="2" s="1"/>
  <c r="E336" i="2" l="1"/>
  <c r="F336" i="2" s="1"/>
  <c r="G336" i="2" s="1"/>
  <c r="E337" i="2" s="1"/>
  <c r="F337" i="2" s="1"/>
  <c r="G337" i="2" s="1"/>
  <c r="E338" i="2" l="1"/>
  <c r="F338" i="2" s="1"/>
  <c r="G338" i="2" s="1"/>
  <c r="E339" i="2" s="1"/>
  <c r="F339" i="2" s="1"/>
  <c r="G339" i="2" s="1"/>
  <c r="E340" i="2" l="1"/>
  <c r="F340" i="2" s="1"/>
  <c r="G340" i="2" s="1"/>
  <c r="E341" i="2" l="1"/>
  <c r="F341" i="2" s="1"/>
  <c r="G341" i="2" s="1"/>
  <c r="E342" i="2" l="1"/>
  <c r="F342" i="2" s="1"/>
  <c r="G342" i="2" s="1"/>
  <c r="E343" i="2" l="1"/>
  <c r="F343" i="2" s="1"/>
  <c r="G343" i="2" s="1"/>
  <c r="E344" i="2" l="1"/>
  <c r="F344" i="2" s="1"/>
  <c r="G344" i="2" s="1"/>
  <c r="E345" i="2" l="1"/>
  <c r="F345" i="2" s="1"/>
  <c r="G345" i="2" s="1"/>
  <c r="E346" i="2" l="1"/>
  <c r="F346" i="2" s="1"/>
  <c r="G346" i="2" s="1"/>
  <c r="E347" i="2" l="1"/>
  <c r="F347" i="2" s="1"/>
  <c r="G347" i="2" s="1"/>
  <c r="E348" i="2" l="1"/>
  <c r="F348" i="2" s="1"/>
  <c r="G348" i="2" s="1"/>
  <c r="E349" i="2" s="1"/>
  <c r="F349" i="2" s="1"/>
  <c r="G349" i="2" s="1"/>
  <c r="E350" i="2" l="1"/>
  <c r="F350" i="2" s="1"/>
  <c r="G350" i="2" s="1"/>
  <c r="E351" i="2" l="1"/>
  <c r="F351" i="2" s="1"/>
  <c r="G351" i="2" s="1"/>
  <c r="E352" i="2" s="1"/>
  <c r="F352" i="2" s="1"/>
  <c r="G352" i="2" s="1"/>
  <c r="E353" i="2" s="1"/>
  <c r="F353" i="2" s="1"/>
  <c r="G353" i="2" s="1"/>
  <c r="E354" i="2" l="1"/>
  <c r="F354" i="2" s="1"/>
  <c r="G354" i="2" s="1"/>
  <c r="E355" i="2" s="1"/>
  <c r="F355" i="2" s="1"/>
  <c r="G355" i="2" s="1"/>
  <c r="E356" i="2" s="1"/>
  <c r="F356" i="2" s="1"/>
  <c r="G356" i="2" s="1"/>
  <c r="E357" i="2" s="1"/>
  <c r="F357" i="2" s="1"/>
  <c r="G357" i="2" s="1"/>
  <c r="E358" i="2" s="1"/>
  <c r="F358" i="2" s="1"/>
  <c r="G358" i="2" s="1"/>
  <c r="E359" i="2" s="1"/>
  <c r="F359" i="2" s="1"/>
  <c r="G359" i="2" s="1"/>
  <c r="E360" i="2" s="1"/>
  <c r="F360" i="2" s="1"/>
  <c r="G360" i="2" s="1"/>
  <c r="E361" i="2" s="1"/>
  <c r="F361" i="2" s="1"/>
  <c r="G361" i="2" s="1"/>
  <c r="E362" i="2" s="1"/>
  <c r="F362" i="2" s="1"/>
  <c r="G362" i="2" s="1"/>
  <c r="E363" i="2" s="1"/>
  <c r="F363" i="2" s="1"/>
  <c r="G363" i="2" s="1"/>
  <c r="E364" i="2" l="1"/>
  <c r="F364" i="2" s="1"/>
  <c r="G364" i="2" s="1"/>
  <c r="E365" i="2" s="1"/>
  <c r="F365" i="2" s="1"/>
  <c r="G365" i="2" s="1"/>
  <c r="E366" i="2" l="1"/>
  <c r="F366" i="2" s="1"/>
  <c r="G366" i="2" s="1"/>
  <c r="E367" i="2" s="1"/>
  <c r="F367" i="2" s="1"/>
  <c r="G367" i="2" s="1"/>
  <c r="E368" i="2" s="1"/>
  <c r="F368" i="2" s="1"/>
  <c r="G368" i="2" s="1"/>
  <c r="E369" i="2" s="1"/>
  <c r="F369" i="2" s="1"/>
  <c r="G369" i="2" s="1"/>
</calcChain>
</file>

<file path=xl/sharedStrings.xml><?xml version="1.0" encoding="utf-8"?>
<sst xmlns="http://schemas.openxmlformats.org/spreadsheetml/2006/main" count="355" uniqueCount="153">
  <si>
    <t>Income Statement</t>
  </si>
  <si>
    <t>Balance Sheet</t>
  </si>
  <si>
    <t>Assets</t>
  </si>
  <si>
    <t>Min. Cash</t>
  </si>
  <si>
    <t>Extra Cash</t>
  </si>
  <si>
    <t>Buildings</t>
  </si>
  <si>
    <t>Depreciation Expense</t>
  </si>
  <si>
    <t>Accum. Depreciation</t>
  </si>
  <si>
    <t>Liabilities &amp; Equity</t>
  </si>
  <si>
    <t>Mortgage Loan</t>
  </si>
  <si>
    <t>Extra Bank Loan</t>
  </si>
  <si>
    <t>Retained Earnings</t>
  </si>
  <si>
    <t>Taxable Income</t>
  </si>
  <si>
    <t>Income Tax Expense</t>
  </si>
  <si>
    <t>Net Income</t>
  </si>
  <si>
    <t>Total Assets</t>
  </si>
  <si>
    <t>DFN</t>
  </si>
  <si>
    <t>Population Ferndale, MI</t>
  </si>
  <si>
    <t>Households in Ferndale</t>
  </si>
  <si>
    <t>Household with pets</t>
  </si>
  <si>
    <t>Expected Revenue</t>
  </si>
  <si>
    <t>Service Revenue</t>
  </si>
  <si>
    <t>Sales Revenue</t>
  </si>
  <si>
    <t>Inventory</t>
  </si>
  <si>
    <t>Av. $/pet sales</t>
  </si>
  <si>
    <t>Av. Service Cost/household</t>
  </si>
  <si>
    <t>% change</t>
  </si>
  <si>
    <t>Accounts Receivable</t>
  </si>
  <si>
    <t>days</t>
  </si>
  <si>
    <t>Loan</t>
  </si>
  <si>
    <t>Capital</t>
  </si>
  <si>
    <t>Years</t>
  </si>
  <si>
    <t>Rate</t>
  </si>
  <si>
    <t>Remaining Principal</t>
  </si>
  <si>
    <t>Extra Bank Loan Interest</t>
  </si>
  <si>
    <t>Mortgage Interest Expense</t>
  </si>
  <si>
    <t>Total liabilities and equity</t>
  </si>
  <si>
    <t>Selling and Administrative</t>
  </si>
  <si>
    <t>COGS</t>
  </si>
  <si>
    <t>Wages</t>
  </si>
  <si>
    <t>Minimum wage</t>
  </si>
  <si>
    <t>Accounts Payable</t>
  </si>
  <si>
    <t>year</t>
  </si>
  <si>
    <t>Pet-n-Paw</t>
  </si>
  <si>
    <t>depreciation</t>
  </si>
  <si>
    <t>S&amp;P 500</t>
  </si>
  <si>
    <t>Unlevered Beta</t>
  </si>
  <si>
    <t>Relevered Beta</t>
  </si>
  <si>
    <t>Weighted</t>
  </si>
  <si>
    <t>WACC</t>
  </si>
  <si>
    <t>T-Bills</t>
  </si>
  <si>
    <t>Average</t>
  </si>
  <si>
    <t>After Tax</t>
  </si>
  <si>
    <t>Cash from Operations</t>
  </si>
  <si>
    <t>Operating Profit</t>
  </si>
  <si>
    <t>Less: Depreciation</t>
  </si>
  <si>
    <t>Taxable Operating Profit</t>
  </si>
  <si>
    <t>Taxes on Operations (=Taxes Payable)</t>
  </si>
  <si>
    <t>Net Cash from Operations</t>
  </si>
  <si>
    <t>Cash in/out from Changes in Balance Sheet</t>
  </si>
  <si>
    <t>(-)</t>
  </si>
  <si>
    <t>Minimum Cash Balance</t>
  </si>
  <si>
    <t>Adjustment for Resale</t>
  </si>
  <si>
    <t>Taxes on Resale</t>
  </si>
  <si>
    <t>Taxes Payable (=Taxes on Operations)</t>
  </si>
  <si>
    <t>TOTAL FREE CASH FLOWS</t>
  </si>
  <si>
    <t>IRR</t>
  </si>
  <si>
    <t>WACC COMPUTED FROM FORECAST</t>
  </si>
  <si>
    <t>NPV USING COMPUTED WACC</t>
  </si>
  <si>
    <t>Insurance expense</t>
  </si>
  <si>
    <t>Utilities</t>
  </si>
  <si>
    <t>Advertising</t>
  </si>
  <si>
    <t>Owner salary</t>
  </si>
  <si>
    <t xml:space="preserve">Land </t>
  </si>
  <si>
    <t>Adjustments for Resale</t>
  </si>
  <si>
    <t>Land</t>
  </si>
  <si>
    <t>Average People per Household</t>
  </si>
  <si>
    <t>Percent of households with pets</t>
  </si>
  <si>
    <t>Number of pet shops in area</t>
  </si>
  <si>
    <t>Total Revenue</t>
  </si>
  <si>
    <t>Equity Beta</t>
  </si>
  <si>
    <t>Current Debt %</t>
  </si>
  <si>
    <t>Current Equity %</t>
  </si>
  <si>
    <t>New Debt %</t>
  </si>
  <si>
    <t>New Equity %</t>
  </si>
  <si>
    <t>Current CAPM:</t>
  </si>
  <si>
    <t>New CAPM:</t>
  </si>
  <si>
    <t>CURRENT:</t>
  </si>
  <si>
    <t>NEW:</t>
  </si>
  <si>
    <t>Proportion</t>
  </si>
  <si>
    <t>Days in inventory</t>
  </si>
  <si>
    <t>Owner Salary</t>
  </si>
  <si>
    <t>Insurance</t>
  </si>
  <si>
    <t>FREE CASH FLOWS GOOD MARKET</t>
  </si>
  <si>
    <t>FREE CASH FLOWS NORMAL MARKET</t>
  </si>
  <si>
    <t xml:space="preserve">TOTAL FREE CASH FLOWS </t>
  </si>
  <si>
    <t>% Adjust</t>
  </si>
  <si>
    <t>Book</t>
  </si>
  <si>
    <t>Gain</t>
  </si>
  <si>
    <t>Probability for Good Market</t>
  </si>
  <si>
    <t>Probability for Bad Market</t>
  </si>
  <si>
    <t>NPV</t>
  </si>
  <si>
    <t>Shop</t>
  </si>
  <si>
    <t>FREE CASH FLOWS BAD</t>
  </si>
  <si>
    <t>Year</t>
  </si>
  <si>
    <t>Acc. Dep.</t>
  </si>
  <si>
    <t>Cost of building</t>
  </si>
  <si>
    <t>Bank Loan Interest Rate</t>
  </si>
  <si>
    <t>% Sale</t>
  </si>
  <si>
    <t>Secure Debt</t>
  </si>
  <si>
    <t>Unsecured</t>
  </si>
  <si>
    <t>Total</t>
  </si>
  <si>
    <t>Extra</t>
  </si>
  <si>
    <t>Admin Fee</t>
  </si>
  <si>
    <t>From Secured Sale</t>
  </si>
  <si>
    <t>Remaining after Sale</t>
  </si>
  <si>
    <t>From Unsecured Sale</t>
  </si>
  <si>
    <t>Total Paid</t>
  </si>
  <si>
    <t>On the $</t>
  </si>
  <si>
    <t>FREE CASH FLOWS</t>
  </si>
  <si>
    <t>Mortgage Loan Free Cash Flows</t>
  </si>
  <si>
    <t>Principal</t>
  </si>
  <si>
    <t>Paid in Bankruptcy</t>
  </si>
  <si>
    <t>Interest Payments</t>
  </si>
  <si>
    <t>Total Free Cash Flows</t>
  </si>
  <si>
    <t>Probabilty of Bankruptcy</t>
  </si>
  <si>
    <t>Probabilty of not being bankrupt</t>
  </si>
  <si>
    <t>IRR in Bankruptcy</t>
  </si>
  <si>
    <t>IRR outside Bankruptcy</t>
  </si>
  <si>
    <t>Expected IRR</t>
  </si>
  <si>
    <t>Extra Bank Loan Free Cash Flows</t>
  </si>
  <si>
    <t>Minimum Wage</t>
  </si>
  <si>
    <t>% adjust</t>
  </si>
  <si>
    <t>book</t>
  </si>
  <si>
    <t>gain</t>
  </si>
  <si>
    <t>Payment Number</t>
  </si>
  <si>
    <t>Payment Amount</t>
  </si>
  <si>
    <t>Interest Paid</t>
  </si>
  <si>
    <t>Principal Paid</t>
  </si>
  <si>
    <t>Payment</t>
  </si>
  <si>
    <t>Number of periods</t>
  </si>
  <si>
    <t>Periodic rate</t>
  </si>
  <si>
    <t>Total interest for year 1</t>
  </si>
  <si>
    <t>Total interest for year 2</t>
  </si>
  <si>
    <t>Total interest for year 10</t>
  </si>
  <si>
    <t>Total interest for year 9</t>
  </si>
  <si>
    <t>Total interest for year 4</t>
  </si>
  <si>
    <t>Total interest for year 7</t>
  </si>
  <si>
    <t>Total interest for year 5</t>
  </si>
  <si>
    <t>Total interest for year 8</t>
  </si>
  <si>
    <t>Total interest for year 3</t>
  </si>
  <si>
    <t>Total interest for year 6</t>
  </si>
  <si>
    <t>Total interest for year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</si>
</sst>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_(&quot;$&quot;* #,##0_);_(&quot;$&quot;* \(#,##0\);_(&quot;$&quot;* &quot;-&quot;??_);_(@_)"/>
    <numFmt numFmtId="167" formatCode="_(* #,##0_);_(* \(#,##0\);_(* &quot;-&quot;??_);_(@_)"/>
    <numFmt numFmtId="168" formatCode="0.0%"/>
    <numFmt numFmtId="169" formatCode="[$$-409]#,##0.00;[Red]\-[$$-409]#,##0.00"/>
    <numFmt numFmtId="170" formatCode="_(\$* #,##0_);_(\$* \(#,##0\);_(\$* \-??_);_(@_)"/>
  </numFmts>
  <fonts count="13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24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</cellStyleXfs>
  <cellXfs count="192">
    <xf numFmtId="0" fontId="0" fillId="0" borderId="0" xfId="0"/>
    <xf numFmtId="9" fontId="0" fillId="0" borderId="0" xfId="0" applyNumberFormat="1"/>
    <xf numFmtId="0" fontId="0" fillId="0" borderId="0" xfId="0" applyFont="1"/>
    <xf numFmtId="0" fontId="2" fillId="0" borderId="0" xfId="0" applyFont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0" xfId="0" applyFill="1" applyBorder="1"/>
    <xf numFmtId="0" fontId="0" fillId="3" borderId="7" xfId="0" applyFill="1" applyBorder="1"/>
    <xf numFmtId="164" fontId="0" fillId="3" borderId="0" xfId="0" applyNumberFormat="1" applyFill="1" applyBorder="1"/>
    <xf numFmtId="9" fontId="0" fillId="3" borderId="0" xfId="0" applyNumberFormat="1" applyFill="1" applyBorder="1"/>
    <xf numFmtId="0" fontId="0" fillId="3" borderId="8" xfId="0" applyFill="1" applyBorder="1"/>
    <xf numFmtId="0" fontId="0" fillId="3" borderId="1" xfId="0" applyFill="1" applyBorder="1"/>
    <xf numFmtId="164" fontId="0" fillId="3" borderId="1" xfId="0" applyNumberFormat="1" applyFill="1" applyBorder="1"/>
    <xf numFmtId="0" fontId="0" fillId="3" borderId="9" xfId="0" applyFill="1" applyBorder="1"/>
    <xf numFmtId="0" fontId="1" fillId="3" borderId="0" xfId="0" applyFont="1" applyFill="1"/>
    <xf numFmtId="44" fontId="0" fillId="3" borderId="0" xfId="1" applyFont="1" applyFill="1" applyBorder="1"/>
    <xf numFmtId="44" fontId="0" fillId="3" borderId="1" xfId="1" applyFont="1" applyFill="1" applyBorder="1"/>
    <xf numFmtId="2" fontId="0" fillId="3" borderId="4" xfId="1" applyNumberFormat="1" applyFont="1" applyFill="1" applyBorder="1"/>
    <xf numFmtId="2" fontId="0" fillId="3" borderId="0" xfId="1" applyNumberFormat="1" applyFont="1" applyFill="1" applyBorder="1"/>
    <xf numFmtId="0" fontId="0" fillId="0" borderId="6" xfId="0" applyFill="1" applyBorder="1"/>
    <xf numFmtId="0" fontId="0" fillId="3" borderId="10" xfId="0" applyFill="1" applyBorder="1"/>
    <xf numFmtId="165" fontId="0" fillId="0" borderId="0" xfId="0" applyNumberFormat="1"/>
    <xf numFmtId="0" fontId="1" fillId="0" borderId="0" xfId="0" applyFont="1" applyFill="1"/>
    <xf numFmtId="10" fontId="0" fillId="0" borderId="0" xfId="0" applyNumberFormat="1"/>
    <xf numFmtId="164" fontId="0" fillId="0" borderId="0" xfId="0" applyNumberFormat="1"/>
    <xf numFmtId="1" fontId="0" fillId="0" borderId="0" xfId="0" applyNumberFormat="1"/>
    <xf numFmtId="6" fontId="0" fillId="0" borderId="0" xfId="0" applyNumberFormat="1"/>
    <xf numFmtId="8" fontId="0" fillId="0" borderId="0" xfId="0" applyNumberFormat="1"/>
    <xf numFmtId="9" fontId="0" fillId="0" borderId="0" xfId="2" applyFont="1"/>
    <xf numFmtId="0" fontId="0" fillId="0" borderId="0" xfId="0" applyFill="1" applyBorder="1"/>
    <xf numFmtId="0" fontId="0" fillId="0" borderId="0" xfId="0" applyFill="1"/>
    <xf numFmtId="0" fontId="4" fillId="3" borderId="0" xfId="0" applyFont="1" applyFill="1" applyBorder="1"/>
    <xf numFmtId="166" fontId="0" fillId="0" borderId="2" xfId="1" applyNumberFormat="1" applyFont="1" applyFill="1" applyBorder="1"/>
    <xf numFmtId="166" fontId="0" fillId="2" borderId="2" xfId="1" applyNumberFormat="1" applyFont="1" applyFill="1" applyBorder="1"/>
    <xf numFmtId="166" fontId="0" fillId="0" borderId="0" xfId="1" applyNumberFormat="1" applyFont="1" applyFill="1"/>
    <xf numFmtId="166" fontId="0" fillId="0" borderId="0" xfId="1" applyNumberFormat="1" applyFont="1"/>
    <xf numFmtId="166" fontId="0" fillId="0" borderId="0" xfId="0" applyNumberFormat="1"/>
    <xf numFmtId="9" fontId="0" fillId="0" borderId="0" xfId="0" applyNumberFormat="1" applyFill="1"/>
    <xf numFmtId="10" fontId="0" fillId="0" borderId="0" xfId="0" applyNumberFormat="1" applyFill="1"/>
    <xf numFmtId="0" fontId="6" fillId="0" borderId="0" xfId="0" applyFont="1"/>
    <xf numFmtId="169" fontId="0" fillId="0" borderId="0" xfId="0" applyNumberFormat="1"/>
    <xf numFmtId="0" fontId="0" fillId="0" borderId="0" xfId="0" applyAlignment="1">
      <alignment horizontal="center"/>
    </xf>
    <xf numFmtId="166" fontId="3" fillId="0" borderId="0" xfId="1" applyNumberFormat="1"/>
    <xf numFmtId="44" fontId="0" fillId="0" borderId="0" xfId="0" applyNumberFormat="1"/>
    <xf numFmtId="0" fontId="4" fillId="0" borderId="0" xfId="0" applyFont="1"/>
    <xf numFmtId="166" fontId="4" fillId="0" borderId="0" xfId="0" applyNumberFormat="1" applyFont="1"/>
    <xf numFmtId="9" fontId="4" fillId="0" borderId="0" xfId="0" applyNumberFormat="1" applyFont="1"/>
    <xf numFmtId="168" fontId="4" fillId="0" borderId="0" xfId="0" applyNumberFormat="1" applyFont="1"/>
    <xf numFmtId="6" fontId="4" fillId="0" borderId="0" xfId="0" applyNumberFormat="1" applyFont="1"/>
    <xf numFmtId="44" fontId="0" fillId="2" borderId="2" xfId="1" applyNumberFormat="1" applyFont="1" applyFill="1" applyBorder="1"/>
    <xf numFmtId="6" fontId="0" fillId="0" borderId="0" xfId="2" applyNumberFormat="1" applyFont="1"/>
    <xf numFmtId="0" fontId="0" fillId="0" borderId="0" xfId="0" applyBorder="1"/>
    <xf numFmtId="0" fontId="5" fillId="0" borderId="3" xfId="4" applyBorder="1"/>
    <xf numFmtId="0" fontId="5" fillId="4" borderId="4" xfId="4" applyFill="1" applyBorder="1"/>
    <xf numFmtId="0" fontId="5" fillId="0" borderId="4" xfId="4" applyBorder="1"/>
    <xf numFmtId="0" fontId="5" fillId="0" borderId="5" xfId="4" applyBorder="1"/>
    <xf numFmtId="0" fontId="5" fillId="0" borderId="6" xfId="4" applyBorder="1"/>
    <xf numFmtId="9" fontId="5" fillId="0" borderId="0" xfId="4" applyNumberFormat="1" applyBorder="1"/>
    <xf numFmtId="0" fontId="5" fillId="0" borderId="0" xfId="4" applyBorder="1"/>
    <xf numFmtId="0" fontId="5" fillId="0" borderId="7" xfId="4" applyBorder="1"/>
    <xf numFmtId="2" fontId="5" fillId="0" borderId="0" xfId="4" applyNumberFormat="1" applyBorder="1"/>
    <xf numFmtId="168" fontId="3" fillId="4" borderId="0" xfId="2" applyNumberFormat="1" applyFill="1" applyBorder="1"/>
    <xf numFmtId="168" fontId="3" fillId="0" borderId="0" xfId="2" applyNumberFormat="1" applyBorder="1"/>
    <xf numFmtId="0" fontId="7" fillId="0" borderId="6" xfId="4" applyFont="1" applyBorder="1"/>
    <xf numFmtId="0" fontId="7" fillId="0" borderId="0" xfId="4" applyFont="1" applyBorder="1"/>
    <xf numFmtId="170" fontId="5" fillId="0" borderId="6" xfId="4" applyNumberFormat="1" applyBorder="1"/>
    <xf numFmtId="9" fontId="3" fillId="0" borderId="0" xfId="2" applyBorder="1"/>
    <xf numFmtId="10" fontId="3" fillId="0" borderId="0" xfId="2" applyNumberFormat="1" applyBorder="1"/>
    <xf numFmtId="9" fontId="3" fillId="4" borderId="0" xfId="2" applyFill="1" applyBorder="1"/>
    <xf numFmtId="170" fontId="5" fillId="0" borderId="8" xfId="4" applyNumberFormat="1" applyBorder="1"/>
    <xf numFmtId="9" fontId="3" fillId="0" borderId="1" xfId="2" applyBorder="1"/>
    <xf numFmtId="0" fontId="5" fillId="0" borderId="1" xfId="4" applyBorder="1"/>
    <xf numFmtId="10" fontId="7" fillId="0" borderId="1" xfId="2" applyNumberFormat="1" applyFont="1" applyBorder="1"/>
    <xf numFmtId="0" fontId="7" fillId="0" borderId="1" xfId="4" applyFont="1" applyBorder="1"/>
    <xf numFmtId="0" fontId="7" fillId="0" borderId="9" xfId="4" applyFont="1" applyBorder="1"/>
    <xf numFmtId="167" fontId="0" fillId="2" borderId="6" xfId="3" applyNumberFormat="1" applyFont="1" applyFill="1" applyBorder="1"/>
    <xf numFmtId="0" fontId="0" fillId="0" borderId="6" xfId="0" applyBorder="1"/>
    <xf numFmtId="166" fontId="0" fillId="0" borderId="0" xfId="1" applyNumberFormat="1" applyFont="1" applyFill="1" applyBorder="1"/>
    <xf numFmtId="166" fontId="0" fillId="2" borderId="0" xfId="1" applyNumberFormat="1" applyFont="1" applyFill="1" applyBorder="1"/>
    <xf numFmtId="0" fontId="5" fillId="0" borderId="0" xfId="4"/>
    <xf numFmtId="9" fontId="0" fillId="3" borderId="0" xfId="2" applyFont="1" applyFill="1"/>
    <xf numFmtId="170" fontId="3" fillId="0" borderId="4" xfId="1" applyNumberFormat="1" applyBorder="1"/>
    <xf numFmtId="9" fontId="5" fillId="0" borderId="6" xfId="4" applyNumberFormat="1" applyBorder="1"/>
    <xf numFmtId="170" fontId="3" fillId="0" borderId="0" xfId="1" applyNumberFormat="1" applyBorder="1"/>
    <xf numFmtId="170" fontId="5" fillId="0" borderId="0" xfId="1" applyNumberFormat="1" applyFont="1" applyBorder="1"/>
    <xf numFmtId="9" fontId="3" fillId="0" borderId="6" xfId="2" applyBorder="1"/>
    <xf numFmtId="0" fontId="5" fillId="0" borderId="0" xfId="4" applyFont="1" applyBorder="1"/>
    <xf numFmtId="0" fontId="5" fillId="0" borderId="7" xfId="4" applyFont="1" applyBorder="1"/>
    <xf numFmtId="168" fontId="5" fillId="0" borderId="0" xfId="2" applyNumberFormat="1" applyFont="1" applyBorder="1"/>
    <xf numFmtId="170" fontId="5" fillId="0" borderId="6" xfId="1" applyNumberFormat="1" applyFont="1" applyBorder="1"/>
    <xf numFmtId="0" fontId="5" fillId="0" borderId="0" xfId="4" applyFont="1" applyFill="1" applyBorder="1"/>
    <xf numFmtId="0" fontId="5" fillId="0" borderId="7" xfId="4" applyFont="1" applyFill="1" applyBorder="1"/>
    <xf numFmtId="9" fontId="5" fillId="0" borderId="0" xfId="2" applyFont="1" applyBorder="1"/>
    <xf numFmtId="43" fontId="5" fillId="0" borderId="0" xfId="4" applyNumberFormat="1" applyFont="1" applyBorder="1"/>
    <xf numFmtId="170" fontId="5" fillId="0" borderId="0" xfId="4" applyNumberFormat="1" applyFont="1" applyFill="1" applyBorder="1"/>
    <xf numFmtId="44" fontId="5" fillId="0" borderId="7" xfId="1" applyFont="1" applyFill="1" applyBorder="1"/>
    <xf numFmtId="170" fontId="5" fillId="0" borderId="8" xfId="1" applyNumberFormat="1" applyFont="1" applyBorder="1"/>
    <xf numFmtId="170" fontId="5" fillId="0" borderId="1" xfId="1" applyNumberFormat="1" applyFont="1" applyBorder="1"/>
    <xf numFmtId="168" fontId="5" fillId="0" borderId="1" xfId="4" applyNumberFormat="1" applyFont="1" applyBorder="1"/>
    <xf numFmtId="168" fontId="5" fillId="0" borderId="1" xfId="2" applyNumberFormat="1" applyFont="1" applyBorder="1"/>
    <xf numFmtId="168" fontId="5" fillId="0" borderId="1" xfId="2" applyNumberFormat="1" applyFont="1" applyFill="1" applyBorder="1"/>
    <xf numFmtId="0" fontId="5" fillId="0" borderId="9" xfId="4" applyFont="1" applyFill="1" applyBorder="1"/>
    <xf numFmtId="0" fontId="7" fillId="0" borderId="0" xfId="4" applyFont="1"/>
    <xf numFmtId="170" fontId="3" fillId="0" borderId="0" xfId="1" applyNumberFormat="1"/>
    <xf numFmtId="10" fontId="3" fillId="0" borderId="0" xfId="2" applyNumberFormat="1"/>
    <xf numFmtId="170" fontId="5" fillId="0" borderId="0" xfId="4" applyNumberFormat="1"/>
    <xf numFmtId="44" fontId="9" fillId="0" borderId="0" xfId="1" applyFont="1"/>
    <xf numFmtId="9" fontId="5" fillId="0" borderId="0" xfId="4" applyNumberFormat="1"/>
    <xf numFmtId="10" fontId="10" fillId="0" borderId="0" xfId="2" applyNumberFormat="1" applyFont="1"/>
    <xf numFmtId="10" fontId="4" fillId="0" borderId="0" xfId="2" applyNumberFormat="1" applyFont="1"/>
    <xf numFmtId="170" fontId="0" fillId="0" borderId="0" xfId="0" applyNumberFormat="1"/>
    <xf numFmtId="168" fontId="7" fillId="0" borderId="0" xfId="4" applyNumberFormat="1" applyFont="1"/>
    <xf numFmtId="9" fontId="7" fillId="0" borderId="0" xfId="4" applyNumberFormat="1" applyFont="1"/>
    <xf numFmtId="0" fontId="0" fillId="5" borderId="0" xfId="0" applyFill="1"/>
    <xf numFmtId="0" fontId="6" fillId="5" borderId="0" xfId="0" applyFont="1" applyFill="1"/>
    <xf numFmtId="169" fontId="0" fillId="5" borderId="0" xfId="0" applyNumberFormat="1" applyFill="1"/>
    <xf numFmtId="9" fontId="0" fillId="5" borderId="0" xfId="0" applyNumberFormat="1" applyFill="1"/>
    <xf numFmtId="166" fontId="0" fillId="5" borderId="0" xfId="0" applyNumberFormat="1" applyFill="1"/>
    <xf numFmtId="44" fontId="0" fillId="5" borderId="0" xfId="0" applyNumberFormat="1" applyFill="1"/>
    <xf numFmtId="0" fontId="0" fillId="5" borderId="0" xfId="0" applyFill="1" applyAlignment="1">
      <alignment horizontal="center"/>
    </xf>
    <xf numFmtId="0" fontId="5" fillId="5" borderId="0" xfId="4" applyFill="1"/>
    <xf numFmtId="10" fontId="0" fillId="5" borderId="0" xfId="0" applyNumberFormat="1" applyFill="1"/>
    <xf numFmtId="166" fontId="0" fillId="5" borderId="0" xfId="1" applyNumberFormat="1" applyFont="1" applyFill="1"/>
    <xf numFmtId="166" fontId="3" fillId="5" borderId="0" xfId="1" applyNumberFormat="1" applyFill="1"/>
    <xf numFmtId="166" fontId="4" fillId="5" borderId="0" xfId="0" applyNumberFormat="1" applyFont="1" applyFill="1"/>
    <xf numFmtId="0" fontId="4" fillId="5" borderId="0" xfId="0" applyFont="1" applyFill="1"/>
    <xf numFmtId="9" fontId="4" fillId="5" borderId="0" xfId="0" applyNumberFormat="1" applyFont="1" applyFill="1"/>
    <xf numFmtId="168" fontId="4" fillId="5" borderId="0" xfId="0" applyNumberFormat="1" applyFont="1" applyFill="1"/>
    <xf numFmtId="6" fontId="4" fillId="5" borderId="0" xfId="0" applyNumberFormat="1" applyFont="1" applyFill="1"/>
    <xf numFmtId="0" fontId="0" fillId="6" borderId="0" xfId="0" applyFill="1"/>
    <xf numFmtId="0" fontId="6" fillId="6" borderId="0" xfId="0" applyFont="1" applyFill="1"/>
    <xf numFmtId="169" fontId="0" fillId="6" borderId="0" xfId="0" applyNumberFormat="1" applyFill="1"/>
    <xf numFmtId="166" fontId="0" fillId="6" borderId="0" xfId="0" applyNumberFormat="1" applyFill="1"/>
    <xf numFmtId="44" fontId="0" fillId="6" borderId="0" xfId="0" applyNumberFormat="1" applyFill="1"/>
    <xf numFmtId="0" fontId="0" fillId="6" borderId="0" xfId="0" applyFill="1" applyAlignment="1">
      <alignment horizontal="center"/>
    </xf>
    <xf numFmtId="9" fontId="0" fillId="6" borderId="0" xfId="0" applyNumberFormat="1" applyFill="1"/>
    <xf numFmtId="10" fontId="0" fillId="6" borderId="0" xfId="0" applyNumberFormat="1" applyFill="1"/>
    <xf numFmtId="166" fontId="0" fillId="6" borderId="0" xfId="1" applyNumberFormat="1" applyFont="1" applyFill="1"/>
    <xf numFmtId="166" fontId="3" fillId="6" borderId="0" xfId="1" applyNumberFormat="1" applyFill="1"/>
    <xf numFmtId="166" fontId="4" fillId="6" borderId="0" xfId="0" applyNumberFormat="1" applyFont="1" applyFill="1"/>
    <xf numFmtId="0" fontId="4" fillId="6" borderId="0" xfId="0" applyFont="1" applyFill="1"/>
    <xf numFmtId="9" fontId="4" fillId="6" borderId="0" xfId="0" applyNumberFormat="1" applyFont="1" applyFill="1"/>
    <xf numFmtId="168" fontId="4" fillId="6" borderId="0" xfId="0" applyNumberFormat="1" applyFont="1" applyFill="1"/>
    <xf numFmtId="6" fontId="4" fillId="6" borderId="0" xfId="0" applyNumberFormat="1" applyFont="1" applyFill="1"/>
    <xf numFmtId="0" fontId="0" fillId="7" borderId="0" xfId="0" applyFill="1"/>
    <xf numFmtId="0" fontId="6" fillId="7" borderId="0" xfId="0" applyFont="1" applyFill="1"/>
    <xf numFmtId="169" fontId="0" fillId="7" borderId="0" xfId="0" applyNumberFormat="1" applyFill="1"/>
    <xf numFmtId="166" fontId="0" fillId="7" borderId="0" xfId="0" applyNumberFormat="1" applyFill="1"/>
    <xf numFmtId="44" fontId="0" fillId="7" borderId="0" xfId="0" applyNumberFormat="1" applyFill="1"/>
    <xf numFmtId="0" fontId="0" fillId="7" borderId="0" xfId="0" applyFill="1" applyAlignment="1">
      <alignment horizontal="center"/>
    </xf>
    <xf numFmtId="9" fontId="0" fillId="7" borderId="0" xfId="0" applyNumberFormat="1" applyFill="1"/>
    <xf numFmtId="10" fontId="0" fillId="7" borderId="0" xfId="0" applyNumberFormat="1" applyFill="1"/>
    <xf numFmtId="166" fontId="0" fillId="7" borderId="0" xfId="1" applyNumberFormat="1" applyFont="1" applyFill="1"/>
    <xf numFmtId="166" fontId="3" fillId="7" borderId="0" xfId="1" applyNumberFormat="1" applyFill="1"/>
    <xf numFmtId="166" fontId="4" fillId="7" borderId="0" xfId="0" applyNumberFormat="1" applyFont="1" applyFill="1"/>
    <xf numFmtId="0" fontId="4" fillId="7" borderId="0" xfId="0" applyFont="1" applyFill="1"/>
    <xf numFmtId="9" fontId="4" fillId="7" borderId="0" xfId="0" applyNumberFormat="1" applyFont="1" applyFill="1"/>
    <xf numFmtId="168" fontId="4" fillId="7" borderId="0" xfId="0" applyNumberFormat="1" applyFont="1" applyFill="1"/>
    <xf numFmtId="6" fontId="4" fillId="7" borderId="0" xfId="0" applyNumberFormat="1" applyFont="1" applyFill="1"/>
    <xf numFmtId="0" fontId="5" fillId="6" borderId="0" xfId="4" applyFill="1"/>
    <xf numFmtId="0" fontId="0" fillId="6" borderId="12" xfId="0" applyFill="1" applyBorder="1"/>
    <xf numFmtId="9" fontId="0" fillId="6" borderId="13" xfId="0" applyNumberFormat="1" applyFill="1" applyBorder="1"/>
    <xf numFmtId="0" fontId="0" fillId="6" borderId="14" xfId="0" applyFill="1" applyBorder="1"/>
    <xf numFmtId="9" fontId="0" fillId="6" borderId="15" xfId="0" applyNumberFormat="1" applyFill="1" applyBorder="1"/>
    <xf numFmtId="0" fontId="0" fillId="6" borderId="16" xfId="0" applyFill="1" applyBorder="1"/>
    <xf numFmtId="8" fontId="0" fillId="6" borderId="17" xfId="0" applyNumberFormat="1" applyFill="1" applyBorder="1"/>
    <xf numFmtId="44" fontId="0" fillId="0" borderId="0" xfId="1" applyFont="1" applyFill="1" applyBorder="1"/>
    <xf numFmtId="164" fontId="0" fillId="0" borderId="0" xfId="0" applyNumberFormat="1" applyFill="1" applyBorder="1"/>
    <xf numFmtId="0" fontId="8" fillId="0" borderId="0" xfId="0" applyFont="1" applyFill="1" applyBorder="1"/>
    <xf numFmtId="164" fontId="8" fillId="0" borderId="0" xfId="0" applyNumberFormat="1" applyFont="1" applyFill="1" applyBorder="1"/>
    <xf numFmtId="9" fontId="8" fillId="0" borderId="0" xfId="0" applyNumberFormat="1" applyFont="1" applyFill="1" applyBorder="1"/>
    <xf numFmtId="0" fontId="0" fillId="3" borderId="12" xfId="0" applyFill="1" applyBorder="1"/>
    <xf numFmtId="2" fontId="0" fillId="3" borderId="18" xfId="1" applyNumberFormat="1" applyFont="1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164" fontId="0" fillId="3" borderId="15" xfId="0" applyNumberFormat="1" applyFill="1" applyBorder="1"/>
    <xf numFmtId="0" fontId="0" fillId="3" borderId="19" xfId="0" applyFill="1" applyBorder="1"/>
    <xf numFmtId="0" fontId="0" fillId="3" borderId="20" xfId="0" applyFill="1" applyBorder="1"/>
    <xf numFmtId="164" fontId="0" fillId="3" borderId="21" xfId="0" applyNumberFormat="1" applyFill="1" applyBorder="1"/>
    <xf numFmtId="0" fontId="0" fillId="3" borderId="16" xfId="0" applyFill="1" applyBorder="1"/>
    <xf numFmtId="44" fontId="0" fillId="3" borderId="22" xfId="1" applyFont="1" applyFill="1" applyBorder="1"/>
    <xf numFmtId="164" fontId="0" fillId="3" borderId="17" xfId="0" applyNumberFormat="1" applyFill="1" applyBorder="1"/>
    <xf numFmtId="0" fontId="11" fillId="3" borderId="11" xfId="0" applyFont="1" applyFill="1" applyBorder="1"/>
    <xf numFmtId="0" fontId="5" fillId="7" borderId="0" xfId="4" applyFill="1"/>
    <xf numFmtId="166" fontId="0" fillId="2" borderId="23" xfId="1" applyNumberFormat="1" applyFont="1" applyFill="1" applyBorder="1"/>
    <xf numFmtId="0" fontId="12" fillId="0" borderId="6" xfId="0" applyFont="1" applyFill="1" applyBorder="1"/>
    <xf numFmtId="167" fontId="12" fillId="0" borderId="0" xfId="3" applyNumberFormat="1" applyFont="1" applyFill="1" applyBorder="1"/>
    <xf numFmtId="44" fontId="12" fillId="3" borderId="0" xfId="1" applyFont="1" applyFill="1" applyBorder="1"/>
    <xf numFmtId="164" fontId="0" fillId="0" borderId="0" xfId="0" applyNumberFormat="1" applyFill="1"/>
  </cellXfs>
  <cellStyles count="5">
    <cellStyle name="Comma" xfId="3" builtinId="3"/>
    <cellStyle name="Currency" xfId="1" builtinId="4"/>
    <cellStyle name="Excel Built-in Normal" xf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IZAB~1/AppData/Local/Temp/pet-N-paw%20forecast%20Bankruptc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Mortgage"/>
      <sheetName val="Sheet3"/>
    </sheetNames>
    <sheetDataSet>
      <sheetData sheetId="0"/>
      <sheetData sheetId="1">
        <row r="2">
          <cell r="B2">
            <v>4.2900000000000001E-2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68"/>
  <sheetViews>
    <sheetView tabSelected="1" topLeftCell="A79" zoomScale="80" zoomScaleNormal="80" workbookViewId="0">
      <selection activeCell="F22" sqref="F22"/>
    </sheetView>
  </sheetViews>
  <sheetFormatPr defaultRowHeight="15" x14ac:dyDescent="0.25"/>
  <cols>
    <col min="2" max="2" width="39.28515625" bestFit="1" customWidth="1"/>
    <col min="3" max="3" width="18" bestFit="1" customWidth="1"/>
    <col min="4" max="4" width="13.5703125" bestFit="1" customWidth="1"/>
    <col min="5" max="5" width="14.85546875" bestFit="1" customWidth="1"/>
    <col min="6" max="6" width="13.42578125" bestFit="1" customWidth="1"/>
    <col min="7" max="7" width="13.5703125" bestFit="1" customWidth="1"/>
    <col min="8" max="8" width="14.140625" customWidth="1"/>
    <col min="9" max="12" width="13.42578125" bestFit="1" customWidth="1"/>
    <col min="13" max="14" width="18.7109375" bestFit="1" customWidth="1"/>
    <col min="15" max="15" width="11" bestFit="1" customWidth="1"/>
    <col min="16" max="17" width="14.85546875" bestFit="1" customWidth="1"/>
    <col min="18" max="18" width="17" bestFit="1" customWidth="1"/>
    <col min="19" max="20" width="11.5703125" bestFit="1" customWidth="1"/>
    <col min="21" max="23" width="14.85546875" bestFit="1" customWidth="1"/>
    <col min="24" max="29" width="11.5703125" bestFit="1" customWidth="1"/>
  </cols>
  <sheetData>
    <row r="1" spans="2:10" x14ac:dyDescent="0.25">
      <c r="B1" s="173" t="s">
        <v>17</v>
      </c>
      <c r="C1" s="174">
        <v>20053</v>
      </c>
      <c r="D1" s="175"/>
      <c r="E1" s="170"/>
      <c r="F1" s="170"/>
      <c r="G1" s="170"/>
      <c r="H1" s="170"/>
      <c r="I1" s="170"/>
      <c r="J1" s="170"/>
    </row>
    <row r="2" spans="2:10" x14ac:dyDescent="0.25">
      <c r="B2" s="176" t="s">
        <v>76</v>
      </c>
      <c r="C2" s="20">
        <v>2.5499999999999998</v>
      </c>
      <c r="D2" s="177"/>
      <c r="E2" s="170"/>
      <c r="F2" s="170"/>
      <c r="G2" s="170"/>
      <c r="H2" s="170"/>
      <c r="I2" s="170"/>
      <c r="J2" s="170"/>
    </row>
    <row r="3" spans="2:10" x14ac:dyDescent="0.25">
      <c r="B3" s="176" t="s">
        <v>18</v>
      </c>
      <c r="C3" s="20">
        <f>C1/C2</f>
        <v>7863.921568627452</v>
      </c>
      <c r="D3" s="177"/>
      <c r="E3" s="170"/>
      <c r="F3" s="170"/>
      <c r="G3" s="170"/>
      <c r="H3" s="170"/>
      <c r="I3" s="170"/>
      <c r="J3" s="170"/>
    </row>
    <row r="4" spans="2:10" x14ac:dyDescent="0.25">
      <c r="B4" s="176" t="s">
        <v>77</v>
      </c>
      <c r="C4" s="20">
        <v>0.62</v>
      </c>
      <c r="D4" s="177"/>
      <c r="E4" s="170"/>
      <c r="F4" s="170"/>
      <c r="G4" s="170"/>
      <c r="H4" s="170"/>
      <c r="I4" s="170"/>
      <c r="J4" s="170"/>
    </row>
    <row r="5" spans="2:10" x14ac:dyDescent="0.25">
      <c r="B5" s="176" t="s">
        <v>19</v>
      </c>
      <c r="C5" s="20">
        <f>C3*C4</f>
        <v>4875.6313725490199</v>
      </c>
      <c r="D5" s="177"/>
      <c r="E5" s="170"/>
      <c r="F5" s="170"/>
      <c r="G5" s="170"/>
      <c r="H5" s="170"/>
      <c r="I5" s="170"/>
      <c r="J5" s="170"/>
    </row>
    <row r="6" spans="2:10" x14ac:dyDescent="0.25">
      <c r="B6" s="176" t="s">
        <v>78</v>
      </c>
      <c r="C6" s="20">
        <v>4</v>
      </c>
      <c r="D6" s="177"/>
      <c r="E6" s="170"/>
      <c r="F6" s="170"/>
      <c r="G6" s="170"/>
      <c r="H6" s="170"/>
      <c r="I6" s="170"/>
      <c r="J6" s="170"/>
    </row>
    <row r="7" spans="2:10" x14ac:dyDescent="0.25">
      <c r="B7" s="176" t="s">
        <v>24</v>
      </c>
      <c r="C7" s="17">
        <f>376.25</f>
        <v>376.25</v>
      </c>
      <c r="D7" s="178">
        <f>C7*C5</f>
        <v>1834456.3039215687</v>
      </c>
      <c r="E7" s="171"/>
      <c r="F7" s="171"/>
      <c r="G7" s="171"/>
      <c r="H7" s="172"/>
      <c r="I7" s="170"/>
      <c r="J7" s="170"/>
    </row>
    <row r="8" spans="2:10" x14ac:dyDescent="0.25">
      <c r="B8" s="176" t="s">
        <v>25</v>
      </c>
      <c r="C8" s="17">
        <f>162</f>
        <v>162</v>
      </c>
      <c r="D8" s="178">
        <f>C8*(C5/2)</f>
        <v>394926.14117647061</v>
      </c>
      <c r="E8" s="171"/>
      <c r="F8" s="171"/>
      <c r="G8" s="171"/>
      <c r="H8" s="172"/>
      <c r="I8" s="170"/>
      <c r="J8" s="170"/>
    </row>
    <row r="9" spans="2:10" x14ac:dyDescent="0.25">
      <c r="B9" s="179" t="s">
        <v>20</v>
      </c>
      <c r="C9" s="17"/>
      <c r="D9" s="178">
        <f>SUM(D7:D8)/C6</f>
        <v>557345.61127450981</v>
      </c>
      <c r="E9" s="172"/>
      <c r="F9" s="172"/>
      <c r="G9" s="172"/>
      <c r="H9" s="172"/>
      <c r="I9" s="170"/>
      <c r="J9" s="170"/>
    </row>
    <row r="10" spans="2:10" x14ac:dyDescent="0.25">
      <c r="B10" s="180"/>
      <c r="C10" s="18"/>
      <c r="D10" s="181"/>
      <c r="E10" s="171"/>
      <c r="F10" s="171"/>
      <c r="G10" s="171"/>
      <c r="H10" s="170"/>
      <c r="I10" s="170"/>
      <c r="J10" s="170"/>
    </row>
    <row r="11" spans="2:10" x14ac:dyDescent="0.25">
      <c r="B11" s="176" t="s">
        <v>91</v>
      </c>
      <c r="C11" s="17">
        <v>50000</v>
      </c>
      <c r="D11" s="178"/>
      <c r="E11" s="169"/>
      <c r="F11" s="169"/>
      <c r="G11" s="169"/>
      <c r="H11" s="31"/>
      <c r="I11" s="31"/>
      <c r="J11" s="31"/>
    </row>
    <row r="12" spans="2:10" x14ac:dyDescent="0.25">
      <c r="B12" s="176" t="s">
        <v>92</v>
      </c>
      <c r="C12" s="17">
        <v>18000</v>
      </c>
      <c r="D12" s="178"/>
      <c r="E12" s="169"/>
      <c r="F12" s="169"/>
      <c r="G12" s="169"/>
      <c r="H12" s="31"/>
      <c r="I12" s="31"/>
      <c r="J12" s="31"/>
    </row>
    <row r="13" spans="2:10" x14ac:dyDescent="0.25">
      <c r="B13" s="176" t="s">
        <v>71</v>
      </c>
      <c r="C13" s="17">
        <v>2400</v>
      </c>
      <c r="D13" s="178"/>
      <c r="E13" s="169"/>
      <c r="F13" s="169"/>
      <c r="G13" s="169"/>
      <c r="H13" s="31"/>
      <c r="I13" s="31"/>
      <c r="J13" s="31"/>
    </row>
    <row r="14" spans="2:10" ht="15.75" thickBot="1" x14ac:dyDescent="0.3">
      <c r="B14" s="182" t="s">
        <v>70</v>
      </c>
      <c r="C14" s="183">
        <v>12000</v>
      </c>
      <c r="D14" s="184"/>
      <c r="E14" s="169"/>
      <c r="F14" s="169"/>
      <c r="G14" s="169"/>
      <c r="H14" s="31"/>
      <c r="I14" s="31"/>
      <c r="J14" s="31"/>
    </row>
    <row r="15" spans="2:10" x14ac:dyDescent="0.25">
      <c r="B15" s="176" t="s">
        <v>131</v>
      </c>
      <c r="C15" s="190">
        <v>8</v>
      </c>
      <c r="D15" s="10"/>
      <c r="E15" s="169"/>
      <c r="F15" s="169"/>
      <c r="G15" s="169"/>
      <c r="H15" s="31"/>
      <c r="I15" s="31"/>
      <c r="J15" s="31"/>
    </row>
    <row r="16" spans="2:10" x14ac:dyDescent="0.25">
      <c r="B16" s="31"/>
      <c r="C16" s="168"/>
      <c r="D16" s="169"/>
      <c r="E16" s="169"/>
      <c r="F16" s="169"/>
      <c r="G16" s="169"/>
      <c r="H16" s="31"/>
      <c r="I16" s="31"/>
      <c r="J16" s="31"/>
    </row>
    <row r="17" spans="2:16" x14ac:dyDescent="0.25">
      <c r="B17" s="31"/>
      <c r="C17" s="168"/>
      <c r="D17" s="169"/>
      <c r="E17" s="169"/>
      <c r="F17" s="169"/>
      <c r="G17" s="169"/>
      <c r="H17" s="31"/>
      <c r="I17" s="31"/>
      <c r="J17" s="31"/>
    </row>
    <row r="18" spans="2:16" ht="15.75" thickBot="1" x14ac:dyDescent="0.3">
      <c r="B18" s="31"/>
    </row>
    <row r="19" spans="2:16" ht="32.25" thickBot="1" x14ac:dyDescent="0.55000000000000004">
      <c r="B19" s="185" t="s">
        <v>43</v>
      </c>
    </row>
    <row r="20" spans="2:16" x14ac:dyDescent="0.25">
      <c r="D20" s="23"/>
    </row>
    <row r="21" spans="2:16" x14ac:dyDescent="0.25">
      <c r="B21" t="s">
        <v>104</v>
      </c>
      <c r="C21" t="s">
        <v>40</v>
      </c>
      <c r="D21">
        <v>2014</v>
      </c>
      <c r="E21">
        <v>2015</v>
      </c>
      <c r="F21">
        <v>2016</v>
      </c>
      <c r="G21">
        <v>2017</v>
      </c>
      <c r="H21">
        <v>2018</v>
      </c>
      <c r="I21">
        <v>2019</v>
      </c>
      <c r="J21">
        <v>2020</v>
      </c>
      <c r="K21">
        <v>2021</v>
      </c>
      <c r="L21">
        <v>2022</v>
      </c>
      <c r="M21">
        <v>2023</v>
      </c>
      <c r="N21">
        <v>2024</v>
      </c>
    </row>
    <row r="22" spans="2:16" x14ac:dyDescent="0.25">
      <c r="C22" s="1">
        <v>0.02</v>
      </c>
      <c r="D22" s="37">
        <f>((C15*20)*52)*C15</f>
        <v>66560</v>
      </c>
      <c r="E22" s="37">
        <f>D22*(1+0.01)</f>
        <v>67225.600000000006</v>
      </c>
      <c r="F22" s="37">
        <f>E22*(1+$C$22)</f>
        <v>68570.112000000008</v>
      </c>
      <c r="G22" s="37">
        <f t="shared" ref="G22:N22" si="0">F22*(1+$C$22)</f>
        <v>69941.514240000004</v>
      </c>
      <c r="H22" s="37">
        <f t="shared" si="0"/>
        <v>71340.344524800006</v>
      </c>
      <c r="I22" s="37">
        <f t="shared" si="0"/>
        <v>72767.151415296001</v>
      </c>
      <c r="J22" s="37">
        <f t="shared" si="0"/>
        <v>74222.494443601929</v>
      </c>
      <c r="K22" s="37">
        <f t="shared" si="0"/>
        <v>75706.94433247397</v>
      </c>
      <c r="L22" s="37">
        <f t="shared" si="0"/>
        <v>77221.083219123451</v>
      </c>
      <c r="M22" s="37">
        <f t="shared" si="0"/>
        <v>78765.504883505928</v>
      </c>
      <c r="N22" s="37">
        <f t="shared" si="0"/>
        <v>80340.814981176052</v>
      </c>
      <c r="O22" s="37"/>
      <c r="P22" s="37"/>
    </row>
    <row r="23" spans="2:16" x14ac:dyDescent="0.25">
      <c r="C23" t="s">
        <v>26</v>
      </c>
    </row>
    <row r="24" spans="2:16" x14ac:dyDescent="0.25">
      <c r="B24" s="16" t="s">
        <v>0</v>
      </c>
      <c r="C24" s="24"/>
      <c r="D24" s="24"/>
    </row>
    <row r="25" spans="2:16" x14ac:dyDescent="0.25">
      <c r="B25" t="s">
        <v>21</v>
      </c>
      <c r="C25" s="1">
        <v>-0.01</v>
      </c>
      <c r="D25" s="34">
        <f>D8/C6</f>
        <v>98731.535294117653</v>
      </c>
      <c r="E25" s="34">
        <f>D25*(1+$C$25)</f>
        <v>97744.219941176474</v>
      </c>
      <c r="F25" s="34">
        <f t="shared" ref="F25:N25" si="1">E25*(1+$C$25)</f>
        <v>96766.777741764716</v>
      </c>
      <c r="G25" s="34">
        <f t="shared" si="1"/>
        <v>95799.109964347066</v>
      </c>
      <c r="H25" s="34">
        <f t="shared" si="1"/>
        <v>94841.118864703589</v>
      </c>
      <c r="I25" s="34">
        <f t="shared" si="1"/>
        <v>93892.707676056554</v>
      </c>
      <c r="J25" s="34">
        <f t="shared" si="1"/>
        <v>92953.780599295991</v>
      </c>
      <c r="K25" s="34">
        <f t="shared" si="1"/>
        <v>92024.242793303027</v>
      </c>
      <c r="L25" s="34">
        <f t="shared" si="1"/>
        <v>91104.000365369997</v>
      </c>
      <c r="M25" s="34">
        <f t="shared" si="1"/>
        <v>90192.960361716294</v>
      </c>
      <c r="N25" s="34">
        <f t="shared" si="1"/>
        <v>89291.030758099136</v>
      </c>
    </row>
    <row r="26" spans="2:16" x14ac:dyDescent="0.25">
      <c r="B26" t="s">
        <v>22</v>
      </c>
      <c r="C26" s="25">
        <v>0.01</v>
      </c>
      <c r="D26" s="35">
        <f>D7/C6</f>
        <v>458614.07598039217</v>
      </c>
      <c r="E26" s="34">
        <f>D26*(1+$C$26)</f>
        <v>463200.21674019611</v>
      </c>
      <c r="F26" s="34">
        <f t="shared" ref="F26:N26" si="2">E26*(1+$C$26)</f>
        <v>467832.21890759806</v>
      </c>
      <c r="G26" s="34">
        <f t="shared" si="2"/>
        <v>472510.54109667405</v>
      </c>
      <c r="H26" s="34">
        <f t="shared" si="2"/>
        <v>477235.64650764078</v>
      </c>
      <c r="I26" s="34">
        <f t="shared" si="2"/>
        <v>482008.00297271716</v>
      </c>
      <c r="J26" s="34">
        <f t="shared" si="2"/>
        <v>486828.08300244436</v>
      </c>
      <c r="K26" s="34">
        <f t="shared" si="2"/>
        <v>491696.36383246881</v>
      </c>
      <c r="L26" s="34">
        <f t="shared" si="2"/>
        <v>496613.32747079351</v>
      </c>
      <c r="M26" s="34">
        <f t="shared" si="2"/>
        <v>501579.46074550145</v>
      </c>
      <c r="N26" s="34">
        <f t="shared" si="2"/>
        <v>506595.25535295648</v>
      </c>
    </row>
    <row r="27" spans="2:16" x14ac:dyDescent="0.25">
      <c r="B27" t="s">
        <v>79</v>
      </c>
      <c r="D27" s="35">
        <f>D25+D26</f>
        <v>557345.61127450981</v>
      </c>
      <c r="E27" s="35">
        <f t="shared" ref="E27:N27" si="3">E25+E26</f>
        <v>560944.43668137258</v>
      </c>
      <c r="F27" s="35">
        <f t="shared" si="3"/>
        <v>564598.99664936273</v>
      </c>
      <c r="G27" s="35">
        <f t="shared" si="3"/>
        <v>568309.65106102114</v>
      </c>
      <c r="H27" s="35">
        <f t="shared" si="3"/>
        <v>572076.76537234441</v>
      </c>
      <c r="I27" s="35">
        <f t="shared" si="3"/>
        <v>575900.7106487737</v>
      </c>
      <c r="J27" s="35">
        <f t="shared" si="3"/>
        <v>579781.86360174033</v>
      </c>
      <c r="K27" s="35">
        <f t="shared" si="3"/>
        <v>583720.60662577185</v>
      </c>
      <c r="L27" s="35">
        <f t="shared" si="3"/>
        <v>587717.32783616346</v>
      </c>
      <c r="M27" s="35">
        <f t="shared" si="3"/>
        <v>591772.42110721779</v>
      </c>
      <c r="N27" s="35">
        <f t="shared" si="3"/>
        <v>595886.28611105564</v>
      </c>
    </row>
    <row r="28" spans="2:16" x14ac:dyDescent="0.25">
      <c r="B28" t="s">
        <v>38</v>
      </c>
      <c r="C28" s="1">
        <v>0.63</v>
      </c>
      <c r="D28" s="51">
        <f>D26*$C$28</f>
        <v>288926.86786764709</v>
      </c>
      <c r="E28" s="51">
        <f t="shared" ref="E28:N28" si="4">E26*$C$28</f>
        <v>291816.13654632354</v>
      </c>
      <c r="F28" s="51">
        <f t="shared" si="4"/>
        <v>294734.29791178677</v>
      </c>
      <c r="G28" s="51">
        <f t="shared" si="4"/>
        <v>297681.64089090464</v>
      </c>
      <c r="H28" s="51">
        <f t="shared" si="4"/>
        <v>300658.45729981369</v>
      </c>
      <c r="I28" s="51">
        <f t="shared" si="4"/>
        <v>303665.04187281179</v>
      </c>
      <c r="J28" s="51">
        <f t="shared" si="4"/>
        <v>306701.69229153992</v>
      </c>
      <c r="K28" s="51">
        <f t="shared" si="4"/>
        <v>309768.70921445533</v>
      </c>
      <c r="L28" s="51">
        <f t="shared" si="4"/>
        <v>312866.3963065999</v>
      </c>
      <c r="M28" s="51">
        <f t="shared" si="4"/>
        <v>315995.0602696659</v>
      </c>
      <c r="N28" s="51">
        <f t="shared" si="4"/>
        <v>319155.01087236259</v>
      </c>
    </row>
    <row r="29" spans="2:16" x14ac:dyDescent="0.25">
      <c r="B29" t="s">
        <v>37</v>
      </c>
      <c r="C29" s="30">
        <v>0.15</v>
      </c>
      <c r="D29" s="35">
        <f t="shared" ref="D29:N29" si="5">SUM(D25:D26)*$C$29</f>
        <v>83601.841691176465</v>
      </c>
      <c r="E29" s="35">
        <f t="shared" si="5"/>
        <v>84141.665502205884</v>
      </c>
      <c r="F29" s="35">
        <f t="shared" si="5"/>
        <v>84689.849497404401</v>
      </c>
      <c r="G29" s="35">
        <f t="shared" si="5"/>
        <v>85246.447659153171</v>
      </c>
      <c r="H29" s="35">
        <f t="shared" si="5"/>
        <v>85811.514805851664</v>
      </c>
      <c r="I29" s="35">
        <f t="shared" si="5"/>
        <v>86385.106597316058</v>
      </c>
      <c r="J29" s="35">
        <f t="shared" si="5"/>
        <v>86967.27954026105</v>
      </c>
      <c r="K29" s="35">
        <f t="shared" si="5"/>
        <v>87558.090993865771</v>
      </c>
      <c r="L29" s="35">
        <f t="shared" si="5"/>
        <v>88157.599175424519</v>
      </c>
      <c r="M29" s="35">
        <f t="shared" si="5"/>
        <v>88765.863166082665</v>
      </c>
      <c r="N29" s="35">
        <f t="shared" si="5"/>
        <v>89382.942916658343</v>
      </c>
    </row>
    <row r="30" spans="2:16" x14ac:dyDescent="0.25">
      <c r="B30" t="s">
        <v>39</v>
      </c>
      <c r="C30" s="30"/>
      <c r="D30" s="35">
        <f>$D$22</f>
        <v>66560</v>
      </c>
      <c r="E30" s="35">
        <f t="shared" ref="E30:N30" si="6">E22</f>
        <v>67225.600000000006</v>
      </c>
      <c r="F30" s="35">
        <f t="shared" si="6"/>
        <v>68570.112000000008</v>
      </c>
      <c r="G30" s="35">
        <f t="shared" si="6"/>
        <v>69941.514240000004</v>
      </c>
      <c r="H30" s="35">
        <f t="shared" si="6"/>
        <v>71340.344524800006</v>
      </c>
      <c r="I30" s="35">
        <f t="shared" si="6"/>
        <v>72767.151415296001</v>
      </c>
      <c r="J30" s="35">
        <f t="shared" si="6"/>
        <v>74222.494443601929</v>
      </c>
      <c r="K30" s="35">
        <f t="shared" si="6"/>
        <v>75706.94433247397</v>
      </c>
      <c r="L30" s="35">
        <f t="shared" si="6"/>
        <v>77221.083219123451</v>
      </c>
      <c r="M30" s="35">
        <f t="shared" si="6"/>
        <v>78765.504883505928</v>
      </c>
      <c r="N30" s="35">
        <f t="shared" si="6"/>
        <v>80340.814981176052</v>
      </c>
    </row>
    <row r="31" spans="2:16" x14ac:dyDescent="0.25">
      <c r="B31" t="s">
        <v>69</v>
      </c>
      <c r="C31" s="30"/>
      <c r="D31" s="35">
        <f>$C$12</f>
        <v>18000</v>
      </c>
      <c r="E31" s="35">
        <f t="shared" ref="E31:N31" si="7">$C$12</f>
        <v>18000</v>
      </c>
      <c r="F31" s="35">
        <f t="shared" si="7"/>
        <v>18000</v>
      </c>
      <c r="G31" s="35">
        <f t="shared" si="7"/>
        <v>18000</v>
      </c>
      <c r="H31" s="35">
        <f t="shared" si="7"/>
        <v>18000</v>
      </c>
      <c r="I31" s="35">
        <f t="shared" si="7"/>
        <v>18000</v>
      </c>
      <c r="J31" s="35">
        <f t="shared" si="7"/>
        <v>18000</v>
      </c>
      <c r="K31" s="35">
        <f t="shared" si="7"/>
        <v>18000</v>
      </c>
      <c r="L31" s="35">
        <f t="shared" si="7"/>
        <v>18000</v>
      </c>
      <c r="M31" s="35">
        <f t="shared" si="7"/>
        <v>18000</v>
      </c>
      <c r="N31" s="35">
        <f t="shared" si="7"/>
        <v>18000</v>
      </c>
    </row>
    <row r="32" spans="2:16" x14ac:dyDescent="0.25">
      <c r="B32" t="s">
        <v>71</v>
      </c>
      <c r="C32" s="30"/>
      <c r="D32" s="35">
        <f>$C$13</f>
        <v>2400</v>
      </c>
      <c r="E32" s="35">
        <f t="shared" ref="E32:N32" si="8">$C$13</f>
        <v>2400</v>
      </c>
      <c r="F32" s="35">
        <f t="shared" si="8"/>
        <v>2400</v>
      </c>
      <c r="G32" s="35">
        <f t="shared" si="8"/>
        <v>2400</v>
      </c>
      <c r="H32" s="35">
        <f t="shared" si="8"/>
        <v>2400</v>
      </c>
      <c r="I32" s="35">
        <f t="shared" si="8"/>
        <v>2400</v>
      </c>
      <c r="J32" s="35">
        <f t="shared" si="8"/>
        <v>2400</v>
      </c>
      <c r="K32" s="35">
        <f t="shared" si="8"/>
        <v>2400</v>
      </c>
      <c r="L32" s="35">
        <f t="shared" si="8"/>
        <v>2400</v>
      </c>
      <c r="M32" s="35">
        <f t="shared" si="8"/>
        <v>2400</v>
      </c>
      <c r="N32" s="35">
        <f t="shared" si="8"/>
        <v>2400</v>
      </c>
    </row>
    <row r="33" spans="2:28" x14ac:dyDescent="0.25">
      <c r="B33" t="s">
        <v>70</v>
      </c>
      <c r="C33" s="30"/>
      <c r="D33" s="35">
        <f>$C$14</f>
        <v>12000</v>
      </c>
      <c r="E33" s="35">
        <f t="shared" ref="E33:N33" si="9">$C$14</f>
        <v>12000</v>
      </c>
      <c r="F33" s="35">
        <f t="shared" si="9"/>
        <v>12000</v>
      </c>
      <c r="G33" s="35">
        <f t="shared" si="9"/>
        <v>12000</v>
      </c>
      <c r="H33" s="35">
        <f t="shared" si="9"/>
        <v>12000</v>
      </c>
      <c r="I33" s="35">
        <f t="shared" si="9"/>
        <v>12000</v>
      </c>
      <c r="J33" s="35">
        <f t="shared" si="9"/>
        <v>12000</v>
      </c>
      <c r="K33" s="35">
        <f t="shared" si="9"/>
        <v>12000</v>
      </c>
      <c r="L33" s="35">
        <f t="shared" si="9"/>
        <v>12000</v>
      </c>
      <c r="M33" s="35">
        <f t="shared" si="9"/>
        <v>12000</v>
      </c>
      <c r="N33" s="35">
        <f t="shared" si="9"/>
        <v>12000</v>
      </c>
    </row>
    <row r="34" spans="2:28" x14ac:dyDescent="0.25">
      <c r="B34" t="s">
        <v>72</v>
      </c>
      <c r="C34" s="30">
        <v>0.03</v>
      </c>
      <c r="D34" s="35">
        <f>$C$11</f>
        <v>50000</v>
      </c>
      <c r="E34" s="35">
        <f>($C$11*$C$34)+D34</f>
        <v>51500</v>
      </c>
      <c r="F34" s="35">
        <f t="shared" ref="F34:N34" si="10">($C$11*$C$34)+E34</f>
        <v>53000</v>
      </c>
      <c r="G34" s="35">
        <f t="shared" si="10"/>
        <v>54500</v>
      </c>
      <c r="H34" s="35">
        <f t="shared" si="10"/>
        <v>56000</v>
      </c>
      <c r="I34" s="35">
        <f t="shared" si="10"/>
        <v>57500</v>
      </c>
      <c r="J34" s="35">
        <f t="shared" si="10"/>
        <v>59000</v>
      </c>
      <c r="K34" s="35">
        <f t="shared" si="10"/>
        <v>60500</v>
      </c>
      <c r="L34" s="35">
        <f t="shared" si="10"/>
        <v>62000</v>
      </c>
      <c r="M34" s="35">
        <f t="shared" si="10"/>
        <v>63500</v>
      </c>
      <c r="N34" s="35">
        <f t="shared" si="10"/>
        <v>65000</v>
      </c>
    </row>
    <row r="35" spans="2:28" x14ac:dyDescent="0.25">
      <c r="B35" t="s">
        <v>6</v>
      </c>
      <c r="D35" s="35">
        <f t="shared" ref="D35:N35" si="11">$O$54</f>
        <v>3333.3333333333335</v>
      </c>
      <c r="E35" s="35">
        <f t="shared" si="11"/>
        <v>3333.3333333333335</v>
      </c>
      <c r="F35" s="35">
        <f t="shared" si="11"/>
        <v>3333.3333333333335</v>
      </c>
      <c r="G35" s="35">
        <f t="shared" si="11"/>
        <v>3333.3333333333335</v>
      </c>
      <c r="H35" s="35">
        <f t="shared" si="11"/>
        <v>3333.3333333333335</v>
      </c>
      <c r="I35" s="35">
        <f t="shared" si="11"/>
        <v>3333.3333333333335</v>
      </c>
      <c r="J35" s="35">
        <f t="shared" si="11"/>
        <v>3333.3333333333335</v>
      </c>
      <c r="K35" s="35">
        <f t="shared" si="11"/>
        <v>3333.3333333333335</v>
      </c>
      <c r="L35" s="35">
        <f t="shared" si="11"/>
        <v>3333.3333333333335</v>
      </c>
      <c r="M35" s="35">
        <f t="shared" si="11"/>
        <v>3333.3333333333335</v>
      </c>
      <c r="N35" s="35">
        <f t="shared" si="11"/>
        <v>3333.3333333333335</v>
      </c>
    </row>
    <row r="36" spans="2:28" x14ac:dyDescent="0.25">
      <c r="B36" t="s">
        <v>35</v>
      </c>
      <c r="D36" s="35">
        <f>Mortgage!H21</f>
        <v>4257.3380012283669</v>
      </c>
      <c r="E36" s="35">
        <f>Mortgage!H33</f>
        <v>4184.0910968515009</v>
      </c>
      <c r="F36" s="35">
        <f>Mortgage!H45</f>
        <v>4107.6393727250306</v>
      </c>
      <c r="G36" s="35">
        <f>Mortgage!H57</f>
        <v>4027.8426062727967</v>
      </c>
      <c r="H36" s="35">
        <f>Mortgage!H69</f>
        <v>3944.5544396684836</v>
      </c>
      <c r="I36" s="35">
        <f>Mortgage!H81</f>
        <v>3857.6221113960082</v>
      </c>
      <c r="J36" s="35">
        <f>Mortgage!H93</f>
        <v>3766.8861760646832</v>
      </c>
      <c r="K36" s="35">
        <f>Mortgage!H105</f>
        <v>3672.180211965283</v>
      </c>
      <c r="L36" s="35">
        <f>Mortgage!H117</f>
        <v>3573.3305158306098</v>
      </c>
      <c r="M36" s="35">
        <f>Mortgage!H129</f>
        <v>3470.1557842407201</v>
      </c>
      <c r="N36" s="35">
        <f>Mortgage!H141</f>
        <v>3362.4667810884698</v>
      </c>
    </row>
    <row r="37" spans="2:28" x14ac:dyDescent="0.25">
      <c r="B37" t="s">
        <v>34</v>
      </c>
      <c r="C37">
        <v>0.09</v>
      </c>
      <c r="D37" s="51">
        <f>D61*$C$37</f>
        <v>0</v>
      </c>
      <c r="E37" s="51">
        <f t="shared" ref="E37:N37" si="12">E61*$C$37</f>
        <v>0</v>
      </c>
      <c r="F37" s="51">
        <f t="shared" si="12"/>
        <v>0</v>
      </c>
      <c r="G37" s="51">
        <f t="shared" si="12"/>
        <v>0</v>
      </c>
      <c r="H37" s="51">
        <f t="shared" si="12"/>
        <v>0</v>
      </c>
      <c r="I37" s="51">
        <f t="shared" si="12"/>
        <v>0</v>
      </c>
      <c r="J37" s="51">
        <f t="shared" si="12"/>
        <v>0</v>
      </c>
      <c r="K37" s="51">
        <f t="shared" si="12"/>
        <v>0</v>
      </c>
      <c r="L37" s="51">
        <f t="shared" si="12"/>
        <v>0</v>
      </c>
      <c r="M37" s="51">
        <f t="shared" si="12"/>
        <v>0</v>
      </c>
      <c r="N37" s="51">
        <f t="shared" si="12"/>
        <v>0</v>
      </c>
    </row>
    <row r="38" spans="2:28" x14ac:dyDescent="0.25">
      <c r="B38" t="s">
        <v>12</v>
      </c>
      <c r="D38" s="35">
        <f t="shared" ref="D38:N38" si="13">SUM(D25:D26)-SUM(D28:D37)</f>
        <v>28266.230381124537</v>
      </c>
      <c r="E38" s="35">
        <f t="shared" si="13"/>
        <v>26343.610202658223</v>
      </c>
      <c r="F38" s="35">
        <f t="shared" si="13"/>
        <v>23763.764534113114</v>
      </c>
      <c r="G38" s="35">
        <f t="shared" si="13"/>
        <v>21178.872331357095</v>
      </c>
      <c r="H38" s="35">
        <f t="shared" si="13"/>
        <v>18588.560968877166</v>
      </c>
      <c r="I38" s="35">
        <f t="shared" si="13"/>
        <v>15992.455318620428</v>
      </c>
      <c r="J38" s="35">
        <f t="shared" si="13"/>
        <v>13390.177816939307</v>
      </c>
      <c r="K38" s="35">
        <f t="shared" si="13"/>
        <v>10781.348539678263</v>
      </c>
      <c r="L38" s="35">
        <f t="shared" si="13"/>
        <v>8165.5852858516155</v>
      </c>
      <c r="M38" s="35">
        <f t="shared" si="13"/>
        <v>5542.5036703892983</v>
      </c>
      <c r="N38" s="35">
        <f t="shared" si="13"/>
        <v>2911.7172264368273</v>
      </c>
    </row>
    <row r="39" spans="2:28" x14ac:dyDescent="0.25">
      <c r="B39" t="s">
        <v>13</v>
      </c>
      <c r="C39" s="1">
        <v>0.4</v>
      </c>
      <c r="D39" s="51">
        <f>D38*$C$39</f>
        <v>11306.492152449815</v>
      </c>
      <c r="E39" s="35">
        <f t="shared" ref="E39:N39" si="14">E38*$C$39</f>
        <v>10537.44408106329</v>
      </c>
      <c r="F39" s="35">
        <f t="shared" si="14"/>
        <v>9505.5058136452462</v>
      </c>
      <c r="G39" s="35">
        <f t="shared" si="14"/>
        <v>8471.5489325428389</v>
      </c>
      <c r="H39" s="35">
        <f t="shared" si="14"/>
        <v>7435.4243875508664</v>
      </c>
      <c r="I39" s="35">
        <f t="shared" si="14"/>
        <v>6396.9821274481719</v>
      </c>
      <c r="J39" s="35">
        <f t="shared" si="14"/>
        <v>5356.0711267757233</v>
      </c>
      <c r="K39" s="35">
        <f t="shared" si="14"/>
        <v>4312.5394158713052</v>
      </c>
      <c r="L39" s="35">
        <f t="shared" si="14"/>
        <v>3266.2341143406466</v>
      </c>
      <c r="M39" s="35">
        <f t="shared" si="14"/>
        <v>2217.0014681557195</v>
      </c>
      <c r="N39" s="35">
        <f t="shared" si="14"/>
        <v>1164.686890574731</v>
      </c>
    </row>
    <row r="40" spans="2:28" x14ac:dyDescent="0.25">
      <c r="B40" t="s">
        <v>14</v>
      </c>
      <c r="D40" s="35">
        <f>D38-D39</f>
        <v>16959.738228674723</v>
      </c>
      <c r="E40" s="35">
        <f t="shared" ref="E40:N40" si="15">E38-E39</f>
        <v>15806.166121594933</v>
      </c>
      <c r="F40" s="35">
        <f t="shared" si="15"/>
        <v>14258.258720467868</v>
      </c>
      <c r="G40" s="35">
        <f t="shared" si="15"/>
        <v>12707.323398814257</v>
      </c>
      <c r="H40" s="35">
        <f t="shared" si="15"/>
        <v>11153.1365813263</v>
      </c>
      <c r="I40" s="35">
        <f t="shared" si="15"/>
        <v>9595.4731911722556</v>
      </c>
      <c r="J40" s="35">
        <f t="shared" si="15"/>
        <v>8034.1066901635841</v>
      </c>
      <c r="K40" s="35">
        <f t="shared" si="15"/>
        <v>6468.8091238069583</v>
      </c>
      <c r="L40" s="35">
        <f t="shared" si="15"/>
        <v>4899.3511715109689</v>
      </c>
      <c r="M40" s="35">
        <f t="shared" si="15"/>
        <v>3325.5022022335788</v>
      </c>
      <c r="N40" s="35">
        <f t="shared" si="15"/>
        <v>1747.0303358620963</v>
      </c>
    </row>
    <row r="41" spans="2:28" x14ac:dyDescent="0.25">
      <c r="D41" s="36"/>
      <c r="E41" s="36"/>
      <c r="F41" s="36"/>
      <c r="G41" s="36"/>
      <c r="H41" s="37"/>
      <c r="I41" s="37"/>
      <c r="J41" s="37"/>
      <c r="K41" s="37"/>
      <c r="L41" s="37"/>
      <c r="M41" s="37"/>
      <c r="N41" s="37"/>
    </row>
    <row r="42" spans="2:28" s="2" customFormat="1" x14ac:dyDescent="0.25">
      <c r="D42" s="36"/>
      <c r="E42" s="36"/>
      <c r="F42" s="36"/>
      <c r="G42" s="36"/>
      <c r="H42" s="37"/>
      <c r="I42" s="37"/>
      <c r="J42" s="37"/>
      <c r="K42" s="37"/>
      <c r="L42" s="37"/>
      <c r="M42" s="37"/>
      <c r="N42" s="37"/>
    </row>
    <row r="43" spans="2:28" x14ac:dyDescent="0.25">
      <c r="D43" s="36"/>
      <c r="E43" s="36"/>
      <c r="F43" s="36"/>
      <c r="G43" s="36"/>
      <c r="H43" s="37"/>
      <c r="I43" s="37"/>
      <c r="J43" s="37"/>
      <c r="K43" s="37"/>
      <c r="L43" s="37"/>
      <c r="M43" s="37"/>
      <c r="N43" s="37"/>
      <c r="R43" s="54" t="s">
        <v>80</v>
      </c>
      <c r="S43" s="55">
        <v>0.85</v>
      </c>
      <c r="T43" s="56"/>
      <c r="U43" s="56"/>
      <c r="V43" s="56"/>
      <c r="W43" s="56"/>
      <c r="X43" s="56"/>
      <c r="Y43" s="56"/>
      <c r="Z43" s="56"/>
      <c r="AA43" s="56"/>
      <c r="AB43" s="57"/>
    </row>
    <row r="44" spans="2:28" x14ac:dyDescent="0.25">
      <c r="D44" s="36"/>
      <c r="E44" s="36"/>
      <c r="F44" s="36"/>
      <c r="G44" s="36"/>
      <c r="H44" s="37"/>
      <c r="I44" s="37"/>
      <c r="J44" s="37"/>
      <c r="K44" s="37"/>
      <c r="L44" s="37"/>
      <c r="M44" s="37"/>
      <c r="N44" s="37"/>
      <c r="R44" s="58" t="s">
        <v>81</v>
      </c>
      <c r="S44" s="59">
        <f>S60+S61</f>
        <v>0.50188655331316889</v>
      </c>
      <c r="T44" s="60"/>
      <c r="U44" s="60"/>
      <c r="V44" s="60"/>
      <c r="W44" s="60"/>
      <c r="X44" s="60"/>
      <c r="Y44" s="60"/>
      <c r="Z44" s="60"/>
      <c r="AA44" s="60"/>
      <c r="AB44" s="61"/>
    </row>
    <row r="45" spans="2:28" x14ac:dyDescent="0.25">
      <c r="B45" s="16" t="s">
        <v>1</v>
      </c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R45" s="58" t="s">
        <v>82</v>
      </c>
      <c r="S45" s="59">
        <f>S63</f>
        <v>0.49811344668683111</v>
      </c>
      <c r="T45" s="60"/>
      <c r="U45" s="60"/>
      <c r="V45" s="60"/>
      <c r="W45" s="60"/>
      <c r="X45" s="60"/>
      <c r="Y45" s="60"/>
      <c r="Z45" s="60"/>
      <c r="AA45" s="60"/>
      <c r="AB45" s="61"/>
    </row>
    <row r="46" spans="2:28" x14ac:dyDescent="0.25">
      <c r="B46" s="3" t="s">
        <v>2</v>
      </c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R46" s="58" t="s">
        <v>46</v>
      </c>
      <c r="S46" s="62">
        <f>S43/(1+(1-C39)*(S44/S45))</f>
        <v>0.52974523341737756</v>
      </c>
      <c r="T46" s="60"/>
      <c r="U46" s="60"/>
      <c r="V46" s="60"/>
      <c r="W46" s="60"/>
      <c r="X46" s="60"/>
      <c r="Y46" s="60"/>
      <c r="Z46" s="60"/>
      <c r="AA46" s="60"/>
      <c r="AB46" s="61"/>
    </row>
    <row r="47" spans="2:28" x14ac:dyDescent="0.25">
      <c r="B47" t="s">
        <v>3</v>
      </c>
      <c r="C47" s="1">
        <v>0.08</v>
      </c>
      <c r="D47" s="35">
        <v>5000</v>
      </c>
      <c r="E47" s="35">
        <f>D47*(1+$C$47)</f>
        <v>5400</v>
      </c>
      <c r="F47" s="35">
        <f t="shared" ref="F47:N47" si="16">E47*(1+$C$47)</f>
        <v>5832</v>
      </c>
      <c r="G47" s="35">
        <f t="shared" si="16"/>
        <v>6298.56</v>
      </c>
      <c r="H47" s="35">
        <f t="shared" si="16"/>
        <v>6802.4448000000011</v>
      </c>
      <c r="I47" s="35">
        <f t="shared" si="16"/>
        <v>7346.6403840000021</v>
      </c>
      <c r="J47" s="35">
        <f t="shared" si="16"/>
        <v>7934.371614720003</v>
      </c>
      <c r="K47" s="35">
        <f t="shared" si="16"/>
        <v>8569.1213438976047</v>
      </c>
      <c r="L47" s="35">
        <f t="shared" si="16"/>
        <v>9254.6510514094134</v>
      </c>
      <c r="M47" s="35">
        <f t="shared" si="16"/>
        <v>9995.0231355221676</v>
      </c>
      <c r="N47" s="35">
        <f t="shared" si="16"/>
        <v>10794.624986363942</v>
      </c>
      <c r="R47" s="58"/>
      <c r="S47" s="60"/>
      <c r="T47" s="60"/>
      <c r="U47" s="60"/>
      <c r="V47" s="60"/>
      <c r="W47" s="60"/>
      <c r="X47" s="60"/>
      <c r="Y47" s="60"/>
      <c r="Z47" s="60"/>
      <c r="AA47" s="60"/>
      <c r="AB47" s="61"/>
    </row>
    <row r="48" spans="2:28" x14ac:dyDescent="0.25">
      <c r="B48" t="s">
        <v>4</v>
      </c>
      <c r="D48" s="35">
        <v>1551</v>
      </c>
      <c r="E48" s="35">
        <v>19343</v>
      </c>
      <c r="F48" s="35">
        <v>35467</v>
      </c>
      <c r="G48" s="35">
        <v>49915</v>
      </c>
      <c r="H48" s="35">
        <v>62676</v>
      </c>
      <c r="I48" s="35">
        <v>73741</v>
      </c>
      <c r="J48" s="35">
        <v>83101</v>
      </c>
      <c r="K48" s="35">
        <v>90743</v>
      </c>
      <c r="L48" s="35">
        <v>96655</v>
      </c>
      <c r="M48" s="35">
        <v>100826</v>
      </c>
      <c r="N48" s="35">
        <v>129292</v>
      </c>
      <c r="R48" s="58" t="s">
        <v>83</v>
      </c>
      <c r="S48" s="59">
        <f>X60+X61</f>
        <v>0.3</v>
      </c>
      <c r="T48" s="60"/>
      <c r="U48" s="60"/>
      <c r="V48" s="60"/>
      <c r="W48" s="60"/>
      <c r="X48" s="60"/>
      <c r="Y48" s="60"/>
      <c r="Z48" s="60"/>
      <c r="AA48" s="60"/>
      <c r="AB48" s="61"/>
    </row>
    <row r="49" spans="2:28" x14ac:dyDescent="0.25">
      <c r="B49" t="s">
        <v>27</v>
      </c>
      <c r="D49" s="35">
        <f>(D26/365)*$O$49</f>
        <v>8795.3384434595755</v>
      </c>
      <c r="E49" s="35">
        <f t="shared" ref="E49:N49" si="17">(E26/365)*$O$49</f>
        <v>8883.2918278941725</v>
      </c>
      <c r="F49" s="35">
        <f t="shared" si="17"/>
        <v>8972.1247461731145</v>
      </c>
      <c r="G49" s="35">
        <f t="shared" si="17"/>
        <v>9061.8459936348445</v>
      </c>
      <c r="H49" s="35">
        <f t="shared" si="17"/>
        <v>9152.4644535711923</v>
      </c>
      <c r="I49" s="35">
        <f t="shared" si="17"/>
        <v>9243.9890981069038</v>
      </c>
      <c r="J49" s="35">
        <f t="shared" si="17"/>
        <v>9336.4289890879736</v>
      </c>
      <c r="K49" s="35">
        <f t="shared" si="17"/>
        <v>9429.7932789788538</v>
      </c>
      <c r="L49" s="35">
        <f t="shared" si="17"/>
        <v>9524.0912117686421</v>
      </c>
      <c r="M49" s="35">
        <f t="shared" si="17"/>
        <v>9619.3321238863282</v>
      </c>
      <c r="N49" s="35">
        <f t="shared" si="17"/>
        <v>9715.5254451251931</v>
      </c>
      <c r="O49">
        <v>7</v>
      </c>
      <c r="P49" t="s">
        <v>28</v>
      </c>
      <c r="R49" s="58" t="s">
        <v>84</v>
      </c>
      <c r="S49" s="59">
        <f>X63</f>
        <v>0.7</v>
      </c>
      <c r="T49" s="60"/>
      <c r="U49" s="60"/>
      <c r="V49" s="60"/>
      <c r="W49" s="60"/>
      <c r="X49" s="60"/>
      <c r="Y49" s="60"/>
      <c r="Z49" s="60"/>
      <c r="AA49" s="60"/>
      <c r="AB49" s="61"/>
    </row>
    <row r="50" spans="2:28" x14ac:dyDescent="0.25">
      <c r="C50" t="s">
        <v>90</v>
      </c>
      <c r="D50" s="27">
        <v>40</v>
      </c>
      <c r="E50" s="27">
        <f t="shared" ref="E50:N50" si="18">D50*(1-$O$51)</f>
        <v>38.799999999999997</v>
      </c>
      <c r="F50" s="27">
        <f t="shared" si="18"/>
        <v>37.635999999999996</v>
      </c>
      <c r="G50" s="27">
        <f t="shared" si="18"/>
        <v>36.506919999999994</v>
      </c>
      <c r="H50" s="27">
        <f t="shared" si="18"/>
        <v>35.411712399999992</v>
      </c>
      <c r="I50" s="27">
        <f t="shared" si="18"/>
        <v>34.34936102799999</v>
      </c>
      <c r="J50" s="27">
        <f t="shared" si="18"/>
        <v>33.318880197159991</v>
      </c>
      <c r="K50" s="27">
        <f t="shared" si="18"/>
        <v>32.319313791245193</v>
      </c>
      <c r="L50" s="27">
        <f t="shared" si="18"/>
        <v>31.349734377507836</v>
      </c>
      <c r="M50" s="27">
        <f t="shared" si="18"/>
        <v>30.409242346182602</v>
      </c>
      <c r="N50" s="27">
        <f t="shared" si="18"/>
        <v>29.496965075797124</v>
      </c>
      <c r="R50" s="58" t="s">
        <v>47</v>
      </c>
      <c r="S50" s="62">
        <f>S46*(1+(1-C39)*(S48/S49))</f>
        <v>0.66596543629613181</v>
      </c>
      <c r="T50" s="60"/>
      <c r="U50" s="60"/>
      <c r="V50" s="60"/>
      <c r="W50" s="60"/>
      <c r="X50" s="60"/>
      <c r="Y50" s="60"/>
      <c r="Z50" s="60"/>
      <c r="AA50" s="60"/>
      <c r="AB50" s="61"/>
    </row>
    <row r="51" spans="2:28" x14ac:dyDescent="0.25">
      <c r="B51" t="s">
        <v>23</v>
      </c>
      <c r="D51" s="35">
        <f>(E28/365)*D50</f>
        <v>31979.850580419021</v>
      </c>
      <c r="E51" s="35">
        <f t="shared" ref="E51:N51" si="19">(F28/365)*E50</f>
        <v>31330.659613636508</v>
      </c>
      <c r="F51" s="35">
        <f t="shared" si="19"/>
        <v>30694.647223479689</v>
      </c>
      <c r="G51" s="35">
        <f t="shared" si="19"/>
        <v>30071.545884843046</v>
      </c>
      <c r="H51" s="35">
        <f t="shared" si="19"/>
        <v>29461.093503380729</v>
      </c>
      <c r="I51" s="35">
        <f t="shared" si="19"/>
        <v>28863.033305262099</v>
      </c>
      <c r="J51" s="35">
        <f t="shared" si="19"/>
        <v>28277.113729165281</v>
      </c>
      <c r="K51" s="35">
        <f t="shared" si="19"/>
        <v>27703.088320463226</v>
      </c>
      <c r="L51" s="35">
        <f t="shared" si="19"/>
        <v>27140.715627557824</v>
      </c>
      <c r="M51" s="35">
        <f t="shared" si="19"/>
        <v>26589.759100318402</v>
      </c>
      <c r="N51" s="35">
        <f t="shared" si="19"/>
        <v>0</v>
      </c>
      <c r="O51" s="1">
        <v>0.03</v>
      </c>
      <c r="R51" s="58"/>
      <c r="S51" s="60"/>
      <c r="T51" s="60"/>
      <c r="U51" s="60"/>
      <c r="V51" s="60"/>
      <c r="W51" s="60"/>
      <c r="X51" s="60"/>
      <c r="Y51" s="60"/>
      <c r="Z51" s="60"/>
      <c r="AA51" s="60"/>
      <c r="AB51" s="61"/>
    </row>
    <row r="52" spans="2:28" x14ac:dyDescent="0.25">
      <c r="B52" t="s">
        <v>75</v>
      </c>
      <c r="D52" s="35">
        <f>D53*0.1</f>
        <v>10000</v>
      </c>
      <c r="E52" s="35">
        <f t="shared" ref="E52:N52" si="20">E53*0.1</f>
        <v>10000</v>
      </c>
      <c r="F52" s="35">
        <f t="shared" si="20"/>
        <v>10000</v>
      </c>
      <c r="G52" s="35">
        <f t="shared" si="20"/>
        <v>10000</v>
      </c>
      <c r="H52" s="35">
        <f t="shared" si="20"/>
        <v>10000</v>
      </c>
      <c r="I52" s="35">
        <f t="shared" si="20"/>
        <v>10000</v>
      </c>
      <c r="J52" s="35">
        <f t="shared" si="20"/>
        <v>10000</v>
      </c>
      <c r="K52" s="35">
        <f t="shared" si="20"/>
        <v>10000</v>
      </c>
      <c r="L52" s="35">
        <f t="shared" si="20"/>
        <v>10000</v>
      </c>
      <c r="M52" s="35">
        <f t="shared" si="20"/>
        <v>10000</v>
      </c>
      <c r="N52" s="35">
        <f t="shared" si="20"/>
        <v>10000</v>
      </c>
      <c r="O52" s="1"/>
      <c r="P52" s="27"/>
      <c r="R52" s="58" t="s">
        <v>50</v>
      </c>
      <c r="S52" s="63">
        <v>1.4999999999999999E-2</v>
      </c>
      <c r="T52" s="60"/>
      <c r="U52" s="60"/>
      <c r="V52" s="60"/>
      <c r="W52" s="60"/>
      <c r="X52" s="60"/>
      <c r="Y52" s="60"/>
      <c r="Z52" s="60"/>
      <c r="AA52" s="60"/>
      <c r="AB52" s="61"/>
    </row>
    <row r="53" spans="2:28" x14ac:dyDescent="0.25">
      <c r="B53" t="s">
        <v>5</v>
      </c>
      <c r="D53" s="35">
        <v>100000</v>
      </c>
      <c r="E53" s="35">
        <v>100000</v>
      </c>
      <c r="F53" s="35">
        <v>100000</v>
      </c>
      <c r="G53" s="35">
        <v>100000</v>
      </c>
      <c r="H53" s="35">
        <v>100000</v>
      </c>
      <c r="I53" s="35">
        <v>100000</v>
      </c>
      <c r="J53" s="35">
        <v>100000</v>
      </c>
      <c r="K53" s="35">
        <v>100000</v>
      </c>
      <c r="L53" s="35">
        <v>100000</v>
      </c>
      <c r="M53" s="35">
        <v>100000</v>
      </c>
      <c r="N53" s="187">
        <v>100000</v>
      </c>
      <c r="O53" s="188"/>
      <c r="P53" s="189">
        <v>30</v>
      </c>
      <c r="Q53" s="53" t="s">
        <v>42</v>
      </c>
      <c r="R53" s="58" t="s">
        <v>45</v>
      </c>
      <c r="S53" s="63">
        <v>0.09</v>
      </c>
      <c r="T53" s="60"/>
      <c r="U53" s="60"/>
      <c r="V53" s="60"/>
      <c r="W53" s="60"/>
      <c r="X53" s="60"/>
      <c r="Y53" s="60"/>
      <c r="Z53" s="60"/>
      <c r="AA53" s="60"/>
      <c r="AB53" s="61"/>
    </row>
    <row r="54" spans="2:28" x14ac:dyDescent="0.25">
      <c r="B54" t="s">
        <v>7</v>
      </c>
      <c r="D54" s="35">
        <f>$O$54</f>
        <v>3333.3333333333335</v>
      </c>
      <c r="E54" s="35">
        <f t="shared" ref="E54:N54" si="21">D54+$O$54</f>
        <v>6666.666666666667</v>
      </c>
      <c r="F54" s="35">
        <f t="shared" si="21"/>
        <v>10000</v>
      </c>
      <c r="G54" s="35">
        <f t="shared" si="21"/>
        <v>13333.333333333334</v>
      </c>
      <c r="H54" s="35">
        <f t="shared" si="21"/>
        <v>16666.666666666668</v>
      </c>
      <c r="I54" s="35">
        <f t="shared" si="21"/>
        <v>20000</v>
      </c>
      <c r="J54" s="35">
        <f t="shared" si="21"/>
        <v>23333.333333333332</v>
      </c>
      <c r="K54" s="35">
        <f t="shared" si="21"/>
        <v>26666.666666666664</v>
      </c>
      <c r="L54" s="35">
        <f t="shared" si="21"/>
        <v>29999.999999999996</v>
      </c>
      <c r="M54" s="35">
        <f t="shared" si="21"/>
        <v>33333.333333333328</v>
      </c>
      <c r="N54" s="35">
        <f t="shared" si="21"/>
        <v>36666.666666666664</v>
      </c>
      <c r="O54" s="23">
        <f>N53/30</f>
        <v>3333.3333333333335</v>
      </c>
      <c r="P54" t="s">
        <v>44</v>
      </c>
      <c r="R54" s="58"/>
      <c r="S54" s="64"/>
      <c r="T54" s="60"/>
      <c r="U54" s="60"/>
      <c r="V54" s="60"/>
      <c r="W54" s="60"/>
      <c r="X54" s="60"/>
      <c r="Y54" s="60"/>
      <c r="Z54" s="60"/>
      <c r="AA54" s="60"/>
      <c r="AB54" s="61"/>
    </row>
    <row r="55" spans="2:28" x14ac:dyDescent="0.25">
      <c r="B55" t="s">
        <v>15</v>
      </c>
      <c r="D55" s="35">
        <f>SUM(D47:D53)-D54</f>
        <v>154032.85569054526</v>
      </c>
      <c r="E55" s="35">
        <f t="shared" ref="E55:N55" si="22">SUM(E47:E53)-E54</f>
        <v>168329.08477486402</v>
      </c>
      <c r="F55" s="35">
        <f t="shared" si="22"/>
        <v>181003.40796965279</v>
      </c>
      <c r="G55" s="35">
        <f t="shared" si="22"/>
        <v>192050.12546514455</v>
      </c>
      <c r="H55" s="35">
        <f t="shared" si="22"/>
        <v>201460.74780268528</v>
      </c>
      <c r="I55" s="35">
        <f t="shared" si="22"/>
        <v>209229.01214839699</v>
      </c>
      <c r="J55" s="35">
        <f t="shared" si="22"/>
        <v>215348.89987983709</v>
      </c>
      <c r="K55" s="35">
        <f t="shared" si="22"/>
        <v>219810.65559046427</v>
      </c>
      <c r="L55" s="35">
        <f t="shared" si="22"/>
        <v>222605.80762511338</v>
      </c>
      <c r="M55" s="35">
        <f t="shared" si="22"/>
        <v>223727.19026873977</v>
      </c>
      <c r="N55" s="35">
        <f t="shared" si="22"/>
        <v>223164.98072989826</v>
      </c>
      <c r="R55" s="58" t="s">
        <v>85</v>
      </c>
      <c r="S55" s="64">
        <f>S52+S43*(S53-S52)</f>
        <v>7.8750000000000001E-2</v>
      </c>
      <c r="T55" s="60"/>
      <c r="U55" s="60"/>
      <c r="V55" s="60"/>
      <c r="W55" s="60"/>
      <c r="X55" s="60"/>
      <c r="Y55" s="60"/>
      <c r="Z55" s="60"/>
      <c r="AA55" s="60"/>
      <c r="AB55" s="61"/>
    </row>
    <row r="56" spans="2:28" x14ac:dyDescent="0.25"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R56" s="58" t="s">
        <v>86</v>
      </c>
      <c r="S56" s="64">
        <f>S52+S50*(S53-S52)</f>
        <v>6.4947407722209888E-2</v>
      </c>
      <c r="T56" s="60"/>
      <c r="U56" s="60"/>
      <c r="V56" s="60"/>
      <c r="W56" s="60"/>
      <c r="X56" s="60"/>
      <c r="Y56" s="60"/>
      <c r="Z56" s="60"/>
      <c r="AA56" s="60"/>
      <c r="AB56" s="61"/>
    </row>
    <row r="57" spans="2:28" x14ac:dyDescent="0.25"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R57" s="58"/>
      <c r="S57" s="60"/>
      <c r="T57" s="60"/>
      <c r="U57" s="60"/>
      <c r="V57" s="60"/>
      <c r="W57" s="60"/>
      <c r="X57" s="60"/>
      <c r="Y57" s="60"/>
      <c r="Z57" s="60"/>
      <c r="AA57" s="60"/>
      <c r="AB57" s="61"/>
    </row>
    <row r="58" spans="2:28" x14ac:dyDescent="0.25">
      <c r="B58" s="3" t="s">
        <v>8</v>
      </c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R58" s="65" t="s">
        <v>87</v>
      </c>
      <c r="S58" s="60"/>
      <c r="T58" s="60"/>
      <c r="U58" s="60"/>
      <c r="V58" s="60"/>
      <c r="W58" s="60"/>
      <c r="X58" s="66" t="s">
        <v>88</v>
      </c>
      <c r="Y58" s="60"/>
      <c r="Z58" s="60"/>
      <c r="AA58" s="60"/>
      <c r="AB58" s="61"/>
    </row>
    <row r="59" spans="2:28" x14ac:dyDescent="0.25">
      <c r="B59" s="2" t="s">
        <v>41</v>
      </c>
      <c r="D59" s="35">
        <f t="shared" ref="D59:N59" si="23">(D28/365)*30</f>
        <v>23747.413797340858</v>
      </c>
      <c r="E59" s="35">
        <f t="shared" si="23"/>
        <v>23984.887935314266</v>
      </c>
      <c r="F59" s="35">
        <f t="shared" si="23"/>
        <v>24224.736814667405</v>
      </c>
      <c r="G59" s="35">
        <f t="shared" si="23"/>
        <v>24466.984182814082</v>
      </c>
      <c r="H59" s="35">
        <f t="shared" si="23"/>
        <v>24711.654024642219</v>
      </c>
      <c r="I59" s="35">
        <f t="shared" si="23"/>
        <v>24958.77056488864</v>
      </c>
      <c r="J59" s="35">
        <f t="shared" si="23"/>
        <v>25208.358270537527</v>
      </c>
      <c r="K59" s="35">
        <f t="shared" si="23"/>
        <v>25460.441853242904</v>
      </c>
      <c r="L59" s="35">
        <f t="shared" si="23"/>
        <v>25715.046271775333</v>
      </c>
      <c r="M59" s="35">
        <f t="shared" si="23"/>
        <v>25972.196734493089</v>
      </c>
      <c r="N59" s="35">
        <f t="shared" si="23"/>
        <v>26231.918701838018</v>
      </c>
      <c r="O59">
        <v>30</v>
      </c>
      <c r="P59" t="s">
        <v>28</v>
      </c>
      <c r="R59" s="58" t="s">
        <v>51</v>
      </c>
      <c r="S59" s="60" t="s">
        <v>89</v>
      </c>
      <c r="T59" s="60" t="s">
        <v>32</v>
      </c>
      <c r="U59" s="60" t="s">
        <v>52</v>
      </c>
      <c r="V59" s="60" t="s">
        <v>48</v>
      </c>
      <c r="W59" s="60"/>
      <c r="X59" s="60" t="s">
        <v>89</v>
      </c>
      <c r="Y59" s="60" t="s">
        <v>32</v>
      </c>
      <c r="Z59" s="60" t="s">
        <v>52</v>
      </c>
      <c r="AA59" s="60" t="s">
        <v>48</v>
      </c>
      <c r="AB59" s="61"/>
    </row>
    <row r="60" spans="2:28" x14ac:dyDescent="0.25">
      <c r="B60" t="s">
        <v>9</v>
      </c>
      <c r="D60" s="35">
        <f>Mortgage!G21</f>
        <v>98325.924881904313</v>
      </c>
      <c r="E60" s="35">
        <f>Mortgage!G33</f>
        <v>96578.602859431761</v>
      </c>
      <c r="F60" s="35">
        <f>Mortgage!G45</f>
        <v>94754.829112832769</v>
      </c>
      <c r="G60" s="35">
        <f>Mortgage!G57</f>
        <v>92851.258599781475</v>
      </c>
      <c r="H60" s="35">
        <f>Mortgage!G69</f>
        <v>90864.399920125899</v>
      </c>
      <c r="I60" s="35">
        <f>Mortgage!G81</f>
        <v>88790.608912197858</v>
      </c>
      <c r="J60" s="35">
        <f>Mortgage!G93</f>
        <v>86626.081968938481</v>
      </c>
      <c r="K60" s="35">
        <f>Mortgage!G105</f>
        <v>84366.84906157972</v>
      </c>
      <c r="L60" s="35">
        <f>Mortgage!G117</f>
        <v>82008.766458086262</v>
      </c>
      <c r="M60" s="35">
        <f>Mortgage!G129</f>
        <v>79547.509123002921</v>
      </c>
      <c r="N60" s="35">
        <f>Mortgage!G141</f>
        <v>76978.562784767317</v>
      </c>
      <c r="R60" s="67">
        <f>AVERAGE(D60:N60)</f>
        <v>88335.763062058977</v>
      </c>
      <c r="S60" s="68">
        <f>R60/R65</f>
        <v>0.50188655331316889</v>
      </c>
      <c r="T60" s="69">
        <f>Mortgage!B2</f>
        <v>4.2900000000000001E-2</v>
      </c>
      <c r="U60" s="69">
        <f>T60*(1-$C$39)</f>
        <v>2.5739999999999999E-2</v>
      </c>
      <c r="V60" s="69">
        <f>S60*U60</f>
        <v>1.2918559882280967E-2</v>
      </c>
      <c r="W60" s="60"/>
      <c r="X60" s="70">
        <v>0.3</v>
      </c>
      <c r="Y60" s="69">
        <f>T60</f>
        <v>4.2900000000000001E-2</v>
      </c>
      <c r="Z60" s="69">
        <f>Y60*(1-$C$39)</f>
        <v>2.5739999999999999E-2</v>
      </c>
      <c r="AA60" s="69">
        <f>X60*Z60</f>
        <v>7.7219999999999997E-3</v>
      </c>
      <c r="AB60" s="61"/>
    </row>
    <row r="61" spans="2:28" x14ac:dyDescent="0.25">
      <c r="B61" t="s">
        <v>10</v>
      </c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R61" s="67"/>
      <c r="S61" s="68">
        <f>R61/R65</f>
        <v>0</v>
      </c>
      <c r="T61" s="69">
        <f>C37</f>
        <v>0.09</v>
      </c>
      <c r="U61" s="69">
        <f>T61*(1-$C$39)</f>
        <v>5.3999999999999999E-2</v>
      </c>
      <c r="V61" s="69">
        <f>S61*U61</f>
        <v>0</v>
      </c>
      <c r="W61" s="60"/>
      <c r="X61" s="70">
        <v>0</v>
      </c>
      <c r="Y61" s="69">
        <f>T61</f>
        <v>0.09</v>
      </c>
      <c r="Z61" s="69">
        <f>Y61*(1-$C$39)</f>
        <v>5.3999999999999999E-2</v>
      </c>
      <c r="AA61" s="69">
        <f>X61*Z61</f>
        <v>0</v>
      </c>
      <c r="AB61" s="61"/>
    </row>
    <row r="62" spans="2:28" x14ac:dyDescent="0.25">
      <c r="B62" t="s">
        <v>30</v>
      </c>
      <c r="D62" s="35">
        <v>15000</v>
      </c>
      <c r="E62" s="35">
        <v>15000</v>
      </c>
      <c r="F62" s="35">
        <v>15000</v>
      </c>
      <c r="G62" s="35">
        <v>15000</v>
      </c>
      <c r="H62" s="35">
        <v>15000</v>
      </c>
      <c r="I62" s="35">
        <v>15000</v>
      </c>
      <c r="J62" s="35">
        <v>15000</v>
      </c>
      <c r="K62" s="35">
        <v>15000</v>
      </c>
      <c r="L62" s="35">
        <v>15000</v>
      </c>
      <c r="M62" s="35">
        <v>15000</v>
      </c>
      <c r="N62" s="35">
        <v>15000</v>
      </c>
      <c r="R62" s="67">
        <f>AVERAGE(D62:N62)</f>
        <v>15000</v>
      </c>
      <c r="S62" s="68"/>
      <c r="T62" s="60"/>
      <c r="U62" s="60"/>
      <c r="V62" s="60"/>
      <c r="W62" s="60"/>
      <c r="X62" s="70"/>
      <c r="Y62" s="60"/>
      <c r="Z62" s="60"/>
      <c r="AA62" s="60"/>
      <c r="AB62" s="61"/>
    </row>
    <row r="63" spans="2:28" x14ac:dyDescent="0.25">
      <c r="B63" t="s">
        <v>11</v>
      </c>
      <c r="D63" s="35">
        <f>C63+D40</f>
        <v>16959.738228674723</v>
      </c>
      <c r="E63" s="35">
        <f t="shared" ref="E63:N63" si="24">D63+E40</f>
        <v>32765.904350269659</v>
      </c>
      <c r="F63" s="35">
        <f t="shared" si="24"/>
        <v>47024.16307073753</v>
      </c>
      <c r="G63" s="35">
        <f t="shared" si="24"/>
        <v>59731.48646955179</v>
      </c>
      <c r="H63" s="35">
        <f t="shared" si="24"/>
        <v>70884.623050878086</v>
      </c>
      <c r="I63" s="35">
        <f t="shared" si="24"/>
        <v>80480.096242050349</v>
      </c>
      <c r="J63" s="35">
        <f t="shared" si="24"/>
        <v>88514.202932213928</v>
      </c>
      <c r="K63" s="35">
        <f t="shared" si="24"/>
        <v>94983.012056020889</v>
      </c>
      <c r="L63" s="35">
        <f t="shared" si="24"/>
        <v>99882.363227531852</v>
      </c>
      <c r="M63" s="35">
        <f t="shared" si="24"/>
        <v>103207.86542976543</v>
      </c>
      <c r="N63" s="35">
        <f t="shared" si="24"/>
        <v>104954.89576562753</v>
      </c>
      <c r="R63" s="67">
        <f>AVERAGE(D63:N63)</f>
        <v>72671.668256665609</v>
      </c>
      <c r="S63" s="68">
        <f>SUM(R62:R63)/R65</f>
        <v>0.49811344668683111</v>
      </c>
      <c r="T63" s="69">
        <f>S55</f>
        <v>7.8750000000000001E-2</v>
      </c>
      <c r="U63" s="69">
        <f>T63</f>
        <v>7.8750000000000001E-2</v>
      </c>
      <c r="V63" s="69">
        <f>S63*U63</f>
        <v>3.922643392658795E-2</v>
      </c>
      <c r="W63" s="60"/>
      <c r="X63" s="70">
        <v>0.7</v>
      </c>
      <c r="Y63" s="69">
        <f>S56</f>
        <v>6.4947407722209888E-2</v>
      </c>
      <c r="Z63" s="69">
        <f>Y63</f>
        <v>6.4947407722209888E-2</v>
      </c>
      <c r="AA63" s="69">
        <f>X63*Z63</f>
        <v>4.5463185405546919E-2</v>
      </c>
      <c r="AB63" s="61"/>
    </row>
    <row r="64" spans="2:28" x14ac:dyDescent="0.25">
      <c r="B64" t="s">
        <v>36</v>
      </c>
      <c r="D64" s="35">
        <f>SUM(D59:D63)</f>
        <v>154033.07690791989</v>
      </c>
      <c r="E64" s="35">
        <f t="shared" ref="E64:N64" si="25">SUM(E59:E63)</f>
        <v>168329.39514501567</v>
      </c>
      <c r="F64" s="35">
        <f t="shared" si="25"/>
        <v>181003.7289982377</v>
      </c>
      <c r="G64" s="35">
        <f t="shared" si="25"/>
        <v>192049.72925214737</v>
      </c>
      <c r="H64" s="35">
        <f t="shared" si="25"/>
        <v>201460.67699564621</v>
      </c>
      <c r="I64" s="35">
        <f t="shared" si="25"/>
        <v>209229.47571913686</v>
      </c>
      <c r="J64" s="35">
        <f t="shared" si="25"/>
        <v>215348.64317168994</v>
      </c>
      <c r="K64" s="35">
        <f t="shared" si="25"/>
        <v>219810.30297084351</v>
      </c>
      <c r="L64" s="35">
        <f t="shared" si="25"/>
        <v>222606.17595739343</v>
      </c>
      <c r="M64" s="35">
        <f t="shared" si="25"/>
        <v>223727.57128726144</v>
      </c>
      <c r="N64" s="35">
        <f t="shared" si="25"/>
        <v>223165.37725223287</v>
      </c>
      <c r="R64" s="78"/>
      <c r="S64" s="68"/>
      <c r="T64" s="60"/>
      <c r="U64" s="60"/>
      <c r="V64" s="60"/>
      <c r="W64" s="60"/>
      <c r="X64" s="68"/>
      <c r="Y64" s="60"/>
      <c r="Z64" s="60"/>
      <c r="AA64" s="60"/>
      <c r="AB64" s="61"/>
    </row>
    <row r="65" spans="1:28" x14ac:dyDescent="0.25">
      <c r="D65" s="34"/>
      <c r="E65" s="34"/>
      <c r="F65" s="34"/>
      <c r="G65" s="34"/>
      <c r="H65" s="37"/>
      <c r="I65" s="37"/>
      <c r="J65" s="37"/>
      <c r="K65" s="37"/>
      <c r="L65" s="37"/>
      <c r="M65" s="37"/>
      <c r="N65" s="37"/>
      <c r="R65" s="71">
        <f>SUM(R60:R63)</f>
        <v>176007.43131872459</v>
      </c>
      <c r="S65" s="72">
        <f>SUM(S60:S64)</f>
        <v>1</v>
      </c>
      <c r="T65" s="73"/>
      <c r="U65" s="73"/>
      <c r="V65" s="74">
        <f>SUM(V60:V64)</f>
        <v>5.2144993808868917E-2</v>
      </c>
      <c r="W65" s="75" t="s">
        <v>49</v>
      </c>
      <c r="X65" s="72">
        <f>SUM(X60:X64)</f>
        <v>1</v>
      </c>
      <c r="Y65" s="73"/>
      <c r="Z65" s="73"/>
      <c r="AA65" s="74">
        <f>SUM(AA60:AA64)</f>
        <v>5.3185185405546918E-2</v>
      </c>
      <c r="AB65" s="76" t="s">
        <v>49</v>
      </c>
    </row>
    <row r="66" spans="1:28" x14ac:dyDescent="0.25">
      <c r="B66" t="s">
        <v>16</v>
      </c>
      <c r="D66" s="34">
        <f>D55-D64</f>
        <v>-0.22121737463749014</v>
      </c>
      <c r="E66" s="34">
        <f t="shared" ref="E66:N66" si="26">E55-E64</f>
        <v>-0.3103701516520232</v>
      </c>
      <c r="F66" s="34">
        <f t="shared" si="26"/>
        <v>-0.3210285849054344</v>
      </c>
      <c r="G66" s="34">
        <f t="shared" si="26"/>
        <v>0.39621299717691727</v>
      </c>
      <c r="H66" s="35">
        <f t="shared" si="26"/>
        <v>7.0807039068313316E-2</v>
      </c>
      <c r="I66" s="35">
        <f t="shared" si="26"/>
        <v>-0.46357073987019248</v>
      </c>
      <c r="J66" s="35">
        <f t="shared" si="26"/>
        <v>0.25670814714976586</v>
      </c>
      <c r="K66" s="35">
        <f t="shared" si="26"/>
        <v>0.35261962076765485</v>
      </c>
      <c r="L66" s="35">
        <f t="shared" si="26"/>
        <v>-0.36833228004979901</v>
      </c>
      <c r="M66" s="35">
        <f t="shared" si="26"/>
        <v>-0.38101852167164907</v>
      </c>
      <c r="N66" s="35">
        <f t="shared" si="26"/>
        <v>-0.39652233460219577</v>
      </c>
    </row>
    <row r="67" spans="1:28" x14ac:dyDescent="0.25">
      <c r="D67" s="79"/>
      <c r="E67" s="79"/>
      <c r="F67" s="79"/>
      <c r="G67" s="79"/>
      <c r="H67" s="80"/>
      <c r="I67" s="80"/>
      <c r="J67" s="80"/>
      <c r="K67" s="80"/>
      <c r="L67" s="80"/>
      <c r="M67" s="80"/>
      <c r="N67" s="80"/>
    </row>
    <row r="68" spans="1:28" x14ac:dyDescent="0.25">
      <c r="D68" s="79"/>
      <c r="E68" s="79"/>
      <c r="F68" s="79"/>
      <c r="G68" s="79"/>
      <c r="H68" s="80"/>
      <c r="I68" s="80"/>
      <c r="J68" s="80"/>
      <c r="K68" s="80"/>
      <c r="L68" s="80"/>
      <c r="M68" s="80"/>
      <c r="N68" s="80"/>
    </row>
    <row r="69" spans="1:28" x14ac:dyDescent="0.25">
      <c r="A69" s="115"/>
      <c r="B69" s="116" t="s">
        <v>93</v>
      </c>
      <c r="C69" s="115"/>
      <c r="D69" s="115"/>
      <c r="E69" s="117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</row>
    <row r="70" spans="1:28" x14ac:dyDescent="0.25">
      <c r="A70" s="115" t="s">
        <v>53</v>
      </c>
      <c r="B70" s="115"/>
      <c r="C70" s="115"/>
      <c r="D70" s="115"/>
      <c r="E70" s="117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</row>
    <row r="71" spans="1:28" x14ac:dyDescent="0.25">
      <c r="A71" s="115"/>
      <c r="B71" s="115" t="s">
        <v>54</v>
      </c>
      <c r="C71" s="118">
        <v>0.1</v>
      </c>
      <c r="D71" s="119">
        <f>D109*(1+$C$71)</f>
        <v>39442.591887254879</v>
      </c>
      <c r="E71" s="119">
        <f t="shared" ref="E71:N71" si="27">E109*(1+$C$71)</f>
        <v>37247.138096127448</v>
      </c>
      <c r="F71" s="119">
        <f t="shared" si="27"/>
        <v>34325.2109641887</v>
      </c>
      <c r="G71" s="119">
        <f t="shared" si="27"/>
        <v>31394.053098059656</v>
      </c>
      <c r="H71" s="119">
        <f t="shared" si="27"/>
        <v>28453.093616066944</v>
      </c>
      <c r="I71" s="119">
        <f t="shared" si="27"/>
        <v>25501.751839684854</v>
      </c>
      <c r="J71" s="119">
        <f t="shared" si="27"/>
        <v>22539.43705897118</v>
      </c>
      <c r="K71" s="119">
        <f t="shared" si="27"/>
        <v>19565.548293474454</v>
      </c>
      <c r="L71" s="119">
        <f t="shared" si="27"/>
        <v>16579.47404851715</v>
      </c>
      <c r="M71" s="119">
        <f t="shared" si="27"/>
        <v>13580.592066759635</v>
      </c>
      <c r="N71" s="119">
        <f t="shared" si="27"/>
        <v>10568.269074944506</v>
      </c>
      <c r="O71" s="115"/>
      <c r="P71" s="115"/>
    </row>
    <row r="72" spans="1:28" x14ac:dyDescent="0.25">
      <c r="A72" s="115"/>
      <c r="B72" s="115" t="s">
        <v>55</v>
      </c>
      <c r="C72" s="115"/>
      <c r="D72" s="119">
        <f>D35</f>
        <v>3333.3333333333335</v>
      </c>
      <c r="E72" s="119">
        <f t="shared" ref="E72:N72" si="28">E35</f>
        <v>3333.3333333333335</v>
      </c>
      <c r="F72" s="119">
        <f t="shared" si="28"/>
        <v>3333.3333333333335</v>
      </c>
      <c r="G72" s="119">
        <f t="shared" si="28"/>
        <v>3333.3333333333335</v>
      </c>
      <c r="H72" s="119">
        <f t="shared" si="28"/>
        <v>3333.3333333333335</v>
      </c>
      <c r="I72" s="119">
        <f t="shared" si="28"/>
        <v>3333.3333333333335</v>
      </c>
      <c r="J72" s="119">
        <f t="shared" si="28"/>
        <v>3333.3333333333335</v>
      </c>
      <c r="K72" s="119">
        <f t="shared" si="28"/>
        <v>3333.3333333333335</v>
      </c>
      <c r="L72" s="119">
        <f t="shared" si="28"/>
        <v>3333.3333333333335</v>
      </c>
      <c r="M72" s="119">
        <f t="shared" si="28"/>
        <v>3333.3333333333335</v>
      </c>
      <c r="N72" s="119">
        <f t="shared" si="28"/>
        <v>3333.3333333333335</v>
      </c>
      <c r="O72" s="115"/>
      <c r="P72" s="115"/>
    </row>
    <row r="73" spans="1:28" x14ac:dyDescent="0.25">
      <c r="A73" s="115"/>
      <c r="B73" s="115" t="s">
        <v>56</v>
      </c>
      <c r="C73" s="115"/>
      <c r="D73" s="119">
        <f>D71-D72</f>
        <v>36109.258553921543</v>
      </c>
      <c r="E73" s="119">
        <f>E71-E72</f>
        <v>33913.804762794112</v>
      </c>
      <c r="F73" s="119">
        <f t="shared" ref="F73:N73" si="29">F71-F72</f>
        <v>30991.877630855368</v>
      </c>
      <c r="G73" s="119">
        <f t="shared" si="29"/>
        <v>28060.719764726324</v>
      </c>
      <c r="H73" s="119">
        <f t="shared" si="29"/>
        <v>25119.760282733612</v>
      </c>
      <c r="I73" s="119">
        <f t="shared" si="29"/>
        <v>22168.418506351522</v>
      </c>
      <c r="J73" s="119">
        <f t="shared" si="29"/>
        <v>19206.103725637848</v>
      </c>
      <c r="K73" s="119">
        <f t="shared" si="29"/>
        <v>16232.21496014112</v>
      </c>
      <c r="L73" s="119">
        <f t="shared" si="29"/>
        <v>13246.140715183816</v>
      </c>
      <c r="M73" s="119">
        <f t="shared" si="29"/>
        <v>10247.258733426301</v>
      </c>
      <c r="N73" s="119">
        <f t="shared" si="29"/>
        <v>7234.9357416111725</v>
      </c>
      <c r="O73" s="115"/>
      <c r="P73" s="115"/>
    </row>
    <row r="74" spans="1:28" x14ac:dyDescent="0.25">
      <c r="A74" s="115"/>
      <c r="B74" s="115" t="s">
        <v>57</v>
      </c>
      <c r="C74" s="115"/>
      <c r="D74" s="120">
        <f>D73*$C$39</f>
        <v>14443.703421568618</v>
      </c>
      <c r="E74" s="120">
        <f t="shared" ref="E74:N74" si="30">E73*$C$39</f>
        <v>13565.521905117646</v>
      </c>
      <c r="F74" s="120">
        <f t="shared" si="30"/>
        <v>12396.751052342148</v>
      </c>
      <c r="G74" s="120">
        <f t="shared" si="30"/>
        <v>11224.287905890531</v>
      </c>
      <c r="H74" s="120">
        <f t="shared" si="30"/>
        <v>10047.904113093446</v>
      </c>
      <c r="I74" s="120">
        <f t="shared" si="30"/>
        <v>8867.367402540609</v>
      </c>
      <c r="J74" s="120">
        <f t="shared" si="30"/>
        <v>7682.4414902551398</v>
      </c>
      <c r="K74" s="120">
        <f t="shared" si="30"/>
        <v>6492.8859840564483</v>
      </c>
      <c r="L74" s="120">
        <f t="shared" si="30"/>
        <v>5298.4562860735268</v>
      </c>
      <c r="M74" s="120">
        <f t="shared" si="30"/>
        <v>4098.9034933705207</v>
      </c>
      <c r="N74" s="120">
        <f t="shared" si="30"/>
        <v>2893.9742966444692</v>
      </c>
      <c r="O74" s="115"/>
      <c r="P74" s="115"/>
    </row>
    <row r="75" spans="1:28" x14ac:dyDescent="0.25">
      <c r="A75" s="115"/>
      <c r="B75" s="115" t="s">
        <v>58</v>
      </c>
      <c r="C75" s="115"/>
      <c r="D75" s="120">
        <f>D71-D74</f>
        <v>24998.888465686261</v>
      </c>
      <c r="E75" s="120">
        <f>E71-E74</f>
        <v>23681.616191009802</v>
      </c>
      <c r="F75" s="120">
        <f t="shared" ref="F75:N75" si="31">F71-F74</f>
        <v>21928.459911846552</v>
      </c>
      <c r="G75" s="120">
        <f t="shared" si="31"/>
        <v>20169.765192169125</v>
      </c>
      <c r="H75" s="120">
        <f t="shared" si="31"/>
        <v>18405.189502973499</v>
      </c>
      <c r="I75" s="120">
        <f t="shared" si="31"/>
        <v>16634.384437144246</v>
      </c>
      <c r="J75" s="120">
        <f t="shared" si="31"/>
        <v>14856.99556871604</v>
      </c>
      <c r="K75" s="120">
        <f t="shared" si="31"/>
        <v>13072.662309418007</v>
      </c>
      <c r="L75" s="120">
        <f t="shared" si="31"/>
        <v>11281.017762443622</v>
      </c>
      <c r="M75" s="120">
        <f t="shared" si="31"/>
        <v>9481.688573389114</v>
      </c>
      <c r="N75" s="120">
        <f t="shared" si="31"/>
        <v>7674.2947783000373</v>
      </c>
      <c r="O75" s="115"/>
      <c r="P75" s="115"/>
    </row>
    <row r="76" spans="1:28" x14ac:dyDescent="0.25">
      <c r="A76" s="115"/>
      <c r="B76" s="115"/>
      <c r="C76" s="115"/>
      <c r="D76" s="115"/>
      <c r="E76" s="117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</row>
    <row r="77" spans="1:28" x14ac:dyDescent="0.25">
      <c r="A77" s="115" t="s">
        <v>59</v>
      </c>
      <c r="B77" s="115"/>
      <c r="C77" s="115"/>
      <c r="D77" s="115"/>
      <c r="E77" s="117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</row>
    <row r="78" spans="1:28" x14ac:dyDescent="0.25">
      <c r="A78" s="121" t="s">
        <v>60</v>
      </c>
      <c r="B78" s="115" t="s">
        <v>61</v>
      </c>
      <c r="C78" s="119">
        <f>C116</f>
        <v>-4999.92</v>
      </c>
      <c r="D78" s="119">
        <f t="shared" ref="D78:N78" si="32">D116</f>
        <v>-400</v>
      </c>
      <c r="E78" s="119">
        <f t="shared" si="32"/>
        <v>-432</v>
      </c>
      <c r="F78" s="119">
        <f t="shared" si="32"/>
        <v>-466.5600000000004</v>
      </c>
      <c r="G78" s="119">
        <f t="shared" si="32"/>
        <v>-503.88480000000072</v>
      </c>
      <c r="H78" s="119">
        <f t="shared" si="32"/>
        <v>-544.19558400000096</v>
      </c>
      <c r="I78" s="119">
        <f t="shared" si="32"/>
        <v>-587.73123072000089</v>
      </c>
      <c r="J78" s="119">
        <f t="shared" si="32"/>
        <v>-634.74972917760169</v>
      </c>
      <c r="K78" s="119">
        <f t="shared" si="32"/>
        <v>-685.52970751180874</v>
      </c>
      <c r="L78" s="119">
        <f t="shared" si="32"/>
        <v>-740.37208411275424</v>
      </c>
      <c r="M78" s="119">
        <f t="shared" si="32"/>
        <v>-799.60185084177465</v>
      </c>
      <c r="N78" s="119">
        <f t="shared" si="32"/>
        <v>10794.624986363942</v>
      </c>
      <c r="O78" s="118"/>
      <c r="P78" s="115"/>
    </row>
    <row r="79" spans="1:28" x14ac:dyDescent="0.25">
      <c r="A79" s="121" t="s">
        <v>60</v>
      </c>
      <c r="B79" s="115" t="s">
        <v>27</v>
      </c>
      <c r="C79" s="119">
        <f>C117</f>
        <v>-8795.3384434595755</v>
      </c>
      <c r="D79" s="119">
        <f t="shared" ref="D79:N79" si="33">D117</f>
        <v>-87.953384434596956</v>
      </c>
      <c r="E79" s="119">
        <f t="shared" si="33"/>
        <v>-88.832918278942088</v>
      </c>
      <c r="F79" s="119">
        <f t="shared" si="33"/>
        <v>-89.721247461729945</v>
      </c>
      <c r="G79" s="119">
        <f t="shared" si="33"/>
        <v>-90.61845993634779</v>
      </c>
      <c r="H79" s="119">
        <f t="shared" si="33"/>
        <v>-91.524644535711559</v>
      </c>
      <c r="I79" s="119">
        <f t="shared" si="33"/>
        <v>-92.439890981069766</v>
      </c>
      <c r="J79" s="119">
        <f t="shared" si="33"/>
        <v>-93.364289890880173</v>
      </c>
      <c r="K79" s="119">
        <f t="shared" si="33"/>
        <v>-94.297932789788319</v>
      </c>
      <c r="L79" s="119">
        <f t="shared" si="33"/>
        <v>-95.240912117686094</v>
      </c>
      <c r="M79" s="119">
        <f t="shared" si="33"/>
        <v>-96.193321238864883</v>
      </c>
      <c r="N79" s="119">
        <f t="shared" si="33"/>
        <v>9708.5254451251931</v>
      </c>
      <c r="O79" s="115"/>
      <c r="P79" s="115"/>
    </row>
    <row r="80" spans="1:28" x14ac:dyDescent="0.25">
      <c r="A80" s="121" t="s">
        <v>60</v>
      </c>
      <c r="B80" s="115" t="s">
        <v>23</v>
      </c>
      <c r="C80" s="119">
        <f>C118</f>
        <v>-31979.850580419021</v>
      </c>
      <c r="D80" s="119">
        <f t="shared" ref="D80:N80" si="34">D118</f>
        <v>649.19096678251299</v>
      </c>
      <c r="E80" s="119">
        <f t="shared" si="34"/>
        <v>636.01239015681858</v>
      </c>
      <c r="F80" s="119">
        <f t="shared" si="34"/>
        <v>623.10133863664305</v>
      </c>
      <c r="G80" s="119">
        <f t="shared" si="34"/>
        <v>610.45238146231713</v>
      </c>
      <c r="H80" s="119">
        <f t="shared" si="34"/>
        <v>598.06019811863007</v>
      </c>
      <c r="I80" s="119">
        <f t="shared" si="34"/>
        <v>585.91957609681776</v>
      </c>
      <c r="J80" s="119">
        <f t="shared" si="34"/>
        <v>574.02540870205485</v>
      </c>
      <c r="K80" s="119">
        <f t="shared" si="34"/>
        <v>562.3726929054028</v>
      </c>
      <c r="L80" s="119">
        <f t="shared" si="34"/>
        <v>550.95652723942112</v>
      </c>
      <c r="M80" s="119">
        <f t="shared" si="34"/>
        <v>26589.759100318402</v>
      </c>
      <c r="N80" s="119">
        <f t="shared" si="34"/>
        <v>-0.03</v>
      </c>
      <c r="O80" s="115"/>
      <c r="P80" s="115"/>
    </row>
    <row r="81" spans="1:20" x14ac:dyDescent="0.25">
      <c r="A81" s="121"/>
      <c r="B81" s="115"/>
      <c r="C81" s="119"/>
      <c r="D81" s="119"/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15"/>
      <c r="P81" s="115"/>
    </row>
    <row r="82" spans="1:20" x14ac:dyDescent="0.25">
      <c r="A82" s="121"/>
      <c r="B82" s="115" t="s">
        <v>73</v>
      </c>
      <c r="C82" s="119">
        <f>C120</f>
        <v>-10000</v>
      </c>
      <c r="D82" s="119">
        <f t="shared" ref="D82:N82" si="35">D120</f>
        <v>0</v>
      </c>
      <c r="E82" s="119">
        <f t="shared" si="35"/>
        <v>0</v>
      </c>
      <c r="F82" s="119">
        <f t="shared" si="35"/>
        <v>0</v>
      </c>
      <c r="G82" s="119">
        <f t="shared" si="35"/>
        <v>0</v>
      </c>
      <c r="H82" s="119">
        <f t="shared" si="35"/>
        <v>0</v>
      </c>
      <c r="I82" s="119">
        <f t="shared" si="35"/>
        <v>0</v>
      </c>
      <c r="J82" s="119">
        <f t="shared" si="35"/>
        <v>0</v>
      </c>
      <c r="K82" s="119">
        <f t="shared" si="35"/>
        <v>0</v>
      </c>
      <c r="L82" s="119">
        <f t="shared" si="35"/>
        <v>0</v>
      </c>
      <c r="M82" s="119">
        <f t="shared" si="35"/>
        <v>0</v>
      </c>
      <c r="N82" s="119">
        <f t="shared" si="35"/>
        <v>10000</v>
      </c>
      <c r="O82" s="122" t="s">
        <v>96</v>
      </c>
      <c r="P82" s="118">
        <v>0.01</v>
      </c>
    </row>
    <row r="83" spans="1:20" x14ac:dyDescent="0.25">
      <c r="A83" s="121"/>
      <c r="B83" s="115" t="s">
        <v>74</v>
      </c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>
        <f>P82*N82</f>
        <v>100</v>
      </c>
      <c r="O83" s="122" t="s">
        <v>97</v>
      </c>
      <c r="P83" s="119">
        <f>D52</f>
        <v>10000</v>
      </c>
    </row>
    <row r="84" spans="1:20" x14ac:dyDescent="0.25">
      <c r="A84" s="121"/>
      <c r="B84" s="115" t="s">
        <v>63</v>
      </c>
      <c r="C84" s="119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>
        <f>IF(P84&lt;0,0,-(P84*$C$39))</f>
        <v>-40</v>
      </c>
      <c r="O84" s="122" t="s">
        <v>98</v>
      </c>
      <c r="P84" s="119">
        <f>(N82+N83)-P83</f>
        <v>100</v>
      </c>
    </row>
    <row r="85" spans="1:20" x14ac:dyDescent="0.25">
      <c r="A85" s="121"/>
      <c r="B85" s="115"/>
      <c r="C85" s="119"/>
      <c r="D85" s="119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22"/>
      <c r="P85" s="119"/>
    </row>
    <row r="86" spans="1:20" x14ac:dyDescent="0.25">
      <c r="A86" s="115"/>
      <c r="B86" s="115" t="s">
        <v>5</v>
      </c>
      <c r="C86" s="119">
        <v>-100000</v>
      </c>
      <c r="D86" s="119">
        <f t="shared" ref="D86:M86" si="36">D120</f>
        <v>0</v>
      </c>
      <c r="E86" s="119">
        <f t="shared" si="36"/>
        <v>0</v>
      </c>
      <c r="F86" s="119">
        <f t="shared" si="36"/>
        <v>0</v>
      </c>
      <c r="G86" s="119">
        <f t="shared" si="36"/>
        <v>0</v>
      </c>
      <c r="H86" s="119">
        <f t="shared" si="36"/>
        <v>0</v>
      </c>
      <c r="I86" s="119">
        <f t="shared" si="36"/>
        <v>0</v>
      </c>
      <c r="J86" s="119">
        <f t="shared" si="36"/>
        <v>0</v>
      </c>
      <c r="K86" s="119">
        <f t="shared" si="36"/>
        <v>0</v>
      </c>
      <c r="L86" s="119">
        <f t="shared" si="36"/>
        <v>0</v>
      </c>
      <c r="M86" s="119">
        <f t="shared" si="36"/>
        <v>0</v>
      </c>
      <c r="N86" s="119">
        <v>100000</v>
      </c>
      <c r="O86" s="122" t="s">
        <v>96</v>
      </c>
      <c r="P86" s="118">
        <v>-0.5</v>
      </c>
    </row>
    <row r="87" spans="1:20" x14ac:dyDescent="0.25">
      <c r="A87" s="115"/>
      <c r="B87" s="115" t="s">
        <v>62</v>
      </c>
      <c r="C87" s="115"/>
      <c r="D87" s="115"/>
      <c r="E87" s="117"/>
      <c r="F87" s="115"/>
      <c r="G87" s="115"/>
      <c r="H87" s="115"/>
      <c r="I87" s="115"/>
      <c r="J87" s="115"/>
      <c r="K87" s="118"/>
      <c r="L87" s="123"/>
      <c r="M87" s="123"/>
      <c r="N87" s="124">
        <f>P86*N86</f>
        <v>-50000</v>
      </c>
      <c r="O87" s="115" t="s">
        <v>97</v>
      </c>
      <c r="P87" s="119">
        <f>N53-N54</f>
        <v>63333.333333333336</v>
      </c>
    </row>
    <row r="88" spans="1:20" x14ac:dyDescent="0.25">
      <c r="A88" s="115"/>
      <c r="B88" s="115" t="s">
        <v>63</v>
      </c>
      <c r="C88" s="115"/>
      <c r="D88" s="115"/>
      <c r="E88" s="117"/>
      <c r="F88" s="115"/>
      <c r="G88" s="115"/>
      <c r="H88" s="115"/>
      <c r="I88" s="115"/>
      <c r="J88" s="115"/>
      <c r="K88" s="118"/>
      <c r="L88" s="123"/>
      <c r="M88" s="123"/>
      <c r="N88" s="119">
        <f>IF(P88&lt;0,0,-(P88*$C$39))</f>
        <v>0</v>
      </c>
      <c r="O88" s="122" t="s">
        <v>98</v>
      </c>
      <c r="P88" s="119">
        <f>(N86+N87)-P87</f>
        <v>-13333.333333333336</v>
      </c>
    </row>
    <row r="89" spans="1:20" x14ac:dyDescent="0.25">
      <c r="A89" s="115"/>
      <c r="B89" s="115"/>
      <c r="C89" s="115"/>
      <c r="D89" s="115"/>
      <c r="E89" s="117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</row>
    <row r="90" spans="1:20" x14ac:dyDescent="0.25">
      <c r="A90" s="115"/>
      <c r="B90" s="115" t="s">
        <v>102</v>
      </c>
      <c r="C90" s="119"/>
      <c r="D90" s="119">
        <v>0</v>
      </c>
      <c r="E90" s="119">
        <v>0</v>
      </c>
      <c r="F90" s="119">
        <v>0</v>
      </c>
      <c r="G90" s="119">
        <f>10000*(1+$Q$90)</f>
        <v>11200.000000000002</v>
      </c>
      <c r="H90" s="119">
        <f>G90*(1+$Q$90)</f>
        <v>12544.000000000004</v>
      </c>
      <c r="I90" s="119">
        <f t="shared" ref="I90:L90" si="37">H90*(1+$Q$90)</f>
        <v>14049.280000000006</v>
      </c>
      <c r="J90" s="119">
        <f t="shared" si="37"/>
        <v>15735.193600000008</v>
      </c>
      <c r="K90" s="119">
        <f t="shared" si="37"/>
        <v>17623.41683200001</v>
      </c>
      <c r="L90" s="119">
        <f t="shared" si="37"/>
        <v>19738.226851840012</v>
      </c>
      <c r="M90" s="119">
        <f>L90*(1+$Q$90)</f>
        <v>22106.814074060814</v>
      </c>
      <c r="N90" s="119"/>
      <c r="O90" s="115"/>
      <c r="P90" s="115"/>
      <c r="Q90" s="1">
        <v>0.12</v>
      </c>
    </row>
    <row r="91" spans="1:20" x14ac:dyDescent="0.25">
      <c r="A91" s="115"/>
      <c r="B91" s="115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>
        <v>60000</v>
      </c>
      <c r="O91" s="122" t="s">
        <v>96</v>
      </c>
      <c r="P91" s="118">
        <v>0</v>
      </c>
      <c r="Q91" s="1"/>
    </row>
    <row r="92" spans="1:20" x14ac:dyDescent="0.25">
      <c r="A92" s="115"/>
      <c r="B92" s="115"/>
      <c r="C92" s="119"/>
      <c r="D92" s="119"/>
      <c r="E92" s="119"/>
      <c r="F92" s="119">
        <v>-60000</v>
      </c>
      <c r="G92" s="119"/>
      <c r="H92" s="119"/>
      <c r="I92" s="119"/>
      <c r="J92" s="119"/>
      <c r="K92" s="119"/>
      <c r="L92" s="119"/>
      <c r="M92" s="119"/>
      <c r="N92" s="124">
        <f>N91*P91</f>
        <v>0</v>
      </c>
      <c r="O92" s="115" t="s">
        <v>97</v>
      </c>
      <c r="P92" s="119">
        <f>N91-T92</f>
        <v>46000</v>
      </c>
      <c r="R92" t="s">
        <v>105</v>
      </c>
      <c r="S92" s="38">
        <f>N91/30</f>
        <v>2000</v>
      </c>
      <c r="T92" s="38">
        <f>S92*7</f>
        <v>14000</v>
      </c>
    </row>
    <row r="93" spans="1:20" x14ac:dyDescent="0.25">
      <c r="A93" s="115"/>
      <c r="B93" s="115" t="s">
        <v>101</v>
      </c>
      <c r="C93" s="115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>
        <f>IF(P93&lt;0,0,-(P93*$C$39))</f>
        <v>-5600</v>
      </c>
      <c r="O93" s="122" t="s">
        <v>98</v>
      </c>
      <c r="P93" s="119">
        <f>(N91+N92)-P92</f>
        <v>14000</v>
      </c>
    </row>
    <row r="94" spans="1:20" x14ac:dyDescent="0.25">
      <c r="A94" s="115"/>
      <c r="B94" s="119">
        <f>NPV(V65,D90:N90)</f>
        <v>77772.875384414438</v>
      </c>
      <c r="C94" s="115"/>
      <c r="D94" s="115"/>
      <c r="E94" s="117"/>
      <c r="F94" s="115"/>
      <c r="G94" s="115"/>
      <c r="H94" s="115"/>
      <c r="I94" s="115"/>
      <c r="J94" s="115"/>
      <c r="K94" s="118"/>
      <c r="L94" s="123"/>
      <c r="M94" s="123"/>
      <c r="N94" s="124"/>
      <c r="O94" s="115"/>
      <c r="P94" s="119"/>
    </row>
    <row r="95" spans="1:20" x14ac:dyDescent="0.25">
      <c r="A95" s="115"/>
      <c r="B95" s="115"/>
      <c r="C95" s="115"/>
      <c r="D95" s="115"/>
      <c r="E95" s="117"/>
      <c r="F95" s="115"/>
      <c r="G95" s="115"/>
      <c r="H95" s="115"/>
      <c r="I95" s="115"/>
      <c r="J95" s="115"/>
      <c r="K95" s="118"/>
      <c r="L95" s="123"/>
      <c r="M95" s="123"/>
      <c r="N95" s="124"/>
      <c r="O95" s="122"/>
      <c r="P95" s="119"/>
    </row>
    <row r="96" spans="1:20" x14ac:dyDescent="0.25">
      <c r="A96" s="115"/>
      <c r="B96" s="115"/>
      <c r="C96" s="115"/>
      <c r="D96" s="115"/>
      <c r="E96" s="117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</row>
    <row r="97" spans="1:16" x14ac:dyDescent="0.25">
      <c r="A97" s="115"/>
      <c r="B97" s="115" t="s">
        <v>41</v>
      </c>
      <c r="C97" s="119">
        <f>C128</f>
        <v>23747.413797340858</v>
      </c>
      <c r="D97" s="119">
        <f t="shared" ref="D97:N97" si="38">D128</f>
        <v>237.47413797340778</v>
      </c>
      <c r="E97" s="119">
        <f t="shared" si="38"/>
        <v>239.84887935313964</v>
      </c>
      <c r="F97" s="119">
        <f t="shared" si="38"/>
        <v>242.24736814667631</v>
      </c>
      <c r="G97" s="119">
        <f t="shared" si="38"/>
        <v>244.66984182813758</v>
      </c>
      <c r="H97" s="119">
        <f t="shared" si="38"/>
        <v>247.11654024642121</v>
      </c>
      <c r="I97" s="119">
        <f t="shared" si="38"/>
        <v>249.58770564888619</v>
      </c>
      <c r="J97" s="119">
        <f t="shared" si="38"/>
        <v>252.08358270537792</v>
      </c>
      <c r="K97" s="119">
        <f t="shared" si="38"/>
        <v>254.6044185324281</v>
      </c>
      <c r="L97" s="119">
        <f t="shared" si="38"/>
        <v>257.15046271775645</v>
      </c>
      <c r="M97" s="119">
        <f t="shared" si="38"/>
        <v>259.721967344929</v>
      </c>
      <c r="N97" s="119">
        <f t="shared" si="38"/>
        <v>-26201.918701838018</v>
      </c>
      <c r="O97" s="115"/>
      <c r="P97" s="115"/>
    </row>
    <row r="98" spans="1:16" x14ac:dyDescent="0.25">
      <c r="A98" s="115"/>
      <c r="B98" s="115" t="s">
        <v>64</v>
      </c>
      <c r="C98" s="119">
        <f>C129</f>
        <v>13009.427352941169</v>
      </c>
      <c r="D98" s="119">
        <f t="shared" ref="D98:N98" si="39">D129</f>
        <v>-798.34683313724781</v>
      </c>
      <c r="E98" s="119">
        <f t="shared" si="39"/>
        <v>-1062.518957068638</v>
      </c>
      <c r="F98" s="119">
        <f t="shared" si="39"/>
        <v>-1065.8755876832874</v>
      </c>
      <c r="G98" s="119">
        <f t="shared" si="39"/>
        <v>-1069.4398116337143</v>
      </c>
      <c r="H98" s="119">
        <f t="shared" si="39"/>
        <v>-1073.2151914116685</v>
      </c>
      <c r="I98" s="119">
        <f t="shared" si="39"/>
        <v>-1077.2053748049721</v>
      </c>
      <c r="J98" s="119">
        <f t="shared" si="39"/>
        <v>-1081.4140965442639</v>
      </c>
      <c r="K98" s="119">
        <f t="shared" si="39"/>
        <v>-1085.8451799844743</v>
      </c>
      <c r="L98" s="119">
        <f t="shared" si="39"/>
        <v>-1090.5025388209151</v>
      </c>
      <c r="M98" s="119">
        <f t="shared" si="39"/>
        <v>-1095.3901788418648</v>
      </c>
      <c r="N98" s="119">
        <f t="shared" si="39"/>
        <v>-2509.6736030101233</v>
      </c>
      <c r="O98" s="115"/>
      <c r="P98" s="115"/>
    </row>
    <row r="99" spans="1:16" x14ac:dyDescent="0.25">
      <c r="A99" s="115"/>
      <c r="B99" s="115"/>
      <c r="C99" s="115"/>
      <c r="D99" s="115"/>
      <c r="E99" s="117"/>
      <c r="F99" s="115"/>
      <c r="G99" s="115"/>
      <c r="H99" s="115"/>
      <c r="I99" s="115"/>
      <c r="J99" s="125"/>
      <c r="K99" s="115"/>
      <c r="L99" s="115"/>
      <c r="M99" s="123"/>
      <c r="N99" s="115"/>
      <c r="O99" s="115"/>
      <c r="P99" s="115"/>
    </row>
    <row r="100" spans="1:16" x14ac:dyDescent="0.25">
      <c r="A100" s="115"/>
      <c r="B100" s="116" t="s">
        <v>65</v>
      </c>
      <c r="C100" s="126">
        <f t="shared" ref="C100:M100" si="40">SUM(C75:C98)</f>
        <v>-119018.26787359656</v>
      </c>
      <c r="D100" s="126">
        <f t="shared" si="40"/>
        <v>24599.253352870335</v>
      </c>
      <c r="E100" s="126">
        <f t="shared" si="40"/>
        <v>22974.12558517218</v>
      </c>
      <c r="F100" s="126">
        <f t="shared" si="40"/>
        <v>-38828.348216515151</v>
      </c>
      <c r="G100" s="126">
        <f t="shared" si="40"/>
        <v>30560.944343889521</v>
      </c>
      <c r="H100" s="126">
        <f t="shared" si="40"/>
        <v>30085.430821391172</v>
      </c>
      <c r="I100" s="126">
        <f t="shared" si="40"/>
        <v>29761.795222383913</v>
      </c>
      <c r="J100" s="126">
        <f t="shared" si="40"/>
        <v>29608.770044510737</v>
      </c>
      <c r="K100" s="126">
        <f t="shared" si="40"/>
        <v>29647.383432569779</v>
      </c>
      <c r="L100" s="126">
        <f t="shared" si="40"/>
        <v>29901.236069189457</v>
      </c>
      <c r="M100" s="126">
        <f t="shared" si="40"/>
        <v>56446.798364190756</v>
      </c>
      <c r="N100" s="126">
        <f>SUM(N75:N98)</f>
        <v>113925.82290494104</v>
      </c>
      <c r="O100" s="115"/>
      <c r="P100" s="115"/>
    </row>
    <row r="101" spans="1:16" x14ac:dyDescent="0.25">
      <c r="B101" s="127" t="s">
        <v>66</v>
      </c>
      <c r="C101" s="128">
        <f>IRR(C100:N100)</f>
        <v>0.16036346567852311</v>
      </c>
    </row>
    <row r="102" spans="1:16" x14ac:dyDescent="0.25">
      <c r="B102" s="127" t="s">
        <v>67</v>
      </c>
      <c r="C102" s="129">
        <f>V65</f>
        <v>5.2144993808868917E-2</v>
      </c>
    </row>
    <row r="103" spans="1:16" x14ac:dyDescent="0.25">
      <c r="B103" s="116" t="s">
        <v>68</v>
      </c>
      <c r="C103" s="130">
        <f>NPV(C102,D100:N100)</f>
        <v>239500.93825157871</v>
      </c>
    </row>
    <row r="104" spans="1:16" x14ac:dyDescent="0.25">
      <c r="D104" s="31"/>
      <c r="E104" s="31"/>
      <c r="F104" s="31"/>
      <c r="G104" s="31"/>
    </row>
    <row r="105" spans="1:16" x14ac:dyDescent="0.25">
      <c r="D105" s="32"/>
      <c r="E105" s="32"/>
      <c r="F105" s="32"/>
      <c r="G105" s="32"/>
    </row>
    <row r="107" spans="1:16" x14ac:dyDescent="0.25">
      <c r="A107" s="146"/>
      <c r="B107" s="147" t="s">
        <v>94</v>
      </c>
      <c r="C107" s="146"/>
      <c r="D107" s="146"/>
      <c r="E107" s="148"/>
      <c r="F107" s="146"/>
      <c r="G107" s="146"/>
      <c r="H107" s="146"/>
      <c r="I107" s="146"/>
      <c r="J107" s="146"/>
      <c r="K107" s="146"/>
      <c r="L107" s="146"/>
      <c r="M107" s="146"/>
      <c r="N107" s="146"/>
      <c r="O107" s="146"/>
      <c r="P107" s="146"/>
    </row>
    <row r="108" spans="1:16" x14ac:dyDescent="0.25">
      <c r="A108" s="146"/>
      <c r="B108" s="146"/>
      <c r="C108" s="146"/>
      <c r="D108" s="146"/>
      <c r="E108" s="148"/>
      <c r="F108" s="146"/>
      <c r="G108" s="146"/>
      <c r="H108" s="146"/>
      <c r="I108" s="146"/>
      <c r="J108" s="146"/>
      <c r="K108" s="146"/>
      <c r="L108" s="146"/>
      <c r="M108" s="146"/>
      <c r="N108" s="146"/>
      <c r="O108" s="146"/>
      <c r="P108" s="146"/>
    </row>
    <row r="109" spans="1:16" x14ac:dyDescent="0.25">
      <c r="A109" s="146"/>
      <c r="B109" s="146" t="s">
        <v>54</v>
      </c>
      <c r="C109" s="146"/>
      <c r="D109" s="149">
        <f t="shared" ref="D109:N109" si="41">D25+D26-D28-D29-D30-D31-D32-D33-D34</f>
        <v>35856.901715686254</v>
      </c>
      <c r="E109" s="149">
        <f t="shared" si="41"/>
        <v>33861.034632843133</v>
      </c>
      <c r="F109" s="149">
        <f t="shared" si="41"/>
        <v>31204.73724017154</v>
      </c>
      <c r="G109" s="149">
        <f t="shared" si="41"/>
        <v>28540.048270963322</v>
      </c>
      <c r="H109" s="149">
        <f t="shared" si="41"/>
        <v>25866.448741879038</v>
      </c>
      <c r="I109" s="149">
        <f t="shared" si="41"/>
        <v>23183.410763349864</v>
      </c>
      <c r="J109" s="149">
        <f t="shared" si="41"/>
        <v>20490.397326337436</v>
      </c>
      <c r="K109" s="149">
        <f t="shared" si="41"/>
        <v>17786.862084976776</v>
      </c>
      <c r="L109" s="149">
        <f t="shared" si="41"/>
        <v>15072.249135015591</v>
      </c>
      <c r="M109" s="149">
        <f t="shared" si="41"/>
        <v>12345.992787963303</v>
      </c>
      <c r="N109" s="149">
        <f t="shared" si="41"/>
        <v>9607.5173408586415</v>
      </c>
      <c r="O109" s="146"/>
      <c r="P109" s="146"/>
    </row>
    <row r="110" spans="1:16" x14ac:dyDescent="0.25">
      <c r="A110" s="146"/>
      <c r="B110" s="146" t="s">
        <v>55</v>
      </c>
      <c r="C110" s="146"/>
      <c r="D110" s="149">
        <f t="shared" ref="D110:N110" si="42">D35</f>
        <v>3333.3333333333335</v>
      </c>
      <c r="E110" s="149">
        <f t="shared" si="42"/>
        <v>3333.3333333333335</v>
      </c>
      <c r="F110" s="149">
        <f t="shared" si="42"/>
        <v>3333.3333333333335</v>
      </c>
      <c r="G110" s="149">
        <f t="shared" si="42"/>
        <v>3333.3333333333335</v>
      </c>
      <c r="H110" s="149">
        <f t="shared" si="42"/>
        <v>3333.3333333333335</v>
      </c>
      <c r="I110" s="149">
        <f t="shared" si="42"/>
        <v>3333.3333333333335</v>
      </c>
      <c r="J110" s="149">
        <f t="shared" si="42"/>
        <v>3333.3333333333335</v>
      </c>
      <c r="K110" s="149">
        <f t="shared" si="42"/>
        <v>3333.3333333333335</v>
      </c>
      <c r="L110" s="149">
        <f t="shared" si="42"/>
        <v>3333.3333333333335</v>
      </c>
      <c r="M110" s="149">
        <f t="shared" si="42"/>
        <v>3333.3333333333335</v>
      </c>
      <c r="N110" s="149">
        <f t="shared" si="42"/>
        <v>3333.3333333333335</v>
      </c>
      <c r="O110" s="146"/>
      <c r="P110" s="146"/>
    </row>
    <row r="111" spans="1:16" x14ac:dyDescent="0.25">
      <c r="A111" s="146"/>
      <c r="B111" s="146" t="s">
        <v>56</v>
      </c>
      <c r="C111" s="146"/>
      <c r="D111" s="149">
        <f>D109-D110</f>
        <v>32523.568382352922</v>
      </c>
      <c r="E111" s="149">
        <f t="shared" ref="E111:N111" si="43">E109-E110</f>
        <v>30527.701299509801</v>
      </c>
      <c r="F111" s="149">
        <f t="shared" si="43"/>
        <v>27871.403906838208</v>
      </c>
      <c r="G111" s="149">
        <f t="shared" si="43"/>
        <v>25206.714937629989</v>
      </c>
      <c r="H111" s="149">
        <f t="shared" si="43"/>
        <v>22533.115408545706</v>
      </c>
      <c r="I111" s="149">
        <f t="shared" si="43"/>
        <v>19850.077430016532</v>
      </c>
      <c r="J111" s="149">
        <f t="shared" si="43"/>
        <v>17157.063993004103</v>
      </c>
      <c r="K111" s="149">
        <f t="shared" si="43"/>
        <v>14453.528751643442</v>
      </c>
      <c r="L111" s="149">
        <f t="shared" si="43"/>
        <v>11738.915801682257</v>
      </c>
      <c r="M111" s="149">
        <f t="shared" si="43"/>
        <v>9012.6594546299693</v>
      </c>
      <c r="N111" s="149">
        <f t="shared" si="43"/>
        <v>6274.1840075253076</v>
      </c>
      <c r="O111" s="146"/>
      <c r="P111" s="146"/>
    </row>
    <row r="112" spans="1:16" x14ac:dyDescent="0.25">
      <c r="A112" s="146" t="s">
        <v>59</v>
      </c>
      <c r="B112" s="146" t="s">
        <v>57</v>
      </c>
      <c r="C112" s="146"/>
      <c r="D112" s="150">
        <f>D111*$C$39</f>
        <v>13009.427352941169</v>
      </c>
      <c r="E112" s="150">
        <f t="shared" ref="E112:N112" si="44">E111*$C$39</f>
        <v>12211.080519803922</v>
      </c>
      <c r="F112" s="150">
        <f t="shared" si="44"/>
        <v>11148.561562735284</v>
      </c>
      <c r="G112" s="150">
        <f t="shared" si="44"/>
        <v>10082.685975051996</v>
      </c>
      <c r="H112" s="150">
        <f t="shared" si="44"/>
        <v>9013.2461634182819</v>
      </c>
      <c r="I112" s="150">
        <f t="shared" si="44"/>
        <v>7940.0309720066134</v>
      </c>
      <c r="J112" s="150">
        <f t="shared" si="44"/>
        <v>6862.8255972016414</v>
      </c>
      <c r="K112" s="150">
        <f t="shared" si="44"/>
        <v>5781.4115006573775</v>
      </c>
      <c r="L112" s="150">
        <f t="shared" si="44"/>
        <v>4695.5663206729032</v>
      </c>
      <c r="M112" s="150">
        <f t="shared" si="44"/>
        <v>3605.0637818519881</v>
      </c>
      <c r="N112" s="150">
        <f t="shared" si="44"/>
        <v>2509.6736030101233</v>
      </c>
      <c r="O112" s="146"/>
      <c r="P112" s="146"/>
    </row>
    <row r="113" spans="1:16" x14ac:dyDescent="0.25">
      <c r="A113" s="151" t="s">
        <v>60</v>
      </c>
      <c r="B113" s="146" t="s">
        <v>58</v>
      </c>
      <c r="C113" s="146"/>
      <c r="D113" s="150">
        <f>D109-D112</f>
        <v>22847.474362745084</v>
      </c>
      <c r="E113" s="150">
        <f t="shared" ref="E113:N113" si="45">E109-E112</f>
        <v>21649.95411303921</v>
      </c>
      <c r="F113" s="150">
        <f t="shared" si="45"/>
        <v>20056.175677436258</v>
      </c>
      <c r="G113" s="150">
        <f t="shared" si="45"/>
        <v>18457.362295911327</v>
      </c>
      <c r="H113" s="150">
        <f t="shared" si="45"/>
        <v>16853.202578460754</v>
      </c>
      <c r="I113" s="150">
        <f t="shared" si="45"/>
        <v>15243.37979134325</v>
      </c>
      <c r="J113" s="150">
        <f t="shared" si="45"/>
        <v>13627.571729135794</v>
      </c>
      <c r="K113" s="150">
        <f t="shared" si="45"/>
        <v>12005.450584319398</v>
      </c>
      <c r="L113" s="150">
        <f t="shared" si="45"/>
        <v>10376.682814342686</v>
      </c>
      <c r="M113" s="150">
        <f t="shared" si="45"/>
        <v>8740.9290061113152</v>
      </c>
      <c r="N113" s="150">
        <f t="shared" si="45"/>
        <v>7097.8437378485178</v>
      </c>
      <c r="O113" s="146"/>
      <c r="P113" s="146"/>
    </row>
    <row r="114" spans="1:16" x14ac:dyDescent="0.25">
      <c r="A114" s="151" t="s">
        <v>60</v>
      </c>
      <c r="B114" s="146"/>
      <c r="C114" s="146"/>
      <c r="D114" s="146"/>
      <c r="E114" s="148"/>
      <c r="F114" s="146"/>
      <c r="G114" s="146"/>
      <c r="H114" s="146"/>
      <c r="I114" s="146"/>
      <c r="J114" s="146"/>
      <c r="K114" s="146"/>
      <c r="L114" s="146"/>
      <c r="M114" s="146"/>
      <c r="N114" s="146"/>
      <c r="O114" s="146"/>
      <c r="P114" s="146"/>
    </row>
    <row r="115" spans="1:16" x14ac:dyDescent="0.25">
      <c r="A115" s="151" t="s">
        <v>60</v>
      </c>
      <c r="B115" s="146"/>
      <c r="C115" s="146"/>
      <c r="D115" s="146"/>
      <c r="E115" s="148"/>
      <c r="F115" s="146"/>
      <c r="G115" s="146"/>
      <c r="H115" s="146"/>
      <c r="I115" s="146"/>
      <c r="J115" s="146"/>
      <c r="K115" s="146"/>
      <c r="L115" s="146"/>
      <c r="M115" s="146"/>
      <c r="N115" s="146"/>
      <c r="O115" s="146"/>
      <c r="P115" s="146"/>
    </row>
    <row r="116" spans="1:16" x14ac:dyDescent="0.25">
      <c r="A116" s="151"/>
      <c r="B116" s="146" t="s">
        <v>61</v>
      </c>
      <c r="C116" s="149">
        <f t="shared" ref="C116:N116" si="46">-(D47-C47)</f>
        <v>-4999.92</v>
      </c>
      <c r="D116" s="149">
        <f t="shared" si="46"/>
        <v>-400</v>
      </c>
      <c r="E116" s="149">
        <f t="shared" si="46"/>
        <v>-432</v>
      </c>
      <c r="F116" s="149">
        <f t="shared" si="46"/>
        <v>-466.5600000000004</v>
      </c>
      <c r="G116" s="149">
        <f t="shared" si="46"/>
        <v>-503.88480000000072</v>
      </c>
      <c r="H116" s="149">
        <f t="shared" si="46"/>
        <v>-544.19558400000096</v>
      </c>
      <c r="I116" s="149">
        <f t="shared" si="46"/>
        <v>-587.73123072000089</v>
      </c>
      <c r="J116" s="149">
        <f t="shared" si="46"/>
        <v>-634.74972917760169</v>
      </c>
      <c r="K116" s="149">
        <f t="shared" si="46"/>
        <v>-685.52970751180874</v>
      </c>
      <c r="L116" s="149">
        <f t="shared" si="46"/>
        <v>-740.37208411275424</v>
      </c>
      <c r="M116" s="149">
        <f t="shared" si="46"/>
        <v>-799.60185084177465</v>
      </c>
      <c r="N116" s="149">
        <f t="shared" si="46"/>
        <v>10794.624986363942</v>
      </c>
      <c r="O116" s="146"/>
      <c r="P116" s="146"/>
    </row>
    <row r="117" spans="1:16" x14ac:dyDescent="0.25">
      <c r="A117" s="151"/>
      <c r="B117" s="146" t="s">
        <v>27</v>
      </c>
      <c r="C117" s="149">
        <f t="shared" ref="C117:N117" si="47">-(D49-C49)</f>
        <v>-8795.3384434595755</v>
      </c>
      <c r="D117" s="149">
        <f t="shared" si="47"/>
        <v>-87.953384434596956</v>
      </c>
      <c r="E117" s="149">
        <f t="shared" si="47"/>
        <v>-88.832918278942088</v>
      </c>
      <c r="F117" s="149">
        <f t="shared" si="47"/>
        <v>-89.721247461729945</v>
      </c>
      <c r="G117" s="149">
        <f t="shared" si="47"/>
        <v>-90.61845993634779</v>
      </c>
      <c r="H117" s="149">
        <f t="shared" si="47"/>
        <v>-91.524644535711559</v>
      </c>
      <c r="I117" s="149">
        <f t="shared" si="47"/>
        <v>-92.439890981069766</v>
      </c>
      <c r="J117" s="149">
        <f t="shared" si="47"/>
        <v>-93.364289890880173</v>
      </c>
      <c r="K117" s="149">
        <f t="shared" si="47"/>
        <v>-94.297932789788319</v>
      </c>
      <c r="L117" s="149">
        <f t="shared" si="47"/>
        <v>-95.240912117686094</v>
      </c>
      <c r="M117" s="149">
        <f t="shared" si="47"/>
        <v>-96.193321238864883</v>
      </c>
      <c r="N117" s="149">
        <f t="shared" si="47"/>
        <v>9708.5254451251931</v>
      </c>
      <c r="O117" s="146"/>
      <c r="P117" s="146"/>
    </row>
    <row r="118" spans="1:16" x14ac:dyDescent="0.25">
      <c r="A118" s="151"/>
      <c r="B118" s="146" t="s">
        <v>23</v>
      </c>
      <c r="C118" s="149">
        <f t="shared" ref="C118:N118" si="48">-(D51-C51)</f>
        <v>-31979.850580419021</v>
      </c>
      <c r="D118" s="149">
        <f t="shared" si="48"/>
        <v>649.19096678251299</v>
      </c>
      <c r="E118" s="149">
        <f t="shared" si="48"/>
        <v>636.01239015681858</v>
      </c>
      <c r="F118" s="149">
        <f t="shared" si="48"/>
        <v>623.10133863664305</v>
      </c>
      <c r="G118" s="149">
        <f t="shared" si="48"/>
        <v>610.45238146231713</v>
      </c>
      <c r="H118" s="149">
        <f t="shared" si="48"/>
        <v>598.06019811863007</v>
      </c>
      <c r="I118" s="149">
        <f t="shared" si="48"/>
        <v>585.91957609681776</v>
      </c>
      <c r="J118" s="149">
        <f t="shared" si="48"/>
        <v>574.02540870205485</v>
      </c>
      <c r="K118" s="149">
        <f t="shared" si="48"/>
        <v>562.3726929054028</v>
      </c>
      <c r="L118" s="149">
        <f t="shared" si="48"/>
        <v>550.95652723942112</v>
      </c>
      <c r="M118" s="149">
        <f t="shared" si="48"/>
        <v>26589.759100318402</v>
      </c>
      <c r="N118" s="149">
        <f t="shared" si="48"/>
        <v>-0.03</v>
      </c>
      <c r="O118" s="146"/>
      <c r="P118" s="146"/>
    </row>
    <row r="119" spans="1:16" x14ac:dyDescent="0.25">
      <c r="A119" s="151"/>
      <c r="B119" s="146"/>
      <c r="C119" s="149"/>
      <c r="D119" s="149"/>
      <c r="E119" s="149"/>
      <c r="F119" s="149"/>
      <c r="G119" s="149"/>
      <c r="H119" s="149"/>
      <c r="I119" s="149"/>
      <c r="J119" s="149"/>
      <c r="K119" s="149"/>
      <c r="L119" s="149"/>
      <c r="M119" s="149"/>
      <c r="N119" s="149"/>
      <c r="O119" s="146"/>
      <c r="P119" s="146"/>
    </row>
    <row r="120" spans="1:16" x14ac:dyDescent="0.25">
      <c r="A120" s="146"/>
      <c r="B120" s="146" t="s">
        <v>73</v>
      </c>
      <c r="C120" s="149">
        <f t="shared" ref="C120:N120" si="49">-(D52-C52)</f>
        <v>-10000</v>
      </c>
      <c r="D120" s="149">
        <f t="shared" si="49"/>
        <v>0</v>
      </c>
      <c r="E120" s="149">
        <f t="shared" si="49"/>
        <v>0</v>
      </c>
      <c r="F120" s="149">
        <f t="shared" si="49"/>
        <v>0</v>
      </c>
      <c r="G120" s="149">
        <f t="shared" si="49"/>
        <v>0</v>
      </c>
      <c r="H120" s="149">
        <f t="shared" si="49"/>
        <v>0</v>
      </c>
      <c r="I120" s="149">
        <f t="shared" si="49"/>
        <v>0</v>
      </c>
      <c r="J120" s="149">
        <f t="shared" si="49"/>
        <v>0</v>
      </c>
      <c r="K120" s="149">
        <f t="shared" si="49"/>
        <v>0</v>
      </c>
      <c r="L120" s="149">
        <f t="shared" si="49"/>
        <v>0</v>
      </c>
      <c r="M120" s="149">
        <f t="shared" si="49"/>
        <v>0</v>
      </c>
      <c r="N120" s="149">
        <f t="shared" si="49"/>
        <v>10000</v>
      </c>
      <c r="O120" s="186" t="s">
        <v>96</v>
      </c>
      <c r="P120" s="152">
        <v>-0.25</v>
      </c>
    </row>
    <row r="121" spans="1:16" x14ac:dyDescent="0.25">
      <c r="A121" s="146"/>
      <c r="B121" s="146" t="s">
        <v>74</v>
      </c>
      <c r="C121" s="149"/>
      <c r="D121" s="149"/>
      <c r="E121" s="149"/>
      <c r="F121" s="149"/>
      <c r="G121" s="149"/>
      <c r="H121" s="149"/>
      <c r="I121" s="149"/>
      <c r="J121" s="149"/>
      <c r="K121" s="149"/>
      <c r="L121" s="149"/>
      <c r="M121" s="149"/>
      <c r="N121" s="149">
        <f>N120*P120</f>
        <v>-2500</v>
      </c>
      <c r="O121" s="186" t="s">
        <v>97</v>
      </c>
      <c r="P121" s="149">
        <f>N120</f>
        <v>10000</v>
      </c>
    </row>
    <row r="122" spans="1:16" x14ac:dyDescent="0.25">
      <c r="A122" s="146"/>
      <c r="B122" s="146" t="s">
        <v>63</v>
      </c>
      <c r="C122" s="149"/>
      <c r="D122" s="149"/>
      <c r="E122" s="149"/>
      <c r="F122" s="149"/>
      <c r="G122" s="149"/>
      <c r="H122" s="149"/>
      <c r="I122" s="149"/>
      <c r="J122" s="149"/>
      <c r="K122" s="149"/>
      <c r="L122" s="149"/>
      <c r="M122" s="149"/>
      <c r="N122" s="149">
        <f>IF(P122&lt;0,0,-(P122*$C$39))</f>
        <v>0</v>
      </c>
      <c r="O122" s="186" t="s">
        <v>98</v>
      </c>
      <c r="P122" s="149">
        <f>(N120+N121)-P121</f>
        <v>-2500</v>
      </c>
    </row>
    <row r="123" spans="1:16" x14ac:dyDescent="0.25">
      <c r="A123" s="146"/>
      <c r="B123" s="146"/>
      <c r="C123" s="146"/>
      <c r="D123" s="146"/>
      <c r="E123" s="148"/>
      <c r="F123" s="146"/>
      <c r="G123" s="146"/>
      <c r="H123" s="146"/>
      <c r="I123" s="146"/>
      <c r="J123" s="146"/>
      <c r="K123" s="146"/>
      <c r="L123" s="146"/>
      <c r="M123" s="146"/>
      <c r="N123" s="146"/>
      <c r="O123" s="146"/>
      <c r="P123" s="146"/>
    </row>
    <row r="124" spans="1:16" x14ac:dyDescent="0.25">
      <c r="A124" s="146"/>
      <c r="B124" s="146" t="s">
        <v>5</v>
      </c>
      <c r="C124" s="149">
        <f t="shared" ref="C124:N124" si="50">-(D53-C53)</f>
        <v>-100000</v>
      </c>
      <c r="D124" s="149">
        <f t="shared" si="50"/>
        <v>0</v>
      </c>
      <c r="E124" s="149">
        <f t="shared" si="50"/>
        <v>0</v>
      </c>
      <c r="F124" s="149">
        <f t="shared" si="50"/>
        <v>0</v>
      </c>
      <c r="G124" s="149">
        <f t="shared" si="50"/>
        <v>0</v>
      </c>
      <c r="H124" s="149">
        <f t="shared" si="50"/>
        <v>0</v>
      </c>
      <c r="I124" s="149">
        <f t="shared" si="50"/>
        <v>0</v>
      </c>
      <c r="J124" s="149">
        <f t="shared" si="50"/>
        <v>0</v>
      </c>
      <c r="K124" s="149">
        <f t="shared" si="50"/>
        <v>0</v>
      </c>
      <c r="L124" s="149">
        <f t="shared" si="50"/>
        <v>0</v>
      </c>
      <c r="M124" s="149">
        <f t="shared" si="50"/>
        <v>0</v>
      </c>
      <c r="N124" s="149">
        <f t="shared" si="50"/>
        <v>100000</v>
      </c>
      <c r="O124" s="186" t="s">
        <v>96</v>
      </c>
      <c r="P124" s="152">
        <v>-1.1000000000000001</v>
      </c>
    </row>
    <row r="125" spans="1:16" x14ac:dyDescent="0.25">
      <c r="A125" s="146"/>
      <c r="B125" s="146" t="s">
        <v>62</v>
      </c>
      <c r="C125" s="146"/>
      <c r="D125" s="146"/>
      <c r="E125" s="148"/>
      <c r="F125" s="146"/>
      <c r="G125" s="146"/>
      <c r="H125" s="146"/>
      <c r="I125" s="146"/>
      <c r="J125" s="146"/>
      <c r="K125" s="152"/>
      <c r="L125" s="153"/>
      <c r="M125" s="153"/>
      <c r="N125" s="154">
        <f>P124*N124</f>
        <v>-110000.00000000001</v>
      </c>
      <c r="O125" s="146" t="s">
        <v>97</v>
      </c>
      <c r="P125" s="149">
        <f>N53-N54</f>
        <v>63333.333333333336</v>
      </c>
    </row>
    <row r="126" spans="1:16" x14ac:dyDescent="0.25">
      <c r="A126" s="146"/>
      <c r="B126" s="146" t="s">
        <v>63</v>
      </c>
      <c r="C126" s="146"/>
      <c r="D126" s="146"/>
      <c r="E126" s="148"/>
      <c r="F126" s="146"/>
      <c r="G126" s="146"/>
      <c r="H126" s="146"/>
      <c r="I126" s="146"/>
      <c r="J126" s="146"/>
      <c r="K126" s="152"/>
      <c r="L126" s="153"/>
      <c r="M126" s="153"/>
      <c r="N126" s="149">
        <f>IF(P126&lt;0,0,-(P126*$C$39))</f>
        <v>0</v>
      </c>
      <c r="O126" s="186" t="s">
        <v>98</v>
      </c>
      <c r="P126" s="149">
        <f>(N124+N125)-P125</f>
        <v>-73333.333333333343</v>
      </c>
    </row>
    <row r="127" spans="1:16" x14ac:dyDescent="0.25">
      <c r="A127" s="146"/>
      <c r="B127" s="146"/>
      <c r="C127" s="146"/>
      <c r="D127" s="146"/>
      <c r="E127" s="148"/>
      <c r="F127" s="146"/>
      <c r="G127" s="146"/>
      <c r="H127" s="146"/>
      <c r="I127" s="146"/>
      <c r="J127" s="146"/>
      <c r="K127" s="146"/>
      <c r="L127" s="146"/>
      <c r="M127" s="146"/>
      <c r="N127" s="146"/>
      <c r="O127" s="146"/>
      <c r="P127" s="146"/>
    </row>
    <row r="128" spans="1:16" x14ac:dyDescent="0.25">
      <c r="A128" s="146"/>
      <c r="B128" s="146" t="s">
        <v>41</v>
      </c>
      <c r="C128" s="149">
        <f t="shared" ref="C128:N128" si="51">D59-C59</f>
        <v>23747.413797340858</v>
      </c>
      <c r="D128" s="149">
        <f t="shared" si="51"/>
        <v>237.47413797340778</v>
      </c>
      <c r="E128" s="149">
        <f t="shared" si="51"/>
        <v>239.84887935313964</v>
      </c>
      <c r="F128" s="149">
        <f t="shared" si="51"/>
        <v>242.24736814667631</v>
      </c>
      <c r="G128" s="149">
        <f t="shared" si="51"/>
        <v>244.66984182813758</v>
      </c>
      <c r="H128" s="149">
        <f t="shared" si="51"/>
        <v>247.11654024642121</v>
      </c>
      <c r="I128" s="149">
        <f t="shared" si="51"/>
        <v>249.58770564888619</v>
      </c>
      <c r="J128" s="149">
        <f t="shared" si="51"/>
        <v>252.08358270537792</v>
      </c>
      <c r="K128" s="149">
        <f t="shared" si="51"/>
        <v>254.6044185324281</v>
      </c>
      <c r="L128" s="149">
        <f t="shared" si="51"/>
        <v>257.15046271775645</v>
      </c>
      <c r="M128" s="149">
        <f t="shared" si="51"/>
        <v>259.721967344929</v>
      </c>
      <c r="N128" s="149">
        <f t="shared" si="51"/>
        <v>-26201.918701838018</v>
      </c>
      <c r="O128" s="146"/>
      <c r="P128" s="146"/>
    </row>
    <row r="129" spans="1:16" x14ac:dyDescent="0.25">
      <c r="A129" s="146"/>
      <c r="B129" s="146" t="s">
        <v>64</v>
      </c>
      <c r="C129" s="149">
        <f>D112-C112</f>
        <v>13009.427352941169</v>
      </c>
      <c r="D129" s="149">
        <f t="shared" ref="D129:N129" si="52">E112-D112</f>
        <v>-798.34683313724781</v>
      </c>
      <c r="E129" s="149">
        <f t="shared" si="52"/>
        <v>-1062.518957068638</v>
      </c>
      <c r="F129" s="149">
        <f t="shared" si="52"/>
        <v>-1065.8755876832874</v>
      </c>
      <c r="G129" s="149">
        <f t="shared" si="52"/>
        <v>-1069.4398116337143</v>
      </c>
      <c r="H129" s="149">
        <f t="shared" si="52"/>
        <v>-1073.2151914116685</v>
      </c>
      <c r="I129" s="149">
        <f t="shared" si="52"/>
        <v>-1077.2053748049721</v>
      </c>
      <c r="J129" s="149">
        <f t="shared" si="52"/>
        <v>-1081.4140965442639</v>
      </c>
      <c r="K129" s="149">
        <f t="shared" si="52"/>
        <v>-1085.8451799844743</v>
      </c>
      <c r="L129" s="149">
        <f t="shared" si="52"/>
        <v>-1090.5025388209151</v>
      </c>
      <c r="M129" s="149">
        <f t="shared" si="52"/>
        <v>-1095.3901788418648</v>
      </c>
      <c r="N129" s="149">
        <f t="shared" si="52"/>
        <v>-2509.6736030101233</v>
      </c>
      <c r="O129" s="146"/>
      <c r="P129" s="146"/>
    </row>
    <row r="130" spans="1:16" x14ac:dyDescent="0.25">
      <c r="A130" s="146"/>
      <c r="B130" s="146"/>
      <c r="C130" s="146"/>
      <c r="D130" s="146"/>
      <c r="E130" s="148"/>
      <c r="F130" s="146"/>
      <c r="G130" s="146"/>
      <c r="H130" s="146"/>
      <c r="I130" s="146"/>
      <c r="J130" s="155"/>
      <c r="K130" s="146"/>
      <c r="L130" s="146"/>
      <c r="M130" s="153"/>
      <c r="N130" s="146"/>
      <c r="O130" s="146"/>
      <c r="P130" s="146"/>
    </row>
    <row r="131" spans="1:16" x14ac:dyDescent="0.25">
      <c r="A131" s="146"/>
      <c r="B131" s="147" t="s">
        <v>95</v>
      </c>
      <c r="C131" s="156">
        <f>SUM(C116:C129)</f>
        <v>-119018.26787359656</v>
      </c>
      <c r="D131" s="150">
        <f>SUM(D113:D129)</f>
        <v>22447.839249929159</v>
      </c>
      <c r="E131" s="150">
        <f t="shared" ref="E131:N131" si="53">SUM(E113:E129)</f>
        <v>20942.463507201588</v>
      </c>
      <c r="F131" s="150">
        <f t="shared" si="53"/>
        <v>19299.367549074559</v>
      </c>
      <c r="G131" s="150">
        <f t="shared" si="53"/>
        <v>17648.54144763172</v>
      </c>
      <c r="H131" s="150">
        <f t="shared" si="53"/>
        <v>15989.443896878423</v>
      </c>
      <c r="I131" s="150">
        <f t="shared" si="53"/>
        <v>14321.51057658291</v>
      </c>
      <c r="J131" s="150">
        <f t="shared" si="53"/>
        <v>12644.152604930481</v>
      </c>
      <c r="K131" s="150">
        <f t="shared" si="53"/>
        <v>10956.754875471157</v>
      </c>
      <c r="L131" s="150">
        <f t="shared" si="53"/>
        <v>9258.6742692485095</v>
      </c>
      <c r="M131" s="150">
        <f t="shared" si="53"/>
        <v>33599.224722852137</v>
      </c>
      <c r="N131" s="150">
        <f t="shared" si="53"/>
        <v>-3610.6281355105089</v>
      </c>
      <c r="O131" s="146"/>
      <c r="P131" s="146"/>
    </row>
    <row r="132" spans="1:16" x14ac:dyDescent="0.25">
      <c r="A132" s="146"/>
      <c r="B132" s="157" t="s">
        <v>66</v>
      </c>
      <c r="C132" s="158">
        <f>IRR(C131:N131)</f>
        <v>7.9730904536755354E-2</v>
      </c>
      <c r="D132" s="146"/>
      <c r="E132" s="146"/>
      <c r="F132" s="146"/>
      <c r="G132" s="146"/>
      <c r="H132" s="146"/>
      <c r="I132" s="146"/>
      <c r="J132" s="146"/>
      <c r="K132" s="146"/>
      <c r="L132" s="146"/>
      <c r="M132" s="146"/>
      <c r="N132" s="146"/>
      <c r="O132" s="146"/>
      <c r="P132" s="146"/>
    </row>
    <row r="133" spans="1:16" x14ac:dyDescent="0.25">
      <c r="A133" s="146"/>
      <c r="B133" s="157" t="s">
        <v>67</v>
      </c>
      <c r="C133" s="159">
        <f>V65</f>
        <v>5.2144993808868917E-2</v>
      </c>
      <c r="D133" s="146"/>
      <c r="E133" s="146"/>
      <c r="F133" s="146"/>
      <c r="G133" s="146"/>
      <c r="H133" s="146"/>
      <c r="I133" s="146"/>
      <c r="J133" s="146"/>
      <c r="K133" s="146"/>
      <c r="L133" s="146"/>
      <c r="M133" s="146"/>
      <c r="N133" s="146"/>
      <c r="O133" s="146"/>
      <c r="P133" s="146"/>
    </row>
    <row r="134" spans="1:16" x14ac:dyDescent="0.25">
      <c r="A134" s="146"/>
      <c r="B134" s="147" t="s">
        <v>68</v>
      </c>
      <c r="C134" s="160">
        <f>NPV(C133,D131:N131)</f>
        <v>134342.53961758909</v>
      </c>
      <c r="D134" s="146"/>
      <c r="E134" s="146"/>
      <c r="F134" s="146"/>
      <c r="G134" s="146"/>
      <c r="H134" s="146"/>
      <c r="I134" s="146"/>
      <c r="J134" s="146"/>
      <c r="K134" s="146"/>
      <c r="L134" s="146"/>
      <c r="M134" s="146"/>
      <c r="N134" s="146"/>
      <c r="O134" s="146"/>
      <c r="P134" s="146"/>
    </row>
    <row r="135" spans="1:16" x14ac:dyDescent="0.25">
      <c r="E135" s="42"/>
    </row>
    <row r="136" spans="1:16" x14ac:dyDescent="0.25">
      <c r="C136" s="52"/>
      <c r="E136" s="42"/>
      <c r="G136" s="38"/>
      <c r="H136" s="38"/>
      <c r="I136" s="38"/>
      <c r="J136" s="38"/>
    </row>
    <row r="137" spans="1:16" x14ac:dyDescent="0.25">
      <c r="A137" s="131"/>
      <c r="B137" s="132" t="s">
        <v>103</v>
      </c>
      <c r="C137" s="131"/>
      <c r="D137" s="131"/>
      <c r="E137" s="133"/>
      <c r="F137" s="131"/>
      <c r="G137" s="131"/>
      <c r="H137" s="131"/>
      <c r="I137" s="131"/>
      <c r="J137" s="131"/>
      <c r="K137" s="131"/>
      <c r="L137" s="131"/>
      <c r="M137" s="131"/>
      <c r="N137" s="131"/>
      <c r="O137" s="131"/>
      <c r="P137" s="131"/>
    </row>
    <row r="138" spans="1:16" x14ac:dyDescent="0.25">
      <c r="A138" s="131"/>
      <c r="B138" s="131"/>
      <c r="C138" s="131"/>
      <c r="D138" s="131"/>
      <c r="E138" s="133"/>
      <c r="F138" s="131"/>
      <c r="G138" s="131"/>
      <c r="H138" s="131"/>
      <c r="I138" s="131"/>
      <c r="J138" s="131"/>
      <c r="K138" s="131"/>
      <c r="L138" s="131"/>
      <c r="M138" s="131"/>
      <c r="N138" s="131"/>
      <c r="O138" s="131"/>
      <c r="P138" s="131"/>
    </row>
    <row r="139" spans="1:16" x14ac:dyDescent="0.25">
      <c r="A139" s="131"/>
      <c r="B139" s="131" t="s">
        <v>54</v>
      </c>
      <c r="C139" s="137">
        <v>-0.3</v>
      </c>
      <c r="D139" s="134">
        <f>D109*(1+$C$139)</f>
        <v>25099.831200980378</v>
      </c>
      <c r="E139" s="134">
        <f t="shared" ref="E139:N139" si="54">E109*(1+$C$139)</f>
        <v>23702.724242990193</v>
      </c>
      <c r="F139" s="134">
        <f t="shared" si="54"/>
        <v>21843.316068120075</v>
      </c>
      <c r="G139" s="134">
        <f t="shared" si="54"/>
        <v>19978.033789674322</v>
      </c>
      <c r="H139" s="134">
        <f t="shared" si="54"/>
        <v>18106.514119315325</v>
      </c>
      <c r="I139" s="134">
        <f t="shared" si="54"/>
        <v>16228.387534344904</v>
      </c>
      <c r="J139" s="134">
        <f t="shared" si="54"/>
        <v>14343.278128436204</v>
      </c>
      <c r="K139" s="134">
        <f t="shared" si="54"/>
        <v>12450.803459483743</v>
      </c>
      <c r="L139" s="134">
        <f t="shared" si="54"/>
        <v>10550.574394510913</v>
      </c>
      <c r="M139" s="134">
        <f t="shared" si="54"/>
        <v>8642.1949515743108</v>
      </c>
      <c r="N139" s="134">
        <f t="shared" si="54"/>
        <v>6725.2621386010487</v>
      </c>
      <c r="O139" s="131"/>
      <c r="P139" s="131"/>
    </row>
    <row r="140" spans="1:16" x14ac:dyDescent="0.25">
      <c r="A140" s="131"/>
      <c r="B140" s="131" t="s">
        <v>55</v>
      </c>
      <c r="C140" s="131"/>
      <c r="D140" s="134">
        <f t="shared" ref="D140:N140" si="55">D65</f>
        <v>0</v>
      </c>
      <c r="E140" s="134">
        <f t="shared" si="55"/>
        <v>0</v>
      </c>
      <c r="F140" s="134">
        <f t="shared" si="55"/>
        <v>0</v>
      </c>
      <c r="G140" s="134">
        <f t="shared" si="55"/>
        <v>0</v>
      </c>
      <c r="H140" s="134">
        <f t="shared" si="55"/>
        <v>0</v>
      </c>
      <c r="I140" s="134">
        <f t="shared" si="55"/>
        <v>0</v>
      </c>
      <c r="J140" s="134">
        <f t="shared" si="55"/>
        <v>0</v>
      </c>
      <c r="K140" s="134">
        <f t="shared" si="55"/>
        <v>0</v>
      </c>
      <c r="L140" s="134">
        <f t="shared" si="55"/>
        <v>0</v>
      </c>
      <c r="M140" s="134">
        <f t="shared" si="55"/>
        <v>0</v>
      </c>
      <c r="N140" s="134">
        <f t="shared" si="55"/>
        <v>0</v>
      </c>
      <c r="O140" s="131"/>
      <c r="P140" s="131"/>
    </row>
    <row r="141" spans="1:16" x14ac:dyDescent="0.25">
      <c r="A141" s="131"/>
      <c r="B141" s="131" t="s">
        <v>56</v>
      </c>
      <c r="C141" s="131"/>
      <c r="D141" s="134">
        <f>D139-D140</f>
        <v>25099.831200980378</v>
      </c>
      <c r="E141" s="134">
        <f t="shared" ref="E141:N141" si="56">E139-E140</f>
        <v>23702.724242990193</v>
      </c>
      <c r="F141" s="134">
        <f t="shared" si="56"/>
        <v>21843.316068120075</v>
      </c>
      <c r="G141" s="134">
        <f t="shared" si="56"/>
        <v>19978.033789674322</v>
      </c>
      <c r="H141" s="134">
        <f t="shared" si="56"/>
        <v>18106.514119315325</v>
      </c>
      <c r="I141" s="134">
        <f t="shared" si="56"/>
        <v>16228.387534344904</v>
      </c>
      <c r="J141" s="134">
        <f t="shared" si="56"/>
        <v>14343.278128436204</v>
      </c>
      <c r="K141" s="134">
        <f t="shared" si="56"/>
        <v>12450.803459483743</v>
      </c>
      <c r="L141" s="134">
        <f t="shared" si="56"/>
        <v>10550.574394510913</v>
      </c>
      <c r="M141" s="134">
        <f t="shared" si="56"/>
        <v>8642.1949515743108</v>
      </c>
      <c r="N141" s="134">
        <f t="shared" si="56"/>
        <v>6725.2621386010487</v>
      </c>
      <c r="O141" s="131"/>
      <c r="P141" s="131"/>
    </row>
    <row r="142" spans="1:16" x14ac:dyDescent="0.25">
      <c r="A142" s="131" t="s">
        <v>59</v>
      </c>
      <c r="B142" s="131" t="s">
        <v>57</v>
      </c>
      <c r="C142" s="131"/>
      <c r="D142" s="135">
        <f>D141*$C$39</f>
        <v>10039.932480392152</v>
      </c>
      <c r="E142" s="135">
        <f t="shared" ref="E142:N142" si="57">E141*$C$39</f>
        <v>9481.0896971960774</v>
      </c>
      <c r="F142" s="135">
        <f t="shared" si="57"/>
        <v>8737.3264272480301</v>
      </c>
      <c r="G142" s="135">
        <f t="shared" si="57"/>
        <v>7991.2135158697292</v>
      </c>
      <c r="H142" s="135">
        <f t="shared" si="57"/>
        <v>7242.60564772613</v>
      </c>
      <c r="I142" s="135">
        <f t="shared" si="57"/>
        <v>6491.3550137379616</v>
      </c>
      <c r="J142" s="135">
        <f t="shared" si="57"/>
        <v>5737.3112513744818</v>
      </c>
      <c r="K142" s="135">
        <f t="shared" si="57"/>
        <v>4980.3213837934973</v>
      </c>
      <c r="L142" s="135">
        <f t="shared" si="57"/>
        <v>4220.2297578043654</v>
      </c>
      <c r="M142" s="135">
        <f t="shared" si="57"/>
        <v>3456.8779806297243</v>
      </c>
      <c r="N142" s="135">
        <f t="shared" si="57"/>
        <v>2690.1048554404197</v>
      </c>
      <c r="O142" s="131"/>
      <c r="P142" s="131"/>
    </row>
    <row r="143" spans="1:16" x14ac:dyDescent="0.25">
      <c r="A143" s="136" t="s">
        <v>60</v>
      </c>
      <c r="B143" s="131" t="s">
        <v>58</v>
      </c>
      <c r="C143" s="131"/>
      <c r="D143" s="135">
        <f>D139-D142</f>
        <v>15059.898720588226</v>
      </c>
      <c r="E143" s="135">
        <f t="shared" ref="E143:N143" si="58">E139-E142</f>
        <v>14221.634545794115</v>
      </c>
      <c r="F143" s="135">
        <f t="shared" si="58"/>
        <v>13105.989640872045</v>
      </c>
      <c r="G143" s="135">
        <f t="shared" si="58"/>
        <v>11986.820273804593</v>
      </c>
      <c r="H143" s="135">
        <f t="shared" si="58"/>
        <v>10863.908471589195</v>
      </c>
      <c r="I143" s="135">
        <f t="shared" si="58"/>
        <v>9737.0325206069429</v>
      </c>
      <c r="J143" s="135">
        <f t="shared" si="58"/>
        <v>8605.9668770617227</v>
      </c>
      <c r="K143" s="135">
        <f t="shared" si="58"/>
        <v>7470.4820756902454</v>
      </c>
      <c r="L143" s="135">
        <f t="shared" si="58"/>
        <v>6330.344636706548</v>
      </c>
      <c r="M143" s="135">
        <f t="shared" si="58"/>
        <v>5185.3169709445865</v>
      </c>
      <c r="N143" s="135">
        <f t="shared" si="58"/>
        <v>4035.157283160629</v>
      </c>
      <c r="O143" s="131"/>
      <c r="P143" s="131"/>
    </row>
    <row r="144" spans="1:16" x14ac:dyDescent="0.25">
      <c r="A144" s="136" t="s">
        <v>60</v>
      </c>
      <c r="B144" s="131"/>
      <c r="C144" s="131"/>
      <c r="D144" s="131"/>
      <c r="E144" s="133"/>
      <c r="F144" s="131"/>
      <c r="G144" s="131"/>
      <c r="H144" s="131"/>
      <c r="I144" s="131"/>
      <c r="J144" s="131"/>
      <c r="K144" s="131"/>
      <c r="L144" s="131"/>
      <c r="M144" s="131"/>
      <c r="N144" s="131"/>
      <c r="O144" s="131"/>
      <c r="P144" s="131"/>
    </row>
    <row r="145" spans="1:16" x14ac:dyDescent="0.25">
      <c r="A145" s="136" t="s">
        <v>60</v>
      </c>
      <c r="B145" s="131"/>
      <c r="C145" s="131"/>
      <c r="D145" s="131"/>
      <c r="E145" s="133"/>
      <c r="F145" s="131"/>
      <c r="G145" s="131"/>
      <c r="H145" s="131"/>
      <c r="I145" s="131"/>
      <c r="J145" s="131"/>
      <c r="K145" s="131"/>
      <c r="L145" s="131"/>
      <c r="M145" s="131"/>
      <c r="N145" s="131"/>
      <c r="O145" s="131"/>
      <c r="P145" s="131"/>
    </row>
    <row r="146" spans="1:16" x14ac:dyDescent="0.25">
      <c r="A146" s="136"/>
      <c r="B146" s="131" t="s">
        <v>61</v>
      </c>
      <c r="C146" s="134">
        <f>C116</f>
        <v>-4999.92</v>
      </c>
      <c r="D146" s="134">
        <f t="shared" ref="D146:N146" si="59">D116</f>
        <v>-400</v>
      </c>
      <c r="E146" s="134">
        <f t="shared" si="59"/>
        <v>-432</v>
      </c>
      <c r="F146" s="134">
        <f t="shared" si="59"/>
        <v>-466.5600000000004</v>
      </c>
      <c r="G146" s="134">
        <f t="shared" si="59"/>
        <v>-503.88480000000072</v>
      </c>
      <c r="H146" s="134">
        <f t="shared" si="59"/>
        <v>-544.19558400000096</v>
      </c>
      <c r="I146" s="134">
        <f t="shared" si="59"/>
        <v>-587.73123072000089</v>
      </c>
      <c r="J146" s="134">
        <f t="shared" si="59"/>
        <v>-634.74972917760169</v>
      </c>
      <c r="K146" s="134">
        <f t="shared" si="59"/>
        <v>-685.52970751180874</v>
      </c>
      <c r="L146" s="134">
        <f t="shared" si="59"/>
        <v>-740.37208411275424</v>
      </c>
      <c r="M146" s="134">
        <f t="shared" si="59"/>
        <v>-799.60185084177465</v>
      </c>
      <c r="N146" s="134">
        <f t="shared" si="59"/>
        <v>10794.624986363942</v>
      </c>
      <c r="O146" s="131"/>
      <c r="P146" s="131"/>
    </row>
    <row r="147" spans="1:16" x14ac:dyDescent="0.25">
      <c r="A147" s="136"/>
      <c r="B147" s="131" t="s">
        <v>27</v>
      </c>
      <c r="C147" s="134">
        <f>C117</f>
        <v>-8795.3384434595755</v>
      </c>
      <c r="D147" s="134">
        <f t="shared" ref="D147:N147" si="60">D117</f>
        <v>-87.953384434596956</v>
      </c>
      <c r="E147" s="134">
        <f t="shared" si="60"/>
        <v>-88.832918278942088</v>
      </c>
      <c r="F147" s="134">
        <f t="shared" si="60"/>
        <v>-89.721247461729945</v>
      </c>
      <c r="G147" s="134">
        <f t="shared" si="60"/>
        <v>-90.61845993634779</v>
      </c>
      <c r="H147" s="134">
        <f t="shared" si="60"/>
        <v>-91.524644535711559</v>
      </c>
      <c r="I147" s="134">
        <f t="shared" si="60"/>
        <v>-92.439890981069766</v>
      </c>
      <c r="J147" s="134">
        <f t="shared" si="60"/>
        <v>-93.364289890880173</v>
      </c>
      <c r="K147" s="134">
        <f t="shared" si="60"/>
        <v>-94.297932789788319</v>
      </c>
      <c r="L147" s="134">
        <f t="shared" si="60"/>
        <v>-95.240912117686094</v>
      </c>
      <c r="M147" s="134">
        <f t="shared" si="60"/>
        <v>-96.193321238864883</v>
      </c>
      <c r="N147" s="134">
        <f t="shared" si="60"/>
        <v>9708.5254451251931</v>
      </c>
      <c r="O147" s="131"/>
      <c r="P147" s="131"/>
    </row>
    <row r="148" spans="1:16" x14ac:dyDescent="0.25">
      <c r="A148" s="136"/>
      <c r="B148" s="131" t="s">
        <v>23</v>
      </c>
      <c r="C148" s="134">
        <f>C118</f>
        <v>-31979.850580419021</v>
      </c>
      <c r="D148" s="134">
        <f t="shared" ref="D148:N148" si="61">D118</f>
        <v>649.19096678251299</v>
      </c>
      <c r="E148" s="134">
        <f t="shared" si="61"/>
        <v>636.01239015681858</v>
      </c>
      <c r="F148" s="134">
        <f t="shared" si="61"/>
        <v>623.10133863664305</v>
      </c>
      <c r="G148" s="134">
        <f t="shared" si="61"/>
        <v>610.45238146231713</v>
      </c>
      <c r="H148" s="134">
        <f t="shared" si="61"/>
        <v>598.06019811863007</v>
      </c>
      <c r="I148" s="134">
        <f t="shared" si="61"/>
        <v>585.91957609681776</v>
      </c>
      <c r="J148" s="134">
        <f t="shared" si="61"/>
        <v>574.02540870205485</v>
      </c>
      <c r="K148" s="134">
        <f t="shared" si="61"/>
        <v>562.3726929054028</v>
      </c>
      <c r="L148" s="134">
        <f t="shared" si="61"/>
        <v>550.95652723942112</v>
      </c>
      <c r="M148" s="134">
        <f t="shared" si="61"/>
        <v>26589.759100318402</v>
      </c>
      <c r="N148" s="134">
        <f t="shared" si="61"/>
        <v>-0.03</v>
      </c>
      <c r="O148" s="131"/>
      <c r="P148" s="131"/>
    </row>
    <row r="149" spans="1:16" x14ac:dyDescent="0.25">
      <c r="A149" s="136"/>
      <c r="B149" s="131"/>
      <c r="C149" s="134"/>
      <c r="D149" s="134"/>
      <c r="E149" s="134"/>
      <c r="F149" s="134"/>
      <c r="G149" s="134"/>
      <c r="H149" s="134"/>
      <c r="I149" s="134"/>
      <c r="J149" s="134"/>
      <c r="K149" s="134"/>
      <c r="L149" s="134"/>
      <c r="M149" s="134"/>
      <c r="N149" s="134"/>
      <c r="O149" s="131"/>
      <c r="P149" s="131"/>
    </row>
    <row r="150" spans="1:16" x14ac:dyDescent="0.25">
      <c r="A150" s="131"/>
      <c r="B150" s="131" t="s">
        <v>73</v>
      </c>
      <c r="C150" s="134">
        <f>C120</f>
        <v>-10000</v>
      </c>
      <c r="D150" s="134">
        <f t="shared" ref="D150:N150" si="62">D120</f>
        <v>0</v>
      </c>
      <c r="E150" s="134">
        <f t="shared" si="62"/>
        <v>0</v>
      </c>
      <c r="F150" s="134">
        <f t="shared" si="62"/>
        <v>0</v>
      </c>
      <c r="G150" s="134">
        <f t="shared" si="62"/>
        <v>0</v>
      </c>
      <c r="H150" s="134">
        <f t="shared" si="62"/>
        <v>0</v>
      </c>
      <c r="I150" s="134">
        <f t="shared" si="62"/>
        <v>0</v>
      </c>
      <c r="J150" s="134">
        <f t="shared" si="62"/>
        <v>0</v>
      </c>
      <c r="K150" s="134">
        <f t="shared" si="62"/>
        <v>0</v>
      </c>
      <c r="L150" s="134">
        <f t="shared" si="62"/>
        <v>0</v>
      </c>
      <c r="M150" s="134">
        <f t="shared" si="62"/>
        <v>0</v>
      </c>
      <c r="N150" s="134">
        <f t="shared" si="62"/>
        <v>10000</v>
      </c>
      <c r="O150" s="161" t="s">
        <v>96</v>
      </c>
      <c r="P150" s="137">
        <v>-1</v>
      </c>
    </row>
    <row r="151" spans="1:16" x14ac:dyDescent="0.25">
      <c r="A151" s="131"/>
      <c r="B151" s="131" t="s">
        <v>74</v>
      </c>
      <c r="C151" s="134"/>
      <c r="D151" s="134"/>
      <c r="E151" s="134"/>
      <c r="F151" s="134"/>
      <c r="G151" s="134"/>
      <c r="H151" s="134"/>
      <c r="I151" s="134"/>
      <c r="J151" s="134"/>
      <c r="K151" s="134"/>
      <c r="L151" s="134"/>
      <c r="M151" s="134"/>
      <c r="N151" s="134">
        <f>P150*N150</f>
        <v>-10000</v>
      </c>
      <c r="O151" s="161" t="s">
        <v>97</v>
      </c>
      <c r="P151" s="134">
        <f>N150</f>
        <v>10000</v>
      </c>
    </row>
    <row r="152" spans="1:16" x14ac:dyDescent="0.25">
      <c r="A152" s="131"/>
      <c r="B152" s="131" t="s">
        <v>63</v>
      </c>
      <c r="C152" s="134"/>
      <c r="D152" s="134"/>
      <c r="E152" s="134"/>
      <c r="F152" s="134"/>
      <c r="G152" s="134"/>
      <c r="H152" s="134"/>
      <c r="I152" s="134"/>
      <c r="J152" s="134"/>
      <c r="K152" s="134"/>
      <c r="L152" s="134"/>
      <c r="M152" s="134"/>
      <c r="N152" s="134">
        <f>IF(N151&lt;0,0,N151*$C$39)</f>
        <v>0</v>
      </c>
      <c r="O152" s="161" t="s">
        <v>98</v>
      </c>
      <c r="P152" s="134">
        <f>(N150+N151)-P151</f>
        <v>-10000</v>
      </c>
    </row>
    <row r="153" spans="1:16" x14ac:dyDescent="0.25">
      <c r="A153" s="131"/>
      <c r="B153" s="131"/>
      <c r="C153" s="131"/>
      <c r="D153" s="131"/>
      <c r="E153" s="133"/>
      <c r="F153" s="131"/>
      <c r="G153" s="131"/>
      <c r="H153" s="131"/>
      <c r="I153" s="131"/>
      <c r="J153" s="131"/>
      <c r="K153" s="131"/>
      <c r="L153" s="131"/>
      <c r="M153" s="131"/>
      <c r="N153" s="131"/>
      <c r="O153" s="131"/>
      <c r="P153" s="131"/>
    </row>
    <row r="154" spans="1:16" x14ac:dyDescent="0.25">
      <c r="A154" s="131"/>
      <c r="B154" s="131" t="s">
        <v>5</v>
      </c>
      <c r="C154" s="134">
        <f>C124</f>
        <v>-100000</v>
      </c>
      <c r="D154" s="134">
        <f t="shared" ref="D154:N154" si="63">D124</f>
        <v>0</v>
      </c>
      <c r="E154" s="134">
        <f t="shared" si="63"/>
        <v>0</v>
      </c>
      <c r="F154" s="134">
        <f t="shared" si="63"/>
        <v>0</v>
      </c>
      <c r="G154" s="134">
        <f t="shared" si="63"/>
        <v>0</v>
      </c>
      <c r="H154" s="134">
        <f t="shared" si="63"/>
        <v>0</v>
      </c>
      <c r="I154" s="134">
        <f t="shared" si="63"/>
        <v>0</v>
      </c>
      <c r="J154" s="134">
        <f t="shared" si="63"/>
        <v>0</v>
      </c>
      <c r="K154" s="134">
        <f t="shared" si="63"/>
        <v>0</v>
      </c>
      <c r="L154" s="134">
        <f t="shared" si="63"/>
        <v>0</v>
      </c>
      <c r="M154" s="134">
        <f t="shared" si="63"/>
        <v>0</v>
      </c>
      <c r="N154" s="134">
        <f t="shared" si="63"/>
        <v>100000</v>
      </c>
      <c r="O154" s="161" t="s">
        <v>96</v>
      </c>
      <c r="P154" s="137">
        <v>-1.25</v>
      </c>
    </row>
    <row r="155" spans="1:16" x14ac:dyDescent="0.25">
      <c r="A155" s="131"/>
      <c r="B155" s="131" t="s">
        <v>62</v>
      </c>
      <c r="C155" s="131"/>
      <c r="D155" s="131"/>
      <c r="E155" s="133"/>
      <c r="F155" s="131"/>
      <c r="G155" s="131"/>
      <c r="H155" s="131"/>
      <c r="I155" s="131"/>
      <c r="J155" s="131"/>
      <c r="K155" s="137"/>
      <c r="L155" s="138"/>
      <c r="M155" s="138"/>
      <c r="N155" s="139">
        <f>P154*N154</f>
        <v>-125000</v>
      </c>
      <c r="O155" s="131" t="s">
        <v>97</v>
      </c>
      <c r="P155" s="134">
        <f>N53-N54</f>
        <v>63333.333333333336</v>
      </c>
    </row>
    <row r="156" spans="1:16" x14ac:dyDescent="0.25">
      <c r="A156" s="131"/>
      <c r="B156" s="131" t="s">
        <v>63</v>
      </c>
      <c r="C156" s="131"/>
      <c r="D156" s="131"/>
      <c r="E156" s="133"/>
      <c r="F156" s="131"/>
      <c r="G156" s="131"/>
      <c r="H156" s="131"/>
      <c r="I156" s="131"/>
      <c r="J156" s="131"/>
      <c r="K156" s="137"/>
      <c r="L156" s="138"/>
      <c r="M156" s="138"/>
      <c r="N156" s="134">
        <f>IF(N155&lt;0,0,N155*$C$39)</f>
        <v>0</v>
      </c>
      <c r="O156" s="161" t="s">
        <v>98</v>
      </c>
      <c r="P156" s="134">
        <f>(N154+N155)-P155</f>
        <v>-88333.333333333343</v>
      </c>
    </row>
    <row r="157" spans="1:16" x14ac:dyDescent="0.25">
      <c r="A157" s="131"/>
      <c r="B157" s="131"/>
      <c r="C157" s="131"/>
      <c r="D157" s="131"/>
      <c r="E157" s="133"/>
      <c r="F157" s="131"/>
      <c r="G157" s="131"/>
      <c r="H157" s="131"/>
      <c r="I157" s="131"/>
      <c r="J157" s="131"/>
      <c r="K157" s="131"/>
      <c r="L157" s="131"/>
      <c r="M157" s="131"/>
      <c r="N157" s="131"/>
      <c r="O157" s="131"/>
      <c r="P157" s="131"/>
    </row>
    <row r="158" spans="1:16" x14ac:dyDescent="0.25">
      <c r="A158" s="131"/>
      <c r="B158" s="131" t="s">
        <v>41</v>
      </c>
      <c r="C158" s="134">
        <f>C128</f>
        <v>23747.413797340858</v>
      </c>
      <c r="D158" s="134">
        <f t="shared" ref="D158:N158" si="64">D128</f>
        <v>237.47413797340778</v>
      </c>
      <c r="E158" s="134">
        <f t="shared" si="64"/>
        <v>239.84887935313964</v>
      </c>
      <c r="F158" s="134">
        <f t="shared" si="64"/>
        <v>242.24736814667631</v>
      </c>
      <c r="G158" s="134">
        <f t="shared" si="64"/>
        <v>244.66984182813758</v>
      </c>
      <c r="H158" s="134">
        <f t="shared" si="64"/>
        <v>247.11654024642121</v>
      </c>
      <c r="I158" s="134">
        <f t="shared" si="64"/>
        <v>249.58770564888619</v>
      </c>
      <c r="J158" s="134">
        <f t="shared" si="64"/>
        <v>252.08358270537792</v>
      </c>
      <c r="K158" s="134">
        <f t="shared" si="64"/>
        <v>254.6044185324281</v>
      </c>
      <c r="L158" s="134">
        <f t="shared" si="64"/>
        <v>257.15046271775645</v>
      </c>
      <c r="M158" s="134">
        <f t="shared" si="64"/>
        <v>259.721967344929</v>
      </c>
      <c r="N158" s="134">
        <f t="shared" si="64"/>
        <v>-26201.918701838018</v>
      </c>
      <c r="O158" s="131"/>
      <c r="P158" s="131"/>
    </row>
    <row r="159" spans="1:16" x14ac:dyDescent="0.25">
      <c r="A159" s="131"/>
      <c r="B159" s="131" t="s">
        <v>64</v>
      </c>
      <c r="C159" s="134">
        <f>C129</f>
        <v>13009.427352941169</v>
      </c>
      <c r="D159" s="134">
        <f t="shared" ref="D159:N159" si="65">D129</f>
        <v>-798.34683313724781</v>
      </c>
      <c r="E159" s="134">
        <f t="shared" si="65"/>
        <v>-1062.518957068638</v>
      </c>
      <c r="F159" s="134">
        <f t="shared" si="65"/>
        <v>-1065.8755876832874</v>
      </c>
      <c r="G159" s="134">
        <f t="shared" si="65"/>
        <v>-1069.4398116337143</v>
      </c>
      <c r="H159" s="134">
        <f t="shared" si="65"/>
        <v>-1073.2151914116685</v>
      </c>
      <c r="I159" s="134">
        <f t="shared" si="65"/>
        <v>-1077.2053748049721</v>
      </c>
      <c r="J159" s="134">
        <f t="shared" si="65"/>
        <v>-1081.4140965442639</v>
      </c>
      <c r="K159" s="134">
        <f t="shared" si="65"/>
        <v>-1085.8451799844743</v>
      </c>
      <c r="L159" s="134">
        <f t="shared" si="65"/>
        <v>-1090.5025388209151</v>
      </c>
      <c r="M159" s="134">
        <f t="shared" si="65"/>
        <v>-1095.3901788418648</v>
      </c>
      <c r="N159" s="134">
        <f t="shared" si="65"/>
        <v>-2509.6736030101233</v>
      </c>
      <c r="O159" s="131"/>
      <c r="P159" s="131"/>
    </row>
    <row r="160" spans="1:16" x14ac:dyDescent="0.25">
      <c r="A160" s="131"/>
      <c r="B160" s="131"/>
      <c r="C160" s="131"/>
      <c r="D160" s="131"/>
      <c r="E160" s="133"/>
      <c r="F160" s="131"/>
      <c r="G160" s="131"/>
      <c r="H160" s="131"/>
      <c r="I160" s="131"/>
      <c r="J160" s="140"/>
      <c r="K160" s="131"/>
      <c r="L160" s="131"/>
      <c r="M160" s="138"/>
      <c r="N160" s="131"/>
      <c r="O160" s="131"/>
      <c r="P160" s="131"/>
    </row>
    <row r="161" spans="1:16" x14ac:dyDescent="0.25">
      <c r="A161" s="131"/>
      <c r="B161" s="132" t="s">
        <v>65</v>
      </c>
      <c r="C161" s="141">
        <f>SUM(C146:C159)</f>
        <v>-119018.26787359656</v>
      </c>
      <c r="D161" s="135">
        <f>SUM(D143:D159)</f>
        <v>14660.263607772302</v>
      </c>
      <c r="E161" s="135">
        <f t="shared" ref="E161:N161" si="66">SUM(E143:E159)</f>
        <v>13514.143939956493</v>
      </c>
      <c r="F161" s="135">
        <f t="shared" si="66"/>
        <v>12349.181512510346</v>
      </c>
      <c r="G161" s="135">
        <f t="shared" si="66"/>
        <v>11177.999425524984</v>
      </c>
      <c r="H161" s="135">
        <f t="shared" si="66"/>
        <v>10000.149790006864</v>
      </c>
      <c r="I161" s="135">
        <f t="shared" si="66"/>
        <v>8815.1633058466032</v>
      </c>
      <c r="J161" s="135">
        <f t="shared" si="66"/>
        <v>7622.5477528564097</v>
      </c>
      <c r="K161" s="135">
        <f t="shared" si="66"/>
        <v>6421.786366842005</v>
      </c>
      <c r="L161" s="135">
        <f t="shared" si="66"/>
        <v>5212.3360916123702</v>
      </c>
      <c r="M161" s="135">
        <f t="shared" si="66"/>
        <v>30043.61268768541</v>
      </c>
      <c r="N161" s="135">
        <f t="shared" si="66"/>
        <v>-29173.314590198373</v>
      </c>
      <c r="O161" s="131"/>
      <c r="P161" s="131"/>
    </row>
    <row r="162" spans="1:16" x14ac:dyDescent="0.25">
      <c r="A162" s="131"/>
      <c r="B162" s="142" t="s">
        <v>66</v>
      </c>
      <c r="C162" s="143">
        <f>IRR(C161:N161)</f>
        <v>-6.5955412619115972E-2</v>
      </c>
      <c r="D162" s="131"/>
      <c r="E162" s="131"/>
      <c r="F162" s="131"/>
      <c r="G162" s="131"/>
      <c r="H162" s="131"/>
      <c r="I162" s="131"/>
      <c r="J162" s="131"/>
      <c r="K162" s="131"/>
      <c r="L162" s="131"/>
      <c r="M162" s="131"/>
      <c r="N162" s="131"/>
      <c r="O162" s="131"/>
      <c r="P162" s="131"/>
    </row>
    <row r="163" spans="1:16" x14ac:dyDescent="0.25">
      <c r="A163" s="131"/>
      <c r="B163" s="142" t="s">
        <v>67</v>
      </c>
      <c r="C163" s="144">
        <f>V65</f>
        <v>5.2144993808868917E-2</v>
      </c>
      <c r="D163" s="131"/>
      <c r="E163" s="131"/>
      <c r="F163" s="131"/>
      <c r="G163" s="131"/>
      <c r="H163" s="131"/>
      <c r="I163" s="131"/>
      <c r="J163" s="131"/>
      <c r="K163" s="131"/>
      <c r="L163" s="131"/>
      <c r="M163" s="131"/>
      <c r="N163" s="131"/>
      <c r="O163" s="131"/>
      <c r="P163" s="131"/>
    </row>
    <row r="164" spans="1:16" x14ac:dyDescent="0.25">
      <c r="A164" s="131"/>
      <c r="B164" s="132" t="s">
        <v>68</v>
      </c>
      <c r="C164" s="145">
        <f>NPV(C163,D161:N161)</f>
        <v>74427.718849888479</v>
      </c>
      <c r="D164" s="131"/>
      <c r="E164" s="131"/>
      <c r="F164" s="131"/>
      <c r="G164" s="131"/>
      <c r="H164" s="131"/>
      <c r="I164" s="131"/>
      <c r="J164" s="131"/>
      <c r="K164" s="131"/>
      <c r="L164" s="131"/>
      <c r="M164" s="131"/>
      <c r="N164" s="131"/>
      <c r="O164" s="131"/>
      <c r="P164" s="131"/>
    </row>
    <row r="165" spans="1:16" ht="15.75" thickBot="1" x14ac:dyDescent="0.3"/>
    <row r="166" spans="1:16" x14ac:dyDescent="0.25">
      <c r="B166" s="162" t="s">
        <v>99</v>
      </c>
      <c r="C166" s="163">
        <v>0.25</v>
      </c>
    </row>
    <row r="167" spans="1:16" x14ac:dyDescent="0.25">
      <c r="B167" s="164" t="s">
        <v>100</v>
      </c>
      <c r="C167" s="165">
        <v>0.75</v>
      </c>
    </row>
    <row r="168" spans="1:16" ht="15.75" thickBot="1" x14ac:dyDescent="0.3">
      <c r="B168" s="166" t="s">
        <v>101</v>
      </c>
      <c r="C168" s="167">
        <f>(C166*C103)+(C167*C164)</f>
        <v>115696.02370031104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369"/>
  <sheetViews>
    <sheetView topLeftCell="A347" workbookViewId="0">
      <selection activeCell="I142" sqref="I142"/>
    </sheetView>
  </sheetViews>
  <sheetFormatPr defaultRowHeight="15" x14ac:dyDescent="0.25"/>
  <cols>
    <col min="1" max="1" width="18" bestFit="1" customWidth="1"/>
    <col min="3" max="3" width="16.7109375" bestFit="1" customWidth="1"/>
    <col min="4" max="4" width="16.5703125" bestFit="1" customWidth="1"/>
    <col min="5" max="5" width="12.28515625" bestFit="1" customWidth="1"/>
    <col min="6" max="6" width="13.140625" bestFit="1" customWidth="1"/>
    <col min="7" max="7" width="18.85546875" bestFit="1" customWidth="1"/>
  </cols>
  <sheetData>
    <row r="1" spans="1:7" x14ac:dyDescent="0.25">
      <c r="A1" t="s">
        <v>29</v>
      </c>
      <c r="B1" s="28">
        <v>100000</v>
      </c>
    </row>
    <row r="2" spans="1:7" x14ac:dyDescent="0.25">
      <c r="A2" t="s">
        <v>32</v>
      </c>
      <c r="B2" s="25">
        <v>4.2900000000000001E-2</v>
      </c>
    </row>
    <row r="3" spans="1:7" x14ac:dyDescent="0.25">
      <c r="A3" t="s">
        <v>141</v>
      </c>
      <c r="B3" s="25">
        <f>B2/12</f>
        <v>3.5750000000000001E-3</v>
      </c>
    </row>
    <row r="4" spans="1:7" x14ac:dyDescent="0.25">
      <c r="A4" t="s">
        <v>31</v>
      </c>
      <c r="B4">
        <v>30</v>
      </c>
    </row>
    <row r="5" spans="1:7" x14ac:dyDescent="0.25">
      <c r="A5" t="s">
        <v>140</v>
      </c>
      <c r="B5">
        <f>30*12</f>
        <v>360</v>
      </c>
    </row>
    <row r="6" spans="1:7" x14ac:dyDescent="0.25">
      <c r="A6" t="s">
        <v>139</v>
      </c>
      <c r="B6" s="29">
        <f>-PMT(B2/12,B4*12,B1,0,0)</f>
        <v>494.28442661033847</v>
      </c>
    </row>
    <row r="9" spans="1:7" x14ac:dyDescent="0.25">
      <c r="C9" t="s">
        <v>135</v>
      </c>
      <c r="D9" t="s">
        <v>136</v>
      </c>
      <c r="E9" t="s">
        <v>137</v>
      </c>
      <c r="F9" t="s">
        <v>138</v>
      </c>
      <c r="G9" t="s">
        <v>33</v>
      </c>
    </row>
    <row r="10" spans="1:7" x14ac:dyDescent="0.25">
      <c r="C10" s="32">
        <v>1</v>
      </c>
      <c r="D10" s="191">
        <f>$B$6</f>
        <v>494.28442661033847</v>
      </c>
      <c r="E10" s="191">
        <f>B1*(B2/12)</f>
        <v>357.5</v>
      </c>
      <c r="F10" s="191">
        <f>D10-E10</f>
        <v>136.78442661033847</v>
      </c>
      <c r="G10" s="191">
        <f>B1-F10</f>
        <v>99863.215573389665</v>
      </c>
    </row>
    <row r="11" spans="1:7" x14ac:dyDescent="0.25">
      <c r="C11" s="32">
        <v>2</v>
      </c>
      <c r="D11" s="191">
        <f t="shared" ref="D11:D74" si="0">$B$6</f>
        <v>494.28442661033847</v>
      </c>
      <c r="E11" s="191">
        <f>G10*($B$2/12)</f>
        <v>357.01099567486807</v>
      </c>
      <c r="F11" s="191">
        <f>D11-E11</f>
        <v>137.2734309354704</v>
      </c>
      <c r="G11" s="191">
        <f>G10-F11</f>
        <v>99725.942142454194</v>
      </c>
    </row>
    <row r="12" spans="1:7" x14ac:dyDescent="0.25">
      <c r="C12" s="32">
        <v>3</v>
      </c>
      <c r="D12" s="191">
        <f t="shared" si="0"/>
        <v>494.28442661033847</v>
      </c>
      <c r="E12" s="191">
        <f t="shared" ref="E12:E75" si="1">G11*($B$2/12)</f>
        <v>356.52024315927378</v>
      </c>
      <c r="F12" s="191">
        <f t="shared" ref="F12:F75" si="2">D12-E12</f>
        <v>137.7641834510647</v>
      </c>
      <c r="G12" s="191">
        <f t="shared" ref="G12:G75" si="3">G11-F12</f>
        <v>99588.177959003136</v>
      </c>
    </row>
    <row r="13" spans="1:7" x14ac:dyDescent="0.25">
      <c r="C13" s="32">
        <v>4</v>
      </c>
      <c r="D13" s="191">
        <f t="shared" si="0"/>
        <v>494.28442661033847</v>
      </c>
      <c r="E13" s="191">
        <f t="shared" si="1"/>
        <v>356.02773620343623</v>
      </c>
      <c r="F13" s="191">
        <f t="shared" si="2"/>
        <v>138.25669040690224</v>
      </c>
      <c r="G13" s="191">
        <f t="shared" si="3"/>
        <v>99449.921268596241</v>
      </c>
    </row>
    <row r="14" spans="1:7" x14ac:dyDescent="0.25">
      <c r="C14" s="32">
        <v>5</v>
      </c>
      <c r="D14" s="191">
        <f t="shared" si="0"/>
        <v>494.28442661033847</v>
      </c>
      <c r="E14" s="191">
        <f t="shared" si="1"/>
        <v>355.53346853523158</v>
      </c>
      <c r="F14" s="191">
        <f t="shared" si="2"/>
        <v>138.75095807510689</v>
      </c>
      <c r="G14" s="191">
        <f t="shared" si="3"/>
        <v>99311.170310521135</v>
      </c>
    </row>
    <row r="15" spans="1:7" x14ac:dyDescent="0.25">
      <c r="C15" s="32">
        <v>6</v>
      </c>
      <c r="D15" s="191">
        <f t="shared" si="0"/>
        <v>494.28442661033847</v>
      </c>
      <c r="E15" s="191">
        <f t="shared" si="1"/>
        <v>355.03743386011308</v>
      </c>
      <c r="F15" s="191">
        <f t="shared" si="2"/>
        <v>139.24699275022539</v>
      </c>
      <c r="G15" s="191">
        <f t="shared" si="3"/>
        <v>99171.92331777091</v>
      </c>
    </row>
    <row r="16" spans="1:7" x14ac:dyDescent="0.25">
      <c r="C16" s="32">
        <v>7</v>
      </c>
      <c r="D16" s="191">
        <f t="shared" si="0"/>
        <v>494.28442661033847</v>
      </c>
      <c r="E16" s="191">
        <f t="shared" si="1"/>
        <v>354.53962586103103</v>
      </c>
      <c r="F16" s="191">
        <f t="shared" si="2"/>
        <v>139.74480074930744</v>
      </c>
      <c r="G16" s="191">
        <f t="shared" si="3"/>
        <v>99032.178517021603</v>
      </c>
    </row>
    <row r="17" spans="3:9" x14ac:dyDescent="0.25">
      <c r="C17" s="32">
        <v>8</v>
      </c>
      <c r="D17" s="191">
        <f t="shared" si="0"/>
        <v>494.28442661033847</v>
      </c>
      <c r="E17" s="191">
        <f t="shared" si="1"/>
        <v>354.04003819835225</v>
      </c>
      <c r="F17" s="191">
        <f t="shared" si="2"/>
        <v>140.24438841198622</v>
      </c>
      <c r="G17" s="191">
        <f t="shared" si="3"/>
        <v>98891.934128609617</v>
      </c>
    </row>
    <row r="18" spans="3:9" x14ac:dyDescent="0.25">
      <c r="C18" s="32">
        <v>9</v>
      </c>
      <c r="D18" s="191">
        <f t="shared" si="0"/>
        <v>494.28442661033847</v>
      </c>
      <c r="E18" s="191">
        <f t="shared" si="1"/>
        <v>353.53866450977938</v>
      </c>
      <c r="F18" s="191">
        <f t="shared" si="2"/>
        <v>140.74576210055909</v>
      </c>
      <c r="G18" s="191">
        <f t="shared" si="3"/>
        <v>98751.188366509057</v>
      </c>
    </row>
    <row r="19" spans="3:9" x14ac:dyDescent="0.25">
      <c r="C19" s="32">
        <v>10</v>
      </c>
      <c r="D19" s="191">
        <f t="shared" si="0"/>
        <v>494.28442661033847</v>
      </c>
      <c r="E19" s="191">
        <f t="shared" si="1"/>
        <v>353.03549841026989</v>
      </c>
      <c r="F19" s="191">
        <f t="shared" si="2"/>
        <v>141.24892820006858</v>
      </c>
      <c r="G19" s="191">
        <f t="shared" si="3"/>
        <v>98609.939438308982</v>
      </c>
    </row>
    <row r="20" spans="3:9" x14ac:dyDescent="0.25">
      <c r="C20" s="32">
        <v>11</v>
      </c>
      <c r="D20" s="191">
        <f t="shared" si="0"/>
        <v>494.28442661033847</v>
      </c>
      <c r="E20" s="191">
        <f t="shared" si="1"/>
        <v>352.5305334919546</v>
      </c>
      <c r="F20" s="191">
        <f t="shared" si="2"/>
        <v>141.75389311838387</v>
      </c>
      <c r="G20" s="191">
        <f t="shared" si="3"/>
        <v>98468.185545190601</v>
      </c>
    </row>
    <row r="21" spans="3:9" x14ac:dyDescent="0.25">
      <c r="C21" s="32">
        <v>12</v>
      </c>
      <c r="D21" s="191">
        <f t="shared" si="0"/>
        <v>494.28442661033847</v>
      </c>
      <c r="E21" s="191">
        <f t="shared" si="1"/>
        <v>352.0237633240564</v>
      </c>
      <c r="F21" s="191">
        <f t="shared" si="2"/>
        <v>142.26066328628207</v>
      </c>
      <c r="G21" s="191">
        <f t="shared" si="3"/>
        <v>98325.924881904313</v>
      </c>
      <c r="H21" s="26">
        <f>SUM(E10:E21)</f>
        <v>4257.3380012283669</v>
      </c>
      <c r="I21" t="s">
        <v>142</v>
      </c>
    </row>
    <row r="22" spans="3:9" x14ac:dyDescent="0.25">
      <c r="C22" s="32">
        <v>13</v>
      </c>
      <c r="D22" s="191">
        <f t="shared" si="0"/>
        <v>494.28442661033847</v>
      </c>
      <c r="E22" s="191">
        <f t="shared" si="1"/>
        <v>351.51518145280795</v>
      </c>
      <c r="F22" s="191">
        <f t="shared" si="2"/>
        <v>142.76924515753052</v>
      </c>
      <c r="G22" s="191">
        <f t="shared" si="3"/>
        <v>98183.155636746786</v>
      </c>
    </row>
    <row r="23" spans="3:9" x14ac:dyDescent="0.25">
      <c r="C23" s="32">
        <v>14</v>
      </c>
      <c r="D23" s="191">
        <f t="shared" si="0"/>
        <v>494.28442661033847</v>
      </c>
      <c r="E23" s="191">
        <f t="shared" si="1"/>
        <v>351.00478140136977</v>
      </c>
      <c r="F23" s="191">
        <f t="shared" si="2"/>
        <v>143.2796452089687</v>
      </c>
      <c r="G23" s="191">
        <f t="shared" si="3"/>
        <v>98039.875991537818</v>
      </c>
    </row>
    <row r="24" spans="3:9" x14ac:dyDescent="0.25">
      <c r="C24" s="32">
        <v>15</v>
      </c>
      <c r="D24" s="191">
        <f t="shared" si="0"/>
        <v>494.28442661033847</v>
      </c>
      <c r="E24" s="191">
        <f t="shared" si="1"/>
        <v>350.49255666974773</v>
      </c>
      <c r="F24" s="191">
        <f t="shared" si="2"/>
        <v>143.79186994059074</v>
      </c>
      <c r="G24" s="191">
        <f t="shared" si="3"/>
        <v>97896.084121597232</v>
      </c>
    </row>
    <row r="25" spans="3:9" x14ac:dyDescent="0.25">
      <c r="C25" s="32">
        <v>16</v>
      </c>
      <c r="D25" s="191">
        <f t="shared" si="0"/>
        <v>494.28442661033847</v>
      </c>
      <c r="E25" s="191">
        <f t="shared" si="1"/>
        <v>349.97850073471011</v>
      </c>
      <c r="F25" s="191">
        <f t="shared" si="2"/>
        <v>144.30592587562836</v>
      </c>
      <c r="G25" s="191">
        <f t="shared" si="3"/>
        <v>97751.778195721607</v>
      </c>
    </row>
    <row r="26" spans="3:9" x14ac:dyDescent="0.25">
      <c r="C26" s="32">
        <v>17</v>
      </c>
      <c r="D26" s="191">
        <f t="shared" si="0"/>
        <v>494.28442661033847</v>
      </c>
      <c r="E26" s="191">
        <f t="shared" si="1"/>
        <v>349.46260704970473</v>
      </c>
      <c r="F26" s="191">
        <f t="shared" si="2"/>
        <v>144.82181956063374</v>
      </c>
      <c r="G26" s="191">
        <f t="shared" si="3"/>
        <v>97606.956376160975</v>
      </c>
    </row>
    <row r="27" spans="3:9" x14ac:dyDescent="0.25">
      <c r="C27" s="32">
        <v>18</v>
      </c>
      <c r="D27" s="191">
        <f t="shared" si="0"/>
        <v>494.28442661033847</v>
      </c>
      <c r="E27" s="191">
        <f t="shared" si="1"/>
        <v>348.94486904477549</v>
      </c>
      <c r="F27" s="191">
        <f t="shared" si="2"/>
        <v>145.33955756556298</v>
      </c>
      <c r="G27" s="191">
        <f t="shared" si="3"/>
        <v>97461.616818595416</v>
      </c>
    </row>
    <row r="28" spans="3:9" x14ac:dyDescent="0.25">
      <c r="C28" s="32">
        <v>19</v>
      </c>
      <c r="D28" s="191">
        <f t="shared" si="0"/>
        <v>494.28442661033847</v>
      </c>
      <c r="E28" s="191">
        <f t="shared" si="1"/>
        <v>348.42528012647864</v>
      </c>
      <c r="F28" s="191">
        <f t="shared" si="2"/>
        <v>145.85914648385983</v>
      </c>
      <c r="G28" s="191">
        <f t="shared" si="3"/>
        <v>97315.757672111562</v>
      </c>
    </row>
    <row r="29" spans="3:9" x14ac:dyDescent="0.25">
      <c r="C29" s="32">
        <v>20</v>
      </c>
      <c r="D29" s="191">
        <f t="shared" si="0"/>
        <v>494.28442661033847</v>
      </c>
      <c r="E29" s="191">
        <f t="shared" si="1"/>
        <v>347.90383367779884</v>
      </c>
      <c r="F29" s="191">
        <f t="shared" si="2"/>
        <v>146.38059293253963</v>
      </c>
      <c r="G29" s="191">
        <f t="shared" si="3"/>
        <v>97169.377079179016</v>
      </c>
    </row>
    <row r="30" spans="3:9" x14ac:dyDescent="0.25">
      <c r="C30" s="32">
        <v>21</v>
      </c>
      <c r="D30" s="191">
        <f t="shared" si="0"/>
        <v>494.28442661033847</v>
      </c>
      <c r="E30" s="191">
        <f t="shared" si="1"/>
        <v>347.38052305806497</v>
      </c>
      <c r="F30" s="191">
        <f t="shared" si="2"/>
        <v>146.9039035522735</v>
      </c>
      <c r="G30" s="191">
        <f t="shared" si="3"/>
        <v>97022.473175626743</v>
      </c>
    </row>
    <row r="31" spans="3:9" x14ac:dyDescent="0.25">
      <c r="C31" s="32">
        <v>22</v>
      </c>
      <c r="D31" s="191">
        <f t="shared" si="0"/>
        <v>494.28442661033847</v>
      </c>
      <c r="E31" s="191">
        <f t="shared" si="1"/>
        <v>346.85534160286562</v>
      </c>
      <c r="F31" s="191">
        <f t="shared" si="2"/>
        <v>147.42908500747285</v>
      </c>
      <c r="G31" s="191">
        <f t="shared" si="3"/>
        <v>96875.044090619267</v>
      </c>
    </row>
    <row r="32" spans="3:9" x14ac:dyDescent="0.25">
      <c r="C32" s="32">
        <v>23</v>
      </c>
      <c r="D32" s="191">
        <f t="shared" si="0"/>
        <v>494.28442661033847</v>
      </c>
      <c r="E32" s="191">
        <f t="shared" si="1"/>
        <v>346.3282826239639</v>
      </c>
      <c r="F32" s="191">
        <f t="shared" si="2"/>
        <v>147.95614398637457</v>
      </c>
      <c r="G32" s="191">
        <f t="shared" si="3"/>
        <v>96727.087946632892</v>
      </c>
    </row>
    <row r="33" spans="3:9" x14ac:dyDescent="0.25">
      <c r="C33" s="32">
        <v>24</v>
      </c>
      <c r="D33" s="191">
        <f t="shared" si="0"/>
        <v>494.28442661033847</v>
      </c>
      <c r="E33" s="191">
        <f t="shared" si="1"/>
        <v>345.79933940921256</v>
      </c>
      <c r="F33" s="191">
        <f t="shared" si="2"/>
        <v>148.48508720112591</v>
      </c>
      <c r="G33" s="191">
        <f t="shared" si="3"/>
        <v>96578.602859431761</v>
      </c>
      <c r="H33" s="26">
        <f>SUM(E22:E33)</f>
        <v>4184.0910968515009</v>
      </c>
      <c r="I33" t="s">
        <v>143</v>
      </c>
    </row>
    <row r="34" spans="3:9" x14ac:dyDescent="0.25">
      <c r="C34" s="32">
        <v>25</v>
      </c>
      <c r="D34" s="191">
        <f t="shared" si="0"/>
        <v>494.28442661033847</v>
      </c>
      <c r="E34" s="191">
        <f t="shared" si="1"/>
        <v>345.26850522246855</v>
      </c>
      <c r="F34" s="191">
        <f t="shared" si="2"/>
        <v>149.01592138786992</v>
      </c>
      <c r="G34" s="191">
        <f t="shared" si="3"/>
        <v>96429.586938043896</v>
      </c>
    </row>
    <row r="35" spans="3:9" x14ac:dyDescent="0.25">
      <c r="C35" s="32">
        <v>26</v>
      </c>
      <c r="D35" s="191">
        <f t="shared" si="0"/>
        <v>494.28442661033847</v>
      </c>
      <c r="E35" s="191">
        <f t="shared" si="1"/>
        <v>344.73577330350696</v>
      </c>
      <c r="F35" s="191">
        <f t="shared" si="2"/>
        <v>149.54865330683151</v>
      </c>
      <c r="G35" s="191">
        <f t="shared" si="3"/>
        <v>96280.038284737064</v>
      </c>
    </row>
    <row r="36" spans="3:9" x14ac:dyDescent="0.25">
      <c r="C36" s="32">
        <v>27</v>
      </c>
      <c r="D36" s="191">
        <f t="shared" si="0"/>
        <v>494.28442661033847</v>
      </c>
      <c r="E36" s="191">
        <f t="shared" si="1"/>
        <v>344.20113686793502</v>
      </c>
      <c r="F36" s="191">
        <f t="shared" si="2"/>
        <v>150.08328974240345</v>
      </c>
      <c r="G36" s="191">
        <f t="shared" si="3"/>
        <v>96129.954994994667</v>
      </c>
    </row>
    <row r="37" spans="3:9" x14ac:dyDescent="0.25">
      <c r="C37" s="32">
        <v>28</v>
      </c>
      <c r="D37" s="191">
        <f t="shared" si="0"/>
        <v>494.28442661033847</v>
      </c>
      <c r="E37" s="191">
        <f t="shared" si="1"/>
        <v>343.66458910710594</v>
      </c>
      <c r="F37" s="191">
        <f t="shared" si="2"/>
        <v>150.61983750323253</v>
      </c>
      <c r="G37" s="191">
        <f t="shared" si="3"/>
        <v>95979.335157491441</v>
      </c>
    </row>
    <row r="38" spans="3:9" x14ac:dyDescent="0.25">
      <c r="C38" s="32">
        <v>29</v>
      </c>
      <c r="D38" s="191">
        <f t="shared" si="0"/>
        <v>494.28442661033847</v>
      </c>
      <c r="E38" s="191">
        <f t="shared" si="1"/>
        <v>343.1261231880319</v>
      </c>
      <c r="F38" s="191">
        <f t="shared" si="2"/>
        <v>151.15830342230657</v>
      </c>
      <c r="G38" s="191">
        <f t="shared" si="3"/>
        <v>95828.176854069141</v>
      </c>
    </row>
    <row r="39" spans="3:9" x14ac:dyDescent="0.25">
      <c r="C39" s="32">
        <v>30</v>
      </c>
      <c r="D39" s="191">
        <f t="shared" si="0"/>
        <v>494.28442661033847</v>
      </c>
      <c r="E39" s="191">
        <f t="shared" si="1"/>
        <v>342.58573225329718</v>
      </c>
      <c r="F39" s="191">
        <f t="shared" si="2"/>
        <v>151.69869435704129</v>
      </c>
      <c r="G39" s="191">
        <f t="shared" si="3"/>
        <v>95676.478159712104</v>
      </c>
    </row>
    <row r="40" spans="3:9" x14ac:dyDescent="0.25">
      <c r="C40" s="32">
        <v>31</v>
      </c>
      <c r="D40" s="191">
        <f t="shared" si="0"/>
        <v>494.28442661033847</v>
      </c>
      <c r="E40" s="191">
        <f t="shared" si="1"/>
        <v>342.04340942097076</v>
      </c>
      <c r="F40" s="191">
        <f t="shared" si="2"/>
        <v>152.24101718936771</v>
      </c>
      <c r="G40" s="191">
        <f t="shared" si="3"/>
        <v>95524.237142522732</v>
      </c>
    </row>
    <row r="41" spans="3:9" x14ac:dyDescent="0.25">
      <c r="C41" s="32">
        <v>32</v>
      </c>
      <c r="D41" s="191">
        <f t="shared" si="0"/>
        <v>494.28442661033847</v>
      </c>
      <c r="E41" s="191">
        <f t="shared" si="1"/>
        <v>341.49914778451875</v>
      </c>
      <c r="F41" s="191">
        <f t="shared" si="2"/>
        <v>152.78527882581972</v>
      </c>
      <c r="G41" s="191">
        <f t="shared" si="3"/>
        <v>95371.451863696915</v>
      </c>
    </row>
    <row r="42" spans="3:9" x14ac:dyDescent="0.25">
      <c r="C42" s="32">
        <v>33</v>
      </c>
      <c r="D42" s="191">
        <f t="shared" si="0"/>
        <v>494.28442661033847</v>
      </c>
      <c r="E42" s="191">
        <f t="shared" si="1"/>
        <v>340.95294041271649</v>
      </c>
      <c r="F42" s="191">
        <f t="shared" si="2"/>
        <v>153.33148619762198</v>
      </c>
      <c r="G42" s="191">
        <f t="shared" si="3"/>
        <v>95218.12037749929</v>
      </c>
    </row>
    <row r="43" spans="3:9" x14ac:dyDescent="0.25">
      <c r="C43" s="32">
        <v>34</v>
      </c>
      <c r="D43" s="191">
        <f t="shared" si="0"/>
        <v>494.28442661033847</v>
      </c>
      <c r="E43" s="191">
        <f t="shared" si="1"/>
        <v>340.40478034955999</v>
      </c>
      <c r="F43" s="191">
        <f t="shared" si="2"/>
        <v>153.87964626077849</v>
      </c>
      <c r="G43" s="191">
        <f t="shared" si="3"/>
        <v>95064.240731238518</v>
      </c>
    </row>
    <row r="44" spans="3:9" x14ac:dyDescent="0.25">
      <c r="C44" s="32">
        <v>35</v>
      </c>
      <c r="D44" s="191">
        <f t="shared" si="0"/>
        <v>494.28442661033847</v>
      </c>
      <c r="E44" s="191">
        <f t="shared" si="1"/>
        <v>339.8546606141777</v>
      </c>
      <c r="F44" s="191">
        <f t="shared" si="2"/>
        <v>154.42976599616077</v>
      </c>
      <c r="G44" s="191">
        <f t="shared" si="3"/>
        <v>94909.810965242359</v>
      </c>
    </row>
    <row r="45" spans="3:9" x14ac:dyDescent="0.25">
      <c r="C45" s="32">
        <v>36</v>
      </c>
      <c r="D45" s="191">
        <f t="shared" si="0"/>
        <v>494.28442661033847</v>
      </c>
      <c r="E45" s="191">
        <f t="shared" si="1"/>
        <v>339.30257420074145</v>
      </c>
      <c r="F45" s="191">
        <f t="shared" si="2"/>
        <v>154.98185240959702</v>
      </c>
      <c r="G45" s="191">
        <f t="shared" si="3"/>
        <v>94754.829112832769</v>
      </c>
      <c r="H45" s="26">
        <f>SUM(E34:E45)</f>
        <v>4107.6393727250306</v>
      </c>
      <c r="I45" t="s">
        <v>150</v>
      </c>
    </row>
    <row r="46" spans="3:9" x14ac:dyDescent="0.25">
      <c r="C46" s="32">
        <v>37</v>
      </c>
      <c r="D46" s="191">
        <f t="shared" si="0"/>
        <v>494.28442661033847</v>
      </c>
      <c r="E46" s="191">
        <f t="shared" si="1"/>
        <v>338.74851407837713</v>
      </c>
      <c r="F46" s="191">
        <f t="shared" si="2"/>
        <v>155.53591253196134</v>
      </c>
      <c r="G46" s="191">
        <f t="shared" si="3"/>
        <v>94599.293200300803</v>
      </c>
    </row>
    <row r="47" spans="3:9" x14ac:dyDescent="0.25">
      <c r="C47" s="32">
        <v>38</v>
      </c>
      <c r="D47" s="191">
        <f t="shared" si="0"/>
        <v>494.28442661033847</v>
      </c>
      <c r="E47" s="191">
        <f t="shared" si="1"/>
        <v>338.19247319107535</v>
      </c>
      <c r="F47" s="191">
        <f t="shared" si="2"/>
        <v>156.09195341926312</v>
      </c>
      <c r="G47" s="191">
        <f t="shared" si="3"/>
        <v>94443.201246881537</v>
      </c>
    </row>
    <row r="48" spans="3:9" x14ac:dyDescent="0.25">
      <c r="C48" s="32">
        <v>39</v>
      </c>
      <c r="D48" s="191">
        <f t="shared" si="0"/>
        <v>494.28442661033847</v>
      </c>
      <c r="E48" s="191">
        <f t="shared" si="1"/>
        <v>337.63444445760149</v>
      </c>
      <c r="F48" s="191">
        <f t="shared" si="2"/>
        <v>156.64998215273698</v>
      </c>
      <c r="G48" s="191">
        <f t="shared" si="3"/>
        <v>94286.551264728798</v>
      </c>
    </row>
    <row r="49" spans="3:9" x14ac:dyDescent="0.25">
      <c r="C49" s="32">
        <v>40</v>
      </c>
      <c r="D49" s="191">
        <f t="shared" si="0"/>
        <v>494.28442661033847</v>
      </c>
      <c r="E49" s="191">
        <f t="shared" si="1"/>
        <v>337.07442077140547</v>
      </c>
      <c r="F49" s="191">
        <f t="shared" si="2"/>
        <v>157.210005838933</v>
      </c>
      <c r="G49" s="191">
        <f t="shared" si="3"/>
        <v>94129.341258889865</v>
      </c>
    </row>
    <row r="50" spans="3:9" x14ac:dyDescent="0.25">
      <c r="C50" s="32">
        <v>41</v>
      </c>
      <c r="D50" s="191">
        <f t="shared" si="0"/>
        <v>494.28442661033847</v>
      </c>
      <c r="E50" s="191">
        <f t="shared" si="1"/>
        <v>336.51239500053128</v>
      </c>
      <c r="F50" s="191">
        <f t="shared" si="2"/>
        <v>157.77203160980719</v>
      </c>
      <c r="G50" s="191">
        <f t="shared" si="3"/>
        <v>93971.569227280052</v>
      </c>
    </row>
    <row r="51" spans="3:9" x14ac:dyDescent="0.25">
      <c r="C51" s="32">
        <v>42</v>
      </c>
      <c r="D51" s="191">
        <f t="shared" si="0"/>
        <v>494.28442661033847</v>
      </c>
      <c r="E51" s="191">
        <f t="shared" si="1"/>
        <v>335.9483599875262</v>
      </c>
      <c r="F51" s="191">
        <f t="shared" si="2"/>
        <v>158.33606662281227</v>
      </c>
      <c r="G51" s="191">
        <f t="shared" si="3"/>
        <v>93813.233160657241</v>
      </c>
    </row>
    <row r="52" spans="3:9" x14ac:dyDescent="0.25">
      <c r="C52" s="32">
        <v>43</v>
      </c>
      <c r="D52" s="191">
        <f t="shared" si="0"/>
        <v>494.28442661033847</v>
      </c>
      <c r="E52" s="191">
        <f t="shared" si="1"/>
        <v>335.38230854934966</v>
      </c>
      <c r="F52" s="191">
        <f t="shared" si="2"/>
        <v>158.90211806098881</v>
      </c>
      <c r="G52" s="191">
        <f t="shared" si="3"/>
        <v>93654.331042596255</v>
      </c>
    </row>
    <row r="53" spans="3:9" x14ac:dyDescent="0.25">
      <c r="C53" s="32">
        <v>44</v>
      </c>
      <c r="D53" s="191">
        <f t="shared" si="0"/>
        <v>494.28442661033847</v>
      </c>
      <c r="E53" s="191">
        <f t="shared" si="1"/>
        <v>334.81423347728162</v>
      </c>
      <c r="F53" s="191">
        <f t="shared" si="2"/>
        <v>159.47019313305685</v>
      </c>
      <c r="G53" s="191">
        <f t="shared" si="3"/>
        <v>93494.860849463192</v>
      </c>
    </row>
    <row r="54" spans="3:9" x14ac:dyDescent="0.25">
      <c r="C54" s="32">
        <v>45</v>
      </c>
      <c r="D54" s="191">
        <f t="shared" si="0"/>
        <v>494.28442661033847</v>
      </c>
      <c r="E54" s="191">
        <f t="shared" si="1"/>
        <v>334.24412753683089</v>
      </c>
      <c r="F54" s="191">
        <f t="shared" si="2"/>
        <v>160.04029907350758</v>
      </c>
      <c r="G54" s="191">
        <f t="shared" si="3"/>
        <v>93334.82055038969</v>
      </c>
    </row>
    <row r="55" spans="3:9" x14ac:dyDescent="0.25">
      <c r="C55" s="32">
        <v>46</v>
      </c>
      <c r="D55" s="191">
        <f t="shared" si="0"/>
        <v>494.28442661033847</v>
      </c>
      <c r="E55" s="191">
        <f t="shared" si="1"/>
        <v>333.67198346764314</v>
      </c>
      <c r="F55" s="191">
        <f t="shared" si="2"/>
        <v>160.61244314269533</v>
      </c>
      <c r="G55" s="191">
        <f t="shared" si="3"/>
        <v>93174.208107246988</v>
      </c>
    </row>
    <row r="56" spans="3:9" x14ac:dyDescent="0.25">
      <c r="C56" s="32">
        <v>47</v>
      </c>
      <c r="D56" s="191">
        <f t="shared" si="0"/>
        <v>494.28442661033847</v>
      </c>
      <c r="E56" s="191">
        <f t="shared" si="1"/>
        <v>333.097793983408</v>
      </c>
      <c r="F56" s="191">
        <f t="shared" si="2"/>
        <v>161.18663262693047</v>
      </c>
      <c r="G56" s="191">
        <f t="shared" si="3"/>
        <v>93013.021474620051</v>
      </c>
    </row>
    <row r="57" spans="3:9" x14ac:dyDescent="0.25">
      <c r="C57" s="32">
        <v>48</v>
      </c>
      <c r="D57" s="191">
        <f t="shared" si="0"/>
        <v>494.28442661033847</v>
      </c>
      <c r="E57" s="191">
        <f t="shared" si="1"/>
        <v>332.52155177176667</v>
      </c>
      <c r="F57" s="191">
        <f t="shared" si="2"/>
        <v>161.7628748385718</v>
      </c>
      <c r="G57" s="191">
        <f t="shared" si="3"/>
        <v>92851.258599781475</v>
      </c>
      <c r="H57" s="26">
        <f>SUM(E46:E57)</f>
        <v>4027.8426062727967</v>
      </c>
      <c r="I57" t="s">
        <v>146</v>
      </c>
    </row>
    <row r="58" spans="3:9" x14ac:dyDescent="0.25">
      <c r="C58" s="32">
        <v>49</v>
      </c>
      <c r="D58" s="191">
        <f t="shared" si="0"/>
        <v>494.28442661033847</v>
      </c>
      <c r="E58" s="191">
        <f t="shared" si="1"/>
        <v>331.94324949421878</v>
      </c>
      <c r="F58" s="191">
        <f t="shared" si="2"/>
        <v>162.3411771161197</v>
      </c>
      <c r="G58" s="191">
        <f t="shared" si="3"/>
        <v>92688.917422665356</v>
      </c>
    </row>
    <row r="59" spans="3:9" x14ac:dyDescent="0.25">
      <c r="C59" s="32">
        <v>50</v>
      </c>
      <c r="D59" s="191">
        <f t="shared" si="0"/>
        <v>494.28442661033847</v>
      </c>
      <c r="E59" s="191">
        <f t="shared" si="1"/>
        <v>331.36287978602866</v>
      </c>
      <c r="F59" s="191">
        <f t="shared" si="2"/>
        <v>162.92154682430981</v>
      </c>
      <c r="G59" s="191">
        <f t="shared" si="3"/>
        <v>92525.99587584105</v>
      </c>
    </row>
    <row r="60" spans="3:9" x14ac:dyDescent="0.25">
      <c r="C60" s="32">
        <v>51</v>
      </c>
      <c r="D60" s="191">
        <f t="shared" si="0"/>
        <v>494.28442661033847</v>
      </c>
      <c r="E60" s="191">
        <f t="shared" si="1"/>
        <v>330.78043525613174</v>
      </c>
      <c r="F60" s="191">
        <f t="shared" si="2"/>
        <v>163.50399135420673</v>
      </c>
      <c r="G60" s="191">
        <f t="shared" si="3"/>
        <v>92362.491884486837</v>
      </c>
    </row>
    <row r="61" spans="3:9" x14ac:dyDescent="0.25">
      <c r="C61" s="32">
        <v>52</v>
      </c>
      <c r="D61" s="191">
        <f t="shared" si="0"/>
        <v>494.28442661033847</v>
      </c>
      <c r="E61" s="191">
        <f t="shared" si="1"/>
        <v>330.19590848704047</v>
      </c>
      <c r="F61" s="191">
        <f t="shared" si="2"/>
        <v>164.088518123298</v>
      </c>
      <c r="G61" s="191">
        <f t="shared" si="3"/>
        <v>92198.403366363535</v>
      </c>
    </row>
    <row r="62" spans="3:9" x14ac:dyDescent="0.25">
      <c r="C62" s="32">
        <v>53</v>
      </c>
      <c r="D62" s="191">
        <f t="shared" si="0"/>
        <v>494.28442661033847</v>
      </c>
      <c r="E62" s="191">
        <f t="shared" si="1"/>
        <v>329.60929203474961</v>
      </c>
      <c r="F62" s="191">
        <f t="shared" si="2"/>
        <v>164.67513457558886</v>
      </c>
      <c r="G62" s="191">
        <f t="shared" si="3"/>
        <v>92033.728231787944</v>
      </c>
    </row>
    <row r="63" spans="3:9" x14ac:dyDescent="0.25">
      <c r="C63" s="32">
        <v>54</v>
      </c>
      <c r="D63" s="191">
        <f t="shared" si="0"/>
        <v>494.28442661033847</v>
      </c>
      <c r="E63" s="191">
        <f t="shared" si="1"/>
        <v>329.0205784286419</v>
      </c>
      <c r="F63" s="191">
        <f t="shared" si="2"/>
        <v>165.26384818169657</v>
      </c>
      <c r="G63" s="191">
        <f t="shared" si="3"/>
        <v>91868.464383606246</v>
      </c>
    </row>
    <row r="64" spans="3:9" x14ac:dyDescent="0.25">
      <c r="C64" s="32">
        <v>55</v>
      </c>
      <c r="D64" s="191">
        <f t="shared" si="0"/>
        <v>494.28442661033847</v>
      </c>
      <c r="E64" s="191">
        <f t="shared" si="1"/>
        <v>328.42976017139233</v>
      </c>
      <c r="F64" s="191">
        <f t="shared" si="2"/>
        <v>165.85466643894614</v>
      </c>
      <c r="G64" s="191">
        <f t="shared" si="3"/>
        <v>91702.609717167303</v>
      </c>
    </row>
    <row r="65" spans="3:9" x14ac:dyDescent="0.25">
      <c r="C65" s="32">
        <v>56</v>
      </c>
      <c r="D65" s="191">
        <f t="shared" si="0"/>
        <v>494.28442661033847</v>
      </c>
      <c r="E65" s="191">
        <f t="shared" si="1"/>
        <v>327.83682973887312</v>
      </c>
      <c r="F65" s="191">
        <f t="shared" si="2"/>
        <v>166.44759687146535</v>
      </c>
      <c r="G65" s="191">
        <f t="shared" si="3"/>
        <v>91536.162120295834</v>
      </c>
    </row>
    <row r="66" spans="3:9" x14ac:dyDescent="0.25">
      <c r="C66" s="32">
        <v>57</v>
      </c>
      <c r="D66" s="191">
        <f t="shared" si="0"/>
        <v>494.28442661033847</v>
      </c>
      <c r="E66" s="191">
        <f t="shared" si="1"/>
        <v>327.2417795800576</v>
      </c>
      <c r="F66" s="191">
        <f t="shared" si="2"/>
        <v>167.04264703028088</v>
      </c>
      <c r="G66" s="191">
        <f t="shared" si="3"/>
        <v>91369.119473265557</v>
      </c>
    </row>
    <row r="67" spans="3:9" x14ac:dyDescent="0.25">
      <c r="C67" s="32">
        <v>58</v>
      </c>
      <c r="D67" s="191">
        <f t="shared" si="0"/>
        <v>494.28442661033847</v>
      </c>
      <c r="E67" s="191">
        <f t="shared" si="1"/>
        <v>326.64460211692437</v>
      </c>
      <c r="F67" s="191">
        <f t="shared" si="2"/>
        <v>167.6398244934141</v>
      </c>
      <c r="G67" s="191">
        <f t="shared" si="3"/>
        <v>91201.479648772147</v>
      </c>
    </row>
    <row r="68" spans="3:9" x14ac:dyDescent="0.25">
      <c r="C68" s="32">
        <v>59</v>
      </c>
      <c r="D68" s="191">
        <f t="shared" si="0"/>
        <v>494.28442661033847</v>
      </c>
      <c r="E68" s="191">
        <f t="shared" si="1"/>
        <v>326.04528974436045</v>
      </c>
      <c r="F68" s="191">
        <f t="shared" si="2"/>
        <v>168.23913686597803</v>
      </c>
      <c r="G68" s="191">
        <f t="shared" si="3"/>
        <v>91033.240511906173</v>
      </c>
    </row>
    <row r="69" spans="3:9" x14ac:dyDescent="0.25">
      <c r="C69" s="32">
        <v>60</v>
      </c>
      <c r="D69" s="191">
        <f t="shared" si="0"/>
        <v>494.28442661033847</v>
      </c>
      <c r="E69" s="191">
        <f t="shared" si="1"/>
        <v>325.44383483006459</v>
      </c>
      <c r="F69" s="191">
        <f t="shared" si="2"/>
        <v>168.84059178027388</v>
      </c>
      <c r="G69" s="191">
        <f t="shared" si="3"/>
        <v>90864.399920125899</v>
      </c>
      <c r="H69" s="26">
        <f>SUM(E58:E69)</f>
        <v>3944.5544396684836</v>
      </c>
      <c r="I69" t="s">
        <v>148</v>
      </c>
    </row>
    <row r="70" spans="3:9" x14ac:dyDescent="0.25">
      <c r="C70" s="32">
        <v>61</v>
      </c>
      <c r="D70" s="191">
        <f t="shared" si="0"/>
        <v>494.28442661033847</v>
      </c>
      <c r="E70" s="191">
        <f t="shared" si="1"/>
        <v>324.84022971445012</v>
      </c>
      <c r="F70" s="191">
        <f t="shared" si="2"/>
        <v>169.44419689588835</v>
      </c>
      <c r="G70" s="191">
        <f t="shared" si="3"/>
        <v>90694.955723230014</v>
      </c>
    </row>
    <row r="71" spans="3:9" x14ac:dyDescent="0.25">
      <c r="C71" s="32">
        <v>62</v>
      </c>
      <c r="D71" s="191">
        <f t="shared" si="0"/>
        <v>494.28442661033847</v>
      </c>
      <c r="E71" s="191">
        <f t="shared" si="1"/>
        <v>324.23446671054728</v>
      </c>
      <c r="F71" s="191">
        <f t="shared" si="2"/>
        <v>170.04995989979119</v>
      </c>
      <c r="G71" s="191">
        <f t="shared" si="3"/>
        <v>90524.905763330229</v>
      </c>
    </row>
    <row r="72" spans="3:9" x14ac:dyDescent="0.25">
      <c r="C72" s="32">
        <v>63</v>
      </c>
      <c r="D72" s="191">
        <f t="shared" si="0"/>
        <v>494.28442661033847</v>
      </c>
      <c r="E72" s="191">
        <f t="shared" si="1"/>
        <v>323.62653810390555</v>
      </c>
      <c r="F72" s="191">
        <f t="shared" si="2"/>
        <v>170.65788850643293</v>
      </c>
      <c r="G72" s="191">
        <f t="shared" si="3"/>
        <v>90354.247874823792</v>
      </c>
    </row>
    <row r="73" spans="3:9" x14ac:dyDescent="0.25">
      <c r="C73" s="32">
        <v>64</v>
      </c>
      <c r="D73" s="191">
        <f t="shared" si="0"/>
        <v>494.28442661033847</v>
      </c>
      <c r="E73" s="191">
        <f t="shared" si="1"/>
        <v>323.01643615249503</v>
      </c>
      <c r="F73" s="191">
        <f t="shared" si="2"/>
        <v>171.26799045784344</v>
      </c>
      <c r="G73" s="191">
        <f t="shared" si="3"/>
        <v>90182.979884365952</v>
      </c>
    </row>
    <row r="74" spans="3:9" x14ac:dyDescent="0.25">
      <c r="C74" s="32">
        <v>65</v>
      </c>
      <c r="D74" s="191">
        <f t="shared" si="0"/>
        <v>494.28442661033847</v>
      </c>
      <c r="E74" s="191">
        <f t="shared" si="1"/>
        <v>322.40415308660829</v>
      </c>
      <c r="F74" s="191">
        <f t="shared" si="2"/>
        <v>171.88027352373018</v>
      </c>
      <c r="G74" s="191">
        <f t="shared" si="3"/>
        <v>90011.099610842226</v>
      </c>
    </row>
    <row r="75" spans="3:9" x14ac:dyDescent="0.25">
      <c r="C75" s="32">
        <v>66</v>
      </c>
      <c r="D75" s="191">
        <f t="shared" ref="D75:D138" si="4">$B$6</f>
        <v>494.28442661033847</v>
      </c>
      <c r="E75" s="191">
        <f t="shared" si="1"/>
        <v>321.78968110876099</v>
      </c>
      <c r="F75" s="191">
        <f t="shared" si="2"/>
        <v>172.49474550157748</v>
      </c>
      <c r="G75" s="191">
        <f t="shared" si="3"/>
        <v>89838.604865340647</v>
      </c>
    </row>
    <row r="76" spans="3:9" x14ac:dyDescent="0.25">
      <c r="C76" s="32">
        <v>67</v>
      </c>
      <c r="D76" s="191">
        <f t="shared" si="4"/>
        <v>494.28442661033847</v>
      </c>
      <c r="E76" s="191">
        <f t="shared" ref="E76:E139" si="5">G75*($B$2/12)</f>
        <v>321.17301239359284</v>
      </c>
      <c r="F76" s="191">
        <f t="shared" ref="F76:F139" si="6">D76-E76</f>
        <v>173.11141421674563</v>
      </c>
      <c r="G76" s="191">
        <f t="shared" ref="G76:G139" si="7">G75-F76</f>
        <v>89665.493451123897</v>
      </c>
    </row>
    <row r="77" spans="3:9" x14ac:dyDescent="0.25">
      <c r="C77" s="32">
        <v>68</v>
      </c>
      <c r="D77" s="191">
        <f t="shared" si="4"/>
        <v>494.28442661033847</v>
      </c>
      <c r="E77" s="191">
        <f t="shared" si="5"/>
        <v>320.55413908776796</v>
      </c>
      <c r="F77" s="191">
        <f t="shared" si="6"/>
        <v>173.73028752257051</v>
      </c>
      <c r="G77" s="191">
        <f t="shared" si="7"/>
        <v>89491.763163601325</v>
      </c>
    </row>
    <row r="78" spans="3:9" x14ac:dyDescent="0.25">
      <c r="C78" s="32">
        <v>69</v>
      </c>
      <c r="D78" s="191">
        <f t="shared" si="4"/>
        <v>494.28442661033847</v>
      </c>
      <c r="E78" s="191">
        <f t="shared" si="5"/>
        <v>319.93305330987477</v>
      </c>
      <c r="F78" s="191">
        <f t="shared" si="6"/>
        <v>174.35137330046371</v>
      </c>
      <c r="G78" s="191">
        <f t="shared" si="7"/>
        <v>89317.411790300859</v>
      </c>
    </row>
    <row r="79" spans="3:9" x14ac:dyDescent="0.25">
      <c r="C79" s="32">
        <v>70</v>
      </c>
      <c r="D79" s="191">
        <f t="shared" si="4"/>
        <v>494.28442661033847</v>
      </c>
      <c r="E79" s="191">
        <f t="shared" si="5"/>
        <v>319.30974715032556</v>
      </c>
      <c r="F79" s="191">
        <f t="shared" si="6"/>
        <v>174.97467946001291</v>
      </c>
      <c r="G79" s="191">
        <f t="shared" si="7"/>
        <v>89142.437110840852</v>
      </c>
    </row>
    <row r="80" spans="3:9" x14ac:dyDescent="0.25">
      <c r="C80" s="32">
        <v>71</v>
      </c>
      <c r="D80" s="191">
        <f t="shared" si="4"/>
        <v>494.28442661033847</v>
      </c>
      <c r="E80" s="191">
        <f t="shared" si="5"/>
        <v>318.68421267125603</v>
      </c>
      <c r="F80" s="191">
        <f t="shared" si="6"/>
        <v>175.60021393908244</v>
      </c>
      <c r="G80" s="191">
        <f t="shared" si="7"/>
        <v>88966.836896901776</v>
      </c>
    </row>
    <row r="81" spans="3:9" x14ac:dyDescent="0.25">
      <c r="C81" s="32">
        <v>72</v>
      </c>
      <c r="D81" s="191">
        <f t="shared" si="4"/>
        <v>494.28442661033847</v>
      </c>
      <c r="E81" s="191">
        <f t="shared" si="5"/>
        <v>318.05644190642386</v>
      </c>
      <c r="F81" s="191">
        <f t="shared" si="6"/>
        <v>176.22798470391461</v>
      </c>
      <c r="G81" s="191">
        <f t="shared" si="7"/>
        <v>88790.608912197858</v>
      </c>
      <c r="H81" s="26">
        <f>SUM(E70:E81)</f>
        <v>3857.6221113960082</v>
      </c>
      <c r="I81" t="s">
        <v>151</v>
      </c>
    </row>
    <row r="82" spans="3:9" x14ac:dyDescent="0.25">
      <c r="C82" s="32">
        <v>73</v>
      </c>
      <c r="D82" s="191">
        <f t="shared" si="4"/>
        <v>494.28442661033847</v>
      </c>
      <c r="E82" s="191">
        <f t="shared" si="5"/>
        <v>317.42642686110736</v>
      </c>
      <c r="F82" s="191">
        <f t="shared" si="6"/>
        <v>176.85799974923111</v>
      </c>
      <c r="G82" s="191">
        <f t="shared" si="7"/>
        <v>88613.750912448624</v>
      </c>
    </row>
    <row r="83" spans="3:9" x14ac:dyDescent="0.25">
      <c r="C83" s="32">
        <v>74</v>
      </c>
      <c r="D83" s="191">
        <f t="shared" si="4"/>
        <v>494.28442661033847</v>
      </c>
      <c r="E83" s="191">
        <f t="shared" si="5"/>
        <v>316.79415951200383</v>
      </c>
      <c r="F83" s="191">
        <f t="shared" si="6"/>
        <v>177.49026709833464</v>
      </c>
      <c r="G83" s="191">
        <f t="shared" si="7"/>
        <v>88436.260645350296</v>
      </c>
    </row>
    <row r="84" spans="3:9" x14ac:dyDescent="0.25">
      <c r="C84" s="32">
        <v>75</v>
      </c>
      <c r="D84" s="191">
        <f t="shared" si="4"/>
        <v>494.28442661033847</v>
      </c>
      <c r="E84" s="191">
        <f t="shared" si="5"/>
        <v>316.15963180712731</v>
      </c>
      <c r="F84" s="191">
        <f t="shared" si="6"/>
        <v>178.12479480321116</v>
      </c>
      <c r="G84" s="191">
        <f t="shared" si="7"/>
        <v>88258.135850547085</v>
      </c>
    </row>
    <row r="85" spans="3:9" x14ac:dyDescent="0.25">
      <c r="C85" s="32">
        <v>76</v>
      </c>
      <c r="D85" s="191">
        <f t="shared" si="4"/>
        <v>494.28442661033847</v>
      </c>
      <c r="E85" s="191">
        <f t="shared" si="5"/>
        <v>315.52283566570583</v>
      </c>
      <c r="F85" s="191">
        <f t="shared" si="6"/>
        <v>178.76159094463264</v>
      </c>
      <c r="G85" s="191">
        <f t="shared" si="7"/>
        <v>88079.374259602453</v>
      </c>
    </row>
    <row r="86" spans="3:9" x14ac:dyDescent="0.25">
      <c r="C86" s="32">
        <v>77</v>
      </c>
      <c r="D86" s="191">
        <f t="shared" si="4"/>
        <v>494.28442661033847</v>
      </c>
      <c r="E86" s="191">
        <f t="shared" si="5"/>
        <v>314.88376297807878</v>
      </c>
      <c r="F86" s="191">
        <f t="shared" si="6"/>
        <v>179.40066363225969</v>
      </c>
      <c r="G86" s="191">
        <f t="shared" si="7"/>
        <v>87899.973595970194</v>
      </c>
    </row>
    <row r="87" spans="3:9" x14ac:dyDescent="0.25">
      <c r="C87" s="32">
        <v>78</v>
      </c>
      <c r="D87" s="191">
        <f t="shared" si="4"/>
        <v>494.28442661033847</v>
      </c>
      <c r="E87" s="191">
        <f t="shared" si="5"/>
        <v>314.24240560559343</v>
      </c>
      <c r="F87" s="191">
        <f t="shared" si="6"/>
        <v>180.04202100474504</v>
      </c>
      <c r="G87" s="191">
        <f t="shared" si="7"/>
        <v>87719.931574965449</v>
      </c>
    </row>
    <row r="88" spans="3:9" x14ac:dyDescent="0.25">
      <c r="C88" s="32">
        <v>79</v>
      </c>
      <c r="D88" s="191">
        <f t="shared" si="4"/>
        <v>494.28442661033847</v>
      </c>
      <c r="E88" s="191">
        <f t="shared" si="5"/>
        <v>313.59875538050147</v>
      </c>
      <c r="F88" s="191">
        <f t="shared" si="6"/>
        <v>180.685671229837</v>
      </c>
      <c r="G88" s="191">
        <f t="shared" si="7"/>
        <v>87539.245903735617</v>
      </c>
    </row>
    <row r="89" spans="3:9" x14ac:dyDescent="0.25">
      <c r="C89" s="32">
        <v>80</v>
      </c>
      <c r="D89" s="191">
        <f t="shared" si="4"/>
        <v>494.28442661033847</v>
      </c>
      <c r="E89" s="191">
        <f t="shared" si="5"/>
        <v>312.95280410585485</v>
      </c>
      <c r="F89" s="191">
        <f t="shared" si="6"/>
        <v>181.33162250448362</v>
      </c>
      <c r="G89" s="191">
        <f t="shared" si="7"/>
        <v>87357.914281231133</v>
      </c>
    </row>
    <row r="90" spans="3:9" x14ac:dyDescent="0.25">
      <c r="C90" s="32">
        <v>81</v>
      </c>
      <c r="D90" s="191">
        <f t="shared" si="4"/>
        <v>494.28442661033847</v>
      </c>
      <c r="E90" s="191">
        <f t="shared" si="5"/>
        <v>312.30454355540132</v>
      </c>
      <c r="F90" s="191">
        <f t="shared" si="6"/>
        <v>181.97988305493715</v>
      </c>
      <c r="G90" s="191">
        <f t="shared" si="7"/>
        <v>87175.934398176192</v>
      </c>
    </row>
    <row r="91" spans="3:9" x14ac:dyDescent="0.25">
      <c r="C91" s="32">
        <v>82</v>
      </c>
      <c r="D91" s="191">
        <f t="shared" si="4"/>
        <v>494.28442661033847</v>
      </c>
      <c r="E91" s="191">
        <f t="shared" si="5"/>
        <v>311.6539654734799</v>
      </c>
      <c r="F91" s="191">
        <f t="shared" si="6"/>
        <v>182.63046113685857</v>
      </c>
      <c r="G91" s="191">
        <f t="shared" si="7"/>
        <v>86993.303937039338</v>
      </c>
    </row>
    <row r="92" spans="3:9" x14ac:dyDescent="0.25">
      <c r="C92" s="32">
        <v>83</v>
      </c>
      <c r="D92" s="191">
        <f t="shared" si="4"/>
        <v>494.28442661033847</v>
      </c>
      <c r="E92" s="191">
        <f t="shared" si="5"/>
        <v>311.00106157491564</v>
      </c>
      <c r="F92" s="191">
        <f t="shared" si="6"/>
        <v>183.28336503542283</v>
      </c>
      <c r="G92" s="191">
        <f t="shared" si="7"/>
        <v>86810.020572003908</v>
      </c>
    </row>
    <row r="93" spans="3:9" x14ac:dyDescent="0.25">
      <c r="C93" s="32">
        <v>84</v>
      </c>
      <c r="D93" s="191">
        <f t="shared" si="4"/>
        <v>494.28442661033847</v>
      </c>
      <c r="E93" s="191">
        <f t="shared" si="5"/>
        <v>310.34582354491397</v>
      </c>
      <c r="F93" s="191">
        <f t="shared" si="6"/>
        <v>183.9386030654245</v>
      </c>
      <c r="G93" s="191">
        <f t="shared" si="7"/>
        <v>86626.081968938481</v>
      </c>
      <c r="H93" s="26">
        <f>SUM(E82:E93)</f>
        <v>3766.8861760646832</v>
      </c>
      <c r="I93" t="s">
        <v>147</v>
      </c>
    </row>
    <row r="94" spans="3:9" x14ac:dyDescent="0.25">
      <c r="C94" s="32">
        <v>85</v>
      </c>
      <c r="D94" s="191">
        <f t="shared" si="4"/>
        <v>494.28442661033847</v>
      </c>
      <c r="E94" s="191">
        <f t="shared" si="5"/>
        <v>309.68824303895508</v>
      </c>
      <c r="F94" s="191">
        <f t="shared" si="6"/>
        <v>184.59618357138339</v>
      </c>
      <c r="G94" s="191">
        <f t="shared" si="7"/>
        <v>86441.485785367098</v>
      </c>
    </row>
    <row r="95" spans="3:9" x14ac:dyDescent="0.25">
      <c r="C95" s="32">
        <v>86</v>
      </c>
      <c r="D95" s="191">
        <f t="shared" si="4"/>
        <v>494.28442661033847</v>
      </c>
      <c r="E95" s="191">
        <f t="shared" si="5"/>
        <v>309.02831168268739</v>
      </c>
      <c r="F95" s="191">
        <f t="shared" si="6"/>
        <v>185.25611492765108</v>
      </c>
      <c r="G95" s="191">
        <f t="shared" si="7"/>
        <v>86256.229670439454</v>
      </c>
    </row>
    <row r="96" spans="3:9" x14ac:dyDescent="0.25">
      <c r="C96" s="32">
        <v>87</v>
      </c>
      <c r="D96" s="191">
        <f t="shared" si="4"/>
        <v>494.28442661033847</v>
      </c>
      <c r="E96" s="191">
        <f t="shared" si="5"/>
        <v>308.36602107182108</v>
      </c>
      <c r="F96" s="191">
        <f t="shared" si="6"/>
        <v>185.91840553851739</v>
      </c>
      <c r="G96" s="191">
        <f t="shared" si="7"/>
        <v>86070.311264900942</v>
      </c>
    </row>
    <row r="97" spans="3:9" x14ac:dyDescent="0.25">
      <c r="C97" s="32">
        <v>88</v>
      </c>
      <c r="D97" s="191">
        <f t="shared" si="4"/>
        <v>494.28442661033847</v>
      </c>
      <c r="E97" s="191">
        <f t="shared" si="5"/>
        <v>307.70136277202084</v>
      </c>
      <c r="F97" s="191">
        <f t="shared" si="6"/>
        <v>186.58306383831763</v>
      </c>
      <c r="G97" s="191">
        <f t="shared" si="7"/>
        <v>85883.728201062622</v>
      </c>
    </row>
    <row r="98" spans="3:9" x14ac:dyDescent="0.25">
      <c r="C98" s="32">
        <v>89</v>
      </c>
      <c r="D98" s="191">
        <f t="shared" si="4"/>
        <v>494.28442661033847</v>
      </c>
      <c r="E98" s="191">
        <f t="shared" si="5"/>
        <v>307.03432831879888</v>
      </c>
      <c r="F98" s="191">
        <f t="shared" si="6"/>
        <v>187.25009829153959</v>
      </c>
      <c r="G98" s="191">
        <f t="shared" si="7"/>
        <v>85696.478102771085</v>
      </c>
    </row>
    <row r="99" spans="3:9" x14ac:dyDescent="0.25">
      <c r="C99" s="32">
        <v>90</v>
      </c>
      <c r="D99" s="191">
        <f t="shared" si="4"/>
        <v>494.28442661033847</v>
      </c>
      <c r="E99" s="191">
        <f t="shared" si="5"/>
        <v>306.36490921740665</v>
      </c>
      <c r="F99" s="191">
        <f t="shared" si="6"/>
        <v>187.91951739293182</v>
      </c>
      <c r="G99" s="191">
        <f t="shared" si="7"/>
        <v>85508.558585378152</v>
      </c>
    </row>
    <row r="100" spans="3:9" x14ac:dyDescent="0.25">
      <c r="C100" s="32">
        <v>91</v>
      </c>
      <c r="D100" s="191">
        <f t="shared" si="4"/>
        <v>494.28442661033847</v>
      </c>
      <c r="E100" s="191">
        <f t="shared" si="5"/>
        <v>305.69309694272692</v>
      </c>
      <c r="F100" s="191">
        <f t="shared" si="6"/>
        <v>188.59132966761155</v>
      </c>
      <c r="G100" s="191">
        <f t="shared" si="7"/>
        <v>85319.967255710537</v>
      </c>
    </row>
    <row r="101" spans="3:9" x14ac:dyDescent="0.25">
      <c r="C101" s="32">
        <v>92</v>
      </c>
      <c r="D101" s="191">
        <f t="shared" si="4"/>
        <v>494.28442661033847</v>
      </c>
      <c r="E101" s="191">
        <f t="shared" si="5"/>
        <v>305.01888293916517</v>
      </c>
      <c r="F101" s="191">
        <f t="shared" si="6"/>
        <v>189.2655436711733</v>
      </c>
      <c r="G101" s="191">
        <f t="shared" si="7"/>
        <v>85130.701712039358</v>
      </c>
    </row>
    <row r="102" spans="3:9" x14ac:dyDescent="0.25">
      <c r="C102" s="32">
        <v>93</v>
      </c>
      <c r="D102" s="191">
        <f t="shared" si="4"/>
        <v>494.28442661033847</v>
      </c>
      <c r="E102" s="191">
        <f t="shared" si="5"/>
        <v>304.34225862054069</v>
      </c>
      <c r="F102" s="191">
        <f t="shared" si="6"/>
        <v>189.94216798979778</v>
      </c>
      <c r="G102" s="191">
        <f t="shared" si="7"/>
        <v>84940.759544049564</v>
      </c>
    </row>
    <row r="103" spans="3:9" x14ac:dyDescent="0.25">
      <c r="C103" s="32">
        <v>94</v>
      </c>
      <c r="D103" s="191">
        <f t="shared" si="4"/>
        <v>494.28442661033847</v>
      </c>
      <c r="E103" s="191">
        <f t="shared" si="5"/>
        <v>303.66321536997719</v>
      </c>
      <c r="F103" s="191">
        <f t="shared" si="6"/>
        <v>190.62121124036128</v>
      </c>
      <c r="G103" s="191">
        <f t="shared" si="7"/>
        <v>84750.138332809205</v>
      </c>
    </row>
    <row r="104" spans="3:9" x14ac:dyDescent="0.25">
      <c r="C104" s="32">
        <v>95</v>
      </c>
      <c r="D104" s="191">
        <f t="shared" si="4"/>
        <v>494.28442661033847</v>
      </c>
      <c r="E104" s="191">
        <f t="shared" si="5"/>
        <v>302.98174453979289</v>
      </c>
      <c r="F104" s="191">
        <f t="shared" si="6"/>
        <v>191.30268207054559</v>
      </c>
      <c r="G104" s="191">
        <f t="shared" si="7"/>
        <v>84558.835650738663</v>
      </c>
    </row>
    <row r="105" spans="3:9" x14ac:dyDescent="0.25">
      <c r="C105" s="32">
        <v>96</v>
      </c>
      <c r="D105" s="191">
        <f t="shared" si="4"/>
        <v>494.28442661033847</v>
      </c>
      <c r="E105" s="191">
        <f t="shared" si="5"/>
        <v>302.29783745139071</v>
      </c>
      <c r="F105" s="191">
        <f t="shared" si="6"/>
        <v>191.98658915894777</v>
      </c>
      <c r="G105" s="191">
        <f t="shared" si="7"/>
        <v>84366.84906157972</v>
      </c>
      <c r="H105" s="26">
        <f>SUM(E94:E105)</f>
        <v>3672.180211965283</v>
      </c>
      <c r="I105" t="s">
        <v>149</v>
      </c>
    </row>
    <row r="106" spans="3:9" x14ac:dyDescent="0.25">
      <c r="C106" s="32">
        <v>97</v>
      </c>
      <c r="D106" s="191">
        <f t="shared" si="4"/>
        <v>494.28442661033847</v>
      </c>
      <c r="E106" s="191">
        <f t="shared" si="5"/>
        <v>301.6114853951475</v>
      </c>
      <c r="F106" s="191">
        <f t="shared" si="6"/>
        <v>192.67294121519097</v>
      </c>
      <c r="G106" s="191">
        <f t="shared" si="7"/>
        <v>84174.176120364529</v>
      </c>
    </row>
    <row r="107" spans="3:9" x14ac:dyDescent="0.25">
      <c r="C107" s="32">
        <v>98</v>
      </c>
      <c r="D107" s="191">
        <f t="shared" si="4"/>
        <v>494.28442661033847</v>
      </c>
      <c r="E107" s="191">
        <f t="shared" si="5"/>
        <v>300.92267963030321</v>
      </c>
      <c r="F107" s="191">
        <f t="shared" si="6"/>
        <v>193.36174698003526</v>
      </c>
      <c r="G107" s="191">
        <f t="shared" si="7"/>
        <v>83980.814373384492</v>
      </c>
    </row>
    <row r="108" spans="3:9" x14ac:dyDescent="0.25">
      <c r="C108" s="32">
        <v>99</v>
      </c>
      <c r="D108" s="191">
        <f t="shared" si="4"/>
        <v>494.28442661033847</v>
      </c>
      <c r="E108" s="191">
        <f t="shared" si="5"/>
        <v>300.23141138484954</v>
      </c>
      <c r="F108" s="191">
        <f t="shared" si="6"/>
        <v>194.05301522548893</v>
      </c>
      <c r="G108" s="191">
        <f t="shared" si="7"/>
        <v>83786.761358158998</v>
      </c>
    </row>
    <row r="109" spans="3:9" x14ac:dyDescent="0.25">
      <c r="C109" s="32">
        <v>100</v>
      </c>
      <c r="D109" s="191">
        <f t="shared" si="4"/>
        <v>494.28442661033847</v>
      </c>
      <c r="E109" s="191">
        <f t="shared" si="5"/>
        <v>299.53767185541841</v>
      </c>
      <c r="F109" s="191">
        <f t="shared" si="6"/>
        <v>194.74675475492006</v>
      </c>
      <c r="G109" s="191">
        <f t="shared" si="7"/>
        <v>83592.014603404081</v>
      </c>
    </row>
    <row r="110" spans="3:9" x14ac:dyDescent="0.25">
      <c r="C110" s="32">
        <v>101</v>
      </c>
      <c r="D110" s="191">
        <f t="shared" si="4"/>
        <v>494.28442661033847</v>
      </c>
      <c r="E110" s="191">
        <f t="shared" si="5"/>
        <v>298.8414522071696</v>
      </c>
      <c r="F110" s="191">
        <f t="shared" si="6"/>
        <v>195.44297440316888</v>
      </c>
      <c r="G110" s="191">
        <f t="shared" si="7"/>
        <v>83396.571629000915</v>
      </c>
    </row>
    <row r="111" spans="3:9" x14ac:dyDescent="0.25">
      <c r="C111" s="32">
        <v>102</v>
      </c>
      <c r="D111" s="191">
        <f t="shared" si="4"/>
        <v>494.28442661033847</v>
      </c>
      <c r="E111" s="191">
        <f t="shared" si="5"/>
        <v>298.14274357367827</v>
      </c>
      <c r="F111" s="191">
        <f t="shared" si="6"/>
        <v>196.1416830366602</v>
      </c>
      <c r="G111" s="191">
        <f t="shared" si="7"/>
        <v>83200.42994596425</v>
      </c>
    </row>
    <row r="112" spans="3:9" x14ac:dyDescent="0.25">
      <c r="C112" s="32">
        <v>103</v>
      </c>
      <c r="D112" s="191">
        <f t="shared" si="4"/>
        <v>494.28442661033847</v>
      </c>
      <c r="E112" s="191">
        <f t="shared" si="5"/>
        <v>297.4415370568222</v>
      </c>
      <c r="F112" s="191">
        <f t="shared" si="6"/>
        <v>196.84288955351627</v>
      </c>
      <c r="G112" s="191">
        <f t="shared" si="7"/>
        <v>83003.587056410732</v>
      </c>
    </row>
    <row r="113" spans="3:9" x14ac:dyDescent="0.25">
      <c r="C113" s="32">
        <v>104</v>
      </c>
      <c r="D113" s="191">
        <f t="shared" si="4"/>
        <v>494.28442661033847</v>
      </c>
      <c r="E113" s="191">
        <f t="shared" si="5"/>
        <v>296.73782372666835</v>
      </c>
      <c r="F113" s="191">
        <f t="shared" si="6"/>
        <v>197.54660288367012</v>
      </c>
      <c r="G113" s="191">
        <f t="shared" si="7"/>
        <v>82806.040453527065</v>
      </c>
    </row>
    <row r="114" spans="3:9" x14ac:dyDescent="0.25">
      <c r="C114" s="32">
        <v>105</v>
      </c>
      <c r="D114" s="191">
        <f t="shared" si="4"/>
        <v>494.28442661033847</v>
      </c>
      <c r="E114" s="191">
        <f t="shared" si="5"/>
        <v>296.03159462135926</v>
      </c>
      <c r="F114" s="191">
        <f t="shared" si="6"/>
        <v>198.25283198897921</v>
      </c>
      <c r="G114" s="191">
        <f t="shared" si="7"/>
        <v>82607.787621538082</v>
      </c>
    </row>
    <row r="115" spans="3:9" x14ac:dyDescent="0.25">
      <c r="C115" s="32">
        <v>106</v>
      </c>
      <c r="D115" s="191">
        <f t="shared" si="4"/>
        <v>494.28442661033847</v>
      </c>
      <c r="E115" s="191">
        <f t="shared" si="5"/>
        <v>295.32284074699862</v>
      </c>
      <c r="F115" s="191">
        <f t="shared" si="6"/>
        <v>198.96158586333985</v>
      </c>
      <c r="G115" s="191">
        <f t="shared" si="7"/>
        <v>82408.826035674749</v>
      </c>
    </row>
    <row r="116" spans="3:9" x14ac:dyDescent="0.25">
      <c r="C116" s="32">
        <v>107</v>
      </c>
      <c r="D116" s="191">
        <f t="shared" si="4"/>
        <v>494.28442661033847</v>
      </c>
      <c r="E116" s="191">
        <f t="shared" si="5"/>
        <v>294.61155307753722</v>
      </c>
      <c r="F116" s="191">
        <f t="shared" si="6"/>
        <v>199.67287353280125</v>
      </c>
      <c r="G116" s="191">
        <f t="shared" si="7"/>
        <v>82209.153162141942</v>
      </c>
    </row>
    <row r="117" spans="3:9" x14ac:dyDescent="0.25">
      <c r="C117" s="32">
        <v>108</v>
      </c>
      <c r="D117" s="191">
        <f t="shared" si="4"/>
        <v>494.28442661033847</v>
      </c>
      <c r="E117" s="191">
        <f t="shared" si="5"/>
        <v>293.89772255465743</v>
      </c>
      <c r="F117" s="191">
        <f t="shared" si="6"/>
        <v>200.38670405568104</v>
      </c>
      <c r="G117" s="191">
        <f t="shared" si="7"/>
        <v>82008.766458086262</v>
      </c>
      <c r="H117" s="26">
        <f>SUM(E106:E117)</f>
        <v>3573.3305158306098</v>
      </c>
      <c r="I117" t="s">
        <v>145</v>
      </c>
    </row>
    <row r="118" spans="3:9" x14ac:dyDescent="0.25">
      <c r="C118" s="32">
        <v>109</v>
      </c>
      <c r="D118" s="191">
        <f t="shared" si="4"/>
        <v>494.28442661033847</v>
      </c>
      <c r="E118" s="191">
        <f t="shared" si="5"/>
        <v>293.18134008765838</v>
      </c>
      <c r="F118" s="191">
        <f t="shared" si="6"/>
        <v>201.10308652268009</v>
      </c>
      <c r="G118" s="191">
        <f t="shared" si="7"/>
        <v>81807.663371563583</v>
      </c>
    </row>
    <row r="119" spans="3:9" x14ac:dyDescent="0.25">
      <c r="C119" s="32">
        <v>110</v>
      </c>
      <c r="D119" s="191">
        <f t="shared" si="4"/>
        <v>494.28442661033847</v>
      </c>
      <c r="E119" s="191">
        <f t="shared" si="5"/>
        <v>292.46239655333983</v>
      </c>
      <c r="F119" s="191">
        <f t="shared" si="6"/>
        <v>201.82203005699864</v>
      </c>
      <c r="G119" s="191">
        <f t="shared" si="7"/>
        <v>81605.841341506588</v>
      </c>
    </row>
    <row r="120" spans="3:9" x14ac:dyDescent="0.25">
      <c r="C120" s="32">
        <v>111</v>
      </c>
      <c r="D120" s="191">
        <f t="shared" si="4"/>
        <v>494.28442661033847</v>
      </c>
      <c r="E120" s="191">
        <f t="shared" si="5"/>
        <v>291.74088279588608</v>
      </c>
      <c r="F120" s="191">
        <f t="shared" si="6"/>
        <v>202.54354381445239</v>
      </c>
      <c r="G120" s="191">
        <f t="shared" si="7"/>
        <v>81403.297797692139</v>
      </c>
    </row>
    <row r="121" spans="3:9" x14ac:dyDescent="0.25">
      <c r="C121" s="32">
        <v>112</v>
      </c>
      <c r="D121" s="191">
        <f t="shared" si="4"/>
        <v>494.28442661033847</v>
      </c>
      <c r="E121" s="191">
        <f t="shared" si="5"/>
        <v>291.01678962674941</v>
      </c>
      <c r="F121" s="191">
        <f t="shared" si="6"/>
        <v>203.26763698358906</v>
      </c>
      <c r="G121" s="191">
        <f t="shared" si="7"/>
        <v>81200.030160708557</v>
      </c>
    </row>
    <row r="122" spans="3:9" x14ac:dyDescent="0.25">
      <c r="C122" s="32">
        <v>113</v>
      </c>
      <c r="D122" s="191">
        <f t="shared" si="4"/>
        <v>494.28442661033847</v>
      </c>
      <c r="E122" s="191">
        <f t="shared" si="5"/>
        <v>290.2901078245331</v>
      </c>
      <c r="F122" s="191">
        <f t="shared" si="6"/>
        <v>203.99431878580538</v>
      </c>
      <c r="G122" s="191">
        <f t="shared" si="7"/>
        <v>80996.035841922756</v>
      </c>
    </row>
    <row r="123" spans="3:9" x14ac:dyDescent="0.25">
      <c r="C123" s="32">
        <v>114</v>
      </c>
      <c r="D123" s="191">
        <f t="shared" si="4"/>
        <v>494.28442661033847</v>
      </c>
      <c r="E123" s="191">
        <f t="shared" si="5"/>
        <v>289.56082813487387</v>
      </c>
      <c r="F123" s="191">
        <f t="shared" si="6"/>
        <v>204.7235984754646</v>
      </c>
      <c r="G123" s="191">
        <f t="shared" si="7"/>
        <v>80791.31224344729</v>
      </c>
    </row>
    <row r="124" spans="3:9" x14ac:dyDescent="0.25">
      <c r="C124" s="32">
        <v>115</v>
      </c>
      <c r="D124" s="191">
        <f t="shared" si="4"/>
        <v>494.28442661033847</v>
      </c>
      <c r="E124" s="191">
        <f t="shared" si="5"/>
        <v>288.82894127032404</v>
      </c>
      <c r="F124" s="191">
        <f t="shared" si="6"/>
        <v>205.45548534001443</v>
      </c>
      <c r="G124" s="191">
        <f t="shared" si="7"/>
        <v>80585.856758107271</v>
      </c>
    </row>
    <row r="125" spans="3:9" x14ac:dyDescent="0.25">
      <c r="C125" s="32">
        <v>116</v>
      </c>
      <c r="D125" s="191">
        <f t="shared" si="4"/>
        <v>494.28442661033847</v>
      </c>
      <c r="E125" s="191">
        <f t="shared" si="5"/>
        <v>288.09443791023352</v>
      </c>
      <c r="F125" s="191">
        <f t="shared" si="6"/>
        <v>206.18998870010495</v>
      </c>
      <c r="G125" s="191">
        <f t="shared" si="7"/>
        <v>80379.666769407166</v>
      </c>
    </row>
    <row r="126" spans="3:9" x14ac:dyDescent="0.25">
      <c r="C126" s="32">
        <v>117</v>
      </c>
      <c r="D126" s="191">
        <f t="shared" si="4"/>
        <v>494.28442661033847</v>
      </c>
      <c r="E126" s="191">
        <f t="shared" si="5"/>
        <v>287.3573087006306</v>
      </c>
      <c r="F126" s="191">
        <f t="shared" si="6"/>
        <v>206.92711790970787</v>
      </c>
      <c r="G126" s="191">
        <f t="shared" si="7"/>
        <v>80172.739651497453</v>
      </c>
    </row>
    <row r="127" spans="3:9" x14ac:dyDescent="0.25">
      <c r="C127" s="32">
        <v>118</v>
      </c>
      <c r="D127" s="191">
        <f t="shared" si="4"/>
        <v>494.28442661033847</v>
      </c>
      <c r="E127" s="191">
        <f t="shared" si="5"/>
        <v>286.61754425410339</v>
      </c>
      <c r="F127" s="191">
        <f t="shared" si="6"/>
        <v>207.66688235623508</v>
      </c>
      <c r="G127" s="191">
        <f t="shared" si="7"/>
        <v>79965.072769141218</v>
      </c>
    </row>
    <row r="128" spans="3:9" x14ac:dyDescent="0.25">
      <c r="C128" s="32">
        <v>119</v>
      </c>
      <c r="D128" s="191">
        <f t="shared" si="4"/>
        <v>494.28442661033847</v>
      </c>
      <c r="E128" s="191">
        <f t="shared" si="5"/>
        <v>285.87513514967986</v>
      </c>
      <c r="F128" s="191">
        <f t="shared" si="6"/>
        <v>208.40929146065861</v>
      </c>
      <c r="G128" s="191">
        <f t="shared" si="7"/>
        <v>79756.663477680559</v>
      </c>
    </row>
    <row r="129" spans="3:9" x14ac:dyDescent="0.25">
      <c r="C129" s="32">
        <v>120</v>
      </c>
      <c r="D129" s="191">
        <f t="shared" si="4"/>
        <v>494.28442661033847</v>
      </c>
      <c r="E129" s="191">
        <f t="shared" si="5"/>
        <v>285.13007193270801</v>
      </c>
      <c r="F129" s="191">
        <f t="shared" si="6"/>
        <v>209.15435467763047</v>
      </c>
      <c r="G129" s="191">
        <f t="shared" si="7"/>
        <v>79547.509123002921</v>
      </c>
      <c r="H129" s="26">
        <f>SUM(E118:E129)</f>
        <v>3470.1557842407201</v>
      </c>
      <c r="I129" t="s">
        <v>144</v>
      </c>
    </row>
    <row r="130" spans="3:9" x14ac:dyDescent="0.25">
      <c r="C130" s="32">
        <v>121</v>
      </c>
      <c r="D130" s="191">
        <f t="shared" si="4"/>
        <v>494.28442661033847</v>
      </c>
      <c r="E130" s="191">
        <f t="shared" si="5"/>
        <v>284.38234511473547</v>
      </c>
      <c r="F130" s="191">
        <f t="shared" si="6"/>
        <v>209.902081495603</v>
      </c>
      <c r="G130" s="191">
        <f t="shared" si="7"/>
        <v>79337.607041507319</v>
      </c>
    </row>
    <row r="131" spans="3:9" x14ac:dyDescent="0.25">
      <c r="C131" s="32">
        <v>122</v>
      </c>
      <c r="D131" s="191">
        <f t="shared" si="4"/>
        <v>494.28442661033847</v>
      </c>
      <c r="E131" s="191">
        <f t="shared" si="5"/>
        <v>283.63194517338866</v>
      </c>
      <c r="F131" s="191">
        <f t="shared" si="6"/>
        <v>210.65248143694981</v>
      </c>
      <c r="G131" s="191">
        <f t="shared" si="7"/>
        <v>79126.954560070371</v>
      </c>
    </row>
    <row r="132" spans="3:9" x14ac:dyDescent="0.25">
      <c r="C132" s="32">
        <v>123</v>
      </c>
      <c r="D132" s="191">
        <f t="shared" si="4"/>
        <v>494.28442661033847</v>
      </c>
      <c r="E132" s="191">
        <f t="shared" si="5"/>
        <v>282.87886255225158</v>
      </c>
      <c r="F132" s="191">
        <f t="shared" si="6"/>
        <v>211.4055640580869</v>
      </c>
      <c r="G132" s="191">
        <f t="shared" si="7"/>
        <v>78915.54899601228</v>
      </c>
    </row>
    <row r="133" spans="3:9" x14ac:dyDescent="0.25">
      <c r="C133" s="32">
        <v>124</v>
      </c>
      <c r="D133" s="191">
        <f t="shared" si="4"/>
        <v>494.28442661033847</v>
      </c>
      <c r="E133" s="191">
        <f t="shared" si="5"/>
        <v>282.12308766074392</v>
      </c>
      <c r="F133" s="191">
        <f t="shared" si="6"/>
        <v>212.16133894959455</v>
      </c>
      <c r="G133" s="191">
        <f t="shared" si="7"/>
        <v>78703.387657062689</v>
      </c>
    </row>
    <row r="134" spans="3:9" x14ac:dyDescent="0.25">
      <c r="C134" s="32">
        <v>125</v>
      </c>
      <c r="D134" s="191">
        <f t="shared" si="4"/>
        <v>494.28442661033847</v>
      </c>
      <c r="E134" s="191">
        <f t="shared" si="5"/>
        <v>281.36461087399914</v>
      </c>
      <c r="F134" s="191">
        <f t="shared" si="6"/>
        <v>212.91981573633933</v>
      </c>
      <c r="G134" s="191">
        <f t="shared" si="7"/>
        <v>78490.467841326346</v>
      </c>
    </row>
    <row r="135" spans="3:9" x14ac:dyDescent="0.25">
      <c r="C135" s="32">
        <v>126</v>
      </c>
      <c r="D135" s="191">
        <f t="shared" si="4"/>
        <v>494.28442661033847</v>
      </c>
      <c r="E135" s="191">
        <f t="shared" si="5"/>
        <v>280.60342253274172</v>
      </c>
      <c r="F135" s="191">
        <f t="shared" si="6"/>
        <v>213.68100407759675</v>
      </c>
      <c r="G135" s="191">
        <f t="shared" si="7"/>
        <v>78276.786837248743</v>
      </c>
    </row>
    <row r="136" spans="3:9" x14ac:dyDescent="0.25">
      <c r="C136" s="32">
        <v>127</v>
      </c>
      <c r="D136" s="191">
        <f t="shared" si="4"/>
        <v>494.28442661033847</v>
      </c>
      <c r="E136" s="191">
        <f t="shared" si="5"/>
        <v>279.83951294316427</v>
      </c>
      <c r="F136" s="191">
        <f t="shared" si="6"/>
        <v>214.44491366717421</v>
      </c>
      <c r="G136" s="191">
        <f t="shared" si="7"/>
        <v>78062.341923581567</v>
      </c>
    </row>
    <row r="137" spans="3:9" x14ac:dyDescent="0.25">
      <c r="C137" s="32">
        <v>128</v>
      </c>
      <c r="D137" s="191">
        <f t="shared" si="4"/>
        <v>494.28442661033847</v>
      </c>
      <c r="E137" s="191">
        <f t="shared" si="5"/>
        <v>279.07287237680413</v>
      </c>
      <c r="F137" s="191">
        <f t="shared" si="6"/>
        <v>215.21155423353434</v>
      </c>
      <c r="G137" s="191">
        <f t="shared" si="7"/>
        <v>77847.130369348029</v>
      </c>
    </row>
    <row r="138" spans="3:9" x14ac:dyDescent="0.25">
      <c r="C138" s="32">
        <v>129</v>
      </c>
      <c r="D138" s="191">
        <f t="shared" si="4"/>
        <v>494.28442661033847</v>
      </c>
      <c r="E138" s="191">
        <f t="shared" si="5"/>
        <v>278.30349107041923</v>
      </c>
      <c r="F138" s="191">
        <f t="shared" si="6"/>
        <v>215.98093553991924</v>
      </c>
      <c r="G138" s="191">
        <f t="shared" si="7"/>
        <v>77631.14943380811</v>
      </c>
    </row>
    <row r="139" spans="3:9" x14ac:dyDescent="0.25">
      <c r="C139" s="32">
        <v>130</v>
      </c>
      <c r="D139" s="191">
        <f t="shared" ref="D139:D203" si="8">$B$6</f>
        <v>494.28442661033847</v>
      </c>
      <c r="E139" s="191">
        <f t="shared" si="5"/>
        <v>277.53135922586398</v>
      </c>
      <c r="F139" s="191">
        <f t="shared" si="6"/>
        <v>216.75306738447449</v>
      </c>
      <c r="G139" s="191">
        <f t="shared" si="7"/>
        <v>77414.396366423636</v>
      </c>
    </row>
    <row r="140" spans="3:9" x14ac:dyDescent="0.25">
      <c r="C140" s="32">
        <v>131</v>
      </c>
      <c r="D140" s="191">
        <f t="shared" si="8"/>
        <v>494.28442661033847</v>
      </c>
      <c r="E140" s="191">
        <f t="shared" ref="E140:E192" si="9">G139*($B$2/12)</f>
        <v>276.75646700996452</v>
      </c>
      <c r="F140" s="191">
        <f t="shared" ref="F140:F192" si="10">D140-E140</f>
        <v>217.52795960037395</v>
      </c>
      <c r="G140" s="191">
        <f t="shared" ref="G140:G192" si="11">G139-F140</f>
        <v>77196.868406823269</v>
      </c>
    </row>
    <row r="141" spans="3:9" x14ac:dyDescent="0.25">
      <c r="C141" s="32">
        <v>132</v>
      </c>
      <c r="D141" s="191">
        <f t="shared" si="8"/>
        <v>494.28442661033847</v>
      </c>
      <c r="E141" s="191">
        <f t="shared" si="9"/>
        <v>275.97880455439321</v>
      </c>
      <c r="F141" s="191">
        <f t="shared" si="10"/>
        <v>218.30562205594526</v>
      </c>
      <c r="G141" s="191">
        <f t="shared" si="11"/>
        <v>76978.562784767317</v>
      </c>
      <c r="H141" s="26">
        <f>SUM(E130:E141)</f>
        <v>3362.4667810884698</v>
      </c>
      <c r="I141" t="s">
        <v>152</v>
      </c>
    </row>
    <row r="142" spans="3:9" x14ac:dyDescent="0.25">
      <c r="C142" s="32">
        <v>133</v>
      </c>
      <c r="D142" s="191">
        <f t="shared" si="8"/>
        <v>494.28442661033847</v>
      </c>
      <c r="E142" s="191">
        <f t="shared" si="9"/>
        <v>275.19836195554313</v>
      </c>
      <c r="F142" s="191">
        <f t="shared" si="10"/>
        <v>219.08606465479534</v>
      </c>
      <c r="G142" s="191">
        <f t="shared" si="11"/>
        <v>76759.476720112521</v>
      </c>
    </row>
    <row r="143" spans="3:9" x14ac:dyDescent="0.25">
      <c r="C143" s="32">
        <v>134</v>
      </c>
      <c r="D143" s="191">
        <f t="shared" si="8"/>
        <v>494.28442661033847</v>
      </c>
      <c r="E143" s="191">
        <f t="shared" si="9"/>
        <v>274.41512927440226</v>
      </c>
      <c r="F143" s="191">
        <f t="shared" si="10"/>
        <v>219.86929733593621</v>
      </c>
      <c r="G143" s="191">
        <f t="shared" si="11"/>
        <v>76539.607422776578</v>
      </c>
    </row>
    <row r="144" spans="3:9" x14ac:dyDescent="0.25">
      <c r="C144" s="32">
        <v>135</v>
      </c>
      <c r="D144" s="191">
        <f t="shared" si="8"/>
        <v>494.28442661033847</v>
      </c>
      <c r="E144" s="191">
        <f t="shared" si="9"/>
        <v>273.62909653642629</v>
      </c>
      <c r="F144" s="191">
        <f t="shared" si="10"/>
        <v>220.65533007391218</v>
      </c>
      <c r="G144" s="191">
        <f t="shared" si="11"/>
        <v>76318.952092702661</v>
      </c>
    </row>
    <row r="145" spans="3:7" x14ac:dyDescent="0.25">
      <c r="C145" s="32">
        <v>136</v>
      </c>
      <c r="D145" s="191">
        <f t="shared" si="8"/>
        <v>494.28442661033847</v>
      </c>
      <c r="E145" s="191">
        <f t="shared" si="9"/>
        <v>272.84025373141202</v>
      </c>
      <c r="F145" s="191">
        <f t="shared" si="10"/>
        <v>221.44417287892645</v>
      </c>
      <c r="G145" s="191">
        <f t="shared" si="11"/>
        <v>76097.507919823736</v>
      </c>
    </row>
    <row r="146" spans="3:7" x14ac:dyDescent="0.25">
      <c r="C146" s="32">
        <v>137</v>
      </c>
      <c r="D146" s="191">
        <f t="shared" si="8"/>
        <v>494.28442661033847</v>
      </c>
      <c r="E146" s="191">
        <f t="shared" si="9"/>
        <v>272.04859081336986</v>
      </c>
      <c r="F146" s="191">
        <f t="shared" si="10"/>
        <v>222.23583579696862</v>
      </c>
      <c r="G146" s="191">
        <f t="shared" si="11"/>
        <v>75875.272084026772</v>
      </c>
    </row>
    <row r="147" spans="3:7" x14ac:dyDescent="0.25">
      <c r="C147" s="32">
        <v>138</v>
      </c>
      <c r="D147" s="191">
        <f t="shared" si="8"/>
        <v>494.28442661033847</v>
      </c>
      <c r="E147" s="191">
        <f t="shared" si="9"/>
        <v>271.25409770039573</v>
      </c>
      <c r="F147" s="191">
        <f t="shared" si="10"/>
        <v>223.03032890994274</v>
      </c>
      <c r="G147" s="191">
        <f t="shared" si="11"/>
        <v>75652.241755116833</v>
      </c>
    </row>
    <row r="148" spans="3:7" x14ac:dyDescent="0.25">
      <c r="C148" s="32">
        <v>139</v>
      </c>
      <c r="D148" s="191">
        <f t="shared" si="8"/>
        <v>494.28442661033847</v>
      </c>
      <c r="E148" s="191">
        <f t="shared" si="9"/>
        <v>270.45676427454271</v>
      </c>
      <c r="F148" s="191">
        <f t="shared" si="10"/>
        <v>223.82766233579576</v>
      </c>
      <c r="G148" s="191">
        <f t="shared" si="11"/>
        <v>75428.414092781037</v>
      </c>
    </row>
    <row r="149" spans="3:7" x14ac:dyDescent="0.25">
      <c r="C149" s="32">
        <v>140</v>
      </c>
      <c r="D149" s="191">
        <f t="shared" si="8"/>
        <v>494.28442661033847</v>
      </c>
      <c r="E149" s="191">
        <f t="shared" si="9"/>
        <v>269.65658038169221</v>
      </c>
      <c r="F149" s="191">
        <f t="shared" si="10"/>
        <v>224.62784622864626</v>
      </c>
      <c r="G149" s="191">
        <f t="shared" si="11"/>
        <v>75203.786246552394</v>
      </c>
    </row>
    <row r="150" spans="3:7" x14ac:dyDescent="0.25">
      <c r="C150" s="32">
        <v>141</v>
      </c>
      <c r="D150" s="191">
        <f t="shared" si="8"/>
        <v>494.28442661033847</v>
      </c>
      <c r="E150" s="191">
        <f t="shared" si="9"/>
        <v>268.85353583142484</v>
      </c>
      <c r="F150" s="191">
        <f t="shared" si="10"/>
        <v>225.43089077891364</v>
      </c>
      <c r="G150" s="191">
        <f t="shared" si="11"/>
        <v>74978.355355773485</v>
      </c>
    </row>
    <row r="151" spans="3:7" x14ac:dyDescent="0.25">
      <c r="C151" s="32">
        <v>142</v>
      </c>
      <c r="D151" s="191">
        <f t="shared" si="8"/>
        <v>494.28442661033847</v>
      </c>
      <c r="E151" s="191">
        <f t="shared" si="9"/>
        <v>268.04762039689024</v>
      </c>
      <c r="F151" s="191">
        <f t="shared" si="10"/>
        <v>226.23680621344823</v>
      </c>
      <c r="G151" s="191">
        <f t="shared" si="11"/>
        <v>74752.118549560037</v>
      </c>
    </row>
    <row r="152" spans="3:7" x14ac:dyDescent="0.25">
      <c r="C152" s="32">
        <v>143</v>
      </c>
      <c r="D152" s="191">
        <f t="shared" si="8"/>
        <v>494.28442661033847</v>
      </c>
      <c r="E152" s="191">
        <f t="shared" si="9"/>
        <v>267.23882381467712</v>
      </c>
      <c r="F152" s="191">
        <f t="shared" si="10"/>
        <v>227.04560279566135</v>
      </c>
      <c r="G152" s="191">
        <f t="shared" si="11"/>
        <v>74525.072946764369</v>
      </c>
    </row>
    <row r="153" spans="3:7" x14ac:dyDescent="0.25">
      <c r="C153" s="32">
        <v>144</v>
      </c>
      <c r="D153" s="191">
        <f t="shared" si="8"/>
        <v>494.28442661033847</v>
      </c>
      <c r="E153" s="191">
        <f t="shared" si="9"/>
        <v>266.4271357846826</v>
      </c>
      <c r="F153" s="191">
        <f t="shared" si="10"/>
        <v>227.85729082565587</v>
      </c>
      <c r="G153" s="191">
        <f t="shared" si="11"/>
        <v>74297.215655938708</v>
      </c>
    </row>
    <row r="154" spans="3:7" x14ac:dyDescent="0.25">
      <c r="C154" s="32">
        <v>145</v>
      </c>
      <c r="D154" s="191">
        <f t="shared" si="8"/>
        <v>494.28442661033847</v>
      </c>
      <c r="E154" s="191">
        <f t="shared" si="9"/>
        <v>265.61254596998089</v>
      </c>
      <c r="F154" s="191">
        <f t="shared" si="10"/>
        <v>228.67188064035759</v>
      </c>
      <c r="G154" s="191">
        <f t="shared" si="11"/>
        <v>74068.543775298356</v>
      </c>
    </row>
    <row r="155" spans="3:7" x14ac:dyDescent="0.25">
      <c r="C155" s="32">
        <v>146</v>
      </c>
      <c r="D155" s="191">
        <f t="shared" si="8"/>
        <v>494.28442661033847</v>
      </c>
      <c r="E155" s="191">
        <f t="shared" si="9"/>
        <v>264.79504399669162</v>
      </c>
      <c r="F155" s="191">
        <f t="shared" si="10"/>
        <v>229.48938261364685</v>
      </c>
      <c r="G155" s="191">
        <f t="shared" si="11"/>
        <v>73839.054392684702</v>
      </c>
    </row>
    <row r="156" spans="3:7" x14ac:dyDescent="0.25">
      <c r="C156" s="32">
        <v>147</v>
      </c>
      <c r="D156" s="191">
        <f t="shared" si="8"/>
        <v>494.28442661033847</v>
      </c>
      <c r="E156" s="191">
        <f t="shared" si="9"/>
        <v>263.97461945384782</v>
      </c>
      <c r="F156" s="191">
        <f t="shared" si="10"/>
        <v>230.30980715649065</v>
      </c>
      <c r="G156" s="191">
        <f t="shared" si="11"/>
        <v>73608.744585528213</v>
      </c>
    </row>
    <row r="157" spans="3:7" x14ac:dyDescent="0.25">
      <c r="C157" s="32">
        <v>148</v>
      </c>
      <c r="D157" s="191">
        <f t="shared" si="8"/>
        <v>494.28442661033847</v>
      </c>
      <c r="E157" s="191">
        <f t="shared" si="9"/>
        <v>263.15126189326338</v>
      </c>
      <c r="F157" s="191">
        <f t="shared" si="10"/>
        <v>231.13316471707509</v>
      </c>
      <c r="G157" s="191">
        <f t="shared" si="11"/>
        <v>73377.611420811139</v>
      </c>
    </row>
    <row r="158" spans="3:7" x14ac:dyDescent="0.25">
      <c r="C158" s="32">
        <v>149</v>
      </c>
      <c r="D158" s="191">
        <f t="shared" si="8"/>
        <v>494.28442661033847</v>
      </c>
      <c r="E158" s="191">
        <f t="shared" si="9"/>
        <v>262.3249608293998</v>
      </c>
      <c r="F158" s="191">
        <f t="shared" si="10"/>
        <v>231.95946578093867</v>
      </c>
      <c r="G158" s="191">
        <f t="shared" si="11"/>
        <v>73145.651955030204</v>
      </c>
    </row>
    <row r="159" spans="3:7" x14ac:dyDescent="0.25">
      <c r="C159" s="32">
        <v>150</v>
      </c>
      <c r="D159" s="191">
        <f t="shared" si="8"/>
        <v>494.28442661033847</v>
      </c>
      <c r="E159" s="191">
        <f t="shared" si="9"/>
        <v>261.49570573923296</v>
      </c>
      <c r="F159" s="191">
        <f t="shared" si="10"/>
        <v>232.78872087110551</v>
      </c>
      <c r="G159" s="191">
        <f t="shared" si="11"/>
        <v>72912.8632341591</v>
      </c>
    </row>
    <row r="160" spans="3:7" x14ac:dyDescent="0.25">
      <c r="C160" s="32">
        <v>151</v>
      </c>
      <c r="D160" s="191">
        <f t="shared" si="8"/>
        <v>494.28442661033847</v>
      </c>
      <c r="E160" s="191">
        <f t="shared" si="9"/>
        <v>260.66348606211881</v>
      </c>
      <c r="F160" s="191">
        <f t="shared" si="10"/>
        <v>233.62094054821966</v>
      </c>
      <c r="G160" s="191">
        <f t="shared" si="11"/>
        <v>72679.242293610878</v>
      </c>
    </row>
    <row r="161" spans="3:7" x14ac:dyDescent="0.25">
      <c r="C161" s="32">
        <v>152</v>
      </c>
      <c r="D161" s="191">
        <f t="shared" si="8"/>
        <v>494.28442661033847</v>
      </c>
      <c r="E161" s="191">
        <f t="shared" si="9"/>
        <v>259.82829119965891</v>
      </c>
      <c r="F161" s="191">
        <f t="shared" si="10"/>
        <v>234.45613541067956</v>
      </c>
      <c r="G161" s="191">
        <f t="shared" si="11"/>
        <v>72444.786158200193</v>
      </c>
    </row>
    <row r="162" spans="3:7" x14ac:dyDescent="0.25">
      <c r="C162" s="32">
        <v>153</v>
      </c>
      <c r="D162" s="191">
        <f t="shared" si="8"/>
        <v>494.28442661033847</v>
      </c>
      <c r="E162" s="191">
        <f t="shared" si="9"/>
        <v>258.99011051556568</v>
      </c>
      <c r="F162" s="191">
        <f t="shared" si="10"/>
        <v>235.2943160947728</v>
      </c>
      <c r="G162" s="191">
        <f t="shared" si="11"/>
        <v>72209.491842105417</v>
      </c>
    </row>
    <row r="163" spans="3:7" x14ac:dyDescent="0.25">
      <c r="C163" s="32">
        <v>154</v>
      </c>
      <c r="D163" s="191">
        <f t="shared" si="8"/>
        <v>494.28442661033847</v>
      </c>
      <c r="E163" s="191">
        <f t="shared" si="9"/>
        <v>258.14893333552686</v>
      </c>
      <c r="F163" s="191">
        <f t="shared" si="10"/>
        <v>236.13549327481161</v>
      </c>
      <c r="G163" s="191">
        <f t="shared" si="11"/>
        <v>71973.35634883061</v>
      </c>
    </row>
    <row r="164" spans="3:7" x14ac:dyDescent="0.25">
      <c r="C164" s="32">
        <v>155</v>
      </c>
      <c r="D164" s="191">
        <f t="shared" si="8"/>
        <v>494.28442661033847</v>
      </c>
      <c r="E164" s="191">
        <f t="shared" si="9"/>
        <v>257.30474894706941</v>
      </c>
      <c r="F164" s="191">
        <f t="shared" si="10"/>
        <v>236.97967766326906</v>
      </c>
      <c r="G164" s="191">
        <f t="shared" si="11"/>
        <v>71736.376671167338</v>
      </c>
    </row>
    <row r="165" spans="3:7" x14ac:dyDescent="0.25">
      <c r="C165" s="32">
        <v>156</v>
      </c>
      <c r="D165" s="191">
        <f t="shared" si="8"/>
        <v>494.28442661033847</v>
      </c>
      <c r="E165" s="191">
        <f t="shared" si="9"/>
        <v>256.45754659942321</v>
      </c>
      <c r="F165" s="191">
        <f t="shared" si="10"/>
        <v>237.82688001091526</v>
      </c>
      <c r="G165" s="191">
        <f t="shared" si="11"/>
        <v>71498.549791156416</v>
      </c>
    </row>
    <row r="166" spans="3:7" x14ac:dyDescent="0.25">
      <c r="C166" s="32">
        <v>157</v>
      </c>
      <c r="D166" s="191">
        <f t="shared" si="8"/>
        <v>494.28442661033847</v>
      </c>
      <c r="E166" s="191">
        <f t="shared" si="9"/>
        <v>255.6073155033842</v>
      </c>
      <c r="F166" s="191">
        <f t="shared" si="10"/>
        <v>238.67711110695427</v>
      </c>
      <c r="G166" s="191">
        <f t="shared" si="11"/>
        <v>71259.872680049462</v>
      </c>
    </row>
    <row r="167" spans="3:7" x14ac:dyDescent="0.25">
      <c r="C167" s="32">
        <v>158</v>
      </c>
      <c r="D167" s="191">
        <f t="shared" si="8"/>
        <v>494.28442661033847</v>
      </c>
      <c r="E167" s="191">
        <f t="shared" si="9"/>
        <v>254.75404483117683</v>
      </c>
      <c r="F167" s="191">
        <f t="shared" si="10"/>
        <v>239.53038177916164</v>
      </c>
      <c r="G167" s="191">
        <f t="shared" si="11"/>
        <v>71020.342298270305</v>
      </c>
    </row>
    <row r="168" spans="3:7" x14ac:dyDescent="0.25">
      <c r="C168" s="32">
        <v>159</v>
      </c>
      <c r="D168" s="191">
        <f t="shared" si="8"/>
        <v>494.28442661033847</v>
      </c>
      <c r="E168" s="191">
        <f t="shared" si="9"/>
        <v>253.89772371631634</v>
      </c>
      <c r="F168" s="191">
        <f t="shared" si="10"/>
        <v>240.38670289402214</v>
      </c>
      <c r="G168" s="191">
        <f t="shared" si="11"/>
        <v>70779.95559537629</v>
      </c>
    </row>
    <row r="169" spans="3:7" x14ac:dyDescent="0.25">
      <c r="C169" s="32">
        <v>160</v>
      </c>
      <c r="D169" s="191">
        <f t="shared" si="8"/>
        <v>494.28442661033847</v>
      </c>
      <c r="E169" s="191">
        <f t="shared" si="9"/>
        <v>253.03834125347024</v>
      </c>
      <c r="F169" s="191">
        <f t="shared" si="10"/>
        <v>241.24608535686824</v>
      </c>
      <c r="G169" s="191">
        <f t="shared" si="11"/>
        <v>70538.709510019427</v>
      </c>
    </row>
    <row r="170" spans="3:7" x14ac:dyDescent="0.25">
      <c r="C170" s="32">
        <v>161</v>
      </c>
      <c r="D170" s="191">
        <f t="shared" si="8"/>
        <v>494.28442661033847</v>
      </c>
      <c r="E170" s="191">
        <f t="shared" si="9"/>
        <v>252.17588649831944</v>
      </c>
      <c r="F170" s="191">
        <f t="shared" si="10"/>
        <v>242.10854011201903</v>
      </c>
      <c r="G170" s="191">
        <f t="shared" si="11"/>
        <v>70296.600969907406</v>
      </c>
    </row>
    <row r="171" spans="3:7" x14ac:dyDescent="0.25">
      <c r="C171" s="32">
        <v>162</v>
      </c>
      <c r="D171" s="191">
        <f t="shared" si="8"/>
        <v>494.28442661033847</v>
      </c>
      <c r="E171" s="191">
        <f t="shared" si="9"/>
        <v>251.31034846741898</v>
      </c>
      <c r="F171" s="191">
        <f t="shared" si="10"/>
        <v>242.9740781429195</v>
      </c>
      <c r="G171" s="191">
        <f t="shared" si="11"/>
        <v>70053.626891764492</v>
      </c>
    </row>
    <row r="172" spans="3:7" x14ac:dyDescent="0.25">
      <c r="C172" s="32">
        <v>163</v>
      </c>
      <c r="D172" s="191">
        <f t="shared" si="8"/>
        <v>494.28442661033847</v>
      </c>
      <c r="E172" s="191">
        <f t="shared" si="9"/>
        <v>250.44171613805807</v>
      </c>
      <c r="F172" s="191">
        <f t="shared" si="10"/>
        <v>243.8427104722804</v>
      </c>
      <c r="G172" s="191">
        <f t="shared" si="11"/>
        <v>69809.784181292212</v>
      </c>
    </row>
    <row r="173" spans="3:7" x14ac:dyDescent="0.25">
      <c r="C173" s="32">
        <v>164</v>
      </c>
      <c r="D173" s="191">
        <f t="shared" si="8"/>
        <v>494.28442661033847</v>
      </c>
      <c r="E173" s="191">
        <f t="shared" si="9"/>
        <v>249.56997844811966</v>
      </c>
      <c r="F173" s="191">
        <f t="shared" si="10"/>
        <v>244.71444816221882</v>
      </c>
      <c r="G173" s="191">
        <f t="shared" si="11"/>
        <v>69565.069733129989</v>
      </c>
    </row>
    <row r="174" spans="3:7" x14ac:dyDescent="0.25">
      <c r="C174" s="32">
        <v>165</v>
      </c>
      <c r="D174" s="191">
        <f t="shared" si="8"/>
        <v>494.28442661033847</v>
      </c>
      <c r="E174" s="191">
        <f t="shared" si="9"/>
        <v>248.69512429593971</v>
      </c>
      <c r="F174" s="191">
        <f t="shared" si="10"/>
        <v>245.58930231439876</v>
      </c>
      <c r="G174" s="191">
        <f t="shared" si="11"/>
        <v>69319.480430815587</v>
      </c>
    </row>
    <row r="175" spans="3:7" x14ac:dyDescent="0.25">
      <c r="C175" s="32">
        <v>166</v>
      </c>
      <c r="D175" s="191">
        <f t="shared" si="8"/>
        <v>494.28442661033847</v>
      </c>
      <c r="E175" s="191">
        <f t="shared" si="9"/>
        <v>247.81714254016572</v>
      </c>
      <c r="F175" s="191">
        <f t="shared" si="10"/>
        <v>246.46728407017275</v>
      </c>
      <c r="G175" s="191">
        <f t="shared" si="11"/>
        <v>69073.013146745419</v>
      </c>
    </row>
    <row r="176" spans="3:7" x14ac:dyDescent="0.25">
      <c r="C176" s="32">
        <v>167</v>
      </c>
      <c r="D176" s="191">
        <f t="shared" si="8"/>
        <v>494.28442661033847</v>
      </c>
      <c r="E176" s="191">
        <f t="shared" si="9"/>
        <v>246.93602199961487</v>
      </c>
      <c r="F176" s="191">
        <f t="shared" si="10"/>
        <v>247.34840461072361</v>
      </c>
      <c r="G176" s="191">
        <f t="shared" si="11"/>
        <v>68825.664742134701</v>
      </c>
    </row>
    <row r="177" spans="3:7" x14ac:dyDescent="0.25">
      <c r="C177" s="32">
        <v>168</v>
      </c>
      <c r="D177" s="191">
        <f t="shared" si="8"/>
        <v>494.28442661033847</v>
      </c>
      <c r="E177" s="191">
        <f t="shared" si="9"/>
        <v>246.05175145313157</v>
      </c>
      <c r="F177" s="191">
        <f t="shared" si="10"/>
        <v>248.2326751572069</v>
      </c>
      <c r="G177" s="191">
        <f t="shared" si="11"/>
        <v>68577.43206697749</v>
      </c>
    </row>
    <row r="178" spans="3:7" x14ac:dyDescent="0.25">
      <c r="C178" s="32">
        <v>169</v>
      </c>
      <c r="D178" s="191">
        <f t="shared" si="8"/>
        <v>494.28442661033847</v>
      </c>
      <c r="E178" s="191">
        <f t="shared" si="9"/>
        <v>245.16431963944453</v>
      </c>
      <c r="F178" s="191">
        <f t="shared" si="10"/>
        <v>249.12010697089394</v>
      </c>
      <c r="G178" s="191">
        <f t="shared" si="11"/>
        <v>68328.311960006598</v>
      </c>
    </row>
    <row r="179" spans="3:7" x14ac:dyDescent="0.25">
      <c r="C179" s="32">
        <v>170</v>
      </c>
      <c r="D179" s="191">
        <f t="shared" si="8"/>
        <v>494.28442661033847</v>
      </c>
      <c r="E179" s="191">
        <f t="shared" si="9"/>
        <v>244.27371525702358</v>
      </c>
      <c r="F179" s="191">
        <f t="shared" si="10"/>
        <v>250.01071135331489</v>
      </c>
      <c r="G179" s="191">
        <f t="shared" si="11"/>
        <v>68078.301248653283</v>
      </c>
    </row>
    <row r="180" spans="3:7" x14ac:dyDescent="0.25">
      <c r="C180" s="32">
        <v>171</v>
      </c>
      <c r="D180" s="191">
        <f t="shared" si="8"/>
        <v>494.28442661033847</v>
      </c>
      <c r="E180" s="191">
        <f t="shared" si="9"/>
        <v>243.37992696393547</v>
      </c>
      <c r="F180" s="191">
        <f t="shared" si="10"/>
        <v>250.904499646403</v>
      </c>
      <c r="G180" s="191">
        <f t="shared" si="11"/>
        <v>67827.396749006875</v>
      </c>
    </row>
    <row r="181" spans="3:7" x14ac:dyDescent="0.25">
      <c r="C181" s="32">
        <v>172</v>
      </c>
      <c r="D181" s="191">
        <f t="shared" si="8"/>
        <v>494.28442661033847</v>
      </c>
      <c r="E181" s="191">
        <f t="shared" si="9"/>
        <v>242.48294337769957</v>
      </c>
      <c r="F181" s="191">
        <f t="shared" si="10"/>
        <v>251.8014832326389</v>
      </c>
      <c r="G181" s="191">
        <f t="shared" si="11"/>
        <v>67575.595265774231</v>
      </c>
    </row>
    <row r="182" spans="3:7" x14ac:dyDescent="0.25">
      <c r="C182" s="32">
        <v>173</v>
      </c>
      <c r="D182" s="191">
        <f t="shared" si="8"/>
        <v>494.28442661033847</v>
      </c>
      <c r="E182" s="191">
        <f t="shared" si="9"/>
        <v>241.58275307514288</v>
      </c>
      <c r="F182" s="191">
        <f t="shared" si="10"/>
        <v>252.7016735351956</v>
      </c>
      <c r="G182" s="191">
        <f t="shared" si="11"/>
        <v>67322.893592239037</v>
      </c>
    </row>
    <row r="183" spans="3:7" x14ac:dyDescent="0.25">
      <c r="C183" s="32">
        <v>174</v>
      </c>
      <c r="D183" s="191">
        <f t="shared" si="8"/>
        <v>494.28442661033847</v>
      </c>
      <c r="E183" s="191">
        <f t="shared" si="9"/>
        <v>240.67934459225455</v>
      </c>
      <c r="F183" s="191">
        <f t="shared" si="10"/>
        <v>253.60508201808392</v>
      </c>
      <c r="G183" s="191">
        <f t="shared" si="11"/>
        <v>67069.288510220955</v>
      </c>
    </row>
    <row r="184" spans="3:7" x14ac:dyDescent="0.25">
      <c r="C184" s="32">
        <v>175</v>
      </c>
      <c r="D184" s="191">
        <f t="shared" si="8"/>
        <v>494.28442661033847</v>
      </c>
      <c r="E184" s="191">
        <f t="shared" si="9"/>
        <v>239.77270642403991</v>
      </c>
      <c r="F184" s="191">
        <f t="shared" si="10"/>
        <v>254.51172018629856</v>
      </c>
      <c r="G184" s="191">
        <f t="shared" si="11"/>
        <v>66814.776790034652</v>
      </c>
    </row>
    <row r="185" spans="3:7" x14ac:dyDescent="0.25">
      <c r="C185" s="32">
        <v>176</v>
      </c>
      <c r="D185" s="191">
        <f t="shared" si="8"/>
        <v>494.28442661033847</v>
      </c>
      <c r="E185" s="191">
        <f t="shared" si="9"/>
        <v>238.86282702437387</v>
      </c>
      <c r="F185" s="191">
        <f t="shared" si="10"/>
        <v>255.4215995859646</v>
      </c>
      <c r="G185" s="191">
        <f t="shared" si="11"/>
        <v>66559.355190448681</v>
      </c>
    </row>
    <row r="186" spans="3:7" x14ac:dyDescent="0.25">
      <c r="C186" s="32">
        <v>177</v>
      </c>
      <c r="D186" s="191">
        <f t="shared" si="8"/>
        <v>494.28442661033847</v>
      </c>
      <c r="E186" s="191">
        <f t="shared" si="9"/>
        <v>237.94969480585405</v>
      </c>
      <c r="F186" s="191">
        <f t="shared" si="10"/>
        <v>256.33473180448442</v>
      </c>
      <c r="G186" s="191">
        <f t="shared" si="11"/>
        <v>66303.020458644198</v>
      </c>
    </row>
    <row r="187" spans="3:7" x14ac:dyDescent="0.25">
      <c r="C187" s="32">
        <v>178</v>
      </c>
      <c r="D187" s="191">
        <f t="shared" si="8"/>
        <v>494.28442661033847</v>
      </c>
      <c r="E187" s="191">
        <f t="shared" si="9"/>
        <v>237.033298139653</v>
      </c>
      <c r="F187" s="191">
        <f t="shared" si="10"/>
        <v>257.25112847068544</v>
      </c>
      <c r="G187" s="191">
        <f t="shared" si="11"/>
        <v>66045.769330173513</v>
      </c>
    </row>
    <row r="188" spans="3:7" x14ac:dyDescent="0.25">
      <c r="C188" s="32">
        <v>179</v>
      </c>
      <c r="D188" s="191">
        <f t="shared" si="8"/>
        <v>494.28442661033847</v>
      </c>
      <c r="E188" s="191">
        <f t="shared" si="9"/>
        <v>236.11362535537032</v>
      </c>
      <c r="F188" s="191">
        <f t="shared" si="10"/>
        <v>258.17080125496818</v>
      </c>
      <c r="G188" s="191">
        <f t="shared" si="11"/>
        <v>65787.598528918548</v>
      </c>
    </row>
    <row r="189" spans="3:7" x14ac:dyDescent="0.25">
      <c r="C189" s="32">
        <v>180</v>
      </c>
      <c r="D189" s="191">
        <f t="shared" si="8"/>
        <v>494.28442661033847</v>
      </c>
      <c r="E189" s="191">
        <f t="shared" si="9"/>
        <v>235.19066474088382</v>
      </c>
      <c r="F189" s="191">
        <f t="shared" si="10"/>
        <v>259.09376186945462</v>
      </c>
      <c r="G189" s="191">
        <f t="shared" si="11"/>
        <v>65528.504767049097</v>
      </c>
    </row>
    <row r="190" spans="3:7" x14ac:dyDescent="0.25">
      <c r="C190" s="32">
        <v>181</v>
      </c>
      <c r="D190" s="191">
        <f t="shared" si="8"/>
        <v>494.28442661033847</v>
      </c>
      <c r="E190" s="191">
        <f t="shared" si="9"/>
        <v>234.26440454220054</v>
      </c>
      <c r="F190" s="191">
        <f t="shared" si="10"/>
        <v>260.02002206813791</v>
      </c>
      <c r="G190" s="191">
        <f t="shared" si="11"/>
        <v>65268.48474498096</v>
      </c>
    </row>
    <row r="191" spans="3:7" x14ac:dyDescent="0.25">
      <c r="C191" s="32">
        <v>182</v>
      </c>
      <c r="D191" s="191">
        <f t="shared" si="8"/>
        <v>494.28442661033847</v>
      </c>
      <c r="E191" s="191">
        <f t="shared" si="9"/>
        <v>233.33483296330692</v>
      </c>
      <c r="F191" s="191">
        <f t="shared" si="10"/>
        <v>260.94959364703152</v>
      </c>
      <c r="G191" s="191">
        <f t="shared" si="11"/>
        <v>65007.535151333926</v>
      </c>
    </row>
    <row r="192" spans="3:7" x14ac:dyDescent="0.25">
      <c r="C192" s="32">
        <v>183</v>
      </c>
      <c r="D192" s="191">
        <f t="shared" si="8"/>
        <v>494.28442661033847</v>
      </c>
      <c r="E192" s="191">
        <f t="shared" si="9"/>
        <v>232.40193816601879</v>
      </c>
      <c r="F192" s="191">
        <f t="shared" si="10"/>
        <v>261.88248844431968</v>
      </c>
      <c r="G192" s="191">
        <f t="shared" si="11"/>
        <v>64745.65266288961</v>
      </c>
    </row>
    <row r="193" spans="3:7" x14ac:dyDescent="0.25">
      <c r="C193" s="32">
        <v>184</v>
      </c>
      <c r="D193" s="191">
        <f t="shared" si="8"/>
        <v>494.28442661033847</v>
      </c>
      <c r="E193" s="191">
        <f t="shared" ref="E193:E256" si="12">G192*($B$2/12)</f>
        <v>231.46570826983037</v>
      </c>
      <c r="F193" s="191">
        <f t="shared" ref="F193:F256" si="13">D193-E193</f>
        <v>262.8187183405081</v>
      </c>
      <c r="G193" s="191">
        <f t="shared" ref="G193:G256" si="14">G192-F193</f>
        <v>64482.8339445491</v>
      </c>
    </row>
    <row r="194" spans="3:7" x14ac:dyDescent="0.25">
      <c r="C194" s="32">
        <v>185</v>
      </c>
      <c r="D194" s="191">
        <f t="shared" si="8"/>
        <v>494.28442661033847</v>
      </c>
      <c r="E194" s="191">
        <f t="shared" si="12"/>
        <v>230.52613135176304</v>
      </c>
      <c r="F194" s="191">
        <f t="shared" si="13"/>
        <v>263.75829525857546</v>
      </c>
      <c r="G194" s="191">
        <f t="shared" si="14"/>
        <v>64219.075649290528</v>
      </c>
    </row>
    <row r="195" spans="3:7" x14ac:dyDescent="0.25">
      <c r="C195" s="32">
        <v>186</v>
      </c>
      <c r="D195" s="191">
        <f t="shared" si="8"/>
        <v>494.28442661033847</v>
      </c>
      <c r="E195" s="191">
        <f t="shared" si="12"/>
        <v>229.58319544621364</v>
      </c>
      <c r="F195" s="191">
        <f t="shared" si="13"/>
        <v>264.70123116412481</v>
      </c>
      <c r="G195" s="191">
        <f t="shared" si="14"/>
        <v>63954.374418126405</v>
      </c>
    </row>
    <row r="196" spans="3:7" x14ac:dyDescent="0.25">
      <c r="C196" s="32">
        <v>187</v>
      </c>
      <c r="D196" s="191">
        <f t="shared" si="8"/>
        <v>494.28442661033847</v>
      </c>
      <c r="E196" s="191">
        <f t="shared" si="12"/>
        <v>228.63688854480191</v>
      </c>
      <c r="F196" s="191">
        <f t="shared" si="13"/>
        <v>265.64753806553654</v>
      </c>
      <c r="G196" s="191">
        <f t="shared" si="14"/>
        <v>63688.726880060865</v>
      </c>
    </row>
    <row r="197" spans="3:7" x14ac:dyDescent="0.25">
      <c r="C197" s="32">
        <v>188</v>
      </c>
      <c r="D197" s="191">
        <f t="shared" si="8"/>
        <v>494.28442661033847</v>
      </c>
      <c r="E197" s="191">
        <f t="shared" si="12"/>
        <v>227.6871985962176</v>
      </c>
      <c r="F197" s="191">
        <f t="shared" si="13"/>
        <v>266.5972280141209</v>
      </c>
      <c r="G197" s="191">
        <f t="shared" si="14"/>
        <v>63422.129652046744</v>
      </c>
    </row>
    <row r="198" spans="3:7" x14ac:dyDescent="0.25">
      <c r="C198" s="32">
        <v>189</v>
      </c>
      <c r="D198" s="191">
        <f t="shared" si="8"/>
        <v>494.28442661033847</v>
      </c>
      <c r="E198" s="191">
        <f t="shared" si="12"/>
        <v>226.7341135060671</v>
      </c>
      <c r="F198" s="191">
        <f t="shared" si="13"/>
        <v>267.55031310427137</v>
      </c>
      <c r="G198" s="191">
        <f t="shared" si="14"/>
        <v>63154.579338942473</v>
      </c>
    </row>
    <row r="199" spans="3:7" x14ac:dyDescent="0.25">
      <c r="C199" s="32">
        <v>190</v>
      </c>
      <c r="D199" s="191">
        <f t="shared" si="8"/>
        <v>494.28442661033847</v>
      </c>
      <c r="E199" s="191">
        <f t="shared" si="12"/>
        <v>225.77762113671935</v>
      </c>
      <c r="F199" s="191">
        <f t="shared" si="13"/>
        <v>268.50680547361912</v>
      </c>
      <c r="G199" s="191">
        <f t="shared" si="14"/>
        <v>62886.072533468854</v>
      </c>
    </row>
    <row r="200" spans="3:7" x14ac:dyDescent="0.25">
      <c r="C200" s="32">
        <v>191</v>
      </c>
      <c r="D200" s="191">
        <f t="shared" si="8"/>
        <v>494.28442661033847</v>
      </c>
      <c r="E200" s="191">
        <f t="shared" si="12"/>
        <v>224.81770930715115</v>
      </c>
      <c r="F200" s="191">
        <f t="shared" si="13"/>
        <v>269.46671730318735</v>
      </c>
      <c r="G200" s="191">
        <f t="shared" si="14"/>
        <v>62616.605816165669</v>
      </c>
    </row>
    <row r="201" spans="3:7" x14ac:dyDescent="0.25">
      <c r="C201" s="32">
        <v>192</v>
      </c>
      <c r="D201" s="191">
        <f t="shared" si="8"/>
        <v>494.28442661033847</v>
      </c>
      <c r="E201" s="191">
        <f t="shared" si="12"/>
        <v>223.85436579279227</v>
      </c>
      <c r="F201" s="191">
        <f t="shared" si="13"/>
        <v>270.43006081754618</v>
      </c>
      <c r="G201" s="191">
        <f t="shared" si="14"/>
        <v>62346.175755348122</v>
      </c>
    </row>
    <row r="202" spans="3:7" x14ac:dyDescent="0.25">
      <c r="C202" s="32">
        <v>193</v>
      </c>
      <c r="D202" s="191">
        <f t="shared" si="8"/>
        <v>494.28442661033847</v>
      </c>
      <c r="E202" s="191">
        <f t="shared" si="12"/>
        <v>222.88757832536953</v>
      </c>
      <c r="F202" s="191">
        <f t="shared" si="13"/>
        <v>271.39684828496894</v>
      </c>
      <c r="G202" s="191">
        <f t="shared" si="14"/>
        <v>62074.778907063155</v>
      </c>
    </row>
    <row r="203" spans="3:7" x14ac:dyDescent="0.25">
      <c r="C203" s="32">
        <v>194</v>
      </c>
      <c r="D203" s="191">
        <f t="shared" si="8"/>
        <v>494.28442661033847</v>
      </c>
      <c r="E203" s="191">
        <f t="shared" si="12"/>
        <v>221.91733459275079</v>
      </c>
      <c r="F203" s="191">
        <f t="shared" si="13"/>
        <v>272.36709201758765</v>
      </c>
      <c r="G203" s="191">
        <f t="shared" si="14"/>
        <v>61802.411815045569</v>
      </c>
    </row>
    <row r="204" spans="3:7" x14ac:dyDescent="0.25">
      <c r="C204" s="32">
        <v>195</v>
      </c>
      <c r="D204" s="191">
        <f t="shared" ref="D204:D267" si="15">$B$6</f>
        <v>494.28442661033847</v>
      </c>
      <c r="E204" s="191">
        <f t="shared" si="12"/>
        <v>220.94362223878792</v>
      </c>
      <c r="F204" s="191">
        <f t="shared" si="13"/>
        <v>273.34080437155058</v>
      </c>
      <c r="G204" s="191">
        <f t="shared" si="14"/>
        <v>61529.071010674015</v>
      </c>
    </row>
    <row r="205" spans="3:7" x14ac:dyDescent="0.25">
      <c r="C205" s="32">
        <v>196</v>
      </c>
      <c r="D205" s="191">
        <f t="shared" si="15"/>
        <v>494.28442661033847</v>
      </c>
      <c r="E205" s="191">
        <f t="shared" si="12"/>
        <v>219.96642886315962</v>
      </c>
      <c r="F205" s="191">
        <f t="shared" si="13"/>
        <v>274.31799774717888</v>
      </c>
      <c r="G205" s="191">
        <f t="shared" si="14"/>
        <v>61254.753012926834</v>
      </c>
    </row>
    <row r="206" spans="3:7" x14ac:dyDescent="0.25">
      <c r="C206" s="32">
        <v>197</v>
      </c>
      <c r="D206" s="191">
        <f t="shared" si="15"/>
        <v>494.28442661033847</v>
      </c>
      <c r="E206" s="191">
        <f t="shared" si="12"/>
        <v>218.98574202121344</v>
      </c>
      <c r="F206" s="191">
        <f t="shared" si="13"/>
        <v>275.29868458912506</v>
      </c>
      <c r="G206" s="191">
        <f t="shared" si="14"/>
        <v>60979.454328337706</v>
      </c>
    </row>
    <row r="207" spans="3:7" x14ac:dyDescent="0.25">
      <c r="C207" s="32">
        <v>198</v>
      </c>
      <c r="D207" s="191">
        <f t="shared" si="15"/>
        <v>494.28442661033847</v>
      </c>
      <c r="E207" s="191">
        <f t="shared" si="12"/>
        <v>218.0015492238073</v>
      </c>
      <c r="F207" s="191">
        <f t="shared" si="13"/>
        <v>276.28287738653114</v>
      </c>
      <c r="G207" s="191">
        <f t="shared" si="14"/>
        <v>60703.171450951173</v>
      </c>
    </row>
    <row r="208" spans="3:7" x14ac:dyDescent="0.25">
      <c r="C208" s="32">
        <v>199</v>
      </c>
      <c r="D208" s="191">
        <f t="shared" si="15"/>
        <v>494.28442661033847</v>
      </c>
      <c r="E208" s="191">
        <f t="shared" si="12"/>
        <v>217.01383793715044</v>
      </c>
      <c r="F208" s="191">
        <f t="shared" si="13"/>
        <v>277.27058867318806</v>
      </c>
      <c r="G208" s="191">
        <f t="shared" si="14"/>
        <v>60425.900862277987</v>
      </c>
    </row>
    <row r="209" spans="3:7" x14ac:dyDescent="0.25">
      <c r="C209" s="32">
        <v>200</v>
      </c>
      <c r="D209" s="191">
        <f t="shared" si="15"/>
        <v>494.28442661033847</v>
      </c>
      <c r="E209" s="191">
        <f t="shared" si="12"/>
        <v>216.02259558264382</v>
      </c>
      <c r="F209" s="191">
        <f t="shared" si="13"/>
        <v>278.26183102769465</v>
      </c>
      <c r="G209" s="191">
        <f t="shared" si="14"/>
        <v>60147.639031250292</v>
      </c>
    </row>
    <row r="210" spans="3:7" x14ac:dyDescent="0.25">
      <c r="C210" s="32">
        <v>201</v>
      </c>
      <c r="D210" s="191">
        <f t="shared" si="15"/>
        <v>494.28442661033847</v>
      </c>
      <c r="E210" s="191">
        <f t="shared" si="12"/>
        <v>215.02780953671979</v>
      </c>
      <c r="F210" s="191">
        <f t="shared" si="13"/>
        <v>279.25661707361871</v>
      </c>
      <c r="G210" s="191">
        <f t="shared" si="14"/>
        <v>59868.382414176675</v>
      </c>
    </row>
    <row r="211" spans="3:7" x14ac:dyDescent="0.25">
      <c r="C211" s="32">
        <v>202</v>
      </c>
      <c r="D211" s="191">
        <f t="shared" si="15"/>
        <v>494.28442661033847</v>
      </c>
      <c r="E211" s="191">
        <f t="shared" si="12"/>
        <v>214.02946713068161</v>
      </c>
      <c r="F211" s="191">
        <f t="shared" si="13"/>
        <v>280.25495947965686</v>
      </c>
      <c r="G211" s="191">
        <f t="shared" si="14"/>
        <v>59588.127454697016</v>
      </c>
    </row>
    <row r="212" spans="3:7" x14ac:dyDescent="0.25">
      <c r="C212" s="32">
        <v>203</v>
      </c>
      <c r="D212" s="191">
        <f t="shared" si="15"/>
        <v>494.28442661033847</v>
      </c>
      <c r="E212" s="191">
        <f t="shared" si="12"/>
        <v>213.02755565054184</v>
      </c>
      <c r="F212" s="191">
        <f t="shared" si="13"/>
        <v>281.25687095979663</v>
      </c>
      <c r="G212" s="191">
        <f t="shared" si="14"/>
        <v>59306.870583737218</v>
      </c>
    </row>
    <row r="213" spans="3:7" x14ac:dyDescent="0.25">
      <c r="C213" s="32">
        <v>204</v>
      </c>
      <c r="D213" s="191">
        <f t="shared" si="15"/>
        <v>494.28442661033847</v>
      </c>
      <c r="E213" s="191">
        <f t="shared" si="12"/>
        <v>212.02206233686056</v>
      </c>
      <c r="F213" s="191">
        <f t="shared" si="13"/>
        <v>282.26236427347794</v>
      </c>
      <c r="G213" s="191">
        <f t="shared" si="14"/>
        <v>59024.608219463742</v>
      </c>
    </row>
    <row r="214" spans="3:7" x14ac:dyDescent="0.25">
      <c r="C214" s="32">
        <v>205</v>
      </c>
      <c r="D214" s="191">
        <f t="shared" si="15"/>
        <v>494.28442661033847</v>
      </c>
      <c r="E214" s="191">
        <f t="shared" si="12"/>
        <v>211.01297438458289</v>
      </c>
      <c r="F214" s="191">
        <f t="shared" si="13"/>
        <v>283.27145222575558</v>
      </c>
      <c r="G214" s="191">
        <f t="shared" si="14"/>
        <v>58741.33676723799</v>
      </c>
    </row>
    <row r="215" spans="3:7" x14ac:dyDescent="0.25">
      <c r="C215" s="32">
        <v>206</v>
      </c>
      <c r="D215" s="191">
        <f t="shared" si="15"/>
        <v>494.28442661033847</v>
      </c>
      <c r="E215" s="191">
        <f t="shared" si="12"/>
        <v>210.00027894287581</v>
      </c>
      <c r="F215" s="191">
        <f t="shared" si="13"/>
        <v>284.28414766746266</v>
      </c>
      <c r="G215" s="191">
        <f t="shared" si="14"/>
        <v>58457.052619570524</v>
      </c>
    </row>
    <row r="216" spans="3:7" x14ac:dyDescent="0.25">
      <c r="C216" s="32">
        <v>207</v>
      </c>
      <c r="D216" s="191">
        <f t="shared" si="15"/>
        <v>494.28442661033847</v>
      </c>
      <c r="E216" s="191">
        <f t="shared" si="12"/>
        <v>208.98396311496464</v>
      </c>
      <c r="F216" s="191">
        <f t="shared" si="13"/>
        <v>285.30046349537383</v>
      </c>
      <c r="G216" s="191">
        <f t="shared" si="14"/>
        <v>58171.752156075148</v>
      </c>
    </row>
    <row r="217" spans="3:7" x14ac:dyDescent="0.25">
      <c r="C217" s="32">
        <v>208</v>
      </c>
      <c r="D217" s="191">
        <f t="shared" si="15"/>
        <v>494.28442661033847</v>
      </c>
      <c r="E217" s="191">
        <f t="shared" si="12"/>
        <v>207.96401395796866</v>
      </c>
      <c r="F217" s="191">
        <f t="shared" si="13"/>
        <v>286.32041265236978</v>
      </c>
      <c r="G217" s="191">
        <f t="shared" si="14"/>
        <v>57885.431743422778</v>
      </c>
    </row>
    <row r="218" spans="3:7" x14ac:dyDescent="0.25">
      <c r="C218" s="32">
        <v>209</v>
      </c>
      <c r="D218" s="191">
        <f t="shared" si="15"/>
        <v>494.28442661033847</v>
      </c>
      <c r="E218" s="191">
        <f t="shared" si="12"/>
        <v>206.94041848273645</v>
      </c>
      <c r="F218" s="191">
        <f t="shared" si="13"/>
        <v>287.34400812760202</v>
      </c>
      <c r="G218" s="191">
        <f t="shared" si="14"/>
        <v>57598.087735295179</v>
      </c>
    </row>
    <row r="219" spans="3:7" x14ac:dyDescent="0.25">
      <c r="C219" s="32">
        <v>210</v>
      </c>
      <c r="D219" s="191">
        <f t="shared" si="15"/>
        <v>494.28442661033847</v>
      </c>
      <c r="E219" s="191">
        <f t="shared" si="12"/>
        <v>205.91316365368027</v>
      </c>
      <c r="F219" s="191">
        <f t="shared" si="13"/>
        <v>288.3712629566582</v>
      </c>
      <c r="G219" s="191">
        <f t="shared" si="14"/>
        <v>57309.716472338521</v>
      </c>
    </row>
    <row r="220" spans="3:7" x14ac:dyDescent="0.25">
      <c r="C220" s="32">
        <v>211</v>
      </c>
      <c r="D220" s="191">
        <f t="shared" si="15"/>
        <v>494.28442661033847</v>
      </c>
      <c r="E220" s="191">
        <f t="shared" si="12"/>
        <v>204.88223638861021</v>
      </c>
      <c r="F220" s="191">
        <f t="shared" si="13"/>
        <v>289.40219022172823</v>
      </c>
      <c r="G220" s="191">
        <f t="shared" si="14"/>
        <v>57020.314282116793</v>
      </c>
    </row>
    <row r="221" spans="3:7" x14ac:dyDescent="0.25">
      <c r="C221" s="32">
        <v>212</v>
      </c>
      <c r="D221" s="191">
        <f t="shared" si="15"/>
        <v>494.28442661033847</v>
      </c>
      <c r="E221" s="191">
        <f t="shared" si="12"/>
        <v>203.84762355856753</v>
      </c>
      <c r="F221" s="191">
        <f t="shared" si="13"/>
        <v>290.43680305177094</v>
      </c>
      <c r="G221" s="191">
        <f t="shared" si="14"/>
        <v>56729.87747906502</v>
      </c>
    </row>
    <row r="222" spans="3:7" x14ac:dyDescent="0.25">
      <c r="C222" s="32">
        <v>213</v>
      </c>
      <c r="D222" s="191">
        <f t="shared" si="15"/>
        <v>494.28442661033847</v>
      </c>
      <c r="E222" s="191">
        <f t="shared" si="12"/>
        <v>202.80931198765745</v>
      </c>
      <c r="F222" s="191">
        <f t="shared" si="13"/>
        <v>291.47511462268102</v>
      </c>
      <c r="G222" s="191">
        <f t="shared" si="14"/>
        <v>56438.402364442336</v>
      </c>
    </row>
    <row r="223" spans="3:7" x14ac:dyDescent="0.25">
      <c r="C223" s="32">
        <v>214</v>
      </c>
      <c r="D223" s="191">
        <f t="shared" si="15"/>
        <v>494.28442661033847</v>
      </c>
      <c r="E223" s="191">
        <f t="shared" si="12"/>
        <v>201.76728845288136</v>
      </c>
      <c r="F223" s="191">
        <f t="shared" si="13"/>
        <v>292.51713815745711</v>
      </c>
      <c r="G223" s="191">
        <f t="shared" si="14"/>
        <v>56145.885226284881</v>
      </c>
    </row>
    <row r="224" spans="3:7" x14ac:dyDescent="0.25">
      <c r="C224" s="32">
        <v>215</v>
      </c>
      <c r="D224" s="191">
        <f t="shared" si="15"/>
        <v>494.28442661033847</v>
      </c>
      <c r="E224" s="191">
        <f t="shared" si="12"/>
        <v>200.72153968396844</v>
      </c>
      <c r="F224" s="191">
        <f t="shared" si="13"/>
        <v>293.56288692637003</v>
      </c>
      <c r="G224" s="191">
        <f t="shared" si="14"/>
        <v>55852.322339358514</v>
      </c>
    </row>
    <row r="225" spans="3:7" x14ac:dyDescent="0.25">
      <c r="C225" s="32">
        <v>216</v>
      </c>
      <c r="D225" s="191">
        <f t="shared" si="15"/>
        <v>494.28442661033847</v>
      </c>
      <c r="E225" s="191">
        <f t="shared" si="12"/>
        <v>199.67205236320669</v>
      </c>
      <c r="F225" s="191">
        <f t="shared" si="13"/>
        <v>294.61237424713181</v>
      </c>
      <c r="G225" s="191">
        <f t="shared" si="14"/>
        <v>55557.709965111382</v>
      </c>
    </row>
    <row r="226" spans="3:7" x14ac:dyDescent="0.25">
      <c r="C226" s="32">
        <v>217</v>
      </c>
      <c r="D226" s="191">
        <f t="shared" si="15"/>
        <v>494.28442661033847</v>
      </c>
      <c r="E226" s="191">
        <f t="shared" si="12"/>
        <v>198.61881312527319</v>
      </c>
      <c r="F226" s="191">
        <f t="shared" si="13"/>
        <v>295.66561348506525</v>
      </c>
      <c r="G226" s="191">
        <f t="shared" si="14"/>
        <v>55262.044351626319</v>
      </c>
    </row>
    <row r="227" spans="3:7" x14ac:dyDescent="0.25">
      <c r="C227" s="32">
        <v>218</v>
      </c>
      <c r="D227" s="191">
        <f t="shared" si="15"/>
        <v>494.28442661033847</v>
      </c>
      <c r="E227" s="191">
        <f t="shared" si="12"/>
        <v>197.5618085570641</v>
      </c>
      <c r="F227" s="191">
        <f t="shared" si="13"/>
        <v>296.72261805327435</v>
      </c>
      <c r="G227" s="191">
        <f t="shared" si="14"/>
        <v>54965.321733573044</v>
      </c>
    </row>
    <row r="228" spans="3:7" x14ac:dyDescent="0.25">
      <c r="C228" s="32">
        <v>219</v>
      </c>
      <c r="D228" s="191">
        <f t="shared" si="15"/>
        <v>494.28442661033847</v>
      </c>
      <c r="E228" s="191">
        <f t="shared" si="12"/>
        <v>196.50102519752363</v>
      </c>
      <c r="F228" s="191">
        <f t="shared" si="13"/>
        <v>297.78340141281484</v>
      </c>
      <c r="G228" s="191">
        <f t="shared" si="14"/>
        <v>54667.538332160228</v>
      </c>
    </row>
    <row r="229" spans="3:7" x14ac:dyDescent="0.25">
      <c r="C229" s="32">
        <v>220</v>
      </c>
      <c r="D229" s="191">
        <f t="shared" si="15"/>
        <v>494.28442661033847</v>
      </c>
      <c r="E229" s="191">
        <f t="shared" si="12"/>
        <v>195.43644953747281</v>
      </c>
      <c r="F229" s="191">
        <f t="shared" si="13"/>
        <v>298.84797707286566</v>
      </c>
      <c r="G229" s="191">
        <f t="shared" si="14"/>
        <v>54368.690355087361</v>
      </c>
    </row>
    <row r="230" spans="3:7" x14ac:dyDescent="0.25">
      <c r="C230" s="32">
        <v>221</v>
      </c>
      <c r="D230" s="191">
        <f t="shared" si="15"/>
        <v>494.28442661033847</v>
      </c>
      <c r="E230" s="191">
        <f t="shared" si="12"/>
        <v>194.36806801943732</v>
      </c>
      <c r="F230" s="191">
        <f t="shared" si="13"/>
        <v>299.91635859090115</v>
      </c>
      <c r="G230" s="191">
        <f t="shared" si="14"/>
        <v>54068.773996496457</v>
      </c>
    </row>
    <row r="231" spans="3:7" x14ac:dyDescent="0.25">
      <c r="C231" s="32">
        <v>222</v>
      </c>
      <c r="D231" s="191">
        <f t="shared" si="15"/>
        <v>494.28442661033847</v>
      </c>
      <c r="E231" s="191">
        <f t="shared" si="12"/>
        <v>193.29586703747484</v>
      </c>
      <c r="F231" s="191">
        <f t="shared" si="13"/>
        <v>300.98855957286366</v>
      </c>
      <c r="G231" s="191">
        <f t="shared" si="14"/>
        <v>53767.785436923594</v>
      </c>
    </row>
    <row r="232" spans="3:7" x14ac:dyDescent="0.25">
      <c r="C232" s="32">
        <v>223</v>
      </c>
      <c r="D232" s="191">
        <f t="shared" si="15"/>
        <v>494.28442661033847</v>
      </c>
      <c r="E232" s="191">
        <f t="shared" si="12"/>
        <v>192.21983293700185</v>
      </c>
      <c r="F232" s="191">
        <f t="shared" si="13"/>
        <v>302.06459367333662</v>
      </c>
      <c r="G232" s="191">
        <f t="shared" si="14"/>
        <v>53465.720843250259</v>
      </c>
    </row>
    <row r="233" spans="3:7" x14ac:dyDescent="0.25">
      <c r="C233" s="32">
        <v>224</v>
      </c>
      <c r="D233" s="191">
        <f t="shared" si="15"/>
        <v>494.28442661033847</v>
      </c>
      <c r="E233" s="191">
        <f t="shared" si="12"/>
        <v>191.13995201461967</v>
      </c>
      <c r="F233" s="191">
        <f t="shared" si="13"/>
        <v>303.1444745957188</v>
      </c>
      <c r="G233" s="191">
        <f t="shared" si="14"/>
        <v>53162.57636865454</v>
      </c>
    </row>
    <row r="234" spans="3:7" x14ac:dyDescent="0.25">
      <c r="C234" s="32">
        <v>225</v>
      </c>
      <c r="D234" s="191">
        <f t="shared" si="15"/>
        <v>494.28442661033847</v>
      </c>
      <c r="E234" s="191">
        <f t="shared" si="12"/>
        <v>190.05621051793997</v>
      </c>
      <c r="F234" s="191">
        <f t="shared" si="13"/>
        <v>304.2282160923985</v>
      </c>
      <c r="G234" s="191">
        <f t="shared" si="14"/>
        <v>52858.348152562139</v>
      </c>
    </row>
    <row r="235" spans="3:7" x14ac:dyDescent="0.25">
      <c r="C235" s="32">
        <v>226</v>
      </c>
      <c r="D235" s="191">
        <f t="shared" si="15"/>
        <v>494.28442661033847</v>
      </c>
      <c r="E235" s="191">
        <f t="shared" si="12"/>
        <v>188.96859464540964</v>
      </c>
      <c r="F235" s="191">
        <f t="shared" si="13"/>
        <v>305.31583196492886</v>
      </c>
      <c r="G235" s="191">
        <f t="shared" si="14"/>
        <v>52553.032320597209</v>
      </c>
    </row>
    <row r="236" spans="3:7" x14ac:dyDescent="0.25">
      <c r="C236" s="32">
        <v>227</v>
      </c>
      <c r="D236" s="191">
        <f t="shared" si="15"/>
        <v>494.28442661033847</v>
      </c>
      <c r="E236" s="191">
        <f t="shared" si="12"/>
        <v>187.87709054613504</v>
      </c>
      <c r="F236" s="191">
        <f t="shared" si="13"/>
        <v>306.40733606420343</v>
      </c>
      <c r="G236" s="191">
        <f t="shared" si="14"/>
        <v>52246.624984533002</v>
      </c>
    </row>
    <row r="237" spans="3:7" x14ac:dyDescent="0.25">
      <c r="C237" s="32">
        <v>228</v>
      </c>
      <c r="D237" s="191">
        <f t="shared" si="15"/>
        <v>494.28442661033847</v>
      </c>
      <c r="E237" s="191">
        <f t="shared" si="12"/>
        <v>186.78168431970548</v>
      </c>
      <c r="F237" s="191">
        <f t="shared" si="13"/>
        <v>307.50274229063302</v>
      </c>
      <c r="G237" s="191">
        <f t="shared" si="14"/>
        <v>51939.122242242367</v>
      </c>
    </row>
    <row r="238" spans="3:7" x14ac:dyDescent="0.25">
      <c r="C238" s="32">
        <v>229</v>
      </c>
      <c r="D238" s="191">
        <f t="shared" si="15"/>
        <v>494.28442661033847</v>
      </c>
      <c r="E238" s="191">
        <f t="shared" si="12"/>
        <v>185.68236201601647</v>
      </c>
      <c r="F238" s="191">
        <f t="shared" si="13"/>
        <v>308.60206459432197</v>
      </c>
      <c r="G238" s="191">
        <f t="shared" si="14"/>
        <v>51630.520177648046</v>
      </c>
    </row>
    <row r="239" spans="3:7" x14ac:dyDescent="0.25">
      <c r="C239" s="32">
        <v>230</v>
      </c>
      <c r="D239" s="191">
        <f t="shared" si="15"/>
        <v>494.28442661033847</v>
      </c>
      <c r="E239" s="191">
        <f t="shared" si="12"/>
        <v>184.57910963509175</v>
      </c>
      <c r="F239" s="191">
        <f t="shared" si="13"/>
        <v>309.70531697524672</v>
      </c>
      <c r="G239" s="191">
        <f t="shared" si="14"/>
        <v>51320.814860672799</v>
      </c>
    </row>
    <row r="240" spans="3:7" x14ac:dyDescent="0.25">
      <c r="C240" s="32">
        <v>231</v>
      </c>
      <c r="D240" s="191">
        <f t="shared" si="15"/>
        <v>494.28442661033847</v>
      </c>
      <c r="E240" s="191">
        <f t="shared" si="12"/>
        <v>183.47191312690526</v>
      </c>
      <c r="F240" s="191">
        <f t="shared" si="13"/>
        <v>310.81251348343324</v>
      </c>
      <c r="G240" s="191">
        <f t="shared" si="14"/>
        <v>51010.002347189366</v>
      </c>
    </row>
    <row r="241" spans="3:7" x14ac:dyDescent="0.25">
      <c r="C241" s="32">
        <v>232</v>
      </c>
      <c r="D241" s="191">
        <f t="shared" si="15"/>
        <v>494.28442661033847</v>
      </c>
      <c r="E241" s="191">
        <f t="shared" si="12"/>
        <v>182.36075839120198</v>
      </c>
      <c r="F241" s="191">
        <f t="shared" si="13"/>
        <v>311.92366821913652</v>
      </c>
      <c r="G241" s="191">
        <f t="shared" si="14"/>
        <v>50698.078678970232</v>
      </c>
    </row>
    <row r="242" spans="3:7" x14ac:dyDescent="0.25">
      <c r="C242" s="32">
        <v>233</v>
      </c>
      <c r="D242" s="191">
        <f t="shared" si="15"/>
        <v>494.28442661033847</v>
      </c>
      <c r="E242" s="191">
        <f t="shared" si="12"/>
        <v>181.24563127731858</v>
      </c>
      <c r="F242" s="191">
        <f t="shared" si="13"/>
        <v>313.03879533301989</v>
      </c>
      <c r="G242" s="191">
        <f t="shared" si="14"/>
        <v>50385.039883637211</v>
      </c>
    </row>
    <row r="243" spans="3:7" x14ac:dyDescent="0.25">
      <c r="C243" s="32">
        <v>234</v>
      </c>
      <c r="D243" s="191">
        <f t="shared" si="15"/>
        <v>494.28442661033847</v>
      </c>
      <c r="E243" s="191">
        <f t="shared" si="12"/>
        <v>180.12651758400304</v>
      </c>
      <c r="F243" s="191">
        <f t="shared" si="13"/>
        <v>314.15790902633546</v>
      </c>
      <c r="G243" s="191">
        <f t="shared" si="14"/>
        <v>50070.881974610878</v>
      </c>
    </row>
    <row r="244" spans="3:7" x14ac:dyDescent="0.25">
      <c r="C244" s="32">
        <v>235</v>
      </c>
      <c r="D244" s="191">
        <f t="shared" si="15"/>
        <v>494.28442661033847</v>
      </c>
      <c r="E244" s="191">
        <f t="shared" si="12"/>
        <v>179.0034030592339</v>
      </c>
      <c r="F244" s="191">
        <f t="shared" si="13"/>
        <v>315.28102355110457</v>
      </c>
      <c r="G244" s="191">
        <f t="shared" si="14"/>
        <v>49755.600951059772</v>
      </c>
    </row>
    <row r="245" spans="3:7" x14ac:dyDescent="0.25">
      <c r="C245" s="32">
        <v>236</v>
      </c>
      <c r="D245" s="191">
        <f t="shared" si="15"/>
        <v>494.28442661033847</v>
      </c>
      <c r="E245" s="191">
        <f t="shared" si="12"/>
        <v>177.87627340003868</v>
      </c>
      <c r="F245" s="191">
        <f t="shared" si="13"/>
        <v>316.40815321029982</v>
      </c>
      <c r="G245" s="191">
        <f t="shared" si="14"/>
        <v>49439.192797849471</v>
      </c>
    </row>
    <row r="246" spans="3:7" x14ac:dyDescent="0.25">
      <c r="C246" s="32">
        <v>237</v>
      </c>
      <c r="D246" s="191">
        <f t="shared" si="15"/>
        <v>494.28442661033847</v>
      </c>
      <c r="E246" s="191">
        <f t="shared" si="12"/>
        <v>176.74511425231185</v>
      </c>
      <c r="F246" s="191">
        <f t="shared" si="13"/>
        <v>317.53931235802662</v>
      </c>
      <c r="G246" s="191">
        <f t="shared" si="14"/>
        <v>49121.653485491443</v>
      </c>
    </row>
    <row r="247" spans="3:7" x14ac:dyDescent="0.25">
      <c r="C247" s="32">
        <v>238</v>
      </c>
      <c r="D247" s="191">
        <f t="shared" si="15"/>
        <v>494.28442661033847</v>
      </c>
      <c r="E247" s="191">
        <f t="shared" si="12"/>
        <v>175.60991121063191</v>
      </c>
      <c r="F247" s="191">
        <f t="shared" si="13"/>
        <v>318.67451539970659</v>
      </c>
      <c r="G247" s="191">
        <f t="shared" si="14"/>
        <v>48802.978970091739</v>
      </c>
    </row>
    <row r="248" spans="3:7" x14ac:dyDescent="0.25">
      <c r="C248" s="32">
        <v>239</v>
      </c>
      <c r="D248" s="191">
        <f t="shared" si="15"/>
        <v>494.28442661033847</v>
      </c>
      <c r="E248" s="191">
        <f t="shared" si="12"/>
        <v>174.47064981807796</v>
      </c>
      <c r="F248" s="191">
        <f t="shared" si="13"/>
        <v>319.81377679226051</v>
      </c>
      <c r="G248" s="191">
        <f t="shared" si="14"/>
        <v>48483.165193299479</v>
      </c>
    </row>
    <row r="249" spans="3:7" x14ac:dyDescent="0.25">
      <c r="C249" s="32">
        <v>240</v>
      </c>
      <c r="D249" s="191">
        <f t="shared" si="15"/>
        <v>494.28442661033847</v>
      </c>
      <c r="E249" s="191">
        <f t="shared" si="12"/>
        <v>173.32731556604563</v>
      </c>
      <c r="F249" s="191">
        <f t="shared" si="13"/>
        <v>320.95711104429284</v>
      </c>
      <c r="G249" s="191">
        <f t="shared" si="14"/>
        <v>48162.208082255187</v>
      </c>
    </row>
    <row r="250" spans="3:7" x14ac:dyDescent="0.25">
      <c r="C250" s="32">
        <v>241</v>
      </c>
      <c r="D250" s="191">
        <f t="shared" si="15"/>
        <v>494.28442661033847</v>
      </c>
      <c r="E250" s="191">
        <f t="shared" si="12"/>
        <v>172.1798938940623</v>
      </c>
      <c r="F250" s="191">
        <f t="shared" si="13"/>
        <v>322.10453271627614</v>
      </c>
      <c r="G250" s="191">
        <f t="shared" si="14"/>
        <v>47840.103549538908</v>
      </c>
    </row>
    <row r="251" spans="3:7" x14ac:dyDescent="0.25">
      <c r="C251" s="32">
        <v>242</v>
      </c>
      <c r="D251" s="191">
        <f t="shared" si="15"/>
        <v>494.28442661033847</v>
      </c>
      <c r="E251" s="191">
        <f t="shared" si="12"/>
        <v>171.02837018960159</v>
      </c>
      <c r="F251" s="191">
        <f t="shared" si="13"/>
        <v>323.25605642073685</v>
      </c>
      <c r="G251" s="191">
        <f t="shared" si="14"/>
        <v>47516.84749311817</v>
      </c>
    </row>
    <row r="252" spans="3:7" x14ac:dyDescent="0.25">
      <c r="C252" s="32">
        <v>243</v>
      </c>
      <c r="D252" s="191">
        <f t="shared" si="15"/>
        <v>494.28442661033847</v>
      </c>
      <c r="E252" s="191">
        <f t="shared" si="12"/>
        <v>169.87272978789747</v>
      </c>
      <c r="F252" s="191">
        <f t="shared" si="13"/>
        <v>324.411696822441</v>
      </c>
      <c r="G252" s="191">
        <f t="shared" si="14"/>
        <v>47192.435796295729</v>
      </c>
    </row>
    <row r="253" spans="3:7" x14ac:dyDescent="0.25">
      <c r="C253" s="32">
        <v>244</v>
      </c>
      <c r="D253" s="191">
        <f t="shared" si="15"/>
        <v>494.28442661033847</v>
      </c>
      <c r="E253" s="191">
        <f t="shared" si="12"/>
        <v>168.71295797175725</v>
      </c>
      <c r="F253" s="191">
        <f t="shared" si="13"/>
        <v>325.57146863858122</v>
      </c>
      <c r="G253" s="191">
        <f t="shared" si="14"/>
        <v>46866.864327657146</v>
      </c>
    </row>
    <row r="254" spans="3:7" x14ac:dyDescent="0.25">
      <c r="C254" s="32">
        <v>245</v>
      </c>
      <c r="D254" s="191">
        <f t="shared" si="15"/>
        <v>494.28442661033847</v>
      </c>
      <c r="E254" s="191">
        <f t="shared" si="12"/>
        <v>167.5490399713743</v>
      </c>
      <c r="F254" s="191">
        <f t="shared" si="13"/>
        <v>326.7353866389642</v>
      </c>
      <c r="G254" s="191">
        <f t="shared" si="14"/>
        <v>46540.128941018178</v>
      </c>
    </row>
    <row r="255" spans="3:7" x14ac:dyDescent="0.25">
      <c r="C255" s="32">
        <v>246</v>
      </c>
      <c r="D255" s="191">
        <f t="shared" si="15"/>
        <v>494.28442661033847</v>
      </c>
      <c r="E255" s="191">
        <f t="shared" si="12"/>
        <v>166.38096096414</v>
      </c>
      <c r="F255" s="191">
        <f t="shared" si="13"/>
        <v>327.90346564619847</v>
      </c>
      <c r="G255" s="191">
        <f t="shared" si="14"/>
        <v>46212.225475371983</v>
      </c>
    </row>
    <row r="256" spans="3:7" x14ac:dyDescent="0.25">
      <c r="C256" s="32">
        <v>247</v>
      </c>
      <c r="D256" s="191">
        <f t="shared" si="15"/>
        <v>494.28442661033847</v>
      </c>
      <c r="E256" s="191">
        <f t="shared" si="12"/>
        <v>165.20870607445485</v>
      </c>
      <c r="F256" s="191">
        <f t="shared" si="13"/>
        <v>329.07572053588365</v>
      </c>
      <c r="G256" s="191">
        <f t="shared" si="14"/>
        <v>45883.1497548361</v>
      </c>
    </row>
    <row r="257" spans="3:7" x14ac:dyDescent="0.25">
      <c r="C257" s="32">
        <v>248</v>
      </c>
      <c r="D257" s="191">
        <f t="shared" si="15"/>
        <v>494.28442661033847</v>
      </c>
      <c r="E257" s="191">
        <f t="shared" ref="E257:E320" si="16">G256*($B$2/12)</f>
        <v>164.03226037353906</v>
      </c>
      <c r="F257" s="191">
        <f t="shared" ref="F257:F320" si="17">D257-E257</f>
        <v>330.25216623679944</v>
      </c>
      <c r="G257" s="191">
        <f t="shared" ref="G257:G320" si="18">G256-F257</f>
        <v>45552.897588599299</v>
      </c>
    </row>
    <row r="258" spans="3:7" x14ac:dyDescent="0.25">
      <c r="C258" s="32">
        <v>249</v>
      </c>
      <c r="D258" s="191">
        <f t="shared" si="15"/>
        <v>494.28442661033847</v>
      </c>
      <c r="E258" s="191">
        <f t="shared" si="16"/>
        <v>162.85160887924249</v>
      </c>
      <c r="F258" s="191">
        <f t="shared" si="17"/>
        <v>331.43281773109595</v>
      </c>
      <c r="G258" s="191">
        <f t="shared" si="18"/>
        <v>45221.464770868202</v>
      </c>
    </row>
    <row r="259" spans="3:7" x14ac:dyDescent="0.25">
      <c r="C259" s="32">
        <v>250</v>
      </c>
      <c r="D259" s="191">
        <f t="shared" si="15"/>
        <v>494.28442661033847</v>
      </c>
      <c r="E259" s="191">
        <f t="shared" si="16"/>
        <v>161.66673655585382</v>
      </c>
      <c r="F259" s="191">
        <f t="shared" si="17"/>
        <v>332.61769005448468</v>
      </c>
      <c r="G259" s="191">
        <f t="shared" si="18"/>
        <v>44888.847080813721</v>
      </c>
    </row>
    <row r="260" spans="3:7" x14ac:dyDescent="0.25">
      <c r="C260" s="32">
        <v>251</v>
      </c>
      <c r="D260" s="191">
        <f t="shared" si="15"/>
        <v>494.28442661033847</v>
      </c>
      <c r="E260" s="191">
        <f t="shared" si="16"/>
        <v>160.47762831390907</v>
      </c>
      <c r="F260" s="191">
        <f t="shared" si="17"/>
        <v>333.80679829642941</v>
      </c>
      <c r="G260" s="191">
        <f t="shared" si="18"/>
        <v>44555.040282517293</v>
      </c>
    </row>
    <row r="261" spans="3:7" x14ac:dyDescent="0.25">
      <c r="C261" s="32">
        <v>252</v>
      </c>
      <c r="D261" s="191">
        <f t="shared" si="15"/>
        <v>494.28442661033847</v>
      </c>
      <c r="E261" s="191">
        <f t="shared" si="16"/>
        <v>159.28426900999932</v>
      </c>
      <c r="F261" s="191">
        <f t="shared" si="17"/>
        <v>335.00015760033915</v>
      </c>
      <c r="G261" s="191">
        <f t="shared" si="18"/>
        <v>44220.040124916952</v>
      </c>
    </row>
    <row r="262" spans="3:7" x14ac:dyDescent="0.25">
      <c r="C262" s="32">
        <v>253</v>
      </c>
      <c r="D262" s="191">
        <f t="shared" si="15"/>
        <v>494.28442661033847</v>
      </c>
      <c r="E262" s="191">
        <f t="shared" si="16"/>
        <v>158.08664344657811</v>
      </c>
      <c r="F262" s="191">
        <f t="shared" si="17"/>
        <v>336.19778316376039</v>
      </c>
      <c r="G262" s="191">
        <f t="shared" si="18"/>
        <v>43883.842341753189</v>
      </c>
    </row>
    <row r="263" spans="3:7" x14ac:dyDescent="0.25">
      <c r="C263" s="32">
        <v>254</v>
      </c>
      <c r="D263" s="191">
        <f t="shared" si="15"/>
        <v>494.28442661033847</v>
      </c>
      <c r="E263" s="191">
        <f t="shared" si="16"/>
        <v>156.88473637176764</v>
      </c>
      <c r="F263" s="191">
        <f t="shared" si="17"/>
        <v>337.39969023857083</v>
      </c>
      <c r="G263" s="191">
        <f t="shared" si="18"/>
        <v>43546.442651514619</v>
      </c>
    </row>
    <row r="264" spans="3:7" x14ac:dyDescent="0.25">
      <c r="C264" s="32">
        <v>255</v>
      </c>
      <c r="D264" s="191">
        <f t="shared" si="15"/>
        <v>494.28442661033847</v>
      </c>
      <c r="E264" s="191">
        <f t="shared" si="16"/>
        <v>155.67853247916477</v>
      </c>
      <c r="F264" s="191">
        <f t="shared" si="17"/>
        <v>338.60589413117373</v>
      </c>
      <c r="G264" s="191">
        <f t="shared" si="18"/>
        <v>43207.836757383448</v>
      </c>
    </row>
    <row r="265" spans="3:7" x14ac:dyDescent="0.25">
      <c r="C265" s="32">
        <v>256</v>
      </c>
      <c r="D265" s="191">
        <f t="shared" si="15"/>
        <v>494.28442661033847</v>
      </c>
      <c r="E265" s="191">
        <f t="shared" si="16"/>
        <v>154.46801640764582</v>
      </c>
      <c r="F265" s="191">
        <f t="shared" si="17"/>
        <v>339.81641020269262</v>
      </c>
      <c r="G265" s="191">
        <f t="shared" si="18"/>
        <v>42868.020347180754</v>
      </c>
    </row>
    <row r="266" spans="3:7" x14ac:dyDescent="0.25">
      <c r="C266" s="32">
        <v>257</v>
      </c>
      <c r="D266" s="191">
        <f t="shared" si="15"/>
        <v>494.28442661033847</v>
      </c>
      <c r="E266" s="191">
        <f t="shared" si="16"/>
        <v>153.2531727411712</v>
      </c>
      <c r="F266" s="191">
        <f t="shared" si="17"/>
        <v>341.03125386916724</v>
      </c>
      <c r="G266" s="191">
        <f t="shared" si="18"/>
        <v>42526.989093311589</v>
      </c>
    </row>
    <row r="267" spans="3:7" x14ac:dyDescent="0.25">
      <c r="C267" s="32">
        <v>258</v>
      </c>
      <c r="D267" s="191">
        <f t="shared" si="15"/>
        <v>494.28442661033847</v>
      </c>
      <c r="E267" s="191">
        <f t="shared" si="16"/>
        <v>152.03398600858893</v>
      </c>
      <c r="F267" s="191">
        <f t="shared" si="17"/>
        <v>342.25044060174957</v>
      </c>
      <c r="G267" s="191">
        <f t="shared" si="18"/>
        <v>42184.738652709842</v>
      </c>
    </row>
    <row r="268" spans="3:7" x14ac:dyDescent="0.25">
      <c r="C268" s="32">
        <v>259</v>
      </c>
      <c r="D268" s="191">
        <f t="shared" ref="D268:D331" si="19">$B$6</f>
        <v>494.28442661033847</v>
      </c>
      <c r="E268" s="191">
        <f t="shared" si="16"/>
        <v>150.81044068343769</v>
      </c>
      <c r="F268" s="191">
        <f t="shared" si="17"/>
        <v>343.47398592690081</v>
      </c>
      <c r="G268" s="191">
        <f t="shared" si="18"/>
        <v>41841.264666782939</v>
      </c>
    </row>
    <row r="269" spans="3:7" x14ac:dyDescent="0.25">
      <c r="C269" s="32">
        <v>260</v>
      </c>
      <c r="D269" s="191">
        <f t="shared" si="19"/>
        <v>494.28442661033847</v>
      </c>
      <c r="E269" s="191">
        <f t="shared" si="16"/>
        <v>149.58252118374901</v>
      </c>
      <c r="F269" s="191">
        <f t="shared" si="17"/>
        <v>344.70190542658946</v>
      </c>
      <c r="G269" s="191">
        <f t="shared" si="18"/>
        <v>41496.562761356348</v>
      </c>
    </row>
    <row r="270" spans="3:7" x14ac:dyDescent="0.25">
      <c r="C270" s="32">
        <v>261</v>
      </c>
      <c r="D270" s="191">
        <f t="shared" si="19"/>
        <v>494.28442661033847</v>
      </c>
      <c r="E270" s="191">
        <f t="shared" si="16"/>
        <v>148.35021187184896</v>
      </c>
      <c r="F270" s="191">
        <f t="shared" si="17"/>
        <v>345.93421473848952</v>
      </c>
      <c r="G270" s="191">
        <f t="shared" si="18"/>
        <v>41150.62854661786</v>
      </c>
    </row>
    <row r="271" spans="3:7" x14ac:dyDescent="0.25">
      <c r="C271" s="32">
        <v>262</v>
      </c>
      <c r="D271" s="191">
        <f t="shared" si="19"/>
        <v>494.28442661033847</v>
      </c>
      <c r="E271" s="191">
        <f t="shared" si="16"/>
        <v>147.11349705415884</v>
      </c>
      <c r="F271" s="191">
        <f t="shared" si="17"/>
        <v>347.17092955617966</v>
      </c>
      <c r="G271" s="191">
        <f t="shared" si="18"/>
        <v>40803.457617061678</v>
      </c>
    </row>
    <row r="272" spans="3:7" x14ac:dyDescent="0.25">
      <c r="C272" s="32">
        <v>263</v>
      </c>
      <c r="D272" s="191">
        <f t="shared" si="19"/>
        <v>494.28442661033847</v>
      </c>
      <c r="E272" s="191">
        <f t="shared" si="16"/>
        <v>145.8723609809955</v>
      </c>
      <c r="F272" s="191">
        <f t="shared" si="17"/>
        <v>348.41206562934298</v>
      </c>
      <c r="G272" s="191">
        <f t="shared" si="18"/>
        <v>40455.045551432333</v>
      </c>
    </row>
    <row r="273" spans="3:7" x14ac:dyDescent="0.25">
      <c r="C273" s="32">
        <v>264</v>
      </c>
      <c r="D273" s="191">
        <f t="shared" si="19"/>
        <v>494.28442661033847</v>
      </c>
      <c r="E273" s="191">
        <f t="shared" si="16"/>
        <v>144.6267878463706</v>
      </c>
      <c r="F273" s="191">
        <f t="shared" si="17"/>
        <v>349.65763876396784</v>
      </c>
      <c r="G273" s="191">
        <f t="shared" si="18"/>
        <v>40105.387912668368</v>
      </c>
    </row>
    <row r="274" spans="3:7" x14ac:dyDescent="0.25">
      <c r="C274" s="32">
        <v>265</v>
      </c>
      <c r="D274" s="191">
        <f t="shared" si="19"/>
        <v>494.28442661033847</v>
      </c>
      <c r="E274" s="191">
        <f t="shared" si="16"/>
        <v>143.37676178778941</v>
      </c>
      <c r="F274" s="191">
        <f t="shared" si="17"/>
        <v>350.90766482254907</v>
      </c>
      <c r="G274" s="191">
        <f t="shared" si="18"/>
        <v>39754.480247845822</v>
      </c>
    </row>
    <row r="275" spans="3:7" x14ac:dyDescent="0.25">
      <c r="C275" s="32">
        <v>266</v>
      </c>
      <c r="D275" s="191">
        <f t="shared" si="19"/>
        <v>494.28442661033847</v>
      </c>
      <c r="E275" s="191">
        <f t="shared" si="16"/>
        <v>142.12226688604881</v>
      </c>
      <c r="F275" s="191">
        <f t="shared" si="17"/>
        <v>352.16215972428967</v>
      </c>
      <c r="G275" s="191">
        <f t="shared" si="18"/>
        <v>39402.31808812153</v>
      </c>
    </row>
    <row r="276" spans="3:7" x14ac:dyDescent="0.25">
      <c r="C276" s="32">
        <v>267</v>
      </c>
      <c r="D276" s="191">
        <f t="shared" si="19"/>
        <v>494.28442661033847</v>
      </c>
      <c r="E276" s="191">
        <f t="shared" si="16"/>
        <v>140.86328716503448</v>
      </c>
      <c r="F276" s="191">
        <f t="shared" si="17"/>
        <v>353.42113944530399</v>
      </c>
      <c r="G276" s="191">
        <f t="shared" si="18"/>
        <v>39048.896948676229</v>
      </c>
    </row>
    <row r="277" spans="3:7" x14ac:dyDescent="0.25">
      <c r="C277" s="32">
        <v>268</v>
      </c>
      <c r="D277" s="191">
        <f t="shared" si="19"/>
        <v>494.28442661033847</v>
      </c>
      <c r="E277" s="191">
        <f t="shared" si="16"/>
        <v>139.59980659151753</v>
      </c>
      <c r="F277" s="191">
        <f t="shared" si="17"/>
        <v>354.68462001882097</v>
      </c>
      <c r="G277" s="191">
        <f t="shared" si="18"/>
        <v>38694.212328657406</v>
      </c>
    </row>
    <row r="278" spans="3:7" x14ac:dyDescent="0.25">
      <c r="C278" s="32">
        <v>269</v>
      </c>
      <c r="D278" s="191">
        <f t="shared" si="19"/>
        <v>494.28442661033847</v>
      </c>
      <c r="E278" s="191">
        <f t="shared" si="16"/>
        <v>138.33180907495023</v>
      </c>
      <c r="F278" s="191">
        <f t="shared" si="17"/>
        <v>355.95261753538824</v>
      </c>
      <c r="G278" s="191">
        <f t="shared" si="18"/>
        <v>38338.259711122017</v>
      </c>
    </row>
    <row r="279" spans="3:7" x14ac:dyDescent="0.25">
      <c r="C279" s="32">
        <v>270</v>
      </c>
      <c r="D279" s="191">
        <f t="shared" si="19"/>
        <v>494.28442661033847</v>
      </c>
      <c r="E279" s="191">
        <f t="shared" si="16"/>
        <v>137.05927846726121</v>
      </c>
      <c r="F279" s="191">
        <f t="shared" si="17"/>
        <v>357.22514814307726</v>
      </c>
      <c r="G279" s="191">
        <f t="shared" si="18"/>
        <v>37981.034562978937</v>
      </c>
    </row>
    <row r="280" spans="3:7" x14ac:dyDescent="0.25">
      <c r="C280" s="32">
        <v>271</v>
      </c>
      <c r="D280" s="191">
        <f t="shared" si="19"/>
        <v>494.28442661033847</v>
      </c>
      <c r="E280" s="191">
        <f t="shared" si="16"/>
        <v>135.78219856264971</v>
      </c>
      <c r="F280" s="191">
        <f t="shared" si="17"/>
        <v>358.50222804768873</v>
      </c>
      <c r="G280" s="191">
        <f t="shared" si="18"/>
        <v>37622.532334931246</v>
      </c>
    </row>
    <row r="281" spans="3:7" x14ac:dyDescent="0.25">
      <c r="C281" s="32">
        <v>272</v>
      </c>
      <c r="D281" s="191">
        <f t="shared" si="19"/>
        <v>494.28442661033847</v>
      </c>
      <c r="E281" s="191">
        <f t="shared" si="16"/>
        <v>134.5005530973792</v>
      </c>
      <c r="F281" s="191">
        <f t="shared" si="17"/>
        <v>359.7838735129593</v>
      </c>
      <c r="G281" s="191">
        <f t="shared" si="18"/>
        <v>37262.748461418283</v>
      </c>
    </row>
    <row r="282" spans="3:7" x14ac:dyDescent="0.25">
      <c r="C282" s="32">
        <v>273</v>
      </c>
      <c r="D282" s="191">
        <f t="shared" si="19"/>
        <v>494.28442661033847</v>
      </c>
      <c r="E282" s="191">
        <f t="shared" si="16"/>
        <v>133.21432574957038</v>
      </c>
      <c r="F282" s="191">
        <f t="shared" si="17"/>
        <v>361.07010086076809</v>
      </c>
      <c r="G282" s="191">
        <f t="shared" si="18"/>
        <v>36901.678360557518</v>
      </c>
    </row>
    <row r="283" spans="3:7" x14ac:dyDescent="0.25">
      <c r="C283" s="32">
        <v>274</v>
      </c>
      <c r="D283" s="191">
        <f t="shared" si="19"/>
        <v>494.28442661033847</v>
      </c>
      <c r="E283" s="191">
        <f t="shared" si="16"/>
        <v>131.92350013899312</v>
      </c>
      <c r="F283" s="191">
        <f t="shared" si="17"/>
        <v>362.36092647134535</v>
      </c>
      <c r="G283" s="191">
        <f t="shared" si="18"/>
        <v>36539.317434086173</v>
      </c>
    </row>
    <row r="284" spans="3:7" x14ac:dyDescent="0.25">
      <c r="C284" s="32">
        <v>275</v>
      </c>
      <c r="D284" s="191">
        <f t="shared" si="19"/>
        <v>494.28442661033847</v>
      </c>
      <c r="E284" s="191">
        <f t="shared" si="16"/>
        <v>130.62805982685808</v>
      </c>
      <c r="F284" s="191">
        <f t="shared" si="17"/>
        <v>363.65636678348039</v>
      </c>
      <c r="G284" s="191">
        <f t="shared" si="18"/>
        <v>36175.661067302695</v>
      </c>
    </row>
    <row r="285" spans="3:7" x14ac:dyDescent="0.25">
      <c r="C285" s="32">
        <v>276</v>
      </c>
      <c r="D285" s="191">
        <f t="shared" si="19"/>
        <v>494.28442661033847</v>
      </c>
      <c r="E285" s="191">
        <f t="shared" si="16"/>
        <v>129.32798831560714</v>
      </c>
      <c r="F285" s="191">
        <f t="shared" si="17"/>
        <v>364.95643829473136</v>
      </c>
      <c r="G285" s="191">
        <f t="shared" si="18"/>
        <v>35810.704629007967</v>
      </c>
    </row>
    <row r="286" spans="3:7" x14ac:dyDescent="0.25">
      <c r="C286" s="32">
        <v>277</v>
      </c>
      <c r="D286" s="191">
        <f t="shared" si="19"/>
        <v>494.28442661033847</v>
      </c>
      <c r="E286" s="191">
        <f t="shared" si="16"/>
        <v>128.0232690487035</v>
      </c>
      <c r="F286" s="191">
        <f t="shared" si="17"/>
        <v>366.26115756163495</v>
      </c>
      <c r="G286" s="191">
        <f t="shared" si="18"/>
        <v>35444.443471446335</v>
      </c>
    </row>
    <row r="287" spans="3:7" x14ac:dyDescent="0.25">
      <c r="C287" s="32">
        <v>278</v>
      </c>
      <c r="D287" s="191">
        <f t="shared" si="19"/>
        <v>494.28442661033847</v>
      </c>
      <c r="E287" s="191">
        <f t="shared" si="16"/>
        <v>126.71388541042064</v>
      </c>
      <c r="F287" s="191">
        <f t="shared" si="17"/>
        <v>367.57054119991784</v>
      </c>
      <c r="G287" s="191">
        <f t="shared" si="18"/>
        <v>35076.87293024642</v>
      </c>
    </row>
    <row r="288" spans="3:7" x14ac:dyDescent="0.25">
      <c r="C288" s="32">
        <v>279</v>
      </c>
      <c r="D288" s="191">
        <f t="shared" si="19"/>
        <v>494.28442661033847</v>
      </c>
      <c r="E288" s="191">
        <f t="shared" si="16"/>
        <v>125.39982072563096</v>
      </c>
      <c r="F288" s="191">
        <f t="shared" si="17"/>
        <v>368.88460588470753</v>
      </c>
      <c r="G288" s="191">
        <f t="shared" si="18"/>
        <v>34707.988324361715</v>
      </c>
    </row>
    <row r="289" spans="3:7" x14ac:dyDescent="0.25">
      <c r="C289" s="32">
        <v>280</v>
      </c>
      <c r="D289" s="191">
        <f t="shared" si="19"/>
        <v>494.28442661033847</v>
      </c>
      <c r="E289" s="191">
        <f t="shared" si="16"/>
        <v>124.08105825959314</v>
      </c>
      <c r="F289" s="191">
        <f t="shared" si="17"/>
        <v>370.20336835074534</v>
      </c>
      <c r="G289" s="191">
        <f t="shared" si="18"/>
        <v>34337.784956010968</v>
      </c>
    </row>
    <row r="290" spans="3:7" x14ac:dyDescent="0.25">
      <c r="C290" s="32">
        <v>281</v>
      </c>
      <c r="D290" s="191">
        <f t="shared" si="19"/>
        <v>494.28442661033847</v>
      </c>
      <c r="E290" s="191">
        <f t="shared" si="16"/>
        <v>122.75758121773922</v>
      </c>
      <c r="F290" s="191">
        <f t="shared" si="17"/>
        <v>371.52684539259928</v>
      </c>
      <c r="G290" s="191">
        <f t="shared" si="18"/>
        <v>33966.258110618372</v>
      </c>
    </row>
    <row r="291" spans="3:7" x14ac:dyDescent="0.25">
      <c r="C291" s="32">
        <v>282</v>
      </c>
      <c r="D291" s="191">
        <f t="shared" si="19"/>
        <v>494.28442661033847</v>
      </c>
      <c r="E291" s="191">
        <f t="shared" si="16"/>
        <v>121.42937274546068</v>
      </c>
      <c r="F291" s="191">
        <f t="shared" si="17"/>
        <v>372.85505386487779</v>
      </c>
      <c r="G291" s="191">
        <f t="shared" si="18"/>
        <v>33593.403056753494</v>
      </c>
    </row>
    <row r="292" spans="3:7" x14ac:dyDescent="0.25">
      <c r="C292" s="32">
        <v>283</v>
      </c>
      <c r="D292" s="191">
        <f t="shared" si="19"/>
        <v>494.28442661033847</v>
      </c>
      <c r="E292" s="191">
        <f t="shared" si="16"/>
        <v>120.09641592789374</v>
      </c>
      <c r="F292" s="191">
        <f t="shared" si="17"/>
        <v>374.18801068244471</v>
      </c>
      <c r="G292" s="191">
        <f t="shared" si="18"/>
        <v>33219.215046071047</v>
      </c>
    </row>
    <row r="293" spans="3:7" x14ac:dyDescent="0.25">
      <c r="C293" s="32">
        <v>284</v>
      </c>
      <c r="D293" s="191">
        <f t="shared" si="19"/>
        <v>494.28442661033847</v>
      </c>
      <c r="E293" s="191">
        <f t="shared" si="16"/>
        <v>118.758693789704</v>
      </c>
      <c r="F293" s="191">
        <f t="shared" si="17"/>
        <v>375.52573282063446</v>
      </c>
      <c r="G293" s="191">
        <f t="shared" si="18"/>
        <v>32843.689313250412</v>
      </c>
    </row>
    <row r="294" spans="3:7" x14ac:dyDescent="0.25">
      <c r="C294" s="32">
        <v>285</v>
      </c>
      <c r="D294" s="191">
        <f t="shared" si="19"/>
        <v>494.28442661033847</v>
      </c>
      <c r="E294" s="191">
        <f t="shared" si="16"/>
        <v>117.41618929487022</v>
      </c>
      <c r="F294" s="191">
        <f t="shared" si="17"/>
        <v>376.86823731546826</v>
      </c>
      <c r="G294" s="191">
        <f t="shared" si="18"/>
        <v>32466.821075934942</v>
      </c>
    </row>
    <row r="295" spans="3:7" x14ac:dyDescent="0.25">
      <c r="C295" s="32">
        <v>286</v>
      </c>
      <c r="D295" s="191">
        <f t="shared" si="19"/>
        <v>494.28442661033847</v>
      </c>
      <c r="E295" s="191">
        <f t="shared" si="16"/>
        <v>116.06888534646743</v>
      </c>
      <c r="F295" s="191">
        <f t="shared" si="17"/>
        <v>378.21554126387105</v>
      </c>
      <c r="G295" s="191">
        <f t="shared" si="18"/>
        <v>32088.605534671071</v>
      </c>
    </row>
    <row r="296" spans="3:7" x14ac:dyDescent="0.25">
      <c r="C296" s="32">
        <v>287</v>
      </c>
      <c r="D296" s="191">
        <f t="shared" si="19"/>
        <v>494.28442661033847</v>
      </c>
      <c r="E296" s="191">
        <f t="shared" si="16"/>
        <v>114.71676478644908</v>
      </c>
      <c r="F296" s="191">
        <f t="shared" si="17"/>
        <v>379.56766182388941</v>
      </c>
      <c r="G296" s="191">
        <f t="shared" si="18"/>
        <v>31709.037872847181</v>
      </c>
    </row>
    <row r="297" spans="3:7" x14ac:dyDescent="0.25">
      <c r="C297" s="32">
        <v>288</v>
      </c>
      <c r="D297" s="191">
        <f t="shared" si="19"/>
        <v>494.28442661033847</v>
      </c>
      <c r="E297" s="191">
        <f t="shared" si="16"/>
        <v>113.35981039542867</v>
      </c>
      <c r="F297" s="191">
        <f t="shared" si="17"/>
        <v>380.9246162149098</v>
      </c>
      <c r="G297" s="191">
        <f t="shared" si="18"/>
        <v>31328.11325663227</v>
      </c>
    </row>
    <row r="298" spans="3:7" x14ac:dyDescent="0.25">
      <c r="C298" s="32">
        <v>289</v>
      </c>
      <c r="D298" s="191">
        <f t="shared" si="19"/>
        <v>494.28442661033847</v>
      </c>
      <c r="E298" s="191">
        <f t="shared" si="16"/>
        <v>111.99800489246037</v>
      </c>
      <c r="F298" s="191">
        <f t="shared" si="17"/>
        <v>382.28642171787811</v>
      </c>
      <c r="G298" s="191">
        <f t="shared" si="18"/>
        <v>30945.826834914391</v>
      </c>
    </row>
    <row r="299" spans="3:7" x14ac:dyDescent="0.25">
      <c r="C299" s="32">
        <v>290</v>
      </c>
      <c r="D299" s="191">
        <f t="shared" si="19"/>
        <v>494.28442661033847</v>
      </c>
      <c r="E299" s="191">
        <f t="shared" si="16"/>
        <v>110.63133093481895</v>
      </c>
      <c r="F299" s="191">
        <f t="shared" si="17"/>
        <v>383.65309567551952</v>
      </c>
      <c r="G299" s="191">
        <f t="shared" si="18"/>
        <v>30562.173739238871</v>
      </c>
    </row>
    <row r="300" spans="3:7" x14ac:dyDescent="0.25">
      <c r="C300" s="32">
        <v>291</v>
      </c>
      <c r="D300" s="191">
        <f t="shared" si="19"/>
        <v>494.28442661033847</v>
      </c>
      <c r="E300" s="191">
        <f t="shared" si="16"/>
        <v>109.25977111777897</v>
      </c>
      <c r="F300" s="191">
        <f t="shared" si="17"/>
        <v>385.02465549255953</v>
      </c>
      <c r="G300" s="191">
        <f t="shared" si="18"/>
        <v>30177.149083746313</v>
      </c>
    </row>
    <row r="301" spans="3:7" x14ac:dyDescent="0.25">
      <c r="C301" s="32">
        <v>292</v>
      </c>
      <c r="D301" s="191">
        <f t="shared" si="19"/>
        <v>494.28442661033847</v>
      </c>
      <c r="E301" s="191">
        <f t="shared" si="16"/>
        <v>107.88330797439308</v>
      </c>
      <c r="F301" s="191">
        <f t="shared" si="17"/>
        <v>386.40111863594541</v>
      </c>
      <c r="G301" s="191">
        <f t="shared" si="18"/>
        <v>29790.747965110368</v>
      </c>
    </row>
    <row r="302" spans="3:7" x14ac:dyDescent="0.25">
      <c r="C302" s="32">
        <v>293</v>
      </c>
      <c r="D302" s="191">
        <f t="shared" si="19"/>
        <v>494.28442661033847</v>
      </c>
      <c r="E302" s="191">
        <f t="shared" si="16"/>
        <v>106.50192397526956</v>
      </c>
      <c r="F302" s="191">
        <f t="shared" si="17"/>
        <v>387.78250263506891</v>
      </c>
      <c r="G302" s="191">
        <f t="shared" si="18"/>
        <v>29402.965462475298</v>
      </c>
    </row>
    <row r="303" spans="3:7" x14ac:dyDescent="0.25">
      <c r="C303" s="32">
        <v>294</v>
      </c>
      <c r="D303" s="191">
        <f t="shared" si="19"/>
        <v>494.28442661033847</v>
      </c>
      <c r="E303" s="191">
        <f t="shared" si="16"/>
        <v>105.11560152834919</v>
      </c>
      <c r="F303" s="191">
        <f t="shared" si="17"/>
        <v>389.16882508198927</v>
      </c>
      <c r="G303" s="191">
        <f t="shared" si="18"/>
        <v>29013.796637393309</v>
      </c>
    </row>
    <row r="304" spans="3:7" x14ac:dyDescent="0.25">
      <c r="C304" s="32">
        <v>295</v>
      </c>
      <c r="D304" s="191">
        <f t="shared" si="19"/>
        <v>494.28442661033847</v>
      </c>
      <c r="E304" s="191">
        <f t="shared" si="16"/>
        <v>103.72432297868107</v>
      </c>
      <c r="F304" s="191">
        <f t="shared" si="17"/>
        <v>390.5601036316574</v>
      </c>
      <c r="G304" s="191">
        <f t="shared" si="18"/>
        <v>28623.23653376165</v>
      </c>
    </row>
    <row r="305" spans="3:7" x14ac:dyDescent="0.25">
      <c r="C305" s="32">
        <v>296</v>
      </c>
      <c r="D305" s="191">
        <f t="shared" si="19"/>
        <v>494.28442661033847</v>
      </c>
      <c r="E305" s="191">
        <f t="shared" si="16"/>
        <v>102.3280706081979</v>
      </c>
      <c r="F305" s="191">
        <f t="shared" si="17"/>
        <v>391.95635600214058</v>
      </c>
      <c r="G305" s="191">
        <f t="shared" si="18"/>
        <v>28231.280177759509</v>
      </c>
    </row>
    <row r="306" spans="3:7" x14ac:dyDescent="0.25">
      <c r="C306" s="32">
        <v>297</v>
      </c>
      <c r="D306" s="191">
        <f t="shared" si="19"/>
        <v>494.28442661033847</v>
      </c>
      <c r="E306" s="191">
        <f t="shared" si="16"/>
        <v>100.92682663549024</v>
      </c>
      <c r="F306" s="191">
        <f t="shared" si="17"/>
        <v>393.3575999748482</v>
      </c>
      <c r="G306" s="191">
        <f t="shared" si="18"/>
        <v>27837.922577784659</v>
      </c>
    </row>
    <row r="307" spans="3:7" x14ac:dyDescent="0.25">
      <c r="C307" s="32">
        <v>298</v>
      </c>
      <c r="D307" s="191">
        <f t="shared" si="19"/>
        <v>494.28442661033847</v>
      </c>
      <c r="E307" s="191">
        <f t="shared" si="16"/>
        <v>99.520573215580157</v>
      </c>
      <c r="F307" s="191">
        <f t="shared" si="17"/>
        <v>394.76385339475831</v>
      </c>
      <c r="G307" s="191">
        <f t="shared" si="18"/>
        <v>27443.158724389901</v>
      </c>
    </row>
    <row r="308" spans="3:7" x14ac:dyDescent="0.25">
      <c r="C308" s="32">
        <v>299</v>
      </c>
      <c r="D308" s="191">
        <f t="shared" si="19"/>
        <v>494.28442661033847</v>
      </c>
      <c r="E308" s="191">
        <f t="shared" si="16"/>
        <v>98.109292439693903</v>
      </c>
      <c r="F308" s="191">
        <f t="shared" si="17"/>
        <v>396.17513417064458</v>
      </c>
      <c r="G308" s="191">
        <f t="shared" si="18"/>
        <v>27046.983590219257</v>
      </c>
    </row>
    <row r="309" spans="3:7" x14ac:dyDescent="0.25">
      <c r="C309" s="32">
        <v>300</v>
      </c>
      <c r="D309" s="191">
        <f t="shared" si="19"/>
        <v>494.28442661033847</v>
      </c>
      <c r="E309" s="191">
        <f t="shared" si="16"/>
        <v>96.692966335033844</v>
      </c>
      <c r="F309" s="191">
        <f t="shared" si="17"/>
        <v>397.5914602753046</v>
      </c>
      <c r="G309" s="191">
        <f t="shared" si="18"/>
        <v>26649.392129943953</v>
      </c>
    </row>
    <row r="310" spans="3:7" x14ac:dyDescent="0.25">
      <c r="C310" s="32">
        <v>301</v>
      </c>
      <c r="D310" s="191">
        <f t="shared" si="19"/>
        <v>494.28442661033847</v>
      </c>
      <c r="E310" s="191">
        <f t="shared" si="16"/>
        <v>95.27157686454963</v>
      </c>
      <c r="F310" s="191">
        <f t="shared" si="17"/>
        <v>399.01284974578886</v>
      </c>
      <c r="G310" s="191">
        <f t="shared" si="18"/>
        <v>26250.379280198165</v>
      </c>
    </row>
    <row r="311" spans="3:7" x14ac:dyDescent="0.25">
      <c r="C311" s="32">
        <v>302</v>
      </c>
      <c r="D311" s="191">
        <f t="shared" si="19"/>
        <v>494.28442661033847</v>
      </c>
      <c r="E311" s="191">
        <f t="shared" si="16"/>
        <v>93.845105926708442</v>
      </c>
      <c r="F311" s="191">
        <f t="shared" si="17"/>
        <v>400.43932068363006</v>
      </c>
      <c r="G311" s="191">
        <f t="shared" si="18"/>
        <v>25849.939959514537</v>
      </c>
    </row>
    <row r="312" spans="3:7" x14ac:dyDescent="0.25">
      <c r="C312" s="32">
        <v>303</v>
      </c>
      <c r="D312" s="191">
        <f t="shared" si="19"/>
        <v>494.28442661033847</v>
      </c>
      <c r="E312" s="191">
        <f t="shared" si="16"/>
        <v>92.413535355264472</v>
      </c>
      <c r="F312" s="191">
        <f t="shared" si="17"/>
        <v>401.87089125507401</v>
      </c>
      <c r="G312" s="191">
        <f t="shared" si="18"/>
        <v>25448.069068259461</v>
      </c>
    </row>
    <row r="313" spans="3:7" x14ac:dyDescent="0.25">
      <c r="C313" s="32">
        <v>304</v>
      </c>
      <c r="D313" s="191">
        <f t="shared" si="19"/>
        <v>494.28442661033847</v>
      </c>
      <c r="E313" s="191">
        <f t="shared" si="16"/>
        <v>90.976846919027579</v>
      </c>
      <c r="F313" s="191">
        <f t="shared" si="17"/>
        <v>403.30757969131088</v>
      </c>
      <c r="G313" s="191">
        <f t="shared" si="18"/>
        <v>25044.761488568151</v>
      </c>
    </row>
    <row r="314" spans="3:7" x14ac:dyDescent="0.25">
      <c r="C314" s="32">
        <v>305</v>
      </c>
      <c r="D314" s="191">
        <f t="shared" si="19"/>
        <v>494.28442661033847</v>
      </c>
      <c r="E314" s="191">
        <f t="shared" si="16"/>
        <v>89.535022321631146</v>
      </c>
      <c r="F314" s="191">
        <f t="shared" si="17"/>
        <v>404.7494042887073</v>
      </c>
      <c r="G314" s="191">
        <f t="shared" si="18"/>
        <v>24640.012084279442</v>
      </c>
    </row>
    <row r="315" spans="3:7" x14ac:dyDescent="0.25">
      <c r="C315" s="32">
        <v>306</v>
      </c>
      <c r="D315" s="191">
        <f t="shared" si="19"/>
        <v>494.28442661033847</v>
      </c>
      <c r="E315" s="191">
        <f t="shared" si="16"/>
        <v>88.088043201299001</v>
      </c>
      <c r="F315" s="191">
        <f t="shared" si="17"/>
        <v>406.19638340903947</v>
      </c>
      <c r="G315" s="191">
        <f t="shared" si="18"/>
        <v>24233.815700870404</v>
      </c>
    </row>
    <row r="316" spans="3:7" x14ac:dyDescent="0.25">
      <c r="C316" s="32">
        <v>307</v>
      </c>
      <c r="D316" s="191">
        <f t="shared" si="19"/>
        <v>494.28442661033847</v>
      </c>
      <c r="E316" s="191">
        <f t="shared" si="16"/>
        <v>86.635891130611697</v>
      </c>
      <c r="F316" s="191">
        <f t="shared" si="17"/>
        <v>407.64853547972677</v>
      </c>
      <c r="G316" s="191">
        <f t="shared" si="18"/>
        <v>23826.167165390678</v>
      </c>
    </row>
    <row r="317" spans="3:7" x14ac:dyDescent="0.25">
      <c r="C317" s="32">
        <v>308</v>
      </c>
      <c r="D317" s="191">
        <f t="shared" si="19"/>
        <v>494.28442661033847</v>
      </c>
      <c r="E317" s="191">
        <f t="shared" si="16"/>
        <v>85.178547616271672</v>
      </c>
      <c r="F317" s="191">
        <f t="shared" si="17"/>
        <v>409.10587899406681</v>
      </c>
      <c r="G317" s="191">
        <f t="shared" si="18"/>
        <v>23417.061286396613</v>
      </c>
    </row>
    <row r="318" spans="3:7" x14ac:dyDescent="0.25">
      <c r="C318" s="32">
        <v>309</v>
      </c>
      <c r="D318" s="191">
        <f t="shared" si="19"/>
        <v>494.28442661033847</v>
      </c>
      <c r="E318" s="191">
        <f t="shared" si="16"/>
        <v>83.715994098867895</v>
      </c>
      <c r="F318" s="191">
        <f t="shared" si="17"/>
        <v>410.56843251147058</v>
      </c>
      <c r="G318" s="191">
        <f t="shared" si="18"/>
        <v>23006.492853885142</v>
      </c>
    </row>
    <row r="319" spans="3:7" x14ac:dyDescent="0.25">
      <c r="C319" s="32">
        <v>310</v>
      </c>
      <c r="D319" s="191">
        <f t="shared" si="19"/>
        <v>494.28442661033847</v>
      </c>
      <c r="E319" s="191">
        <f t="shared" si="16"/>
        <v>82.24821195263938</v>
      </c>
      <c r="F319" s="191">
        <f t="shared" si="17"/>
        <v>412.03621465769908</v>
      </c>
      <c r="G319" s="191">
        <f t="shared" si="18"/>
        <v>22594.456639227443</v>
      </c>
    </row>
    <row r="320" spans="3:7" x14ac:dyDescent="0.25">
      <c r="C320" s="32">
        <v>311</v>
      </c>
      <c r="D320" s="191">
        <f t="shared" si="19"/>
        <v>494.28442661033847</v>
      </c>
      <c r="E320" s="191">
        <f t="shared" si="16"/>
        <v>80.775182485238105</v>
      </c>
      <c r="F320" s="191">
        <f t="shared" si="17"/>
        <v>413.50924412510039</v>
      </c>
      <c r="G320" s="191">
        <f t="shared" si="18"/>
        <v>22180.947395102343</v>
      </c>
    </row>
    <row r="321" spans="3:7" x14ac:dyDescent="0.25">
      <c r="C321" s="32">
        <v>312</v>
      </c>
      <c r="D321" s="191">
        <f t="shared" si="19"/>
        <v>494.28442661033847</v>
      </c>
      <c r="E321" s="191">
        <f t="shared" ref="E321:E369" si="20">G320*($B$2/12)</f>
        <v>79.296886937490882</v>
      </c>
      <c r="F321" s="191">
        <f t="shared" ref="F321:F369" si="21">D321-E321</f>
        <v>414.98753967284756</v>
      </c>
      <c r="G321" s="191">
        <f t="shared" ref="G321:G369" si="22">G320-F321</f>
        <v>21765.959855429493</v>
      </c>
    </row>
    <row r="322" spans="3:7" x14ac:dyDescent="0.25">
      <c r="C322" s="32">
        <v>313</v>
      </c>
      <c r="D322" s="191">
        <f t="shared" si="19"/>
        <v>494.28442661033847</v>
      </c>
      <c r="E322" s="191">
        <f t="shared" si="20"/>
        <v>77.813306483160446</v>
      </c>
      <c r="F322" s="191">
        <f t="shared" si="21"/>
        <v>416.47112012717804</v>
      </c>
      <c r="G322" s="191">
        <f t="shared" si="22"/>
        <v>21349.488735302315</v>
      </c>
    </row>
    <row r="323" spans="3:7" x14ac:dyDescent="0.25">
      <c r="C323" s="32">
        <v>314</v>
      </c>
      <c r="D323" s="191">
        <f t="shared" si="19"/>
        <v>494.28442661033847</v>
      </c>
      <c r="E323" s="191">
        <f t="shared" si="20"/>
        <v>76.324422228705771</v>
      </c>
      <c r="F323" s="191">
        <f t="shared" si="21"/>
        <v>417.9600043816327</v>
      </c>
      <c r="G323" s="191">
        <f t="shared" si="22"/>
        <v>20931.528730920683</v>
      </c>
    </row>
    <row r="324" spans="3:7" x14ac:dyDescent="0.25">
      <c r="C324" s="32">
        <v>315</v>
      </c>
      <c r="D324" s="191">
        <f t="shared" si="19"/>
        <v>494.28442661033847</v>
      </c>
      <c r="E324" s="191">
        <f t="shared" si="20"/>
        <v>74.830215213041441</v>
      </c>
      <c r="F324" s="191">
        <f t="shared" si="21"/>
        <v>419.45421139729706</v>
      </c>
      <c r="G324" s="191">
        <f t="shared" si="22"/>
        <v>20512.074519523387</v>
      </c>
    </row>
    <row r="325" spans="3:7" x14ac:dyDescent="0.25">
      <c r="C325" s="32">
        <v>316</v>
      </c>
      <c r="D325" s="191">
        <f t="shared" si="19"/>
        <v>494.28442661033847</v>
      </c>
      <c r="E325" s="191">
        <f t="shared" si="20"/>
        <v>73.330666407296107</v>
      </c>
      <c r="F325" s="191">
        <f t="shared" si="21"/>
        <v>420.95376020304235</v>
      </c>
      <c r="G325" s="191">
        <f t="shared" si="22"/>
        <v>20091.120759320343</v>
      </c>
    </row>
    <row r="326" spans="3:7" x14ac:dyDescent="0.25">
      <c r="C326" s="32">
        <v>317</v>
      </c>
      <c r="D326" s="191">
        <f t="shared" si="19"/>
        <v>494.28442661033847</v>
      </c>
      <c r="E326" s="191">
        <f t="shared" si="20"/>
        <v>71.825756714570232</v>
      </c>
      <c r="F326" s="191">
        <f t="shared" si="21"/>
        <v>422.45866989576825</v>
      </c>
      <c r="G326" s="191">
        <f t="shared" si="22"/>
        <v>19668.662089424575</v>
      </c>
    </row>
    <row r="327" spans="3:7" x14ac:dyDescent="0.25">
      <c r="C327" s="32">
        <v>318</v>
      </c>
      <c r="D327" s="191">
        <f t="shared" si="19"/>
        <v>494.28442661033847</v>
      </c>
      <c r="E327" s="191">
        <f t="shared" si="20"/>
        <v>70.315466969692864</v>
      </c>
      <c r="F327" s="191">
        <f t="shared" si="21"/>
        <v>423.96895964064561</v>
      </c>
      <c r="G327" s="191">
        <f t="shared" si="22"/>
        <v>19244.693129783929</v>
      </c>
    </row>
    <row r="328" spans="3:7" x14ac:dyDescent="0.25">
      <c r="C328" s="32">
        <v>319</v>
      </c>
      <c r="D328" s="191">
        <f t="shared" si="19"/>
        <v>494.28442661033847</v>
      </c>
      <c r="E328" s="191">
        <f t="shared" si="20"/>
        <v>68.799777938977542</v>
      </c>
      <c r="F328" s="191">
        <f t="shared" si="21"/>
        <v>425.4846486713609</v>
      </c>
      <c r="G328" s="191">
        <f t="shared" si="22"/>
        <v>18819.208481112568</v>
      </c>
    </row>
    <row r="329" spans="3:7" x14ac:dyDescent="0.25">
      <c r="C329" s="32">
        <v>320</v>
      </c>
      <c r="D329" s="191">
        <f t="shared" si="19"/>
        <v>494.28442661033847</v>
      </c>
      <c r="E329" s="191">
        <f t="shared" si="20"/>
        <v>67.278670319977437</v>
      </c>
      <c r="F329" s="191">
        <f t="shared" si="21"/>
        <v>427.00575629036103</v>
      </c>
      <c r="G329" s="191">
        <f t="shared" si="22"/>
        <v>18392.202724822208</v>
      </c>
    </row>
    <row r="330" spans="3:7" x14ac:dyDescent="0.25">
      <c r="C330" s="32">
        <v>321</v>
      </c>
      <c r="D330" s="191">
        <f t="shared" si="19"/>
        <v>494.28442661033847</v>
      </c>
      <c r="E330" s="191">
        <f t="shared" si="20"/>
        <v>65.752124741239399</v>
      </c>
      <c r="F330" s="191">
        <f t="shared" si="21"/>
        <v>428.53230186909906</v>
      </c>
      <c r="G330" s="191">
        <f t="shared" si="22"/>
        <v>17963.67042295311</v>
      </c>
    </row>
    <row r="331" spans="3:7" x14ac:dyDescent="0.25">
      <c r="C331" s="32">
        <v>322</v>
      </c>
      <c r="D331" s="191">
        <f t="shared" si="19"/>
        <v>494.28442661033847</v>
      </c>
      <c r="E331" s="191">
        <f t="shared" si="20"/>
        <v>64.220121762057374</v>
      </c>
      <c r="F331" s="191">
        <f t="shared" si="21"/>
        <v>430.0643048482811</v>
      </c>
      <c r="G331" s="191">
        <f t="shared" si="22"/>
        <v>17533.606118104828</v>
      </c>
    </row>
    <row r="332" spans="3:7" x14ac:dyDescent="0.25">
      <c r="C332" s="32">
        <v>323</v>
      </c>
      <c r="D332" s="191">
        <f t="shared" ref="D332:D369" si="23">$B$6</f>
        <v>494.28442661033847</v>
      </c>
      <c r="E332" s="191">
        <f t="shared" si="20"/>
        <v>62.682641872224764</v>
      </c>
      <c r="F332" s="191">
        <f t="shared" si="21"/>
        <v>431.60178473811368</v>
      </c>
      <c r="G332" s="191">
        <f t="shared" si="22"/>
        <v>17102.004333366713</v>
      </c>
    </row>
    <row r="333" spans="3:7" x14ac:dyDescent="0.25">
      <c r="C333" s="32">
        <v>324</v>
      </c>
      <c r="D333" s="191">
        <f t="shared" si="23"/>
        <v>494.28442661033847</v>
      </c>
      <c r="E333" s="191">
        <f t="shared" si="20"/>
        <v>61.139665491785998</v>
      </c>
      <c r="F333" s="191">
        <f t="shared" si="21"/>
        <v>433.14476111855248</v>
      </c>
      <c r="G333" s="191">
        <f t="shared" si="22"/>
        <v>16668.859572248159</v>
      </c>
    </row>
    <row r="334" spans="3:7" x14ac:dyDescent="0.25">
      <c r="C334" s="32">
        <v>325</v>
      </c>
      <c r="D334" s="191">
        <f t="shared" si="23"/>
        <v>494.28442661033847</v>
      </c>
      <c r="E334" s="191">
        <f t="shared" si="20"/>
        <v>59.59117297078717</v>
      </c>
      <c r="F334" s="191">
        <f t="shared" si="21"/>
        <v>434.6932536395513</v>
      </c>
      <c r="G334" s="191">
        <f t="shared" si="22"/>
        <v>16234.166318608608</v>
      </c>
    </row>
    <row r="335" spans="3:7" x14ac:dyDescent="0.25">
      <c r="C335" s="32">
        <v>326</v>
      </c>
      <c r="D335" s="191">
        <f t="shared" si="23"/>
        <v>494.28442661033847</v>
      </c>
      <c r="E335" s="191">
        <f t="shared" si="20"/>
        <v>58.037144589025772</v>
      </c>
      <c r="F335" s="191">
        <f t="shared" si="21"/>
        <v>436.24728202131269</v>
      </c>
      <c r="G335" s="191">
        <f t="shared" si="22"/>
        <v>15797.919036587295</v>
      </c>
    </row>
    <row r="336" spans="3:7" x14ac:dyDescent="0.25">
      <c r="C336" s="32">
        <v>327</v>
      </c>
      <c r="D336" s="191">
        <f t="shared" si="23"/>
        <v>494.28442661033847</v>
      </c>
      <c r="E336" s="191">
        <f t="shared" si="20"/>
        <v>56.477560555799577</v>
      </c>
      <c r="F336" s="191">
        <f t="shared" si="21"/>
        <v>437.80686605453889</v>
      </c>
      <c r="G336" s="191">
        <f t="shared" si="22"/>
        <v>15360.112170532755</v>
      </c>
    </row>
    <row r="337" spans="3:7" x14ac:dyDescent="0.25">
      <c r="C337" s="32">
        <v>328</v>
      </c>
      <c r="D337" s="191">
        <f t="shared" si="23"/>
        <v>494.28442661033847</v>
      </c>
      <c r="E337" s="191">
        <f t="shared" si="20"/>
        <v>54.912401009654602</v>
      </c>
      <c r="F337" s="191">
        <f t="shared" si="21"/>
        <v>439.37202560068386</v>
      </c>
      <c r="G337" s="191">
        <f t="shared" si="22"/>
        <v>14920.740144932071</v>
      </c>
    </row>
    <row r="338" spans="3:7" x14ac:dyDescent="0.25">
      <c r="C338" s="32">
        <v>329</v>
      </c>
      <c r="D338" s="191">
        <f t="shared" si="23"/>
        <v>494.28442661033847</v>
      </c>
      <c r="E338" s="191">
        <f t="shared" si="20"/>
        <v>53.341646018132153</v>
      </c>
      <c r="F338" s="191">
        <f t="shared" si="21"/>
        <v>440.9427805922063</v>
      </c>
      <c r="G338" s="191">
        <f t="shared" si="22"/>
        <v>14479.797364339865</v>
      </c>
    </row>
    <row r="339" spans="3:7" x14ac:dyDescent="0.25">
      <c r="C339" s="32">
        <v>330</v>
      </c>
      <c r="D339" s="191">
        <f t="shared" si="23"/>
        <v>494.28442661033847</v>
      </c>
      <c r="E339" s="191">
        <f t="shared" si="20"/>
        <v>51.76527557751502</v>
      </c>
      <c r="F339" s="191">
        <f t="shared" si="21"/>
        <v>442.51915103282346</v>
      </c>
      <c r="G339" s="191">
        <f t="shared" si="22"/>
        <v>14037.278213307041</v>
      </c>
    </row>
    <row r="340" spans="3:7" x14ac:dyDescent="0.25">
      <c r="C340" s="32">
        <v>331</v>
      </c>
      <c r="D340" s="191">
        <f t="shared" si="23"/>
        <v>494.28442661033847</v>
      </c>
      <c r="E340" s="191">
        <f t="shared" si="20"/>
        <v>50.183269612572673</v>
      </c>
      <c r="F340" s="191">
        <f t="shared" si="21"/>
        <v>444.10115699776577</v>
      </c>
      <c r="G340" s="191">
        <f t="shared" si="22"/>
        <v>13593.177056309276</v>
      </c>
    </row>
    <row r="341" spans="3:7" x14ac:dyDescent="0.25">
      <c r="C341" s="32">
        <v>332</v>
      </c>
      <c r="D341" s="191">
        <f t="shared" si="23"/>
        <v>494.28442661033847</v>
      </c>
      <c r="E341" s="191">
        <f t="shared" si="20"/>
        <v>48.595607976305665</v>
      </c>
      <c r="F341" s="191">
        <f t="shared" si="21"/>
        <v>445.68881863403283</v>
      </c>
      <c r="G341" s="191">
        <f t="shared" si="22"/>
        <v>13147.488237675243</v>
      </c>
    </row>
    <row r="342" spans="3:7" x14ac:dyDescent="0.25">
      <c r="C342" s="32">
        <v>333</v>
      </c>
      <c r="D342" s="191">
        <f t="shared" si="23"/>
        <v>494.28442661033847</v>
      </c>
      <c r="E342" s="191">
        <f t="shared" si="20"/>
        <v>47.002270449688993</v>
      </c>
      <c r="F342" s="191">
        <f t="shared" si="21"/>
        <v>447.28215616064949</v>
      </c>
      <c r="G342" s="191">
        <f t="shared" si="22"/>
        <v>12700.206081514594</v>
      </c>
    </row>
    <row r="343" spans="3:7" x14ac:dyDescent="0.25">
      <c r="C343" s="32">
        <v>334</v>
      </c>
      <c r="D343" s="191">
        <f t="shared" si="23"/>
        <v>494.28442661033847</v>
      </c>
      <c r="E343" s="191">
        <f t="shared" si="20"/>
        <v>45.403236741414673</v>
      </c>
      <c r="F343" s="191">
        <f t="shared" si="21"/>
        <v>448.8811898689238</v>
      </c>
      <c r="G343" s="191">
        <f t="shared" si="22"/>
        <v>12251.324891645671</v>
      </c>
    </row>
    <row r="344" spans="3:7" x14ac:dyDescent="0.25">
      <c r="C344" s="32">
        <v>335</v>
      </c>
      <c r="D344" s="191">
        <f t="shared" si="23"/>
        <v>494.28442661033847</v>
      </c>
      <c r="E344" s="191">
        <f t="shared" si="20"/>
        <v>43.798486487633269</v>
      </c>
      <c r="F344" s="191">
        <f t="shared" si="21"/>
        <v>450.48594012270519</v>
      </c>
      <c r="G344" s="191">
        <f t="shared" si="22"/>
        <v>11800.838951522965</v>
      </c>
    </row>
    <row r="345" spans="3:7" x14ac:dyDescent="0.25">
      <c r="C345" s="32">
        <v>336</v>
      </c>
      <c r="D345" s="191">
        <f t="shared" si="23"/>
        <v>494.28442661033847</v>
      </c>
      <c r="E345" s="191">
        <f t="shared" si="20"/>
        <v>42.187999251694599</v>
      </c>
      <c r="F345" s="191">
        <f t="shared" si="21"/>
        <v>452.09642735864389</v>
      </c>
      <c r="G345" s="191">
        <f t="shared" si="22"/>
        <v>11348.742524164321</v>
      </c>
    </row>
    <row r="346" spans="3:7" x14ac:dyDescent="0.25">
      <c r="C346" s="32">
        <v>337</v>
      </c>
      <c r="D346" s="191">
        <f t="shared" si="23"/>
        <v>494.28442661033847</v>
      </c>
      <c r="E346" s="191">
        <f t="shared" si="20"/>
        <v>40.571754523887449</v>
      </c>
      <c r="F346" s="191">
        <f t="shared" si="21"/>
        <v>453.71267208645099</v>
      </c>
      <c r="G346" s="191">
        <f t="shared" si="22"/>
        <v>10895.029852077871</v>
      </c>
    </row>
    <row r="347" spans="3:7" x14ac:dyDescent="0.25">
      <c r="C347" s="32">
        <v>338</v>
      </c>
      <c r="D347" s="191">
        <f t="shared" si="23"/>
        <v>494.28442661033847</v>
      </c>
      <c r="E347" s="191">
        <f t="shared" si="20"/>
        <v>38.949731721178388</v>
      </c>
      <c r="F347" s="191">
        <f t="shared" si="21"/>
        <v>455.33469488916006</v>
      </c>
      <c r="G347" s="191">
        <f t="shared" si="22"/>
        <v>10439.695157188711</v>
      </c>
    </row>
    <row r="348" spans="3:7" x14ac:dyDescent="0.25">
      <c r="C348" s="32">
        <v>339</v>
      </c>
      <c r="D348" s="191">
        <f t="shared" si="23"/>
        <v>494.28442661033847</v>
      </c>
      <c r="E348" s="191">
        <f t="shared" si="20"/>
        <v>37.321910186949644</v>
      </c>
      <c r="F348" s="191">
        <f t="shared" si="21"/>
        <v>456.96251642338882</v>
      </c>
      <c r="G348" s="191">
        <f t="shared" si="22"/>
        <v>9982.7326407653218</v>
      </c>
    </row>
    <row r="349" spans="3:7" x14ac:dyDescent="0.25">
      <c r="C349" s="32">
        <v>340</v>
      </c>
      <c r="D349" s="191">
        <f t="shared" si="23"/>
        <v>494.28442661033847</v>
      </c>
      <c r="E349" s="191">
        <f t="shared" si="20"/>
        <v>35.688269190736023</v>
      </c>
      <c r="F349" s="191">
        <f t="shared" si="21"/>
        <v>458.59615741960243</v>
      </c>
      <c r="G349" s="191">
        <f t="shared" si="22"/>
        <v>9524.1364833457192</v>
      </c>
    </row>
    <row r="350" spans="3:7" x14ac:dyDescent="0.25">
      <c r="C350" s="32">
        <v>341</v>
      </c>
      <c r="D350" s="191">
        <f t="shared" si="23"/>
        <v>494.28442661033847</v>
      </c>
      <c r="E350" s="191">
        <f t="shared" si="20"/>
        <v>34.048787927960944</v>
      </c>
      <c r="F350" s="191">
        <f t="shared" si="21"/>
        <v>460.2356386823775</v>
      </c>
      <c r="G350" s="191">
        <f t="shared" si="22"/>
        <v>9063.9008446633416</v>
      </c>
    </row>
    <row r="351" spans="3:7" x14ac:dyDescent="0.25">
      <c r="C351" s="32">
        <v>342</v>
      </c>
      <c r="D351" s="191">
        <f t="shared" si="23"/>
        <v>494.28442661033847</v>
      </c>
      <c r="E351" s="191">
        <f t="shared" si="20"/>
        <v>32.403445519671443</v>
      </c>
      <c r="F351" s="191">
        <f t="shared" si="21"/>
        <v>461.88098109066704</v>
      </c>
      <c r="G351" s="191">
        <f t="shared" si="22"/>
        <v>8602.0198635726738</v>
      </c>
    </row>
    <row r="352" spans="3:7" x14ac:dyDescent="0.25">
      <c r="C352" s="32">
        <v>343</v>
      </c>
      <c r="D352" s="191">
        <f t="shared" si="23"/>
        <v>494.28442661033847</v>
      </c>
      <c r="E352" s="191">
        <f t="shared" si="20"/>
        <v>30.752221012272308</v>
      </c>
      <c r="F352" s="191">
        <f t="shared" si="21"/>
        <v>463.53220559806618</v>
      </c>
      <c r="G352" s="191">
        <f t="shared" si="22"/>
        <v>8138.4876579746078</v>
      </c>
    </row>
    <row r="353" spans="3:7" x14ac:dyDescent="0.25">
      <c r="C353" s="32">
        <v>344</v>
      </c>
      <c r="D353" s="191">
        <f t="shared" si="23"/>
        <v>494.28442661033847</v>
      </c>
      <c r="E353" s="191">
        <f t="shared" si="20"/>
        <v>29.095093377259225</v>
      </c>
      <c r="F353" s="191">
        <f t="shared" si="21"/>
        <v>465.18933323307925</v>
      </c>
      <c r="G353" s="191">
        <f t="shared" si="22"/>
        <v>7673.2983247415286</v>
      </c>
    </row>
    <row r="354" spans="3:7" x14ac:dyDescent="0.25">
      <c r="C354" s="32">
        <v>345</v>
      </c>
      <c r="D354" s="191">
        <f t="shared" si="23"/>
        <v>494.28442661033847</v>
      </c>
      <c r="E354" s="191">
        <f t="shared" si="20"/>
        <v>27.432041510950967</v>
      </c>
      <c r="F354" s="191">
        <f t="shared" si="21"/>
        <v>466.8523850993875</v>
      </c>
      <c r="G354" s="191">
        <f t="shared" si="22"/>
        <v>7206.4459396421407</v>
      </c>
    </row>
    <row r="355" spans="3:7" x14ac:dyDescent="0.25">
      <c r="C355" s="32">
        <v>346</v>
      </c>
      <c r="D355" s="191">
        <f t="shared" si="23"/>
        <v>494.28442661033847</v>
      </c>
      <c r="E355" s="191">
        <f t="shared" si="20"/>
        <v>25.763044234220654</v>
      </c>
      <c r="F355" s="191">
        <f t="shared" si="21"/>
        <v>468.5213823761178</v>
      </c>
      <c r="G355" s="191">
        <f t="shared" si="22"/>
        <v>6737.9245572660229</v>
      </c>
    </row>
    <row r="356" spans="3:7" x14ac:dyDescent="0.25">
      <c r="C356" s="32">
        <v>347</v>
      </c>
      <c r="D356" s="191">
        <f t="shared" si="23"/>
        <v>494.28442661033847</v>
      </c>
      <c r="E356" s="191">
        <f t="shared" si="20"/>
        <v>24.088080292226032</v>
      </c>
      <c r="F356" s="191">
        <f t="shared" si="21"/>
        <v>470.19634631811243</v>
      </c>
      <c r="G356" s="191">
        <f t="shared" si="22"/>
        <v>6267.7282109479102</v>
      </c>
    </row>
    <row r="357" spans="3:7" x14ac:dyDescent="0.25">
      <c r="C357" s="32">
        <v>348</v>
      </c>
      <c r="D357" s="191">
        <f t="shared" si="23"/>
        <v>494.28442661033847</v>
      </c>
      <c r="E357" s="191">
        <f t="shared" si="20"/>
        <v>22.407128354138781</v>
      </c>
      <c r="F357" s="191">
        <f t="shared" si="21"/>
        <v>471.87729825619971</v>
      </c>
      <c r="G357" s="191">
        <f t="shared" si="22"/>
        <v>5795.8509126917106</v>
      </c>
    </row>
    <row r="358" spans="3:7" x14ac:dyDescent="0.25">
      <c r="C358" s="32">
        <v>349</v>
      </c>
      <c r="D358" s="191">
        <f t="shared" si="23"/>
        <v>494.28442661033847</v>
      </c>
      <c r="E358" s="191">
        <f t="shared" si="20"/>
        <v>20.720167012872867</v>
      </c>
      <c r="F358" s="191">
        <f t="shared" si="21"/>
        <v>473.56425959746559</v>
      </c>
      <c r="G358" s="191">
        <f t="shared" si="22"/>
        <v>5322.2866530942447</v>
      </c>
    </row>
    <row r="359" spans="3:7" x14ac:dyDescent="0.25">
      <c r="C359" s="32">
        <v>350</v>
      </c>
      <c r="D359" s="191">
        <f t="shared" si="23"/>
        <v>494.28442661033847</v>
      </c>
      <c r="E359" s="191">
        <f t="shared" si="20"/>
        <v>19.027174784811926</v>
      </c>
      <c r="F359" s="191">
        <f t="shared" si="21"/>
        <v>475.25725182552657</v>
      </c>
      <c r="G359" s="191">
        <f t="shared" si="22"/>
        <v>4847.0294012687182</v>
      </c>
    </row>
    <row r="360" spans="3:7" x14ac:dyDescent="0.25">
      <c r="C360" s="32">
        <v>351</v>
      </c>
      <c r="D360" s="191">
        <f t="shared" si="23"/>
        <v>494.28442661033847</v>
      </c>
      <c r="E360" s="191">
        <f t="shared" si="20"/>
        <v>17.328130109535667</v>
      </c>
      <c r="F360" s="191">
        <f t="shared" si="21"/>
        <v>476.95629650080281</v>
      </c>
      <c r="G360" s="191">
        <f t="shared" si="22"/>
        <v>4370.0731047679155</v>
      </c>
    </row>
    <row r="361" spans="3:7" x14ac:dyDescent="0.25">
      <c r="C361" s="32">
        <v>352</v>
      </c>
      <c r="D361" s="191">
        <f t="shared" si="23"/>
        <v>494.28442661033847</v>
      </c>
      <c r="E361" s="191">
        <f t="shared" si="20"/>
        <v>15.623011349545298</v>
      </c>
      <c r="F361" s="191">
        <f t="shared" si="21"/>
        <v>478.66141526079315</v>
      </c>
      <c r="G361" s="191">
        <f t="shared" si="22"/>
        <v>3891.4116895071224</v>
      </c>
    </row>
    <row r="362" spans="3:7" x14ac:dyDescent="0.25">
      <c r="C362" s="32">
        <v>353</v>
      </c>
      <c r="D362" s="191">
        <f t="shared" si="23"/>
        <v>494.28442661033847</v>
      </c>
      <c r="E362" s="191">
        <f t="shared" si="20"/>
        <v>13.911796789987964</v>
      </c>
      <c r="F362" s="191">
        <f t="shared" si="21"/>
        <v>480.37262982035048</v>
      </c>
      <c r="G362" s="191">
        <f t="shared" si="22"/>
        <v>3411.0390596867719</v>
      </c>
    </row>
    <row r="363" spans="3:7" x14ac:dyDescent="0.25">
      <c r="C363" s="32">
        <v>354</v>
      </c>
      <c r="D363" s="191">
        <f t="shared" si="23"/>
        <v>494.28442661033847</v>
      </c>
      <c r="E363" s="191">
        <f t="shared" si="20"/>
        <v>12.194464638380209</v>
      </c>
      <c r="F363" s="191">
        <f t="shared" si="21"/>
        <v>482.08996197195825</v>
      </c>
      <c r="G363" s="191">
        <f t="shared" si="22"/>
        <v>2928.9490977148134</v>
      </c>
    </row>
    <row r="364" spans="3:7" x14ac:dyDescent="0.25">
      <c r="C364" s="32">
        <v>355</v>
      </c>
      <c r="D364" s="191">
        <f t="shared" si="23"/>
        <v>494.28442661033847</v>
      </c>
      <c r="E364" s="191">
        <f t="shared" si="20"/>
        <v>10.470993024330458</v>
      </c>
      <c r="F364" s="191">
        <f t="shared" si="21"/>
        <v>483.81343358600799</v>
      </c>
      <c r="G364" s="191">
        <f t="shared" si="22"/>
        <v>2445.1356641288053</v>
      </c>
    </row>
    <row r="365" spans="3:7" x14ac:dyDescent="0.25">
      <c r="C365" s="32">
        <v>356</v>
      </c>
      <c r="D365" s="191">
        <f t="shared" si="23"/>
        <v>494.28442661033847</v>
      </c>
      <c r="E365" s="191">
        <f t="shared" si="20"/>
        <v>8.7413599992604798</v>
      </c>
      <c r="F365" s="191">
        <f t="shared" si="21"/>
        <v>485.54306661107802</v>
      </c>
      <c r="G365" s="191">
        <f t="shared" si="22"/>
        <v>1959.5925975177272</v>
      </c>
    </row>
    <row r="366" spans="3:7" x14ac:dyDescent="0.25">
      <c r="C366" s="32">
        <v>357</v>
      </c>
      <c r="D366" s="191">
        <f t="shared" si="23"/>
        <v>494.28442661033847</v>
      </c>
      <c r="E366" s="191">
        <f t="shared" si="20"/>
        <v>7.0055435361258747</v>
      </c>
      <c r="F366" s="191">
        <f t="shared" si="21"/>
        <v>487.27888307421262</v>
      </c>
      <c r="G366" s="191">
        <f t="shared" si="22"/>
        <v>1472.3137144435145</v>
      </c>
    </row>
    <row r="367" spans="3:7" x14ac:dyDescent="0.25">
      <c r="C367" s="32">
        <v>358</v>
      </c>
      <c r="D367" s="191">
        <f t="shared" si="23"/>
        <v>494.28442661033847</v>
      </c>
      <c r="E367" s="191">
        <f t="shared" si="20"/>
        <v>5.2635215291355646</v>
      </c>
      <c r="F367" s="191">
        <f t="shared" si="21"/>
        <v>489.0209050812029</v>
      </c>
      <c r="G367" s="191">
        <f t="shared" si="22"/>
        <v>983.29280936231157</v>
      </c>
    </row>
    <row r="368" spans="3:7" x14ac:dyDescent="0.25">
      <c r="C368" s="32">
        <v>359</v>
      </c>
      <c r="D368" s="191">
        <f t="shared" si="23"/>
        <v>494.28442661033847</v>
      </c>
      <c r="E368" s="191">
        <f t="shared" si="20"/>
        <v>3.515271793470264</v>
      </c>
      <c r="F368" s="191">
        <f t="shared" si="21"/>
        <v>490.76915481686819</v>
      </c>
      <c r="G368" s="191">
        <f t="shared" si="22"/>
        <v>492.52365454544338</v>
      </c>
    </row>
    <row r="369" spans="3:7" x14ac:dyDescent="0.25">
      <c r="C369" s="32">
        <v>360</v>
      </c>
      <c r="D369" s="191">
        <f t="shared" si="23"/>
        <v>494.28442661033847</v>
      </c>
      <c r="E369" s="191">
        <f t="shared" si="20"/>
        <v>1.7607720649999601</v>
      </c>
      <c r="F369" s="191">
        <f t="shared" si="21"/>
        <v>492.5236545453385</v>
      </c>
      <c r="G369" s="191">
        <f t="shared" si="22"/>
        <v>1.0487610779819079E-10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1"/>
  <sheetViews>
    <sheetView topLeftCell="A110" zoomScale="80" zoomScaleNormal="80" workbookViewId="0">
      <selection activeCell="N66" sqref="N66"/>
    </sheetView>
  </sheetViews>
  <sheetFormatPr defaultRowHeight="15" x14ac:dyDescent="0.25"/>
  <cols>
    <col min="2" max="2" width="35.140625" bestFit="1" customWidth="1"/>
    <col min="3" max="3" width="30" bestFit="1" customWidth="1"/>
    <col min="4" max="4" width="21.7109375" bestFit="1" customWidth="1"/>
    <col min="5" max="5" width="14.85546875" bestFit="1" customWidth="1"/>
    <col min="6" max="6" width="13.42578125" bestFit="1" customWidth="1"/>
    <col min="7" max="7" width="13.5703125" bestFit="1" customWidth="1"/>
    <col min="8" max="8" width="14.140625" customWidth="1"/>
    <col min="9" max="12" width="12.7109375" bestFit="1" customWidth="1"/>
    <col min="13" max="14" width="18.7109375" bestFit="1" customWidth="1"/>
    <col min="15" max="15" width="10" bestFit="1" customWidth="1"/>
    <col min="16" max="16" width="14.85546875" bestFit="1" customWidth="1"/>
    <col min="17" max="17" width="19" bestFit="1" customWidth="1"/>
    <col min="18" max="19" width="21" bestFit="1" customWidth="1"/>
    <col min="20" max="20" width="19.85546875" bestFit="1" customWidth="1"/>
    <col min="21" max="23" width="14.85546875" bestFit="1" customWidth="1"/>
    <col min="24" max="29" width="11.5703125" bestFit="1" customWidth="1"/>
  </cols>
  <sheetData>
    <row r="1" spans="2:10" x14ac:dyDescent="0.25">
      <c r="B1" s="4" t="s">
        <v>17</v>
      </c>
      <c r="C1" s="19">
        <v>20053</v>
      </c>
      <c r="D1" s="5"/>
      <c r="E1" s="5"/>
      <c r="F1" s="5"/>
      <c r="G1" s="5"/>
      <c r="H1" s="5"/>
      <c r="I1" s="5"/>
      <c r="J1" s="6"/>
    </row>
    <row r="2" spans="2:10" x14ac:dyDescent="0.25">
      <c r="B2" s="7" t="s">
        <v>76</v>
      </c>
      <c r="C2" s="20">
        <v>2.5499999999999998</v>
      </c>
      <c r="D2" s="8"/>
      <c r="E2" s="8"/>
      <c r="F2" s="8"/>
      <c r="G2" s="8"/>
      <c r="H2" s="8"/>
      <c r="I2" s="8"/>
      <c r="J2" s="9"/>
    </row>
    <row r="3" spans="2:10" x14ac:dyDescent="0.25">
      <c r="B3" s="7" t="s">
        <v>18</v>
      </c>
      <c r="C3" s="20">
        <f>C1/C2</f>
        <v>7863.921568627452</v>
      </c>
      <c r="D3" s="8"/>
      <c r="E3" s="8"/>
      <c r="F3" s="8"/>
      <c r="G3" s="8"/>
      <c r="H3" s="8"/>
      <c r="I3" s="8"/>
      <c r="J3" s="9"/>
    </row>
    <row r="4" spans="2:10" x14ac:dyDescent="0.25">
      <c r="B4" s="7" t="s">
        <v>77</v>
      </c>
      <c r="C4" s="20">
        <v>0.62</v>
      </c>
      <c r="D4" s="8"/>
      <c r="E4" s="8"/>
      <c r="F4" s="8"/>
      <c r="G4" s="8"/>
      <c r="H4" s="8"/>
      <c r="I4" s="8"/>
      <c r="J4" s="9"/>
    </row>
    <row r="5" spans="2:10" x14ac:dyDescent="0.25">
      <c r="B5" s="7" t="s">
        <v>19</v>
      </c>
      <c r="C5" s="20">
        <f>C3*C4</f>
        <v>4875.6313725490199</v>
      </c>
      <c r="D5" s="8"/>
      <c r="E5" s="8"/>
      <c r="F5" s="8"/>
      <c r="G5" s="8"/>
      <c r="H5" s="8"/>
      <c r="I5" s="8"/>
      <c r="J5" s="9"/>
    </row>
    <row r="6" spans="2:10" x14ac:dyDescent="0.25">
      <c r="B6" s="7" t="s">
        <v>78</v>
      </c>
      <c r="C6" s="20">
        <v>5</v>
      </c>
      <c r="D6" s="8"/>
      <c r="E6" s="8"/>
      <c r="F6" s="8"/>
      <c r="G6" s="8"/>
      <c r="H6" s="8"/>
      <c r="I6" s="8"/>
      <c r="J6" s="9"/>
    </row>
    <row r="7" spans="2:10" x14ac:dyDescent="0.25">
      <c r="B7" s="7" t="s">
        <v>24</v>
      </c>
      <c r="C7" s="17">
        <f>376.25</f>
        <v>376.25</v>
      </c>
      <c r="D7" s="10">
        <f>C7*C5</f>
        <v>1834456.3039215687</v>
      </c>
      <c r="E7" s="10"/>
      <c r="F7" s="10"/>
      <c r="G7" s="10"/>
      <c r="H7" s="11"/>
      <c r="I7" s="8"/>
      <c r="J7" s="9"/>
    </row>
    <row r="8" spans="2:10" x14ac:dyDescent="0.25">
      <c r="B8" s="7" t="s">
        <v>25</v>
      </c>
      <c r="C8" s="17">
        <f>162</f>
        <v>162</v>
      </c>
      <c r="D8" s="10">
        <f>C8*(C5/2)</f>
        <v>394926.14117647061</v>
      </c>
      <c r="E8" s="10"/>
      <c r="F8" s="10"/>
      <c r="G8" s="10"/>
      <c r="H8" s="11"/>
      <c r="I8" s="8"/>
      <c r="J8" s="9"/>
    </row>
    <row r="9" spans="2:10" x14ac:dyDescent="0.25">
      <c r="B9" s="12" t="s">
        <v>20</v>
      </c>
      <c r="C9" s="17"/>
      <c r="D9" s="10">
        <f>SUM(D7:D8)/C6</f>
        <v>445876.48901960783</v>
      </c>
      <c r="E9" s="11"/>
      <c r="F9" s="11"/>
      <c r="G9" s="11"/>
      <c r="H9" s="11"/>
      <c r="I9" s="8"/>
      <c r="J9" s="9"/>
    </row>
    <row r="10" spans="2:10" x14ac:dyDescent="0.25">
      <c r="B10" s="22"/>
      <c r="C10" s="18"/>
      <c r="D10" s="14"/>
      <c r="E10" s="14"/>
      <c r="F10" s="14"/>
      <c r="G10" s="14"/>
      <c r="H10" s="13"/>
      <c r="I10" s="13"/>
      <c r="J10" s="15"/>
    </row>
    <row r="11" spans="2:10" x14ac:dyDescent="0.25">
      <c r="B11" s="8" t="s">
        <v>91</v>
      </c>
      <c r="C11" s="17">
        <v>50000</v>
      </c>
      <c r="D11" s="10"/>
      <c r="E11" s="10"/>
      <c r="F11" s="10"/>
      <c r="G11" s="10"/>
      <c r="H11" s="8"/>
      <c r="I11" s="8"/>
      <c r="J11" s="8"/>
    </row>
    <row r="12" spans="2:10" x14ac:dyDescent="0.25">
      <c r="B12" s="8" t="s">
        <v>92</v>
      </c>
      <c r="C12" s="17">
        <v>18000</v>
      </c>
      <c r="D12" s="10"/>
      <c r="E12" s="10"/>
      <c r="F12" s="10"/>
      <c r="G12" s="10"/>
      <c r="H12" s="8"/>
      <c r="I12" s="8"/>
      <c r="J12" s="8"/>
    </row>
    <row r="13" spans="2:10" x14ac:dyDescent="0.25">
      <c r="B13" s="8" t="s">
        <v>71</v>
      </c>
      <c r="C13" s="17">
        <v>2400</v>
      </c>
      <c r="D13" s="10"/>
      <c r="E13" s="10"/>
      <c r="F13" s="10"/>
      <c r="G13" s="10"/>
      <c r="H13" s="8"/>
      <c r="I13" s="8"/>
      <c r="J13" s="8"/>
    </row>
    <row r="14" spans="2:10" x14ac:dyDescent="0.25">
      <c r="B14" s="8" t="s">
        <v>70</v>
      </c>
      <c r="C14" s="17">
        <v>12000</v>
      </c>
      <c r="D14" s="10"/>
      <c r="E14" s="10"/>
      <c r="F14" s="10"/>
      <c r="G14" s="10"/>
      <c r="H14" s="8"/>
      <c r="I14" s="8"/>
      <c r="J14" s="8"/>
    </row>
    <row r="15" spans="2:10" x14ac:dyDescent="0.25">
      <c r="B15" s="8"/>
      <c r="C15" s="17"/>
      <c r="D15" s="10"/>
      <c r="E15" s="10"/>
      <c r="F15" s="10"/>
      <c r="G15" s="10"/>
      <c r="H15" s="8"/>
      <c r="I15" s="8"/>
      <c r="J15" s="8"/>
    </row>
    <row r="16" spans="2:10" x14ac:dyDescent="0.25">
      <c r="B16" s="8" t="s">
        <v>106</v>
      </c>
      <c r="C16" s="17">
        <f>120000</f>
        <v>120000</v>
      </c>
      <c r="D16" s="10"/>
      <c r="E16" s="10"/>
      <c r="F16" s="10"/>
      <c r="G16" s="10"/>
      <c r="H16" s="8"/>
      <c r="I16" s="8"/>
      <c r="J16" s="8"/>
    </row>
    <row r="17" spans="2:16" x14ac:dyDescent="0.25">
      <c r="B17" s="8" t="s">
        <v>107</v>
      </c>
      <c r="C17" s="82">
        <v>0.09</v>
      </c>
      <c r="D17" s="10"/>
      <c r="E17" s="10"/>
      <c r="F17" s="10"/>
      <c r="G17" s="10"/>
      <c r="H17" s="8"/>
      <c r="I17" s="8"/>
      <c r="J17" s="8"/>
    </row>
    <row r="18" spans="2:16" x14ac:dyDescent="0.25">
      <c r="B18" s="21"/>
    </row>
    <row r="19" spans="2:16" x14ac:dyDescent="0.25">
      <c r="B19" s="33" t="s">
        <v>43</v>
      </c>
    </row>
    <row r="20" spans="2:16" x14ac:dyDescent="0.25">
      <c r="D20" s="23"/>
    </row>
    <row r="21" spans="2:16" x14ac:dyDescent="0.25">
      <c r="B21" t="s">
        <v>42</v>
      </c>
      <c r="D21">
        <v>2014</v>
      </c>
      <c r="E21">
        <v>2015</v>
      </c>
      <c r="F21">
        <v>2016</v>
      </c>
      <c r="G21">
        <v>2017</v>
      </c>
      <c r="H21">
        <v>2018</v>
      </c>
      <c r="I21">
        <v>2019</v>
      </c>
      <c r="J21">
        <v>2020</v>
      </c>
      <c r="K21">
        <v>2021</v>
      </c>
      <c r="L21">
        <v>2022</v>
      </c>
      <c r="M21">
        <v>2023</v>
      </c>
      <c r="N21">
        <v>2024</v>
      </c>
    </row>
    <row r="22" spans="2:16" x14ac:dyDescent="0.25">
      <c r="C22" t="s">
        <v>40</v>
      </c>
      <c r="D22" s="37">
        <f>((8*20)*52)*8</f>
        <v>66560</v>
      </c>
      <c r="E22" s="37">
        <f>D22*(1+0.01)</f>
        <v>67225.600000000006</v>
      </c>
      <c r="F22" s="37">
        <f t="shared" ref="F22:N22" si="0">E22*(1+0.02)</f>
        <v>68570.112000000008</v>
      </c>
      <c r="G22" s="37">
        <f t="shared" si="0"/>
        <v>69941.514240000004</v>
      </c>
      <c r="H22" s="37">
        <f t="shared" si="0"/>
        <v>71340.344524800006</v>
      </c>
      <c r="I22" s="37">
        <f t="shared" si="0"/>
        <v>72767.151415296001</v>
      </c>
      <c r="J22" s="37">
        <f t="shared" si="0"/>
        <v>74222.494443601929</v>
      </c>
      <c r="K22" s="37">
        <f t="shared" si="0"/>
        <v>75706.94433247397</v>
      </c>
      <c r="L22" s="37">
        <f t="shared" si="0"/>
        <v>77221.083219123451</v>
      </c>
      <c r="M22" s="37">
        <f t="shared" si="0"/>
        <v>78765.504883505928</v>
      </c>
      <c r="N22" s="37">
        <f t="shared" si="0"/>
        <v>80340.814981176052</v>
      </c>
      <c r="O22" s="37"/>
      <c r="P22" s="37"/>
    </row>
    <row r="23" spans="2:16" x14ac:dyDescent="0.25">
      <c r="C23" t="s">
        <v>26</v>
      </c>
    </row>
    <row r="24" spans="2:16" x14ac:dyDescent="0.25">
      <c r="B24" s="16" t="s">
        <v>0</v>
      </c>
      <c r="C24" s="24"/>
      <c r="D24" s="24"/>
    </row>
    <row r="25" spans="2:16" x14ac:dyDescent="0.25">
      <c r="B25" t="s">
        <v>21</v>
      </c>
      <c r="C25" s="1">
        <v>-0.01</v>
      </c>
      <c r="D25" s="34">
        <f>D8/C6</f>
        <v>78985.228235294126</v>
      </c>
      <c r="E25" s="34">
        <f>D25*(1+$C$25)</f>
        <v>78195.375952941191</v>
      </c>
      <c r="F25" s="34">
        <f t="shared" ref="F25:N25" si="1">E25*(1+$C$25)</f>
        <v>77413.422193411781</v>
      </c>
      <c r="G25" s="34">
        <f t="shared" si="1"/>
        <v>76639.287971477665</v>
      </c>
      <c r="H25" s="34">
        <f t="shared" si="1"/>
        <v>75872.895091762883</v>
      </c>
      <c r="I25" s="34">
        <f t="shared" si="1"/>
        <v>75114.166140845249</v>
      </c>
      <c r="J25" s="34">
        <f t="shared" si="1"/>
        <v>74363.02447943679</v>
      </c>
      <c r="K25" s="34">
        <f t="shared" si="1"/>
        <v>73619.394234642416</v>
      </c>
      <c r="L25" s="34">
        <f t="shared" si="1"/>
        <v>72883.200292295995</v>
      </c>
      <c r="M25" s="34">
        <f t="shared" si="1"/>
        <v>72154.368289373029</v>
      </c>
      <c r="N25" s="34">
        <f t="shared" si="1"/>
        <v>71432.824606479291</v>
      </c>
    </row>
    <row r="26" spans="2:16" x14ac:dyDescent="0.25">
      <c r="B26" t="s">
        <v>22</v>
      </c>
      <c r="C26" s="25">
        <v>0.01</v>
      </c>
      <c r="D26" s="35">
        <f>D7/C6</f>
        <v>366891.26078431372</v>
      </c>
      <c r="E26" s="34">
        <f>D26*(1+$C$26)</f>
        <v>370560.17339215684</v>
      </c>
      <c r="F26" s="34">
        <f t="shared" ref="F26:N26" si="2">E26*(1+$C$26)</f>
        <v>374265.7751260784</v>
      </c>
      <c r="G26" s="34">
        <f t="shared" si="2"/>
        <v>378008.43287733919</v>
      </c>
      <c r="H26" s="34">
        <f t="shared" si="2"/>
        <v>381788.51720611256</v>
      </c>
      <c r="I26" s="34">
        <f t="shared" si="2"/>
        <v>385606.40237817372</v>
      </c>
      <c r="J26" s="34">
        <f t="shared" si="2"/>
        <v>389462.46640195546</v>
      </c>
      <c r="K26" s="34">
        <f t="shared" si="2"/>
        <v>393357.09106597502</v>
      </c>
      <c r="L26" s="34">
        <f t="shared" si="2"/>
        <v>397290.66197663476</v>
      </c>
      <c r="M26" s="34">
        <f t="shared" si="2"/>
        <v>401263.56859640114</v>
      </c>
      <c r="N26" s="34">
        <f t="shared" si="2"/>
        <v>405276.20428236516</v>
      </c>
    </row>
    <row r="27" spans="2:16" x14ac:dyDescent="0.25">
      <c r="B27" t="s">
        <v>79</v>
      </c>
      <c r="D27" s="35">
        <f>D25+D26</f>
        <v>445876.48901960783</v>
      </c>
      <c r="E27" s="35">
        <f t="shared" ref="E27:N27" si="3">E25+E26</f>
        <v>448755.54934509803</v>
      </c>
      <c r="F27" s="35">
        <f t="shared" si="3"/>
        <v>451679.19731949019</v>
      </c>
      <c r="G27" s="35">
        <f t="shared" si="3"/>
        <v>454647.72084881685</v>
      </c>
      <c r="H27" s="35">
        <f t="shared" si="3"/>
        <v>457661.41229787545</v>
      </c>
      <c r="I27" s="35">
        <f t="shared" si="3"/>
        <v>460720.56851901894</v>
      </c>
      <c r="J27" s="35">
        <f t="shared" si="3"/>
        <v>463825.49088139227</v>
      </c>
      <c r="K27" s="35">
        <f t="shared" si="3"/>
        <v>466976.48530061741</v>
      </c>
      <c r="L27" s="35">
        <f t="shared" si="3"/>
        <v>470173.86226893077</v>
      </c>
      <c r="M27" s="35">
        <f t="shared" si="3"/>
        <v>473417.93688577414</v>
      </c>
      <c r="N27" s="35">
        <f t="shared" si="3"/>
        <v>476709.02888884442</v>
      </c>
    </row>
    <row r="28" spans="2:16" x14ac:dyDescent="0.25">
      <c r="B28" t="s">
        <v>38</v>
      </c>
      <c r="C28" s="1">
        <v>0.6</v>
      </c>
      <c r="D28" s="35">
        <f>D26*$C$28</f>
        <v>220134.75647058824</v>
      </c>
      <c r="E28" s="35">
        <f t="shared" ref="E28:N28" si="4">E26*$C$28</f>
        <v>222336.10403529409</v>
      </c>
      <c r="F28" s="35">
        <f t="shared" si="4"/>
        <v>224559.46507564702</v>
      </c>
      <c r="G28" s="35">
        <f t="shared" si="4"/>
        <v>226805.0597264035</v>
      </c>
      <c r="H28" s="35">
        <f t="shared" si="4"/>
        <v>229073.11032366753</v>
      </c>
      <c r="I28" s="35">
        <f t="shared" si="4"/>
        <v>231363.84142690423</v>
      </c>
      <c r="J28" s="35">
        <f t="shared" si="4"/>
        <v>233677.47984117328</v>
      </c>
      <c r="K28" s="35">
        <f t="shared" si="4"/>
        <v>236014.25463958501</v>
      </c>
      <c r="L28" s="35">
        <f t="shared" si="4"/>
        <v>238374.39718598084</v>
      </c>
      <c r="M28" s="35">
        <f t="shared" si="4"/>
        <v>240758.14115784067</v>
      </c>
      <c r="N28" s="35">
        <f t="shared" si="4"/>
        <v>243165.72256941907</v>
      </c>
    </row>
    <row r="29" spans="2:16" x14ac:dyDescent="0.25">
      <c r="B29" t="s">
        <v>37</v>
      </c>
      <c r="C29" s="30">
        <v>0.15</v>
      </c>
      <c r="D29" s="35">
        <f t="shared" ref="D29:N29" si="5">SUM(D25:D26)*$C$29</f>
        <v>66881.473352941175</v>
      </c>
      <c r="E29" s="35">
        <f t="shared" si="5"/>
        <v>67313.332401764696</v>
      </c>
      <c r="F29" s="35">
        <f t="shared" si="5"/>
        <v>67751.879597923529</v>
      </c>
      <c r="G29" s="35">
        <f t="shared" si="5"/>
        <v>68197.158127322531</v>
      </c>
      <c r="H29" s="35">
        <f t="shared" si="5"/>
        <v>68649.211844681311</v>
      </c>
      <c r="I29" s="35">
        <f t="shared" si="5"/>
        <v>69108.085277852835</v>
      </c>
      <c r="J29" s="35">
        <f t="shared" si="5"/>
        <v>69573.823632208834</v>
      </c>
      <c r="K29" s="35">
        <f t="shared" si="5"/>
        <v>70046.472795092603</v>
      </c>
      <c r="L29" s="35">
        <f t="shared" si="5"/>
        <v>70526.079340339609</v>
      </c>
      <c r="M29" s="35">
        <f t="shared" si="5"/>
        <v>71012.690532866123</v>
      </c>
      <c r="N29" s="35">
        <f t="shared" si="5"/>
        <v>71506.354333326657</v>
      </c>
    </row>
    <row r="30" spans="2:16" x14ac:dyDescent="0.25">
      <c r="B30" t="s">
        <v>39</v>
      </c>
      <c r="C30" s="30"/>
      <c r="D30" s="35">
        <f>$D$22</f>
        <v>66560</v>
      </c>
      <c r="E30" s="35">
        <f t="shared" ref="E30:N30" si="6">E22</f>
        <v>67225.600000000006</v>
      </c>
      <c r="F30" s="35">
        <f t="shared" si="6"/>
        <v>68570.112000000008</v>
      </c>
      <c r="G30" s="35">
        <f t="shared" si="6"/>
        <v>69941.514240000004</v>
      </c>
      <c r="H30" s="35">
        <f t="shared" si="6"/>
        <v>71340.344524800006</v>
      </c>
      <c r="I30" s="35">
        <f t="shared" si="6"/>
        <v>72767.151415296001</v>
      </c>
      <c r="J30" s="35">
        <f t="shared" si="6"/>
        <v>74222.494443601929</v>
      </c>
      <c r="K30" s="35">
        <f t="shared" si="6"/>
        <v>75706.94433247397</v>
      </c>
      <c r="L30" s="35">
        <f t="shared" si="6"/>
        <v>77221.083219123451</v>
      </c>
      <c r="M30" s="35">
        <f t="shared" si="6"/>
        <v>78765.504883505928</v>
      </c>
      <c r="N30" s="35">
        <f t="shared" si="6"/>
        <v>80340.814981176052</v>
      </c>
    </row>
    <row r="31" spans="2:16" x14ac:dyDescent="0.25">
      <c r="B31" t="s">
        <v>69</v>
      </c>
      <c r="C31" s="30"/>
      <c r="D31" s="35">
        <f>$C$12</f>
        <v>18000</v>
      </c>
      <c r="E31" s="35">
        <f t="shared" ref="E31:N31" si="7">$C$12</f>
        <v>18000</v>
      </c>
      <c r="F31" s="35">
        <f t="shared" si="7"/>
        <v>18000</v>
      </c>
      <c r="G31" s="35">
        <f t="shared" si="7"/>
        <v>18000</v>
      </c>
      <c r="H31" s="35">
        <f t="shared" si="7"/>
        <v>18000</v>
      </c>
      <c r="I31" s="35">
        <f t="shared" si="7"/>
        <v>18000</v>
      </c>
      <c r="J31" s="35">
        <f t="shared" si="7"/>
        <v>18000</v>
      </c>
      <c r="K31" s="35">
        <f t="shared" si="7"/>
        <v>18000</v>
      </c>
      <c r="L31" s="35">
        <f t="shared" si="7"/>
        <v>18000</v>
      </c>
      <c r="M31" s="35">
        <f t="shared" si="7"/>
        <v>18000</v>
      </c>
      <c r="N31" s="35">
        <f t="shared" si="7"/>
        <v>18000</v>
      </c>
    </row>
    <row r="32" spans="2:16" x14ac:dyDescent="0.25">
      <c r="B32" t="s">
        <v>71</v>
      </c>
      <c r="C32" s="30"/>
      <c r="D32" s="35">
        <f>$C$13</f>
        <v>2400</v>
      </c>
      <c r="E32" s="35">
        <f t="shared" ref="E32:N32" si="8">$C$13</f>
        <v>2400</v>
      </c>
      <c r="F32" s="35">
        <f t="shared" si="8"/>
        <v>2400</v>
      </c>
      <c r="G32" s="35">
        <f t="shared" si="8"/>
        <v>2400</v>
      </c>
      <c r="H32" s="35">
        <f t="shared" si="8"/>
        <v>2400</v>
      </c>
      <c r="I32" s="35">
        <f t="shared" si="8"/>
        <v>2400</v>
      </c>
      <c r="J32" s="35">
        <f t="shared" si="8"/>
        <v>2400</v>
      </c>
      <c r="K32" s="35">
        <f t="shared" si="8"/>
        <v>2400</v>
      </c>
      <c r="L32" s="35">
        <f t="shared" si="8"/>
        <v>2400</v>
      </c>
      <c r="M32" s="35">
        <f t="shared" si="8"/>
        <v>2400</v>
      </c>
      <c r="N32" s="35">
        <f t="shared" si="8"/>
        <v>2400</v>
      </c>
    </row>
    <row r="33" spans="2:23" x14ac:dyDescent="0.25">
      <c r="B33" t="s">
        <v>70</v>
      </c>
      <c r="C33" s="30"/>
      <c r="D33" s="35">
        <f>$C$14</f>
        <v>12000</v>
      </c>
      <c r="E33" s="35">
        <f t="shared" ref="E33:N33" si="9">$C$14</f>
        <v>12000</v>
      </c>
      <c r="F33" s="35">
        <f t="shared" si="9"/>
        <v>12000</v>
      </c>
      <c r="G33" s="35">
        <f t="shared" si="9"/>
        <v>12000</v>
      </c>
      <c r="H33" s="35">
        <f t="shared" si="9"/>
        <v>12000</v>
      </c>
      <c r="I33" s="35">
        <f t="shared" si="9"/>
        <v>12000</v>
      </c>
      <c r="J33" s="35">
        <f t="shared" si="9"/>
        <v>12000</v>
      </c>
      <c r="K33" s="35">
        <f t="shared" si="9"/>
        <v>12000</v>
      </c>
      <c r="L33" s="35">
        <f t="shared" si="9"/>
        <v>12000</v>
      </c>
      <c r="M33" s="35">
        <f t="shared" si="9"/>
        <v>12000</v>
      </c>
      <c r="N33" s="35">
        <f t="shared" si="9"/>
        <v>12000</v>
      </c>
    </row>
    <row r="34" spans="2:23" x14ac:dyDescent="0.25">
      <c r="B34" t="s">
        <v>72</v>
      </c>
      <c r="C34" s="30">
        <v>0.03</v>
      </c>
      <c r="D34" s="35">
        <f>$C$11</f>
        <v>50000</v>
      </c>
      <c r="E34" s="35">
        <f>($C$11*$C$34)+D34</f>
        <v>51500</v>
      </c>
      <c r="F34" s="35">
        <f t="shared" ref="F34:N34" si="10">($C$11*$C$34)+E34</f>
        <v>53000</v>
      </c>
      <c r="G34" s="35">
        <f t="shared" si="10"/>
        <v>54500</v>
      </c>
      <c r="H34" s="35">
        <f t="shared" si="10"/>
        <v>56000</v>
      </c>
      <c r="I34" s="35">
        <f t="shared" si="10"/>
        <v>57500</v>
      </c>
      <c r="J34" s="35">
        <f t="shared" si="10"/>
        <v>59000</v>
      </c>
      <c r="K34" s="35">
        <f t="shared" si="10"/>
        <v>60500</v>
      </c>
      <c r="L34" s="35">
        <f t="shared" si="10"/>
        <v>62000</v>
      </c>
      <c r="M34" s="35">
        <f t="shared" si="10"/>
        <v>63500</v>
      </c>
      <c r="N34" s="35">
        <f t="shared" si="10"/>
        <v>65000</v>
      </c>
    </row>
    <row r="35" spans="2:23" x14ac:dyDescent="0.25">
      <c r="B35" t="s">
        <v>6</v>
      </c>
      <c r="D35" s="35">
        <f t="shared" ref="D35:N35" si="11">$O$54</f>
        <v>4000</v>
      </c>
      <c r="E35" s="35">
        <f t="shared" si="11"/>
        <v>4000</v>
      </c>
      <c r="F35" s="35">
        <f t="shared" si="11"/>
        <v>4000</v>
      </c>
      <c r="G35" s="35">
        <f t="shared" si="11"/>
        <v>4000</v>
      </c>
      <c r="H35" s="35">
        <f t="shared" si="11"/>
        <v>4000</v>
      </c>
      <c r="I35" s="35">
        <f t="shared" si="11"/>
        <v>4000</v>
      </c>
      <c r="J35" s="35">
        <f t="shared" si="11"/>
        <v>4000</v>
      </c>
      <c r="K35" s="35">
        <f t="shared" si="11"/>
        <v>4000</v>
      </c>
      <c r="L35" s="35">
        <f t="shared" si="11"/>
        <v>4000</v>
      </c>
      <c r="M35" s="35">
        <f t="shared" si="11"/>
        <v>4000</v>
      </c>
      <c r="N35" s="35">
        <f t="shared" si="11"/>
        <v>4000</v>
      </c>
    </row>
    <row r="36" spans="2:23" x14ac:dyDescent="0.25">
      <c r="B36" t="s">
        <v>35</v>
      </c>
      <c r="D36" s="35">
        <f>Mortgage!H21</f>
        <v>4257.3380012283669</v>
      </c>
      <c r="E36" s="35">
        <f>Mortgage!H33</f>
        <v>4184.0910968515009</v>
      </c>
      <c r="F36" s="35">
        <f>Mortgage!H45</f>
        <v>4107.6393727250306</v>
      </c>
      <c r="G36" s="35">
        <f>Mortgage!H57</f>
        <v>4027.8426062727967</v>
      </c>
      <c r="H36" s="35">
        <f>Mortgage!H69</f>
        <v>3944.5544396684836</v>
      </c>
      <c r="I36" s="35">
        <f>Mortgage!H81</f>
        <v>3857.6221113960082</v>
      </c>
      <c r="J36" s="35">
        <f>Mortgage!H93</f>
        <v>3766.8861760646832</v>
      </c>
      <c r="K36" s="35">
        <f>Mortgage!H105</f>
        <v>3672.180211965283</v>
      </c>
      <c r="L36" s="35">
        <f>Mortgage!H117</f>
        <v>3573.3305158306098</v>
      </c>
      <c r="M36" s="35">
        <f>Mortgage!H129</f>
        <v>3470.1557842407201</v>
      </c>
      <c r="N36" s="35">
        <f>Mortgage!H141</f>
        <v>3362.4667810884698</v>
      </c>
    </row>
    <row r="37" spans="2:23" x14ac:dyDescent="0.25">
      <c r="B37" t="s">
        <v>34</v>
      </c>
      <c r="D37" s="51">
        <f t="shared" ref="D37:N37" si="12">D61*$C$17</f>
        <v>3031.1989567767437</v>
      </c>
      <c r="E37" s="51">
        <f t="shared" si="12"/>
        <v>3109.3848408069903</v>
      </c>
      <c r="F37" s="51">
        <f t="shared" si="12"/>
        <v>3454.7647070266498</v>
      </c>
      <c r="G37" s="51">
        <f t="shared" si="12"/>
        <v>4095.0826635784224</v>
      </c>
      <c r="H37" s="51">
        <f t="shared" si="12"/>
        <v>5060.8979864017247</v>
      </c>
      <c r="I37" s="51">
        <f t="shared" si="12"/>
        <v>6385.8660609854105</v>
      </c>
      <c r="J37" s="51">
        <f t="shared" si="12"/>
        <v>8107.0472603826311</v>
      </c>
      <c r="K37" s="51">
        <f t="shared" si="12"/>
        <v>10265.246533191515</v>
      </c>
      <c r="L37" s="51">
        <f t="shared" si="12"/>
        <v>12905.386750366322</v>
      </c>
      <c r="M37" s="51">
        <f t="shared" si="12"/>
        <v>16076.919162164224</v>
      </c>
      <c r="N37" s="51">
        <f t="shared" si="12"/>
        <v>19873.728007559079</v>
      </c>
    </row>
    <row r="38" spans="2:23" x14ac:dyDescent="0.25">
      <c r="B38" t="s">
        <v>12</v>
      </c>
      <c r="D38" s="35">
        <f>SUM(D25:D26)-SUM(D28:D37)</f>
        <v>-1388.2777619266999</v>
      </c>
      <c r="E38" s="35">
        <f t="shared" ref="E38:N38" si="13">SUM(E25:E26)-SUM(E28:E37)</f>
        <v>-3312.9630296193063</v>
      </c>
      <c r="F38" s="35">
        <f t="shared" si="13"/>
        <v>-6164.6634338320582</v>
      </c>
      <c r="G38" s="35">
        <f t="shared" si="13"/>
        <v>-9318.9365147603676</v>
      </c>
      <c r="H38" s="35">
        <f t="shared" si="13"/>
        <v>-12806.706821343629</v>
      </c>
      <c r="I38" s="35">
        <f t="shared" si="13"/>
        <v>-16661.997773415525</v>
      </c>
      <c r="J38" s="35">
        <f t="shared" si="13"/>
        <v>-20922.240472039091</v>
      </c>
      <c r="K38" s="35">
        <f t="shared" si="13"/>
        <v>-25628.613211690972</v>
      </c>
      <c r="L38" s="35">
        <f t="shared" si="13"/>
        <v>-30826.414742710011</v>
      </c>
      <c r="M38" s="35">
        <f t="shared" si="13"/>
        <v>-36565.474634843529</v>
      </c>
      <c r="N38" s="35">
        <f t="shared" si="13"/>
        <v>-42940.057783724915</v>
      </c>
    </row>
    <row r="39" spans="2:23" x14ac:dyDescent="0.25">
      <c r="B39" t="s">
        <v>13</v>
      </c>
      <c r="C39" s="1">
        <v>0.4</v>
      </c>
      <c r="D39" s="51">
        <f>IF(D38&lt;0,0,D38*$C$39)</f>
        <v>0</v>
      </c>
      <c r="E39" s="51">
        <f t="shared" ref="E39:N39" si="14">IF(E38&lt;0,0,E38*$C$39)</f>
        <v>0</v>
      </c>
      <c r="F39" s="51">
        <f t="shared" si="14"/>
        <v>0</v>
      </c>
      <c r="G39" s="51">
        <f t="shared" si="14"/>
        <v>0</v>
      </c>
      <c r="H39" s="51">
        <f t="shared" si="14"/>
        <v>0</v>
      </c>
      <c r="I39" s="51">
        <f t="shared" si="14"/>
        <v>0</v>
      </c>
      <c r="J39" s="51">
        <f t="shared" si="14"/>
        <v>0</v>
      </c>
      <c r="K39" s="51">
        <f t="shared" si="14"/>
        <v>0</v>
      </c>
      <c r="L39" s="51">
        <f t="shared" si="14"/>
        <v>0</v>
      </c>
      <c r="M39" s="51">
        <f t="shared" si="14"/>
        <v>0</v>
      </c>
      <c r="N39" s="51">
        <f t="shared" si="14"/>
        <v>0</v>
      </c>
    </row>
    <row r="40" spans="2:23" x14ac:dyDescent="0.25">
      <c r="B40" t="s">
        <v>14</v>
      </c>
      <c r="D40" s="35">
        <f>D38-D39</f>
        <v>-1388.2777619266999</v>
      </c>
      <c r="E40" s="35">
        <f t="shared" ref="E40:N40" si="15">E38-E39</f>
        <v>-3312.9630296193063</v>
      </c>
      <c r="F40" s="35">
        <f t="shared" si="15"/>
        <v>-6164.6634338320582</v>
      </c>
      <c r="G40" s="35">
        <f t="shared" si="15"/>
        <v>-9318.9365147603676</v>
      </c>
      <c r="H40" s="35">
        <f t="shared" si="15"/>
        <v>-12806.706821343629</v>
      </c>
      <c r="I40" s="35">
        <f t="shared" si="15"/>
        <v>-16661.997773415525</v>
      </c>
      <c r="J40" s="35">
        <f t="shared" si="15"/>
        <v>-20922.240472039091</v>
      </c>
      <c r="K40" s="35">
        <f t="shared" si="15"/>
        <v>-25628.613211690972</v>
      </c>
      <c r="L40" s="35">
        <f t="shared" si="15"/>
        <v>-30826.414742710011</v>
      </c>
      <c r="M40" s="35">
        <f t="shared" si="15"/>
        <v>-36565.474634843529</v>
      </c>
      <c r="N40" s="35">
        <f t="shared" si="15"/>
        <v>-42940.057783724915</v>
      </c>
    </row>
    <row r="41" spans="2:23" x14ac:dyDescent="0.25">
      <c r="D41" s="36"/>
      <c r="E41" s="36"/>
      <c r="F41" s="36"/>
      <c r="G41" s="36"/>
      <c r="H41" s="37"/>
      <c r="I41" s="37"/>
      <c r="J41" s="37"/>
      <c r="K41" s="37"/>
      <c r="L41" s="37"/>
      <c r="M41" s="37"/>
      <c r="N41" s="37"/>
    </row>
    <row r="42" spans="2:23" s="2" customFormat="1" x14ac:dyDescent="0.25">
      <c r="D42" s="36"/>
      <c r="E42" s="36"/>
      <c r="F42" s="36"/>
      <c r="G42" s="36"/>
      <c r="H42" s="37"/>
      <c r="I42" s="37"/>
      <c r="J42" s="37"/>
      <c r="K42" s="37"/>
      <c r="L42" s="37"/>
      <c r="M42" s="37"/>
      <c r="N42" s="37"/>
    </row>
    <row r="43" spans="2:23" x14ac:dyDescent="0.25">
      <c r="D43" s="36"/>
      <c r="E43" s="36"/>
      <c r="F43" s="36"/>
      <c r="G43" s="36"/>
      <c r="H43" s="37"/>
      <c r="I43" s="37"/>
      <c r="J43" s="37"/>
      <c r="K43" s="37"/>
      <c r="L43" s="37"/>
      <c r="M43" s="37"/>
      <c r="N43" s="37"/>
    </row>
    <row r="44" spans="2:23" x14ac:dyDescent="0.25">
      <c r="D44" s="36"/>
      <c r="E44" s="36"/>
      <c r="F44" s="36"/>
      <c r="G44" s="36"/>
      <c r="H44" s="37"/>
      <c r="I44" s="37"/>
      <c r="J44" s="37"/>
      <c r="K44" s="37"/>
      <c r="L44" s="37"/>
      <c r="M44" s="37"/>
      <c r="N44" s="37"/>
    </row>
    <row r="45" spans="2:23" x14ac:dyDescent="0.25">
      <c r="B45" s="16" t="s">
        <v>1</v>
      </c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</row>
    <row r="46" spans="2:23" x14ac:dyDescent="0.25">
      <c r="B46" s="3" t="s">
        <v>2</v>
      </c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Q46" s="54" t="s">
        <v>108</v>
      </c>
      <c r="R46" s="83" t="s">
        <v>109</v>
      </c>
      <c r="S46" s="83" t="s">
        <v>110</v>
      </c>
      <c r="T46" s="56"/>
      <c r="U46" s="56"/>
      <c r="V46" s="57"/>
      <c r="W46" s="81"/>
    </row>
    <row r="47" spans="2:23" x14ac:dyDescent="0.25">
      <c r="B47" t="s">
        <v>3</v>
      </c>
      <c r="C47" s="1">
        <v>0.08</v>
      </c>
      <c r="D47" s="35">
        <v>5000</v>
      </c>
      <c r="E47" s="35">
        <f>D47*(1+$C$47)</f>
        <v>5400</v>
      </c>
      <c r="F47" s="35">
        <f t="shared" ref="F47:N47" si="16">E47*(1+$C$47)</f>
        <v>5832</v>
      </c>
      <c r="G47" s="35">
        <f t="shared" si="16"/>
        <v>6298.56</v>
      </c>
      <c r="H47" s="35">
        <f t="shared" si="16"/>
        <v>6802.4448000000011</v>
      </c>
      <c r="I47" s="35">
        <f t="shared" si="16"/>
        <v>7346.6403840000021</v>
      </c>
      <c r="J47" s="35">
        <f t="shared" si="16"/>
        <v>7934.371614720003</v>
      </c>
      <c r="K47" s="35">
        <f t="shared" si="16"/>
        <v>8569.1213438976047</v>
      </c>
      <c r="L47" s="35">
        <f t="shared" si="16"/>
        <v>9254.6510514094134</v>
      </c>
      <c r="M47" s="35">
        <f t="shared" si="16"/>
        <v>9995.0231355221676</v>
      </c>
      <c r="N47" s="35">
        <f t="shared" si="16"/>
        <v>10794.624986363942</v>
      </c>
      <c r="Q47" s="84">
        <v>1</v>
      </c>
      <c r="R47" s="85"/>
      <c r="S47" s="85">
        <f>N47*Q47</f>
        <v>10794.624986363942</v>
      </c>
      <c r="T47" s="60"/>
      <c r="U47" s="60"/>
      <c r="V47" s="61"/>
      <c r="W47" s="81"/>
    </row>
    <row r="48" spans="2:23" x14ac:dyDescent="0.25">
      <c r="B48" t="s">
        <v>4</v>
      </c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Q48" s="58"/>
      <c r="R48" s="85"/>
      <c r="S48" s="85"/>
      <c r="T48" s="60"/>
      <c r="U48" s="60"/>
      <c r="V48" s="61"/>
      <c r="W48" s="81"/>
    </row>
    <row r="49" spans="2:23" x14ac:dyDescent="0.25">
      <c r="B49" t="s">
        <v>27</v>
      </c>
      <c r="D49" s="35">
        <f t="shared" ref="D49:N49" si="17">(D26/365)*$O$49</f>
        <v>7036.27075476766</v>
      </c>
      <c r="E49" s="35">
        <f t="shared" si="17"/>
        <v>7106.6334623153361</v>
      </c>
      <c r="F49" s="35">
        <f t="shared" si="17"/>
        <v>7177.6997969384902</v>
      </c>
      <c r="G49" s="35">
        <f t="shared" si="17"/>
        <v>7249.4767949078741</v>
      </c>
      <c r="H49" s="35">
        <f t="shared" si="17"/>
        <v>7321.9715628569538</v>
      </c>
      <c r="I49" s="35">
        <f t="shared" si="17"/>
        <v>7395.1912784855231</v>
      </c>
      <c r="J49" s="35">
        <f t="shared" si="17"/>
        <v>7469.1431912703792</v>
      </c>
      <c r="K49" s="35">
        <f t="shared" si="17"/>
        <v>7543.8346231830837</v>
      </c>
      <c r="L49" s="35">
        <f t="shared" si="17"/>
        <v>7619.272969414913</v>
      </c>
      <c r="M49" s="35">
        <f t="shared" si="17"/>
        <v>7695.4656991090624</v>
      </c>
      <c r="N49" s="35">
        <f t="shared" si="17"/>
        <v>7772.4203561001541</v>
      </c>
      <c r="O49">
        <v>7</v>
      </c>
      <c r="P49" t="s">
        <v>28</v>
      </c>
      <c r="Q49" s="84">
        <v>0.5</v>
      </c>
      <c r="R49" s="85"/>
      <c r="S49" s="85">
        <f>Q49*N49</f>
        <v>3886.210178050077</v>
      </c>
      <c r="T49" s="60"/>
      <c r="U49" s="60"/>
      <c r="V49" s="61"/>
      <c r="W49" s="81"/>
    </row>
    <row r="50" spans="2:23" x14ac:dyDescent="0.25">
      <c r="C50" t="s">
        <v>90</v>
      </c>
      <c r="D50" s="27">
        <v>40</v>
      </c>
      <c r="E50" s="27">
        <f t="shared" ref="E50:N50" si="18">D50*(1-$O$51)</f>
        <v>38.799999999999997</v>
      </c>
      <c r="F50" s="27">
        <f t="shared" si="18"/>
        <v>37.635999999999996</v>
      </c>
      <c r="G50" s="27">
        <f t="shared" si="18"/>
        <v>36.506919999999994</v>
      </c>
      <c r="H50" s="27">
        <f t="shared" si="18"/>
        <v>35.411712399999992</v>
      </c>
      <c r="I50" s="27">
        <f t="shared" si="18"/>
        <v>34.34936102799999</v>
      </c>
      <c r="J50" s="27">
        <f t="shared" si="18"/>
        <v>33.318880197159991</v>
      </c>
      <c r="K50" s="27">
        <f t="shared" si="18"/>
        <v>32.319313791245193</v>
      </c>
      <c r="L50" s="27">
        <f t="shared" si="18"/>
        <v>31.349734377507836</v>
      </c>
      <c r="M50" s="27">
        <f t="shared" si="18"/>
        <v>30.409242346182602</v>
      </c>
      <c r="N50" s="27">
        <f t="shared" si="18"/>
        <v>29.496965075797124</v>
      </c>
      <c r="Q50" s="78"/>
      <c r="R50" s="53"/>
      <c r="S50" s="53"/>
      <c r="T50" s="60"/>
      <c r="U50" s="60"/>
      <c r="V50" s="61"/>
      <c r="W50" s="81"/>
    </row>
    <row r="51" spans="2:23" x14ac:dyDescent="0.25">
      <c r="B51" t="s">
        <v>23</v>
      </c>
      <c r="D51" s="35">
        <f>(E28/365)*E50</f>
        <v>23634.632428957288</v>
      </c>
      <c r="E51" s="35">
        <f t="shared" ref="E51:L51" si="19">(F28/365)*F50</f>
        <v>23154.849390649455</v>
      </c>
      <c r="F51" s="35">
        <f t="shared" si="19"/>
        <v>22684.805948019268</v>
      </c>
      <c r="G51" s="35">
        <f t="shared" si="19"/>
        <v>22224.304387274475</v>
      </c>
      <c r="H51" s="35">
        <f t="shared" si="19"/>
        <v>21773.151008212804</v>
      </c>
      <c r="I51" s="35">
        <f t="shared" si="19"/>
        <v>21331.156042746086</v>
      </c>
      <c r="J51" s="35">
        <f t="shared" si="19"/>
        <v>20898.13357507834</v>
      </c>
      <c r="K51" s="35">
        <f t="shared" si="19"/>
        <v>20473.901463504248</v>
      </c>
      <c r="L51" s="35">
        <f t="shared" si="19"/>
        <v>20058.281263795114</v>
      </c>
      <c r="M51" s="35">
        <f>(N28/365)*N50</f>
        <v>19651.098154140072</v>
      </c>
      <c r="N51" s="35">
        <f>(N28/365)*N50</f>
        <v>19651.098154140072</v>
      </c>
      <c r="O51" s="1">
        <v>0.03</v>
      </c>
      <c r="Q51" s="84">
        <v>0.5</v>
      </c>
      <c r="R51" s="85"/>
      <c r="S51" s="85">
        <f>Q51*N51</f>
        <v>9825.5490770700362</v>
      </c>
      <c r="T51" s="60"/>
      <c r="U51" s="60"/>
      <c r="V51" s="61"/>
      <c r="W51" s="81"/>
    </row>
    <row r="52" spans="2:23" x14ac:dyDescent="0.25">
      <c r="B52" t="s">
        <v>75</v>
      </c>
      <c r="D52" s="35">
        <f>D53*0.1</f>
        <v>12000</v>
      </c>
      <c r="E52" s="35">
        <f t="shared" ref="E52:N52" si="20">E53*0.1</f>
        <v>12000</v>
      </c>
      <c r="F52" s="35">
        <f t="shared" si="20"/>
        <v>12000</v>
      </c>
      <c r="G52" s="35">
        <f t="shared" si="20"/>
        <v>12000</v>
      </c>
      <c r="H52" s="35">
        <f t="shared" si="20"/>
        <v>12000</v>
      </c>
      <c r="I52" s="35">
        <f t="shared" si="20"/>
        <v>12000</v>
      </c>
      <c r="J52" s="35">
        <f t="shared" si="20"/>
        <v>12000</v>
      </c>
      <c r="K52" s="35">
        <f t="shared" si="20"/>
        <v>12000</v>
      </c>
      <c r="L52" s="35">
        <f t="shared" si="20"/>
        <v>12000</v>
      </c>
      <c r="M52" s="35">
        <f t="shared" si="20"/>
        <v>12000</v>
      </c>
      <c r="N52" s="35">
        <f t="shared" si="20"/>
        <v>12000</v>
      </c>
      <c r="O52" s="1"/>
      <c r="P52" s="27"/>
      <c r="Q52" s="84">
        <v>0.9</v>
      </c>
      <c r="R52" s="85">
        <f>Q52*N52</f>
        <v>10800</v>
      </c>
      <c r="S52" s="85"/>
      <c r="T52" s="60"/>
      <c r="U52" s="60"/>
      <c r="V52" s="61"/>
      <c r="W52" s="81"/>
    </row>
    <row r="53" spans="2:23" x14ac:dyDescent="0.25">
      <c r="B53" t="s">
        <v>5</v>
      </c>
      <c r="D53" s="35">
        <f>$C$16</f>
        <v>120000</v>
      </c>
      <c r="E53" s="35">
        <f t="shared" ref="E53:N53" si="21">$C$16</f>
        <v>120000</v>
      </c>
      <c r="F53" s="35">
        <f t="shared" si="21"/>
        <v>120000</v>
      </c>
      <c r="G53" s="35">
        <f t="shared" si="21"/>
        <v>120000</v>
      </c>
      <c r="H53" s="35">
        <f t="shared" si="21"/>
        <v>120000</v>
      </c>
      <c r="I53" s="35">
        <f t="shared" si="21"/>
        <v>120000</v>
      </c>
      <c r="J53" s="35">
        <f t="shared" si="21"/>
        <v>120000</v>
      </c>
      <c r="K53" s="35">
        <f t="shared" si="21"/>
        <v>120000</v>
      </c>
      <c r="L53" s="35">
        <f t="shared" si="21"/>
        <v>120000</v>
      </c>
      <c r="M53" s="35">
        <f t="shared" si="21"/>
        <v>120000</v>
      </c>
      <c r="N53" s="35">
        <f t="shared" si="21"/>
        <v>120000</v>
      </c>
      <c r="O53" s="77">
        <v>30</v>
      </c>
      <c r="P53" t="s">
        <v>42</v>
      </c>
      <c r="Q53" s="84">
        <v>0.85</v>
      </c>
      <c r="R53" s="85">
        <f>Q53*N53</f>
        <v>102000</v>
      </c>
      <c r="S53" s="85"/>
      <c r="T53" s="60"/>
      <c r="U53" s="60"/>
      <c r="V53" s="61"/>
      <c r="W53" s="81"/>
    </row>
    <row r="54" spans="2:23" x14ac:dyDescent="0.25">
      <c r="B54" t="s">
        <v>7</v>
      </c>
      <c r="D54" s="35">
        <f>$O$54</f>
        <v>4000</v>
      </c>
      <c r="E54" s="35">
        <f t="shared" ref="E54:N54" si="22">D54+$O$54</f>
        <v>8000</v>
      </c>
      <c r="F54" s="35">
        <f t="shared" si="22"/>
        <v>12000</v>
      </c>
      <c r="G54" s="35">
        <f t="shared" si="22"/>
        <v>16000</v>
      </c>
      <c r="H54" s="35">
        <f t="shared" si="22"/>
        <v>20000</v>
      </c>
      <c r="I54" s="35">
        <f t="shared" si="22"/>
        <v>24000</v>
      </c>
      <c r="J54" s="35">
        <f t="shared" si="22"/>
        <v>28000</v>
      </c>
      <c r="K54" s="35">
        <f t="shared" si="22"/>
        <v>32000</v>
      </c>
      <c r="L54" s="35">
        <f t="shared" si="22"/>
        <v>36000</v>
      </c>
      <c r="M54" s="35">
        <f t="shared" si="22"/>
        <v>40000</v>
      </c>
      <c r="N54" s="35">
        <f t="shared" si="22"/>
        <v>44000</v>
      </c>
      <c r="O54" s="23">
        <f>N53/30</f>
        <v>4000</v>
      </c>
      <c r="P54" t="s">
        <v>44</v>
      </c>
      <c r="Q54" s="84"/>
      <c r="R54" s="85"/>
      <c r="S54" s="85"/>
      <c r="T54" s="60"/>
      <c r="U54" s="60"/>
      <c r="V54" s="61"/>
      <c r="W54" s="81"/>
    </row>
    <row r="55" spans="2:23" x14ac:dyDescent="0.25">
      <c r="B55" t="s">
        <v>15</v>
      </c>
      <c r="D55" s="35">
        <f>SUM(D47:D53)-D54</f>
        <v>163710.90318372496</v>
      </c>
      <c r="E55" s="35">
        <f t="shared" ref="E55:N55" si="23">SUM(E47:E53)-E54</f>
        <v>159700.2828529648</v>
      </c>
      <c r="F55" s="35">
        <f t="shared" si="23"/>
        <v>155732.14174495777</v>
      </c>
      <c r="G55" s="35">
        <f t="shared" si="23"/>
        <v>151808.84810218235</v>
      </c>
      <c r="H55" s="35">
        <f t="shared" si="23"/>
        <v>147932.97908346978</v>
      </c>
      <c r="I55" s="35">
        <f t="shared" si="23"/>
        <v>144107.33706625961</v>
      </c>
      <c r="J55" s="35">
        <f t="shared" si="23"/>
        <v>140334.96726126588</v>
      </c>
      <c r="K55" s="35">
        <f t="shared" si="23"/>
        <v>136619.17674437619</v>
      </c>
      <c r="L55" s="35">
        <f t="shared" si="23"/>
        <v>132963.55501899694</v>
      </c>
      <c r="M55" s="35">
        <f t="shared" si="23"/>
        <v>129371.99623111749</v>
      </c>
      <c r="N55" s="35">
        <f t="shared" si="23"/>
        <v>126247.64046167996</v>
      </c>
      <c r="Q55" s="58"/>
      <c r="R55" s="85"/>
      <c r="S55" s="85"/>
      <c r="T55" s="60"/>
      <c r="U55" s="60"/>
      <c r="V55" s="61"/>
      <c r="W55" s="81"/>
    </row>
    <row r="56" spans="2:23" x14ac:dyDescent="0.25"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Q56" s="58"/>
      <c r="R56" s="85"/>
      <c r="S56" s="85"/>
      <c r="T56" s="60"/>
      <c r="U56" s="60"/>
      <c r="V56" s="61"/>
      <c r="W56" s="81"/>
    </row>
    <row r="57" spans="2:23" x14ac:dyDescent="0.25"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Q57" s="58"/>
      <c r="R57" s="85"/>
      <c r="S57" s="85"/>
      <c r="T57" s="60"/>
      <c r="U57" s="60"/>
      <c r="V57" s="61"/>
      <c r="W57" s="81"/>
    </row>
    <row r="58" spans="2:23" x14ac:dyDescent="0.25">
      <c r="B58" s="3" t="s">
        <v>8</v>
      </c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Q58" s="78"/>
      <c r="R58" s="86"/>
      <c r="S58" s="53"/>
      <c r="T58" s="60"/>
      <c r="U58" s="60"/>
      <c r="V58" s="61"/>
      <c r="W58" s="81"/>
    </row>
    <row r="59" spans="2:23" x14ac:dyDescent="0.25">
      <c r="B59" s="2" t="s">
        <v>41</v>
      </c>
      <c r="D59" s="35">
        <f t="shared" ref="D59:N59" si="24">(D28/365)*30</f>
        <v>18093.267655116841</v>
      </c>
      <c r="E59" s="35">
        <f t="shared" si="24"/>
        <v>18274.200331668006</v>
      </c>
      <c r="F59" s="35">
        <f t="shared" si="24"/>
        <v>18456.942334984687</v>
      </c>
      <c r="G59" s="35">
        <f t="shared" si="24"/>
        <v>18641.511758334535</v>
      </c>
      <c r="H59" s="35">
        <f t="shared" si="24"/>
        <v>18827.926875917878</v>
      </c>
      <c r="I59" s="35">
        <f t="shared" si="24"/>
        <v>19016.20614467706</v>
      </c>
      <c r="J59" s="35">
        <f t="shared" si="24"/>
        <v>19206.368206123829</v>
      </c>
      <c r="K59" s="35">
        <f t="shared" si="24"/>
        <v>19398.43188818507</v>
      </c>
      <c r="L59" s="35">
        <f t="shared" si="24"/>
        <v>19592.416207066919</v>
      </c>
      <c r="M59" s="35">
        <f t="shared" si="24"/>
        <v>19788.34036913759</v>
      </c>
      <c r="N59" s="35">
        <f t="shared" si="24"/>
        <v>19986.223772828962</v>
      </c>
      <c r="O59">
        <v>30</v>
      </c>
      <c r="P59" t="s">
        <v>28</v>
      </c>
      <c r="Q59" s="87">
        <v>-1</v>
      </c>
      <c r="R59" s="86"/>
      <c r="S59" s="85">
        <f>Q59*N59</f>
        <v>-19986.223772828962</v>
      </c>
      <c r="T59" s="60"/>
      <c r="U59" s="60"/>
      <c r="V59" s="61"/>
      <c r="W59" s="81"/>
    </row>
    <row r="60" spans="2:23" x14ac:dyDescent="0.25">
      <c r="B60" t="s">
        <v>9</v>
      </c>
      <c r="D60" s="35">
        <f>Mortgage!G21</f>
        <v>98325.924881904313</v>
      </c>
      <c r="E60" s="35">
        <f>Mortgage!G33</f>
        <v>96578.602859431761</v>
      </c>
      <c r="F60" s="35">
        <f>Mortgage!G45</f>
        <v>94754.829112832769</v>
      </c>
      <c r="G60" s="35">
        <f>Mortgage!G57</f>
        <v>92851.258599781475</v>
      </c>
      <c r="H60" s="35">
        <f>Mortgage!G69</f>
        <v>90864.399920125899</v>
      </c>
      <c r="I60" s="35">
        <f>Mortgage!G81</f>
        <v>88790.608912197858</v>
      </c>
      <c r="J60" s="35">
        <f>Mortgage!G93</f>
        <v>86626.081968938481</v>
      </c>
      <c r="K60" s="35">
        <f>Mortgage!G105</f>
        <v>84366.84906157972</v>
      </c>
      <c r="L60" s="35">
        <f>Mortgage!G117</f>
        <v>82008.766458086262</v>
      </c>
      <c r="M60" s="35">
        <f>Mortgage!G129</f>
        <v>79547.509123002921</v>
      </c>
      <c r="N60" s="35">
        <f>Mortgage!G141</f>
        <v>76978.562784767317</v>
      </c>
      <c r="Q60" s="58" t="s">
        <v>111</v>
      </c>
      <c r="R60" s="86">
        <f>SUM(R47:R59)</f>
        <v>112800</v>
      </c>
      <c r="S60" s="85">
        <f>SUM(S47:S59)</f>
        <v>4520.1604686550927</v>
      </c>
      <c r="T60" s="88"/>
      <c r="U60" s="88"/>
      <c r="V60" s="89"/>
      <c r="W60" s="88"/>
    </row>
    <row r="61" spans="2:23" x14ac:dyDescent="0.25">
      <c r="B61" t="s">
        <v>10</v>
      </c>
      <c r="D61" s="35">
        <v>33679.988408630488</v>
      </c>
      <c r="E61" s="35">
        <v>34548.720453411006</v>
      </c>
      <c r="F61" s="35">
        <v>38386.274522518332</v>
      </c>
      <c r="G61" s="35">
        <v>45500.918484204696</v>
      </c>
      <c r="H61" s="35">
        <v>56232.199848908058</v>
      </c>
      <c r="I61" s="35">
        <v>70954.067344282346</v>
      </c>
      <c r="J61" s="35">
        <v>90078.302893140353</v>
      </c>
      <c r="K61" s="35">
        <v>114058.29481323906</v>
      </c>
      <c r="L61" s="35">
        <v>143393.18611518136</v>
      </c>
      <c r="M61" s="35">
        <v>178632.43513515804</v>
      </c>
      <c r="N61" s="35">
        <v>220819.20008398977</v>
      </c>
      <c r="Q61" s="58" t="s">
        <v>112</v>
      </c>
      <c r="R61" s="86"/>
      <c r="S61" s="85">
        <f>R60-Q66</f>
        <v>35821.437215232683</v>
      </c>
      <c r="T61" s="90"/>
      <c r="U61" s="88"/>
      <c r="V61" s="89"/>
      <c r="W61" s="88"/>
    </row>
    <row r="62" spans="2:23" x14ac:dyDescent="0.25">
      <c r="B62" t="s">
        <v>30</v>
      </c>
      <c r="D62" s="35">
        <v>15000</v>
      </c>
      <c r="E62" s="35">
        <v>15000</v>
      </c>
      <c r="F62" s="35">
        <v>15000</v>
      </c>
      <c r="G62" s="35">
        <v>15000</v>
      </c>
      <c r="H62" s="35">
        <v>15000</v>
      </c>
      <c r="I62" s="35">
        <v>15000</v>
      </c>
      <c r="J62" s="35">
        <v>15000</v>
      </c>
      <c r="K62" s="35">
        <v>15000</v>
      </c>
      <c r="L62" s="35">
        <v>15000</v>
      </c>
      <c r="M62" s="35">
        <v>15000</v>
      </c>
      <c r="N62" s="35">
        <v>15000</v>
      </c>
      <c r="Q62" s="58" t="s">
        <v>113</v>
      </c>
      <c r="R62" s="86"/>
      <c r="S62" s="85">
        <v>4000</v>
      </c>
      <c r="T62" s="88"/>
      <c r="U62" s="88"/>
      <c r="V62" s="89"/>
      <c r="W62" s="88"/>
    </row>
    <row r="63" spans="2:23" x14ac:dyDescent="0.25">
      <c r="B63" t="s">
        <v>11</v>
      </c>
      <c r="D63" s="35">
        <f>C63+D40</f>
        <v>-1388.2777619266999</v>
      </c>
      <c r="E63" s="35">
        <f t="shared" ref="E63:N63" si="25">D63+E40</f>
        <v>-4701.2407915460062</v>
      </c>
      <c r="F63" s="35">
        <f t="shared" si="25"/>
        <v>-10865.904225378064</v>
      </c>
      <c r="G63" s="35">
        <f t="shared" si="25"/>
        <v>-20184.840740138432</v>
      </c>
      <c r="H63" s="35">
        <f t="shared" si="25"/>
        <v>-32991.547561482061</v>
      </c>
      <c r="I63" s="35">
        <f t="shared" si="25"/>
        <v>-49653.545334897586</v>
      </c>
      <c r="J63" s="35">
        <f t="shared" si="25"/>
        <v>-70575.785806936678</v>
      </c>
      <c r="K63" s="35">
        <f t="shared" si="25"/>
        <v>-96204.39901862765</v>
      </c>
      <c r="L63" s="35">
        <f t="shared" si="25"/>
        <v>-127030.81376133766</v>
      </c>
      <c r="M63" s="35">
        <f t="shared" si="25"/>
        <v>-163596.28839618119</v>
      </c>
      <c r="N63" s="35">
        <f t="shared" si="25"/>
        <v>-206536.3461799061</v>
      </c>
      <c r="Q63" s="58" t="s">
        <v>111</v>
      </c>
      <c r="R63" s="86"/>
      <c r="S63" s="86">
        <f>S60+S61-S62</f>
        <v>36341.597683887776</v>
      </c>
      <c r="T63" s="88"/>
      <c r="U63" s="88"/>
      <c r="V63" s="89"/>
      <c r="W63" s="88"/>
    </row>
    <row r="64" spans="2:23" x14ac:dyDescent="0.25">
      <c r="B64" t="s">
        <v>36</v>
      </c>
      <c r="D64" s="35">
        <f>SUM(D59:D63)</f>
        <v>163710.90318372493</v>
      </c>
      <c r="E64" s="35">
        <f t="shared" ref="E64:N64" si="26">SUM(E59:E63)</f>
        <v>159700.28285296477</v>
      </c>
      <c r="F64" s="35">
        <f t="shared" si="26"/>
        <v>155732.14174495771</v>
      </c>
      <c r="G64" s="35">
        <f t="shared" si="26"/>
        <v>151808.84810218227</v>
      </c>
      <c r="H64" s="35">
        <f t="shared" si="26"/>
        <v>147932.97908346978</v>
      </c>
      <c r="I64" s="35">
        <f t="shared" si="26"/>
        <v>144107.33706625967</v>
      </c>
      <c r="J64" s="35">
        <f t="shared" si="26"/>
        <v>140334.96726126599</v>
      </c>
      <c r="K64" s="35">
        <f t="shared" si="26"/>
        <v>136619.17674437619</v>
      </c>
      <c r="L64" s="35">
        <f t="shared" si="26"/>
        <v>132963.55501899688</v>
      </c>
      <c r="M64" s="35">
        <f t="shared" si="26"/>
        <v>129371.99623111734</v>
      </c>
      <c r="N64" s="35">
        <f t="shared" si="26"/>
        <v>126247.64046167996</v>
      </c>
      <c r="Q64" s="78"/>
      <c r="R64" s="53"/>
      <c r="S64" s="53"/>
      <c r="T64" s="88"/>
      <c r="U64" s="88"/>
      <c r="V64" s="89"/>
      <c r="W64" s="88"/>
    </row>
    <row r="65" spans="1:27" x14ac:dyDescent="0.25">
      <c r="D65" s="34"/>
      <c r="E65" s="34"/>
      <c r="F65" s="34"/>
      <c r="G65" s="34"/>
      <c r="H65" s="37"/>
      <c r="I65" s="37"/>
      <c r="J65" s="37"/>
      <c r="K65" s="37"/>
      <c r="L65" s="37"/>
      <c r="M65" s="37"/>
      <c r="N65" s="37"/>
      <c r="Q65" s="91" t="s">
        <v>114</v>
      </c>
      <c r="R65" s="86" t="s">
        <v>115</v>
      </c>
      <c r="S65" s="88" t="s">
        <v>89</v>
      </c>
      <c r="T65" s="88" t="s">
        <v>116</v>
      </c>
      <c r="U65" s="92" t="s">
        <v>117</v>
      </c>
      <c r="V65" s="93" t="s">
        <v>118</v>
      </c>
      <c r="W65" s="88"/>
    </row>
    <row r="66" spans="1:27" x14ac:dyDescent="0.25">
      <c r="B66" t="s">
        <v>16</v>
      </c>
      <c r="D66" s="34">
        <f>D55-D64</f>
        <v>0</v>
      </c>
      <c r="E66" s="34">
        <f t="shared" ref="E66:N66" si="27">E55-E64</f>
        <v>0</v>
      </c>
      <c r="F66" s="34">
        <f t="shared" si="27"/>
        <v>0</v>
      </c>
      <c r="G66" s="34">
        <f t="shared" si="27"/>
        <v>0</v>
      </c>
      <c r="H66" s="35">
        <f t="shared" si="27"/>
        <v>0</v>
      </c>
      <c r="I66" s="35">
        <f t="shared" si="27"/>
        <v>0</v>
      </c>
      <c r="J66" s="35">
        <f t="shared" si="27"/>
        <v>0</v>
      </c>
      <c r="K66" s="35">
        <f t="shared" si="27"/>
        <v>0</v>
      </c>
      <c r="L66" s="35">
        <f t="shared" si="27"/>
        <v>0</v>
      </c>
      <c r="M66" s="35">
        <f t="shared" si="27"/>
        <v>1.4551915228366852E-10</v>
      </c>
      <c r="N66" s="35">
        <f t="shared" si="27"/>
        <v>0</v>
      </c>
      <c r="Q66" s="91">
        <f>N60</f>
        <v>76978.562784767317</v>
      </c>
      <c r="R66" s="86">
        <f>N60-Q66</f>
        <v>0</v>
      </c>
      <c r="S66" s="94">
        <f>R66/R68</f>
        <v>0</v>
      </c>
      <c r="T66" s="95">
        <v>0</v>
      </c>
      <c r="U66" s="96">
        <f>Q66+R66</f>
        <v>76978.562784767317</v>
      </c>
      <c r="V66" s="97">
        <f>U66/N60</f>
        <v>1</v>
      </c>
      <c r="W66" s="88"/>
    </row>
    <row r="67" spans="1:27" x14ac:dyDescent="0.25">
      <c r="D67" s="31"/>
      <c r="E67" s="31"/>
      <c r="F67" s="31"/>
      <c r="G67" s="31"/>
      <c r="Q67" s="91">
        <v>0</v>
      </c>
      <c r="R67" s="86">
        <f>N61</f>
        <v>220819.20008398977</v>
      </c>
      <c r="S67" s="94">
        <f>R67/R68</f>
        <v>1</v>
      </c>
      <c r="T67" s="95">
        <f>S63</f>
        <v>36341.597683887776</v>
      </c>
      <c r="U67" s="96">
        <f>Q67+T67</f>
        <v>36341.597683887776</v>
      </c>
      <c r="V67" s="97">
        <f>U67/N61</f>
        <v>0.16457625817893123</v>
      </c>
      <c r="W67" s="88"/>
    </row>
    <row r="68" spans="1:27" x14ac:dyDescent="0.25">
      <c r="D68" s="32"/>
      <c r="E68" s="32"/>
      <c r="F68" s="32"/>
      <c r="G68" s="32"/>
      <c r="Q68" s="98"/>
      <c r="R68" s="99">
        <f>SUM(R66:R67)</f>
        <v>220819.20008398977</v>
      </c>
      <c r="S68" s="100"/>
      <c r="T68" s="101"/>
      <c r="U68" s="102"/>
      <c r="V68" s="103"/>
    </row>
    <row r="69" spans="1:27" x14ac:dyDescent="0.25">
      <c r="Q69" s="81"/>
    </row>
    <row r="70" spans="1:27" x14ac:dyDescent="0.25">
      <c r="B70" s="41" t="s">
        <v>119</v>
      </c>
      <c r="E70" s="42"/>
      <c r="Q70" s="81"/>
    </row>
    <row r="71" spans="1:27" x14ac:dyDescent="0.25">
      <c r="A71" t="s">
        <v>53</v>
      </c>
      <c r="E71" s="42"/>
      <c r="Q71" s="81"/>
    </row>
    <row r="72" spans="1:27" x14ac:dyDescent="0.25">
      <c r="B72" t="s">
        <v>54</v>
      </c>
      <c r="D72" s="38">
        <f>D25+D26-D28-D29-D30-D31-D32-D33-D34</f>
        <v>9900.2591960784048</v>
      </c>
      <c r="E72" s="38">
        <f t="shared" ref="E72:N72" si="28">E25+E26-E28-E29-E30-E31-E32-E33-E34</f>
        <v>7980.5129080392362</v>
      </c>
      <c r="F72" s="38">
        <f t="shared" si="28"/>
        <v>5397.74064591965</v>
      </c>
      <c r="G72" s="38">
        <f t="shared" si="28"/>
        <v>2803.988755090817</v>
      </c>
      <c r="H72" s="38">
        <f t="shared" si="28"/>
        <v>198.74560472661688</v>
      </c>
      <c r="I72" s="38">
        <f t="shared" si="28"/>
        <v>-2418.5096010341222</v>
      </c>
      <c r="J72" s="38">
        <f t="shared" si="28"/>
        <v>-5048.3070355917735</v>
      </c>
      <c r="K72" s="38">
        <f t="shared" si="28"/>
        <v>-7691.1864665341564</v>
      </c>
      <c r="L72" s="38">
        <f t="shared" si="28"/>
        <v>-10347.697476513131</v>
      </c>
      <c r="M72" s="38">
        <f t="shared" si="28"/>
        <v>-13018.399688438571</v>
      </c>
      <c r="N72" s="38">
        <f t="shared" si="28"/>
        <v>-15703.862995077361</v>
      </c>
    </row>
    <row r="73" spans="1:27" x14ac:dyDescent="0.25">
      <c r="B73" t="s">
        <v>55</v>
      </c>
      <c r="D73" s="38">
        <f>D35</f>
        <v>4000</v>
      </c>
      <c r="E73" s="38">
        <f t="shared" ref="E73:N73" si="29">E35</f>
        <v>4000</v>
      </c>
      <c r="F73" s="38">
        <f t="shared" si="29"/>
        <v>4000</v>
      </c>
      <c r="G73" s="38">
        <f t="shared" si="29"/>
        <v>4000</v>
      </c>
      <c r="H73" s="38">
        <f t="shared" si="29"/>
        <v>4000</v>
      </c>
      <c r="I73" s="38">
        <f t="shared" si="29"/>
        <v>4000</v>
      </c>
      <c r="J73" s="38">
        <f t="shared" si="29"/>
        <v>4000</v>
      </c>
      <c r="K73" s="38">
        <f t="shared" si="29"/>
        <v>4000</v>
      </c>
      <c r="L73" s="38">
        <f t="shared" si="29"/>
        <v>4000</v>
      </c>
      <c r="M73" s="38">
        <f t="shared" si="29"/>
        <v>4000</v>
      </c>
      <c r="N73" s="38">
        <f t="shared" si="29"/>
        <v>4000</v>
      </c>
    </row>
    <row r="74" spans="1:27" x14ac:dyDescent="0.25">
      <c r="B74" t="s">
        <v>56</v>
      </c>
      <c r="D74" s="38">
        <f>D72-D73</f>
        <v>5900.2591960784048</v>
      </c>
      <c r="E74" s="38">
        <f t="shared" ref="E74:N74" si="30">E72-E73</f>
        <v>3980.5129080392362</v>
      </c>
      <c r="F74" s="38">
        <f t="shared" si="30"/>
        <v>1397.74064591965</v>
      </c>
      <c r="G74" s="38">
        <f t="shared" si="30"/>
        <v>-1196.011244909183</v>
      </c>
      <c r="H74" s="38">
        <f t="shared" si="30"/>
        <v>-3801.2543952733831</v>
      </c>
      <c r="I74" s="38">
        <f t="shared" si="30"/>
        <v>-6418.5096010341222</v>
      </c>
      <c r="J74" s="38">
        <f t="shared" si="30"/>
        <v>-9048.3070355917735</v>
      </c>
      <c r="K74" s="38">
        <f t="shared" si="30"/>
        <v>-11691.186466534156</v>
      </c>
      <c r="L74" s="38">
        <f t="shared" si="30"/>
        <v>-14347.697476513131</v>
      </c>
      <c r="M74" s="38">
        <f t="shared" si="30"/>
        <v>-17018.399688438571</v>
      </c>
      <c r="N74" s="38">
        <f t="shared" si="30"/>
        <v>-19703.862995077361</v>
      </c>
    </row>
    <row r="75" spans="1:27" x14ac:dyDescent="0.25">
      <c r="B75" t="s">
        <v>57</v>
      </c>
      <c r="D75" s="45">
        <f>D74*$C$39</f>
        <v>2360.1036784313619</v>
      </c>
      <c r="E75" s="45">
        <f t="shared" ref="E75:N75" si="31">E74*$C$39</f>
        <v>1592.2051632156945</v>
      </c>
      <c r="F75" s="45">
        <f t="shared" si="31"/>
        <v>559.09625836786006</v>
      </c>
      <c r="G75" s="45">
        <f t="shared" si="31"/>
        <v>-478.40449796367324</v>
      </c>
      <c r="H75" s="45">
        <f t="shared" si="31"/>
        <v>-1520.5017581093534</v>
      </c>
      <c r="I75" s="45">
        <f t="shared" si="31"/>
        <v>-2567.403840413649</v>
      </c>
      <c r="J75" s="45">
        <f t="shared" si="31"/>
        <v>-3619.3228142367097</v>
      </c>
      <c r="K75" s="45">
        <f t="shared" si="31"/>
        <v>-4676.4745866136627</v>
      </c>
      <c r="L75" s="45">
        <f t="shared" si="31"/>
        <v>-5739.0789906052523</v>
      </c>
      <c r="M75" s="45">
        <f t="shared" si="31"/>
        <v>-6807.3598753754286</v>
      </c>
      <c r="N75" s="45">
        <f t="shared" si="31"/>
        <v>-7881.5451980309444</v>
      </c>
    </row>
    <row r="76" spans="1:27" x14ac:dyDescent="0.25">
      <c r="B76" t="s">
        <v>58</v>
      </c>
      <c r="D76" s="45">
        <f>D72-D75</f>
        <v>7540.1555176470429</v>
      </c>
      <c r="E76" s="45">
        <f t="shared" ref="E76:N76" si="32">E72-E75</f>
        <v>6388.3077448235417</v>
      </c>
      <c r="F76" s="45">
        <f t="shared" si="32"/>
        <v>4838.6443875517898</v>
      </c>
      <c r="G76" s="45">
        <f t="shared" si="32"/>
        <v>3282.3932530544903</v>
      </c>
      <c r="H76" s="45">
        <f t="shared" si="32"/>
        <v>1719.2473628359703</v>
      </c>
      <c r="I76" s="45">
        <f t="shared" si="32"/>
        <v>148.89423937952688</v>
      </c>
      <c r="J76" s="45">
        <f t="shared" si="32"/>
        <v>-1428.9842213550637</v>
      </c>
      <c r="K76" s="45">
        <f t="shared" si="32"/>
        <v>-3014.7118799204936</v>
      </c>
      <c r="L76" s="45">
        <f t="shared" si="32"/>
        <v>-4608.6184859078785</v>
      </c>
      <c r="M76" s="45">
        <f t="shared" si="32"/>
        <v>-6211.039813063142</v>
      </c>
      <c r="N76" s="45">
        <f t="shared" si="32"/>
        <v>-7822.3177970464167</v>
      </c>
    </row>
    <row r="77" spans="1:27" x14ac:dyDescent="0.25">
      <c r="E77" s="42"/>
      <c r="K77" s="32"/>
      <c r="L77" s="32"/>
      <c r="M77" s="32"/>
      <c r="Q77" s="54" t="s">
        <v>80</v>
      </c>
      <c r="R77" s="55">
        <v>0.85</v>
      </c>
      <c r="S77" s="56"/>
      <c r="T77" s="56"/>
      <c r="U77" s="56"/>
      <c r="V77" s="56"/>
      <c r="W77" s="56"/>
      <c r="X77" s="56"/>
      <c r="Y77" s="56"/>
      <c r="Z77" s="56"/>
      <c r="AA77" s="57"/>
    </row>
    <row r="78" spans="1:27" x14ac:dyDescent="0.25">
      <c r="A78" t="s">
        <v>59</v>
      </c>
      <c r="E78" s="42"/>
      <c r="K78" s="32"/>
      <c r="L78" s="32"/>
      <c r="M78" s="32"/>
      <c r="Q78" s="58" t="s">
        <v>81</v>
      </c>
      <c r="R78" s="59">
        <f>R94+R95</f>
        <v>1.4485987966444824</v>
      </c>
      <c r="S78" s="60"/>
      <c r="T78" s="60"/>
      <c r="U78" s="60"/>
      <c r="V78" s="60"/>
      <c r="W78" s="60"/>
      <c r="X78" s="60"/>
      <c r="Y78" s="60"/>
      <c r="Z78" s="60"/>
      <c r="AA78" s="61"/>
    </row>
    <row r="79" spans="1:27" x14ac:dyDescent="0.25">
      <c r="A79" s="43" t="s">
        <v>60</v>
      </c>
      <c r="B79" t="s">
        <v>61</v>
      </c>
      <c r="C79" s="38">
        <f>-(D47-C47)</f>
        <v>-4999.92</v>
      </c>
      <c r="D79" s="38">
        <f t="shared" ref="D79:N79" si="33">-(E47-D47)</f>
        <v>-400</v>
      </c>
      <c r="E79" s="38">
        <f t="shared" si="33"/>
        <v>-432</v>
      </c>
      <c r="F79" s="38">
        <f t="shared" si="33"/>
        <v>-466.5600000000004</v>
      </c>
      <c r="G79" s="38">
        <f t="shared" si="33"/>
        <v>-503.88480000000072</v>
      </c>
      <c r="H79" s="38">
        <f t="shared" si="33"/>
        <v>-544.19558400000096</v>
      </c>
      <c r="I79" s="38">
        <f t="shared" si="33"/>
        <v>-587.73123072000089</v>
      </c>
      <c r="J79" s="38">
        <f t="shared" si="33"/>
        <v>-634.74972917760169</v>
      </c>
      <c r="K79" s="38">
        <f t="shared" si="33"/>
        <v>-685.52970751180874</v>
      </c>
      <c r="L79" s="38">
        <f t="shared" si="33"/>
        <v>-740.37208411275424</v>
      </c>
      <c r="M79" s="38">
        <f t="shared" si="33"/>
        <v>-799.60185084177465</v>
      </c>
      <c r="N79" s="38">
        <f t="shared" si="33"/>
        <v>10794.624986363942</v>
      </c>
      <c r="Q79" s="58" t="s">
        <v>82</v>
      </c>
      <c r="R79" s="59">
        <f>R97</f>
        <v>-0.44859879664448254</v>
      </c>
      <c r="S79" s="60"/>
      <c r="T79" s="60"/>
      <c r="U79" s="60"/>
      <c r="V79" s="60"/>
      <c r="W79" s="60"/>
      <c r="X79" s="60"/>
      <c r="Y79" s="60"/>
      <c r="Z79" s="60"/>
      <c r="AA79" s="61"/>
    </row>
    <row r="80" spans="1:27" x14ac:dyDescent="0.25">
      <c r="A80" s="43" t="s">
        <v>60</v>
      </c>
      <c r="B80" t="s">
        <v>27</v>
      </c>
      <c r="C80" s="38">
        <f>-(D49-C49)</f>
        <v>-7036.27075476766</v>
      </c>
      <c r="D80" s="38">
        <f t="shared" ref="D80:N80" si="34">-(E49-D49)</f>
        <v>-70.362707547676109</v>
      </c>
      <c r="E80" s="38">
        <f t="shared" si="34"/>
        <v>-71.066334623154034</v>
      </c>
      <c r="F80" s="38">
        <f t="shared" si="34"/>
        <v>-71.776997969383956</v>
      </c>
      <c r="G80" s="38">
        <f t="shared" si="34"/>
        <v>-72.494767949079687</v>
      </c>
      <c r="H80" s="38">
        <f t="shared" si="34"/>
        <v>-73.219715628569247</v>
      </c>
      <c r="I80" s="38">
        <f t="shared" si="34"/>
        <v>-73.951912784856177</v>
      </c>
      <c r="J80" s="38">
        <f t="shared" si="34"/>
        <v>-74.691431912704502</v>
      </c>
      <c r="K80" s="38">
        <f t="shared" si="34"/>
        <v>-75.4383462318292</v>
      </c>
      <c r="L80" s="38">
        <f t="shared" si="34"/>
        <v>-76.192729694149421</v>
      </c>
      <c r="M80" s="38">
        <f t="shared" si="34"/>
        <v>-76.954656991091724</v>
      </c>
      <c r="N80" s="38">
        <f t="shared" si="34"/>
        <v>7765.4203561001541</v>
      </c>
      <c r="Q80" s="58" t="s">
        <v>46</v>
      </c>
      <c r="R80" s="62">
        <f>R77/(1+(1-C39)*(R78/R79))</f>
        <v>-0.90666858647981696</v>
      </c>
      <c r="S80" s="60"/>
      <c r="T80" s="60"/>
      <c r="U80" s="60"/>
      <c r="V80" s="60"/>
      <c r="W80" s="60"/>
      <c r="X80" s="60"/>
      <c r="Y80" s="60"/>
      <c r="Z80" s="60"/>
      <c r="AA80" s="61"/>
    </row>
    <row r="81" spans="1:27" x14ac:dyDescent="0.25">
      <c r="A81" s="43" t="s">
        <v>60</v>
      </c>
      <c r="B81" t="s">
        <v>23</v>
      </c>
      <c r="C81" s="38">
        <f>-(D51-C51)</f>
        <v>-23634.632428957288</v>
      </c>
      <c r="D81" s="38">
        <f t="shared" ref="D81:N81" si="35">-(E51-D51)</f>
        <v>479.78303830783261</v>
      </c>
      <c r="E81" s="38">
        <f t="shared" si="35"/>
        <v>470.0434426301872</v>
      </c>
      <c r="F81" s="38">
        <f t="shared" si="35"/>
        <v>460.5015607447931</v>
      </c>
      <c r="G81" s="38">
        <f t="shared" si="35"/>
        <v>451.15337906167042</v>
      </c>
      <c r="H81" s="38">
        <f t="shared" si="35"/>
        <v>441.99496546671799</v>
      </c>
      <c r="I81" s="38">
        <f t="shared" si="35"/>
        <v>433.02246766774624</v>
      </c>
      <c r="J81" s="38">
        <f t="shared" si="35"/>
        <v>424.23211157409241</v>
      </c>
      <c r="K81" s="38">
        <f t="shared" si="35"/>
        <v>415.62019970913389</v>
      </c>
      <c r="L81" s="38">
        <f t="shared" si="35"/>
        <v>407.18310965504133</v>
      </c>
      <c r="M81" s="38">
        <f t="shared" si="35"/>
        <v>0</v>
      </c>
      <c r="N81" s="38">
        <f t="shared" si="35"/>
        <v>19651.068154140074</v>
      </c>
      <c r="Q81" s="58"/>
      <c r="R81" s="60"/>
      <c r="S81" s="60"/>
      <c r="T81" s="60"/>
      <c r="U81" s="60"/>
      <c r="V81" s="60"/>
      <c r="W81" s="60"/>
      <c r="X81" s="60"/>
      <c r="Y81" s="60"/>
      <c r="Z81" s="60"/>
      <c r="AA81" s="61"/>
    </row>
    <row r="82" spans="1:27" x14ac:dyDescent="0.25">
      <c r="A82" s="43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Q82" s="58" t="s">
        <v>83</v>
      </c>
      <c r="R82" s="59">
        <f>W94+W95</f>
        <v>0.9</v>
      </c>
      <c r="S82" s="60"/>
      <c r="T82" s="60"/>
      <c r="U82" s="60"/>
      <c r="V82" s="60"/>
      <c r="W82" s="60"/>
      <c r="X82" s="60"/>
      <c r="Y82" s="60"/>
      <c r="Z82" s="60"/>
      <c r="AA82" s="61"/>
    </row>
    <row r="83" spans="1:27" x14ac:dyDescent="0.25">
      <c r="A83" s="43"/>
      <c r="B83" t="s">
        <v>73</v>
      </c>
      <c r="C83" s="38">
        <f>-(D52-C52)</f>
        <v>-12000</v>
      </c>
      <c r="D83" s="38">
        <f t="shared" ref="D83:N83" si="36">-(E52-D52)</f>
        <v>0</v>
      </c>
      <c r="E83" s="38">
        <f t="shared" si="36"/>
        <v>0</v>
      </c>
      <c r="F83" s="38">
        <f t="shared" si="36"/>
        <v>0</v>
      </c>
      <c r="G83" s="38">
        <f t="shared" si="36"/>
        <v>0</v>
      </c>
      <c r="H83" s="38">
        <f t="shared" si="36"/>
        <v>0</v>
      </c>
      <c r="I83" s="38">
        <f t="shared" si="36"/>
        <v>0</v>
      </c>
      <c r="J83" s="38">
        <f t="shared" si="36"/>
        <v>0</v>
      </c>
      <c r="K83" s="38">
        <f t="shared" si="36"/>
        <v>0</v>
      </c>
      <c r="L83" s="38">
        <f t="shared" si="36"/>
        <v>0</v>
      </c>
      <c r="M83" s="38">
        <f t="shared" si="36"/>
        <v>0</v>
      </c>
      <c r="N83" s="38">
        <f t="shared" si="36"/>
        <v>12000</v>
      </c>
      <c r="O83" t="s">
        <v>132</v>
      </c>
      <c r="P83" s="1">
        <v>0.02</v>
      </c>
      <c r="Q83" s="58" t="s">
        <v>84</v>
      </c>
      <c r="R83" s="59">
        <f>W97</f>
        <v>0.1</v>
      </c>
      <c r="S83" s="60"/>
      <c r="T83" s="60"/>
      <c r="U83" s="60"/>
      <c r="V83" s="60"/>
      <c r="W83" s="60"/>
      <c r="X83" s="60"/>
      <c r="Y83" s="60"/>
      <c r="Z83" s="60"/>
      <c r="AA83" s="61"/>
    </row>
    <row r="84" spans="1:27" x14ac:dyDescent="0.25">
      <c r="A84" s="43"/>
      <c r="B84" t="s">
        <v>74</v>
      </c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>
        <f>D52*P83</f>
        <v>240</v>
      </c>
      <c r="O84" t="s">
        <v>133</v>
      </c>
      <c r="P84" s="38">
        <f>N83</f>
        <v>12000</v>
      </c>
      <c r="Q84" s="58" t="s">
        <v>47</v>
      </c>
      <c r="R84" s="62">
        <f>R80*(1+(1-C39)*(R82/R83))</f>
        <v>-5.8026789534708278</v>
      </c>
      <c r="S84" s="60"/>
      <c r="T84" s="60"/>
      <c r="U84" s="60"/>
      <c r="V84" s="60"/>
      <c r="W84" s="60"/>
      <c r="X84" s="60"/>
      <c r="Y84" s="60"/>
      <c r="Z84" s="60"/>
      <c r="AA84" s="61"/>
    </row>
    <row r="85" spans="1:27" x14ac:dyDescent="0.25">
      <c r="A85" s="43"/>
      <c r="B85" t="s">
        <v>63</v>
      </c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>
        <f>IF(P85&lt;0,0,-(P85*$C$39))</f>
        <v>-96</v>
      </c>
      <c r="O85" t="s">
        <v>134</v>
      </c>
      <c r="P85" s="38">
        <f>SUM(N83:N84)-P84</f>
        <v>240</v>
      </c>
      <c r="Q85" s="58"/>
      <c r="R85" s="60"/>
      <c r="S85" s="60"/>
      <c r="T85" s="60"/>
      <c r="U85" s="60"/>
      <c r="V85" s="60"/>
      <c r="W85" s="60"/>
      <c r="X85" s="60"/>
      <c r="Y85" s="60"/>
      <c r="Z85" s="60"/>
      <c r="AA85" s="61"/>
    </row>
    <row r="86" spans="1:27" x14ac:dyDescent="0.25">
      <c r="E86" s="42"/>
      <c r="K86" s="32"/>
      <c r="L86" s="32"/>
      <c r="M86" s="32"/>
      <c r="Q86" s="58" t="s">
        <v>50</v>
      </c>
      <c r="R86" s="63">
        <v>1.4999999999999999E-2</v>
      </c>
      <c r="S86" s="60"/>
      <c r="T86" s="60"/>
      <c r="U86" s="60"/>
      <c r="V86" s="60"/>
      <c r="W86" s="60"/>
      <c r="X86" s="60"/>
      <c r="Y86" s="60"/>
      <c r="Z86" s="60"/>
      <c r="AA86" s="61"/>
    </row>
    <row r="87" spans="1:27" x14ac:dyDescent="0.25">
      <c r="B87" t="s">
        <v>5</v>
      </c>
      <c r="C87" s="38">
        <v>-100000</v>
      </c>
      <c r="D87" s="38">
        <f t="shared" ref="D87:M87" si="37">-(E53-D53)</f>
        <v>0</v>
      </c>
      <c r="E87" s="38">
        <f t="shared" si="37"/>
        <v>0</v>
      </c>
      <c r="F87" s="38">
        <f t="shared" si="37"/>
        <v>0</v>
      </c>
      <c r="G87" s="38">
        <f t="shared" si="37"/>
        <v>0</v>
      </c>
      <c r="H87" s="38">
        <f t="shared" si="37"/>
        <v>0</v>
      </c>
      <c r="I87" s="38">
        <f t="shared" si="37"/>
        <v>0</v>
      </c>
      <c r="J87" s="38">
        <f t="shared" si="37"/>
        <v>0</v>
      </c>
      <c r="K87" s="38">
        <f t="shared" si="37"/>
        <v>0</v>
      </c>
      <c r="L87" s="38">
        <f t="shared" si="37"/>
        <v>0</v>
      </c>
      <c r="M87" s="38">
        <f t="shared" si="37"/>
        <v>0</v>
      </c>
      <c r="N87" s="38">
        <f>N53</f>
        <v>120000</v>
      </c>
      <c r="O87" t="s">
        <v>132</v>
      </c>
      <c r="P87" s="1">
        <v>-0.05</v>
      </c>
      <c r="Q87" s="58" t="s">
        <v>45</v>
      </c>
      <c r="R87" s="63">
        <v>0.09</v>
      </c>
      <c r="S87" s="60"/>
      <c r="T87" s="60"/>
      <c r="U87" s="60"/>
      <c r="V87" s="60"/>
      <c r="W87" s="60"/>
      <c r="X87" s="60"/>
      <c r="Y87" s="60"/>
      <c r="Z87" s="60"/>
      <c r="AA87" s="61"/>
    </row>
    <row r="88" spans="1:27" x14ac:dyDescent="0.25">
      <c r="B88" t="s">
        <v>62</v>
      </c>
      <c r="E88" s="42"/>
      <c r="K88" s="39"/>
      <c r="L88" s="40"/>
      <c r="M88" s="40"/>
      <c r="N88" s="37">
        <f>P87*N87</f>
        <v>-6000</v>
      </c>
      <c r="O88" t="s">
        <v>133</v>
      </c>
      <c r="P88" s="38">
        <f>N87-N54</f>
        <v>76000</v>
      </c>
      <c r="Q88" s="58"/>
      <c r="R88" s="64"/>
      <c r="S88" s="60"/>
      <c r="T88" s="60"/>
      <c r="U88" s="60"/>
      <c r="V88" s="60"/>
      <c r="W88" s="60"/>
      <c r="X88" s="60"/>
      <c r="Y88" s="60"/>
      <c r="Z88" s="60"/>
      <c r="AA88" s="61"/>
    </row>
    <row r="89" spans="1:27" x14ac:dyDescent="0.25">
      <c r="B89" t="s">
        <v>63</v>
      </c>
      <c r="E89" s="42"/>
      <c r="K89" s="39"/>
      <c r="L89" s="40"/>
      <c r="M89" s="40"/>
      <c r="N89" s="38">
        <f>IF(P89&lt;0,0,-(P89*$C$39))</f>
        <v>-15200</v>
      </c>
      <c r="O89" t="s">
        <v>134</v>
      </c>
      <c r="P89" s="38">
        <f>SUM(N87:N88)-P88</f>
        <v>38000</v>
      </c>
      <c r="Q89" s="58" t="s">
        <v>85</v>
      </c>
      <c r="R89" s="64">
        <f>R86+R77*(R87-R86)</f>
        <v>7.8750000000000001E-2</v>
      </c>
      <c r="S89" s="60"/>
      <c r="T89" s="60"/>
      <c r="U89" s="60"/>
      <c r="V89" s="60"/>
      <c r="W89" s="60"/>
      <c r="X89" s="60"/>
      <c r="Y89" s="60"/>
      <c r="Z89" s="60"/>
      <c r="AA89" s="61"/>
    </row>
    <row r="90" spans="1:27" x14ac:dyDescent="0.25">
      <c r="E90" s="42"/>
      <c r="K90" s="32"/>
      <c r="L90" s="32"/>
      <c r="M90" s="32"/>
      <c r="Q90" s="58" t="s">
        <v>86</v>
      </c>
      <c r="R90" s="64">
        <f>R86+R84*(R87-R86)</f>
        <v>-0.42020092151031208</v>
      </c>
      <c r="S90" s="60"/>
      <c r="T90" s="60"/>
      <c r="U90" s="60"/>
      <c r="V90" s="60"/>
      <c r="W90" s="60"/>
      <c r="X90" s="60"/>
      <c r="Y90" s="60"/>
      <c r="Z90" s="60"/>
      <c r="AA90" s="61"/>
    </row>
    <row r="91" spans="1:27" x14ac:dyDescent="0.25">
      <c r="B91" t="s">
        <v>41</v>
      </c>
      <c r="C91" s="38">
        <f>D59-C59</f>
        <v>18093.267655116841</v>
      </c>
      <c r="D91" s="38">
        <f t="shared" ref="D91:N91" si="38">E59-D59</f>
        <v>180.93267655116506</v>
      </c>
      <c r="E91" s="38">
        <f t="shared" si="38"/>
        <v>182.7420033166818</v>
      </c>
      <c r="F91" s="38">
        <f t="shared" si="38"/>
        <v>184.56942334984706</v>
      </c>
      <c r="G91" s="38">
        <f t="shared" si="38"/>
        <v>186.41511758334309</v>
      </c>
      <c r="H91" s="38">
        <f t="shared" si="38"/>
        <v>188.27926875918274</v>
      </c>
      <c r="I91" s="38">
        <f t="shared" si="38"/>
        <v>190.16206144676835</v>
      </c>
      <c r="J91" s="38">
        <f t="shared" si="38"/>
        <v>192.06368206124171</v>
      </c>
      <c r="K91" s="38">
        <f t="shared" si="38"/>
        <v>193.98431888184859</v>
      </c>
      <c r="L91" s="38">
        <f t="shared" si="38"/>
        <v>195.92416207067072</v>
      </c>
      <c r="M91" s="38">
        <f t="shared" si="38"/>
        <v>197.88340369137222</v>
      </c>
      <c r="N91" s="38">
        <f t="shared" si="38"/>
        <v>-19956.223772828962</v>
      </c>
      <c r="Q91" s="58"/>
      <c r="R91" s="60"/>
      <c r="S91" s="60"/>
      <c r="T91" s="60"/>
      <c r="U91" s="60"/>
      <c r="V91" s="60"/>
      <c r="W91" s="60"/>
      <c r="X91" s="60"/>
      <c r="Y91" s="60"/>
      <c r="Z91" s="60"/>
      <c r="AA91" s="61"/>
    </row>
    <row r="92" spans="1:27" x14ac:dyDescent="0.25">
      <c r="B92" t="s">
        <v>64</v>
      </c>
      <c r="C92" s="38">
        <f>D75-C75</f>
        <v>2360.1036784313619</v>
      </c>
      <c r="D92" s="38">
        <f t="shared" ref="D92:N92" si="39">E75-D75</f>
        <v>-767.89851521566743</v>
      </c>
      <c r="E92" s="38">
        <f t="shared" si="39"/>
        <v>-1033.1089048478343</v>
      </c>
      <c r="F92" s="38">
        <f t="shared" si="39"/>
        <v>-1037.5007563315332</v>
      </c>
      <c r="G92" s="38">
        <f t="shared" si="39"/>
        <v>-1042.0972601456801</v>
      </c>
      <c r="H92" s="38">
        <f t="shared" si="39"/>
        <v>-1046.9020823042956</v>
      </c>
      <c r="I92" s="38">
        <f t="shared" si="39"/>
        <v>-1051.9189738230607</v>
      </c>
      <c r="J92" s="38">
        <f t="shared" si="39"/>
        <v>-1057.151772376953</v>
      </c>
      <c r="K92" s="38">
        <f t="shared" si="39"/>
        <v>-1062.6044039915896</v>
      </c>
      <c r="L92" s="38">
        <f t="shared" si="39"/>
        <v>-1068.2808847701763</v>
      </c>
      <c r="M92" s="38">
        <f t="shared" si="39"/>
        <v>-1074.1853226555158</v>
      </c>
      <c r="N92" s="38">
        <f t="shared" si="39"/>
        <v>7881.5451980309444</v>
      </c>
      <c r="Q92" s="65" t="s">
        <v>87</v>
      </c>
      <c r="R92" s="60"/>
      <c r="S92" s="60"/>
      <c r="T92" s="60"/>
      <c r="U92" s="60"/>
      <c r="V92" s="60"/>
      <c r="W92" s="66" t="s">
        <v>88</v>
      </c>
      <c r="X92" s="60"/>
      <c r="Y92" s="60"/>
      <c r="Z92" s="60"/>
      <c r="AA92" s="61"/>
    </row>
    <row r="93" spans="1:27" x14ac:dyDescent="0.25">
      <c r="E93" s="42"/>
      <c r="J93" s="44"/>
      <c r="K93" s="32"/>
      <c r="L93" s="32"/>
      <c r="M93" s="40"/>
      <c r="Q93" s="58" t="s">
        <v>51</v>
      </c>
      <c r="R93" s="60" t="s">
        <v>89</v>
      </c>
      <c r="S93" s="60" t="s">
        <v>32</v>
      </c>
      <c r="T93" s="60" t="s">
        <v>52</v>
      </c>
      <c r="U93" s="60" t="s">
        <v>48</v>
      </c>
      <c r="V93" s="60"/>
      <c r="W93" s="60" t="s">
        <v>89</v>
      </c>
      <c r="X93" s="60" t="s">
        <v>32</v>
      </c>
      <c r="Y93" s="60" t="s">
        <v>52</v>
      </c>
      <c r="Z93" s="60" t="s">
        <v>48</v>
      </c>
      <c r="AA93" s="61"/>
    </row>
    <row r="94" spans="1:27" x14ac:dyDescent="0.25">
      <c r="B94" s="41" t="s">
        <v>65</v>
      </c>
      <c r="C94" s="47">
        <f>SUM(C79:C92)</f>
        <v>-127217.45185017675</v>
      </c>
      <c r="D94" s="45">
        <f>SUM(D76:D92)</f>
        <v>6962.610009742697</v>
      </c>
      <c r="E94" s="45">
        <f t="shared" ref="E94:N94" si="40">SUM(E76:E92)</f>
        <v>5504.9179512994224</v>
      </c>
      <c r="F94" s="45">
        <f t="shared" si="40"/>
        <v>3907.8776173455126</v>
      </c>
      <c r="G94" s="45">
        <f t="shared" si="40"/>
        <v>2301.4849216047432</v>
      </c>
      <c r="H94" s="45">
        <f t="shared" si="40"/>
        <v>685.20421512900521</v>
      </c>
      <c r="I94" s="45">
        <f t="shared" si="40"/>
        <v>-941.5233488338763</v>
      </c>
      <c r="J94" s="45">
        <f t="shared" si="40"/>
        <v>-2579.2813611869888</v>
      </c>
      <c r="K94" s="45">
        <f t="shared" si="40"/>
        <v>-4228.6798190647387</v>
      </c>
      <c r="L94" s="45">
        <f t="shared" si="40"/>
        <v>-5890.3569127592464</v>
      </c>
      <c r="M94" s="45">
        <f t="shared" si="40"/>
        <v>-7963.898239860152</v>
      </c>
      <c r="N94" s="45">
        <f t="shared" si="40"/>
        <v>129258.11712475974</v>
      </c>
      <c r="Q94" s="67">
        <f>AVERAGE(D60:N60)</f>
        <v>88335.763062058977</v>
      </c>
      <c r="R94" s="68">
        <f>Q94/Q99</f>
        <v>0.70450955823240202</v>
      </c>
      <c r="S94" s="69">
        <f>[1]Mortgage!B2</f>
        <v>4.2900000000000001E-2</v>
      </c>
      <c r="T94" s="69">
        <f>S94*(1-$C$39)</f>
        <v>2.5739999999999999E-2</v>
      </c>
      <c r="U94" s="69">
        <f>R94*T94</f>
        <v>1.8134076028902029E-2</v>
      </c>
      <c r="V94" s="60"/>
      <c r="W94" s="70">
        <v>0.5</v>
      </c>
      <c r="X94" s="69">
        <f>S94</f>
        <v>4.2900000000000001E-2</v>
      </c>
      <c r="Y94" s="69">
        <f>X94*(1-$C$39)</f>
        <v>2.5739999999999999E-2</v>
      </c>
      <c r="Z94" s="69">
        <f>W94*Y94</f>
        <v>1.2869999999999999E-2</v>
      </c>
      <c r="AA94" s="61"/>
    </row>
    <row r="95" spans="1:27" x14ac:dyDescent="0.25">
      <c r="B95" s="46" t="s">
        <v>66</v>
      </c>
      <c r="C95" s="48">
        <f>IRR(C94:N94)</f>
        <v>-1.5760760518435113E-4</v>
      </c>
      <c r="Q95" s="67">
        <f>AVERAGE(D61:N61)</f>
        <v>93298.508009333047</v>
      </c>
      <c r="R95" s="68">
        <f>Q95/Q99</f>
        <v>0.74408923841208041</v>
      </c>
      <c r="S95" s="69">
        <f>C17</f>
        <v>0.09</v>
      </c>
      <c r="T95" s="69">
        <f>S95*(1-$C$39)</f>
        <v>5.3999999999999999E-2</v>
      </c>
      <c r="U95" s="69">
        <f>R95*T95</f>
        <v>4.0180818874252344E-2</v>
      </c>
      <c r="V95" s="60"/>
      <c r="W95" s="70">
        <v>0.4</v>
      </c>
      <c r="X95" s="69">
        <f>S95</f>
        <v>0.09</v>
      </c>
      <c r="Y95" s="69">
        <f>X95*(1-$C$39)</f>
        <v>5.3999999999999999E-2</v>
      </c>
      <c r="Z95" s="69">
        <f>W95*Y95</f>
        <v>2.1600000000000001E-2</v>
      </c>
      <c r="AA95" s="61"/>
    </row>
    <row r="96" spans="1:27" x14ac:dyDescent="0.25">
      <c r="B96" s="46" t="s">
        <v>67</v>
      </c>
      <c r="C96" s="49">
        <f>U99</f>
        <v>2.2987739667401377E-2</v>
      </c>
      <c r="Q96" s="67">
        <f>AVERAGE(D62:N62)</f>
        <v>15000</v>
      </c>
      <c r="R96" s="68"/>
      <c r="S96" s="60"/>
      <c r="T96" s="60"/>
      <c r="U96" s="60"/>
      <c r="V96" s="60"/>
      <c r="W96" s="70"/>
      <c r="X96" s="60"/>
      <c r="Y96" s="60"/>
      <c r="Z96" s="60"/>
      <c r="AA96" s="61"/>
    </row>
    <row r="97" spans="1:27" x14ac:dyDescent="0.25">
      <c r="B97" s="41" t="s">
        <v>68</v>
      </c>
      <c r="C97" s="50">
        <f>NPV(C96,D94:N94)</f>
        <v>101403.24033293646</v>
      </c>
      <c r="Q97" s="67">
        <f>AVERAGE(D63:N63)</f>
        <v>-71248.089961668928</v>
      </c>
      <c r="R97" s="68">
        <f>SUM(Q96:Q97)/Q99</f>
        <v>-0.44859879664448254</v>
      </c>
      <c r="S97" s="69">
        <f>R89</f>
        <v>7.8750000000000001E-2</v>
      </c>
      <c r="T97" s="69">
        <f>S97</f>
        <v>7.8750000000000001E-2</v>
      </c>
      <c r="U97" s="69">
        <f>R97*T97</f>
        <v>-3.5327155235752999E-2</v>
      </c>
      <c r="V97" s="60"/>
      <c r="W97" s="70">
        <v>0.1</v>
      </c>
      <c r="X97" s="69">
        <f>R90</f>
        <v>-0.42020092151031208</v>
      </c>
      <c r="Y97" s="69">
        <f>X97</f>
        <v>-0.42020092151031208</v>
      </c>
      <c r="Z97" s="69">
        <f>W97*Y97</f>
        <v>-4.202009215103121E-2</v>
      </c>
      <c r="AA97" s="61"/>
    </row>
    <row r="98" spans="1:27" x14ac:dyDescent="0.25">
      <c r="E98" s="42"/>
      <c r="Q98" s="78"/>
      <c r="R98" s="68"/>
      <c r="S98" s="60"/>
      <c r="T98" s="60"/>
      <c r="U98" s="60"/>
      <c r="V98" s="60"/>
      <c r="W98" s="68"/>
      <c r="X98" s="60"/>
      <c r="Y98" s="60"/>
      <c r="Z98" s="60"/>
      <c r="AA98" s="61"/>
    </row>
    <row r="99" spans="1:27" x14ac:dyDescent="0.25">
      <c r="C99" s="52"/>
      <c r="E99" s="42"/>
      <c r="G99" s="38"/>
      <c r="H99" s="38"/>
      <c r="I99" s="38"/>
      <c r="J99" s="38"/>
      <c r="Q99" s="71">
        <f>SUM(Q94:Q97)</f>
        <v>125386.1811097231</v>
      </c>
      <c r="R99" s="72">
        <f>SUM(R94:R98)</f>
        <v>0.99999999999999989</v>
      </c>
      <c r="S99" s="73"/>
      <c r="T99" s="73"/>
      <c r="U99" s="74">
        <f>SUM(U94:U98)</f>
        <v>2.2987739667401377E-2</v>
      </c>
      <c r="V99" s="75" t="s">
        <v>49</v>
      </c>
      <c r="W99" s="72">
        <f>SUM(W94:W98)</f>
        <v>1</v>
      </c>
      <c r="X99" s="73"/>
      <c r="Y99" s="73"/>
      <c r="Z99" s="74">
        <f>SUM(Z94:Z98)</f>
        <v>-7.5500921510312097E-3</v>
      </c>
      <c r="AA99" s="76" t="s">
        <v>49</v>
      </c>
    </row>
    <row r="100" spans="1:27" x14ac:dyDescent="0.25">
      <c r="A100" s="104" t="s">
        <v>120</v>
      </c>
      <c r="B100" s="81"/>
      <c r="C100" s="81"/>
      <c r="D100" s="81"/>
      <c r="E100" s="81"/>
      <c r="F100" s="81"/>
      <c r="G100" s="81"/>
      <c r="H100" s="81"/>
      <c r="I100" s="81"/>
    </row>
    <row r="101" spans="1:27" x14ac:dyDescent="0.25">
      <c r="A101" s="81"/>
      <c r="B101" s="81" t="s">
        <v>121</v>
      </c>
      <c r="C101" s="105">
        <f t="shared" ref="C101:M101" si="41">-(D60-C60)</f>
        <v>-98325.924881904313</v>
      </c>
      <c r="D101" s="105">
        <f t="shared" si="41"/>
        <v>1747.3220224725519</v>
      </c>
      <c r="E101" s="105">
        <f t="shared" si="41"/>
        <v>1823.7737465989921</v>
      </c>
      <c r="F101" s="105">
        <f t="shared" si="41"/>
        <v>1903.5705130512943</v>
      </c>
      <c r="G101" s="105">
        <f t="shared" si="41"/>
        <v>1986.8586796555755</v>
      </c>
      <c r="H101" s="105">
        <f t="shared" si="41"/>
        <v>2073.7910079280409</v>
      </c>
      <c r="I101" s="105">
        <f t="shared" si="41"/>
        <v>2164.5269432593777</v>
      </c>
      <c r="J101" s="105">
        <f t="shared" si="41"/>
        <v>2259.2329073587607</v>
      </c>
      <c r="K101" s="105">
        <f t="shared" si="41"/>
        <v>2358.082603493458</v>
      </c>
      <c r="L101" s="105">
        <f t="shared" si="41"/>
        <v>2461.2573350833409</v>
      </c>
      <c r="M101" s="105">
        <f t="shared" si="41"/>
        <v>2568.9463382356043</v>
      </c>
      <c r="N101" s="105"/>
    </row>
    <row r="102" spans="1:27" x14ac:dyDescent="0.25">
      <c r="A102" s="81"/>
      <c r="B102" s="81" t="s">
        <v>122</v>
      </c>
      <c r="C102" s="106"/>
      <c r="D102" s="81"/>
      <c r="E102" s="81"/>
      <c r="F102" s="81"/>
      <c r="G102" s="81"/>
      <c r="H102" s="107">
        <f>R88</f>
        <v>0</v>
      </c>
      <c r="I102" s="81"/>
      <c r="N102" s="37">
        <f>U66</f>
        <v>76978.562784767317</v>
      </c>
    </row>
    <row r="103" spans="1:27" x14ac:dyDescent="0.25">
      <c r="A103" s="81"/>
      <c r="B103" s="81" t="s">
        <v>123</v>
      </c>
      <c r="C103" s="106"/>
      <c r="D103" s="107">
        <f>D36</f>
        <v>4257.3380012283669</v>
      </c>
      <c r="E103" s="107">
        <f t="shared" ref="E103:N103" si="42">E36</f>
        <v>4184.0910968515009</v>
      </c>
      <c r="F103" s="107">
        <f t="shared" si="42"/>
        <v>4107.6393727250306</v>
      </c>
      <c r="G103" s="107">
        <f t="shared" si="42"/>
        <v>4027.8426062727967</v>
      </c>
      <c r="H103" s="107">
        <f t="shared" si="42"/>
        <v>3944.5544396684836</v>
      </c>
      <c r="I103" s="107">
        <f t="shared" si="42"/>
        <v>3857.6221113960082</v>
      </c>
      <c r="J103" s="107">
        <f t="shared" si="42"/>
        <v>3766.8861760646832</v>
      </c>
      <c r="K103" s="107">
        <f t="shared" si="42"/>
        <v>3672.180211965283</v>
      </c>
      <c r="L103" s="107">
        <f t="shared" si="42"/>
        <v>3573.3305158306098</v>
      </c>
      <c r="M103" s="107">
        <f t="shared" si="42"/>
        <v>3470.1557842407201</v>
      </c>
      <c r="N103" s="107">
        <f t="shared" si="42"/>
        <v>3362.4667810884698</v>
      </c>
    </row>
    <row r="104" spans="1:27" x14ac:dyDescent="0.25">
      <c r="A104" s="104" t="s">
        <v>124</v>
      </c>
      <c r="B104" s="81"/>
      <c r="C104" s="108">
        <f t="shared" ref="C104:N104" si="43">SUM(C101:C103)</f>
        <v>-98325.924881904313</v>
      </c>
      <c r="D104" s="108">
        <f t="shared" si="43"/>
        <v>6004.6600237009188</v>
      </c>
      <c r="E104" s="108">
        <f t="shared" si="43"/>
        <v>6007.864843450493</v>
      </c>
      <c r="F104" s="108">
        <f t="shared" si="43"/>
        <v>6011.2098857763249</v>
      </c>
      <c r="G104" s="108">
        <f t="shared" si="43"/>
        <v>6014.7012859283723</v>
      </c>
      <c r="H104" s="108">
        <f t="shared" si="43"/>
        <v>6018.3454475965245</v>
      </c>
      <c r="I104" s="108">
        <f t="shared" si="43"/>
        <v>6022.149054655386</v>
      </c>
      <c r="J104" s="108">
        <f t="shared" si="43"/>
        <v>6026.119083423444</v>
      </c>
      <c r="K104" s="108">
        <f t="shared" si="43"/>
        <v>6030.262815458741</v>
      </c>
      <c r="L104" s="108">
        <f t="shared" si="43"/>
        <v>6034.5878509139511</v>
      </c>
      <c r="M104" s="108">
        <f t="shared" si="43"/>
        <v>6039.1021224763244</v>
      </c>
      <c r="N104" s="108">
        <f t="shared" si="43"/>
        <v>80341.029565855788</v>
      </c>
    </row>
    <row r="105" spans="1:27" x14ac:dyDescent="0.25">
      <c r="A105" s="104"/>
      <c r="B105" s="81" t="s">
        <v>125</v>
      </c>
      <c r="C105" s="109">
        <v>0.1</v>
      </c>
      <c r="D105" s="108"/>
      <c r="E105" s="108"/>
      <c r="F105" s="108"/>
      <c r="G105" s="108"/>
      <c r="H105" s="108"/>
      <c r="I105" s="108"/>
      <c r="J105" s="108"/>
      <c r="K105" s="108"/>
      <c r="L105" s="108"/>
      <c r="M105" s="108"/>
      <c r="N105" s="108"/>
    </row>
    <row r="106" spans="1:27" x14ac:dyDescent="0.25">
      <c r="A106" s="104"/>
      <c r="B106" s="81" t="s">
        <v>126</v>
      </c>
      <c r="C106" s="109">
        <v>0.9</v>
      </c>
      <c r="D106" s="108"/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</row>
    <row r="107" spans="1:27" x14ac:dyDescent="0.25">
      <c r="A107" s="81"/>
      <c r="B107" s="104" t="s">
        <v>127</v>
      </c>
      <c r="C107" s="110">
        <f>IRR(C104:N104)</f>
        <v>4.3438681867970397E-2</v>
      </c>
      <c r="D107" s="109"/>
      <c r="E107" s="81"/>
      <c r="F107" s="81"/>
      <c r="G107" s="81"/>
      <c r="H107" s="81"/>
    </row>
    <row r="108" spans="1:27" x14ac:dyDescent="0.25">
      <c r="A108" s="81"/>
      <c r="B108" s="104" t="s">
        <v>128</v>
      </c>
      <c r="C108" s="110">
        <f>[1]Mortgage!B2</f>
        <v>4.2900000000000001E-2</v>
      </c>
      <c r="D108" s="109"/>
      <c r="E108" s="81"/>
      <c r="F108" s="81"/>
      <c r="G108" s="81"/>
      <c r="H108" s="81"/>
    </row>
    <row r="109" spans="1:27" x14ac:dyDescent="0.25">
      <c r="A109" s="81"/>
      <c r="B109" s="104" t="s">
        <v>129</v>
      </c>
      <c r="C109" s="111">
        <f>C105*C107+C106*C108</f>
        <v>4.2953868186797035E-2</v>
      </c>
      <c r="D109" s="81"/>
      <c r="E109" s="81"/>
      <c r="F109" s="81"/>
      <c r="G109" s="81"/>
      <c r="H109" s="81"/>
      <c r="I109" s="81"/>
    </row>
    <row r="112" spans="1:27" x14ac:dyDescent="0.25">
      <c r="A112" s="104" t="s">
        <v>130</v>
      </c>
      <c r="B112" s="81"/>
      <c r="C112" s="81"/>
      <c r="D112" s="81"/>
      <c r="E112" s="81"/>
      <c r="F112" s="81"/>
      <c r="G112" s="81"/>
      <c r="H112" s="81"/>
      <c r="I112" s="81"/>
      <c r="J112" s="81"/>
    </row>
    <row r="113" spans="1:15" x14ac:dyDescent="0.25">
      <c r="A113" s="81"/>
      <c r="B113" s="81" t="s">
        <v>121</v>
      </c>
      <c r="C113" s="107">
        <f t="shared" ref="C113:M113" si="44">-(D61-C61)</f>
        <v>-33679.988408630488</v>
      </c>
      <c r="D113" s="107">
        <f t="shared" si="44"/>
        <v>-868.73204478051775</v>
      </c>
      <c r="E113" s="107">
        <f t="shared" si="44"/>
        <v>-3837.5540691073256</v>
      </c>
      <c r="F113" s="107">
        <f t="shared" si="44"/>
        <v>-7114.6439616863645</v>
      </c>
      <c r="G113" s="107">
        <f t="shared" si="44"/>
        <v>-10731.281364703362</v>
      </c>
      <c r="H113" s="107">
        <f t="shared" si="44"/>
        <v>-14721.867495374288</v>
      </c>
      <c r="I113" s="107">
        <f t="shared" si="44"/>
        <v>-19124.235548858007</v>
      </c>
      <c r="J113" s="107">
        <f t="shared" si="44"/>
        <v>-23979.991920098706</v>
      </c>
      <c r="K113" s="107">
        <f t="shared" si="44"/>
        <v>-29334.891301942305</v>
      </c>
      <c r="L113" s="107">
        <f t="shared" si="44"/>
        <v>-35239.249019976676</v>
      </c>
      <c r="M113" s="107">
        <f t="shared" si="44"/>
        <v>-42186.764948831726</v>
      </c>
      <c r="N113" s="107"/>
    </row>
    <row r="114" spans="1:15" x14ac:dyDescent="0.25">
      <c r="A114" s="81"/>
      <c r="B114" s="81" t="s">
        <v>122</v>
      </c>
      <c r="C114" s="81"/>
      <c r="D114" s="81"/>
      <c r="E114" s="81"/>
      <c r="F114" s="81"/>
      <c r="G114" s="81"/>
      <c r="H114" s="107"/>
      <c r="I114" s="81"/>
      <c r="J114" s="81"/>
      <c r="N114" s="112">
        <f>U67</f>
        <v>36341.597683887776</v>
      </c>
      <c r="O114" s="30">
        <f>N114/N61</f>
        <v>0.16457625817893123</v>
      </c>
    </row>
    <row r="115" spans="1:15" x14ac:dyDescent="0.25">
      <c r="A115" s="81"/>
      <c r="B115" s="81" t="s">
        <v>123</v>
      </c>
      <c r="C115" s="81"/>
      <c r="D115" s="107">
        <f>D37</f>
        <v>3031.1989567767437</v>
      </c>
      <c r="E115" s="107">
        <f t="shared" ref="E115:N115" si="45">E37</f>
        <v>3109.3848408069903</v>
      </c>
      <c r="F115" s="107">
        <f t="shared" si="45"/>
        <v>3454.7647070266498</v>
      </c>
      <c r="G115" s="107">
        <f t="shared" si="45"/>
        <v>4095.0826635784224</v>
      </c>
      <c r="H115" s="107">
        <f t="shared" si="45"/>
        <v>5060.8979864017247</v>
      </c>
      <c r="I115" s="107">
        <f t="shared" si="45"/>
        <v>6385.8660609854105</v>
      </c>
      <c r="J115" s="107">
        <f t="shared" si="45"/>
        <v>8107.0472603826311</v>
      </c>
      <c r="K115" s="107">
        <f t="shared" si="45"/>
        <v>10265.246533191515</v>
      </c>
      <c r="L115" s="107">
        <f t="shared" si="45"/>
        <v>12905.386750366322</v>
      </c>
      <c r="M115" s="107">
        <f t="shared" si="45"/>
        <v>16076.919162164224</v>
      </c>
      <c r="N115" s="107">
        <f t="shared" si="45"/>
        <v>19873.728007559079</v>
      </c>
    </row>
    <row r="116" spans="1:15" x14ac:dyDescent="0.25">
      <c r="A116" s="104" t="s">
        <v>124</v>
      </c>
      <c r="B116" s="81"/>
      <c r="C116" s="107">
        <f>SUM(C113:C115)</f>
        <v>-33679.988408630488</v>
      </c>
      <c r="D116" s="107">
        <f t="shared" ref="D116:M116" si="46">SUM(D113:D115)</f>
        <v>2162.4669119962259</v>
      </c>
      <c r="E116" s="107">
        <f t="shared" si="46"/>
        <v>-728.16922830033536</v>
      </c>
      <c r="F116" s="107">
        <f t="shared" si="46"/>
        <v>-3659.8792546597147</v>
      </c>
      <c r="G116" s="107">
        <f t="shared" si="46"/>
        <v>-6636.1987011249394</v>
      </c>
      <c r="H116" s="107">
        <f t="shared" si="46"/>
        <v>-9660.9695089725647</v>
      </c>
      <c r="I116" s="107">
        <f t="shared" si="46"/>
        <v>-12738.369487872596</v>
      </c>
      <c r="J116" s="107">
        <f t="shared" si="46"/>
        <v>-15872.944659716075</v>
      </c>
      <c r="K116" s="107">
        <f t="shared" si="46"/>
        <v>-19069.64476875079</v>
      </c>
      <c r="L116" s="107">
        <f t="shared" si="46"/>
        <v>-22333.862269610356</v>
      </c>
      <c r="M116" s="107">
        <f t="shared" si="46"/>
        <v>-26109.845786667502</v>
      </c>
      <c r="N116" s="107">
        <f>SUM(N113:N115)</f>
        <v>56215.325691446851</v>
      </c>
    </row>
    <row r="117" spans="1:15" x14ac:dyDescent="0.25">
      <c r="A117" s="104"/>
      <c r="B117" s="81" t="s">
        <v>125</v>
      </c>
      <c r="C117" s="109">
        <v>0.1</v>
      </c>
      <c r="D117" s="107"/>
      <c r="E117" s="107"/>
      <c r="F117" s="107"/>
      <c r="G117" s="107"/>
      <c r="H117" s="107"/>
      <c r="I117" s="107"/>
      <c r="J117" s="107"/>
      <c r="K117" s="107"/>
      <c r="L117" s="107"/>
      <c r="M117" s="107"/>
      <c r="N117" s="107"/>
    </row>
    <row r="118" spans="1:15" x14ac:dyDescent="0.25">
      <c r="A118" s="104"/>
      <c r="B118" s="81" t="s">
        <v>126</v>
      </c>
      <c r="C118" s="109">
        <v>0.9</v>
      </c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</row>
    <row r="119" spans="1:15" x14ac:dyDescent="0.25">
      <c r="A119" s="81"/>
      <c r="B119" s="104" t="s">
        <v>127</v>
      </c>
      <c r="C119" s="113">
        <f>IRR(C116:N116,-0.16)</f>
        <v>-0.23102589750157654</v>
      </c>
      <c r="D119" s="81"/>
      <c r="E119" s="81"/>
      <c r="F119" s="81"/>
      <c r="G119" s="81"/>
      <c r="H119" s="81"/>
      <c r="J119" s="81"/>
    </row>
    <row r="120" spans="1:15" x14ac:dyDescent="0.25">
      <c r="A120" s="81"/>
      <c r="B120" s="104" t="s">
        <v>128</v>
      </c>
      <c r="C120" s="114">
        <f>C17</f>
        <v>0.09</v>
      </c>
      <c r="D120" s="81"/>
      <c r="E120" s="81"/>
      <c r="F120" s="81"/>
      <c r="G120" s="81"/>
      <c r="H120" s="81"/>
      <c r="J120" s="81"/>
    </row>
    <row r="121" spans="1:15" x14ac:dyDescent="0.25">
      <c r="A121" s="81"/>
      <c r="B121" s="104" t="s">
        <v>129</v>
      </c>
      <c r="C121" s="111">
        <f>(C117*C119)+(C118*C120)</f>
        <v>5.7897410249842352E-2</v>
      </c>
      <c r="D121" s="81"/>
      <c r="E121" s="81"/>
      <c r="F121" s="81"/>
      <c r="G121" s="81"/>
      <c r="H121" s="81"/>
      <c r="I121" s="81"/>
      <c r="J121" s="8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Forecast &amp; Options</vt:lpstr>
      <vt:lpstr>Mortgage</vt:lpstr>
      <vt:lpstr>Bankruptcy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2019-08-22T21:37:19Z</dcterms:created>
  <dcterms:modified xsi:type="dcterms:W3CDTF">2019-08-22T21:37:28Z</dcterms:modified>
</cp:coreProperties>
</file>