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codeName="ThisWorkbook"/>
  <bookViews>
    <workbookView xWindow="0" yWindow="0" windowWidth="20490" windowHeight="7755"/>
  </bookViews>
  <sheets>
    <sheet name="IRR and WACC" sheetId="4" r:id="rId1"/>
    <sheet name="Bankruptcy" sheetId="7" r:id="rId2"/>
    <sheet name="Options" sheetId="8" r:id="rId3"/>
    <sheet name="Mortgage" sheetId="2" r:id="rId4"/>
  </sheets>
  <externalReferences>
    <externalReference r:id="rId5"/>
  </externalReferences>
  <definedNames>
    <definedName name="_xlnm.Print_Area" localSheetId="0">'IRR and WACC'!$A$1:$AD$139</definedName>
  </definedNames>
  <calcPr calcId="145621"/>
</workbook>
</file>

<file path=xl/calcChain.xml><?xml version="1.0" encoding="utf-8"?>
<calcChain xmlns="http://schemas.openxmlformats.org/spreadsheetml/2006/main">
  <c r="E133" i="4" l="1"/>
  <c r="F133" i="4"/>
  <c r="G133" i="4"/>
  <c r="H133" i="4"/>
  <c r="I133" i="4"/>
  <c r="J133" i="4"/>
  <c r="K133" i="4"/>
  <c r="L133" i="4"/>
  <c r="M133" i="4"/>
  <c r="N133" i="4"/>
  <c r="O133" i="4"/>
  <c r="D133" i="4"/>
  <c r="O36" i="8" l="1"/>
  <c r="O35" i="8"/>
  <c r="L36" i="8"/>
  <c r="M36" i="8"/>
  <c r="N36" i="8"/>
  <c r="L35" i="8"/>
  <c r="M35" i="8"/>
  <c r="N35" i="8"/>
  <c r="J125" i="7"/>
  <c r="J121" i="7"/>
  <c r="K90" i="7"/>
  <c r="K37" i="7"/>
  <c r="K36" i="7"/>
  <c r="K35" i="7"/>
  <c r="K34" i="7"/>
  <c r="K33" i="7"/>
  <c r="K32" i="7"/>
  <c r="K26" i="7"/>
  <c r="K25" i="7"/>
  <c r="K24" i="7"/>
  <c r="K21" i="7"/>
  <c r="K20" i="7"/>
  <c r="K17" i="7"/>
  <c r="K16" i="7"/>
  <c r="K13" i="7"/>
  <c r="K12" i="7"/>
  <c r="K9" i="7"/>
  <c r="K8" i="7"/>
  <c r="K5" i="7"/>
  <c r="K6" i="7" s="1"/>
  <c r="K4" i="7"/>
  <c r="F6" i="8" l="1"/>
  <c r="J9" i="8" l="1"/>
  <c r="E36" i="8"/>
  <c r="F36" i="8"/>
  <c r="G36" i="8"/>
  <c r="H36" i="8"/>
  <c r="J36" i="8"/>
  <c r="D36" i="8"/>
  <c r="D34" i="8"/>
  <c r="E24" i="8"/>
  <c r="F24" i="8"/>
  <c r="G24" i="8"/>
  <c r="H24" i="8"/>
  <c r="I24" i="8"/>
  <c r="J24" i="8"/>
  <c r="K24" i="8"/>
  <c r="L24" i="8"/>
  <c r="M24" i="8"/>
  <c r="N24" i="8"/>
  <c r="D24" i="8"/>
  <c r="D10" i="8"/>
  <c r="D20" i="8"/>
  <c r="D6" i="8"/>
  <c r="E10" i="8"/>
  <c r="F10" i="8"/>
  <c r="G10" i="8"/>
  <c r="H10" i="8"/>
  <c r="I10" i="8"/>
  <c r="J10" i="8"/>
  <c r="K10" i="8"/>
  <c r="L10" i="8"/>
  <c r="M10" i="8"/>
  <c r="N10" i="8"/>
  <c r="R154" i="7" l="1"/>
  <c r="R153" i="7"/>
  <c r="R149" i="7"/>
  <c r="V148" i="7"/>
  <c r="U148" i="7"/>
  <c r="T148" i="7"/>
  <c r="S148" i="7"/>
  <c r="R148" i="7"/>
  <c r="R151" i="7" s="1"/>
  <c r="R144" i="7"/>
  <c r="R143" i="7"/>
  <c r="R139" i="7"/>
  <c r="K125" i="7"/>
  <c r="K126" i="7" s="1"/>
  <c r="I125" i="7"/>
  <c r="H125" i="7"/>
  <c r="G125" i="7"/>
  <c r="F125" i="7"/>
  <c r="E125" i="7"/>
  <c r="D125" i="7"/>
  <c r="K121" i="7"/>
  <c r="I121" i="7"/>
  <c r="I36" i="8" s="1"/>
  <c r="H121" i="7"/>
  <c r="G121" i="7"/>
  <c r="F121" i="7"/>
  <c r="K111" i="7"/>
  <c r="J111" i="7"/>
  <c r="S131" i="7"/>
  <c r="Q27" i="7"/>
  <c r="Q26" i="7"/>
  <c r="S24" i="7"/>
  <c r="Q24" i="7"/>
  <c r="S23" i="7"/>
  <c r="Q23" i="7"/>
  <c r="S22" i="7"/>
  <c r="I98" i="7"/>
  <c r="H98" i="7"/>
  <c r="G98" i="7"/>
  <c r="F98" i="7"/>
  <c r="E98" i="7"/>
  <c r="R138" i="7" s="1"/>
  <c r="R18" i="7"/>
  <c r="S26" i="7" s="1"/>
  <c r="T26" i="7" s="1"/>
  <c r="R116" i="7"/>
  <c r="R115" i="7"/>
  <c r="E88" i="7"/>
  <c r="D121" i="7" s="1"/>
  <c r="R10" i="7"/>
  <c r="S10" i="7" s="1"/>
  <c r="K83" i="7"/>
  <c r="J83" i="7"/>
  <c r="I83" i="7"/>
  <c r="H83" i="7"/>
  <c r="G83" i="7"/>
  <c r="F83" i="7"/>
  <c r="E83" i="7"/>
  <c r="R3" i="7"/>
  <c r="T23" i="7" s="1"/>
  <c r="I75" i="7"/>
  <c r="I111" i="7" s="1"/>
  <c r="H75" i="7"/>
  <c r="H111" i="7" s="1"/>
  <c r="G75" i="7"/>
  <c r="G111" i="7" s="1"/>
  <c r="F75" i="7"/>
  <c r="F111" i="7" s="1"/>
  <c r="E75" i="7"/>
  <c r="K72" i="7"/>
  <c r="J72" i="7"/>
  <c r="I72" i="7"/>
  <c r="W149" i="7" s="1"/>
  <c r="H72" i="7"/>
  <c r="V149" i="7" s="1"/>
  <c r="G72" i="7"/>
  <c r="U149" i="7" s="1"/>
  <c r="F72" i="7"/>
  <c r="T149" i="7" s="1"/>
  <c r="E72" i="7"/>
  <c r="S149" i="7" s="1"/>
  <c r="I71" i="7"/>
  <c r="W139" i="7" s="1"/>
  <c r="H71" i="7"/>
  <c r="V139" i="7" s="1"/>
  <c r="G71" i="7"/>
  <c r="U139" i="7" s="1"/>
  <c r="F71" i="7"/>
  <c r="T139" i="7" s="1"/>
  <c r="E71" i="7"/>
  <c r="S139" i="7" s="1"/>
  <c r="J66" i="7"/>
  <c r="J65" i="7"/>
  <c r="J64" i="7"/>
  <c r="J63" i="7"/>
  <c r="J62" i="7"/>
  <c r="E62" i="7"/>
  <c r="J61" i="7"/>
  <c r="E61" i="7"/>
  <c r="K60" i="7"/>
  <c r="J60" i="7"/>
  <c r="J52" i="7"/>
  <c r="E52" i="7"/>
  <c r="J48" i="7"/>
  <c r="E48" i="7"/>
  <c r="J47" i="7"/>
  <c r="E47" i="7"/>
  <c r="J46" i="7"/>
  <c r="E46" i="7"/>
  <c r="J45" i="7"/>
  <c r="E45" i="7"/>
  <c r="J44" i="7"/>
  <c r="E44" i="7"/>
  <c r="E37" i="7"/>
  <c r="E66" i="7" s="1"/>
  <c r="E36" i="7"/>
  <c r="E35" i="7"/>
  <c r="E64" i="7" s="1"/>
  <c r="E34" i="7"/>
  <c r="E63" i="7" s="1"/>
  <c r="F33" i="7"/>
  <c r="F62" i="7" s="1"/>
  <c r="F32" i="7"/>
  <c r="F61" i="7" s="1"/>
  <c r="I31" i="7"/>
  <c r="H31" i="7"/>
  <c r="G31" i="7"/>
  <c r="F31" i="7"/>
  <c r="E31" i="7"/>
  <c r="E60" i="7" s="1"/>
  <c r="F30" i="7"/>
  <c r="F26" i="7"/>
  <c r="G26" i="7" s="1"/>
  <c r="H26" i="7" s="1"/>
  <c r="I26" i="7" s="1"/>
  <c r="F25" i="7"/>
  <c r="G25" i="7" s="1"/>
  <c r="H25" i="7" s="1"/>
  <c r="F24" i="7"/>
  <c r="G24" i="7" s="1"/>
  <c r="H24" i="7" s="1"/>
  <c r="I24" i="7" s="1"/>
  <c r="J22" i="7"/>
  <c r="J56" i="7" s="1"/>
  <c r="E22" i="7"/>
  <c r="E56" i="7" s="1"/>
  <c r="F21" i="7"/>
  <c r="F22" i="7" s="1"/>
  <c r="F20" i="7"/>
  <c r="J18" i="7"/>
  <c r="J55" i="7" s="1"/>
  <c r="E18" i="7"/>
  <c r="E55" i="7" s="1"/>
  <c r="F17" i="7"/>
  <c r="G17" i="7" s="1"/>
  <c r="G18" i="7" s="1"/>
  <c r="F16" i="7"/>
  <c r="G16" i="7" s="1"/>
  <c r="J14" i="7"/>
  <c r="J54" i="7" s="1"/>
  <c r="E14" i="7"/>
  <c r="E54" i="7" s="1"/>
  <c r="F13" i="7"/>
  <c r="F14" i="7" s="1"/>
  <c r="F12" i="7"/>
  <c r="J10" i="7"/>
  <c r="J53" i="7" s="1"/>
  <c r="E10" i="7"/>
  <c r="E53" i="7" s="1"/>
  <c r="F9" i="7"/>
  <c r="G9" i="7" s="1"/>
  <c r="G10" i="7" s="1"/>
  <c r="F8" i="7"/>
  <c r="E6" i="7"/>
  <c r="F5" i="7"/>
  <c r="F6" i="7" s="1"/>
  <c r="F4" i="7"/>
  <c r="G4" i="7" s="1"/>
  <c r="R141" i="7" l="1"/>
  <c r="K117" i="7"/>
  <c r="J117" i="7"/>
  <c r="F35" i="7"/>
  <c r="F64" i="7" s="1"/>
  <c r="R124" i="7"/>
  <c r="R127" i="7" s="1"/>
  <c r="R130" i="7" s="1"/>
  <c r="S130" i="7" s="1"/>
  <c r="G32" i="7"/>
  <c r="H32" i="7" s="1"/>
  <c r="F60" i="7"/>
  <c r="F47" i="7"/>
  <c r="G33" i="7"/>
  <c r="H33" i="7" s="1"/>
  <c r="F34" i="7"/>
  <c r="G34" i="7" s="1"/>
  <c r="G63" i="7" s="1"/>
  <c r="F117" i="7"/>
  <c r="T22" i="7"/>
  <c r="K122" i="7"/>
  <c r="G21" i="7"/>
  <c r="S138" i="7"/>
  <c r="S141" i="7" s="1"/>
  <c r="U138" i="7"/>
  <c r="U141" i="7" s="1"/>
  <c r="H9" i="7"/>
  <c r="I9" i="7" s="1"/>
  <c r="I10" i="7" s="1"/>
  <c r="G5" i="7"/>
  <c r="G44" i="7" s="1"/>
  <c r="T151" i="7"/>
  <c r="F10" i="7"/>
  <c r="F53" i="7" s="1"/>
  <c r="J67" i="7"/>
  <c r="G8" i="7"/>
  <c r="G53" i="7" s="1"/>
  <c r="G13" i="7"/>
  <c r="H13" i="7" s="1"/>
  <c r="H14" i="7" s="1"/>
  <c r="J49" i="7"/>
  <c r="J85" i="7" s="1"/>
  <c r="G117" i="7"/>
  <c r="E121" i="7"/>
  <c r="F18" i="7"/>
  <c r="F55" i="7" s="1"/>
  <c r="F37" i="7"/>
  <c r="F66" i="7" s="1"/>
  <c r="E49" i="7"/>
  <c r="E85" i="7" s="1"/>
  <c r="D118" i="7" s="1"/>
  <c r="H4" i="7"/>
  <c r="G55" i="7"/>
  <c r="H16" i="7"/>
  <c r="F56" i="7"/>
  <c r="G20" i="7"/>
  <c r="F48" i="7"/>
  <c r="E65" i="7"/>
  <c r="E67" i="7" s="1"/>
  <c r="F36" i="7"/>
  <c r="E57" i="7"/>
  <c r="F52" i="7"/>
  <c r="F44" i="7"/>
  <c r="G61" i="7"/>
  <c r="F54" i="7"/>
  <c r="G12" i="7"/>
  <c r="J57" i="7"/>
  <c r="H17" i="7"/>
  <c r="F46" i="7"/>
  <c r="G47" i="7"/>
  <c r="F45" i="7"/>
  <c r="D117" i="7"/>
  <c r="E117" i="7"/>
  <c r="H117" i="7"/>
  <c r="I117" i="7"/>
  <c r="S110" i="7"/>
  <c r="G30" i="7"/>
  <c r="S151" i="7"/>
  <c r="M78" i="7"/>
  <c r="R15" i="7"/>
  <c r="V138" i="7"/>
  <c r="V141" i="7" s="1"/>
  <c r="U151" i="7"/>
  <c r="Q22" i="7"/>
  <c r="T138" i="7"/>
  <c r="T141" i="7" s="1"/>
  <c r="V151" i="7"/>
  <c r="E111" i="7"/>
  <c r="E90" i="7"/>
  <c r="T24" i="7"/>
  <c r="G35" i="7" l="1"/>
  <c r="G14" i="7"/>
  <c r="H10" i="7"/>
  <c r="I13" i="7"/>
  <c r="I14" i="7" s="1"/>
  <c r="H8" i="7"/>
  <c r="H45" i="7" s="1"/>
  <c r="H34" i="7"/>
  <c r="H63" i="7" s="1"/>
  <c r="F63" i="7"/>
  <c r="H21" i="7"/>
  <c r="G22" i="7"/>
  <c r="G56" i="7" s="1"/>
  <c r="H62" i="7"/>
  <c r="I33" i="7"/>
  <c r="I62" i="7" s="1"/>
  <c r="G45" i="7"/>
  <c r="G62" i="7"/>
  <c r="K123" i="7"/>
  <c r="G37" i="7"/>
  <c r="G66" i="7" s="1"/>
  <c r="G52" i="7"/>
  <c r="H5" i="7"/>
  <c r="H52" i="7" s="1"/>
  <c r="G6" i="7"/>
  <c r="F90" i="7"/>
  <c r="E96" i="7"/>
  <c r="D129" i="7" s="1"/>
  <c r="E86" i="7"/>
  <c r="D119" i="7" s="1"/>
  <c r="H47" i="7"/>
  <c r="I16" i="7"/>
  <c r="G64" i="7"/>
  <c r="H35" i="7"/>
  <c r="I32" i="7"/>
  <c r="I61" i="7" s="1"/>
  <c r="H61" i="7"/>
  <c r="Q28" i="7"/>
  <c r="R22" i="7" s="1"/>
  <c r="J96" i="7"/>
  <c r="J86" i="7"/>
  <c r="F49" i="7"/>
  <c r="G36" i="7"/>
  <c r="F65" i="7"/>
  <c r="J69" i="7"/>
  <c r="G54" i="7"/>
  <c r="G46" i="7"/>
  <c r="H12" i="7"/>
  <c r="S132" i="7"/>
  <c r="T131" i="7" s="1"/>
  <c r="G60" i="7"/>
  <c r="H30" i="7"/>
  <c r="I17" i="7"/>
  <c r="I18" i="7" s="1"/>
  <c r="H18" i="7"/>
  <c r="H55" i="7" s="1"/>
  <c r="F57" i="7"/>
  <c r="G48" i="7"/>
  <c r="H20" i="7"/>
  <c r="I4" i="7"/>
  <c r="E69" i="7"/>
  <c r="H53" i="7" l="1"/>
  <c r="I8" i="7"/>
  <c r="H44" i="7"/>
  <c r="I34" i="7"/>
  <c r="I63" i="7" s="1"/>
  <c r="F67" i="7"/>
  <c r="F69" i="7" s="1"/>
  <c r="H37" i="7"/>
  <c r="H22" i="7"/>
  <c r="H56" i="7" s="1"/>
  <c r="I21" i="7"/>
  <c r="I22" i="7" s="1"/>
  <c r="T130" i="7"/>
  <c r="G49" i="7"/>
  <c r="G57" i="7"/>
  <c r="G96" i="7" s="1"/>
  <c r="H6" i="7"/>
  <c r="I5" i="7"/>
  <c r="I6" i="7" s="1"/>
  <c r="G85" i="7"/>
  <c r="H60" i="7"/>
  <c r="I30" i="7"/>
  <c r="I60" i="7" s="1"/>
  <c r="U22" i="7"/>
  <c r="K64" i="7"/>
  <c r="E92" i="7"/>
  <c r="J110" i="7"/>
  <c r="J77" i="7"/>
  <c r="K22" i="7"/>
  <c r="R23" i="7"/>
  <c r="R26" i="7"/>
  <c r="R24" i="7"/>
  <c r="I55" i="7"/>
  <c r="I47" i="7"/>
  <c r="K14" i="7"/>
  <c r="G90" i="7"/>
  <c r="H64" i="7"/>
  <c r="I35" i="7"/>
  <c r="I64" i="7" s="1"/>
  <c r="I20" i="7"/>
  <c r="H48" i="7"/>
  <c r="H54" i="7"/>
  <c r="I12" i="7"/>
  <c r="H46" i="7"/>
  <c r="I53" i="7"/>
  <c r="I45" i="7"/>
  <c r="H66" i="7"/>
  <c r="I37" i="7"/>
  <c r="I66" i="7" s="1"/>
  <c r="F96" i="7"/>
  <c r="E129" i="7" s="1"/>
  <c r="F86" i="7"/>
  <c r="E119" i="7" s="1"/>
  <c r="F85" i="7"/>
  <c r="E118" i="7" s="1"/>
  <c r="J92" i="7"/>
  <c r="E110" i="7"/>
  <c r="E77" i="7"/>
  <c r="G65" i="7"/>
  <c r="G67" i="7" s="1"/>
  <c r="H36" i="7"/>
  <c r="K127" i="7"/>
  <c r="K36" i="8" s="1"/>
  <c r="G86" i="7" l="1"/>
  <c r="G69" i="7"/>
  <c r="G110" i="7" s="1"/>
  <c r="H57" i="7"/>
  <c r="H86" i="7" s="1"/>
  <c r="G119" i="7" s="1"/>
  <c r="I44" i="7"/>
  <c r="I52" i="7"/>
  <c r="F129" i="7"/>
  <c r="H49" i="7"/>
  <c r="R28" i="7"/>
  <c r="I56" i="7"/>
  <c r="I48" i="7"/>
  <c r="J112" i="7"/>
  <c r="K66" i="7"/>
  <c r="F77" i="7"/>
  <c r="F110" i="7"/>
  <c r="K63" i="7"/>
  <c r="K65" i="7"/>
  <c r="K10" i="7"/>
  <c r="K53" i="7" s="1"/>
  <c r="U24" i="7"/>
  <c r="F119" i="7"/>
  <c r="I46" i="7"/>
  <c r="I54" i="7"/>
  <c r="I57" i="7" s="1"/>
  <c r="G92" i="7"/>
  <c r="H90" i="7"/>
  <c r="U26" i="7"/>
  <c r="E112" i="7"/>
  <c r="K18" i="7"/>
  <c r="K55" i="7" s="1"/>
  <c r="H85" i="7"/>
  <c r="G118" i="7" s="1"/>
  <c r="K61" i="7"/>
  <c r="H65" i="7"/>
  <c r="H67" i="7" s="1"/>
  <c r="I36" i="7"/>
  <c r="I65" i="7" s="1"/>
  <c r="I67" i="7" s="1"/>
  <c r="E78" i="7"/>
  <c r="E95" i="7" s="1"/>
  <c r="K62" i="7"/>
  <c r="F92" i="7"/>
  <c r="U23" i="7"/>
  <c r="J78" i="7"/>
  <c r="J95" i="7" s="1"/>
  <c r="F118" i="7"/>
  <c r="H69" i="7" l="1"/>
  <c r="G77" i="7"/>
  <c r="H96" i="7"/>
  <c r="G129" i="7" s="1"/>
  <c r="U28" i="7"/>
  <c r="D135" i="7" s="1"/>
  <c r="D41" i="8" s="1"/>
  <c r="K45" i="7"/>
  <c r="E79" i="7"/>
  <c r="E102" i="7" s="1"/>
  <c r="E105" i="7" s="1"/>
  <c r="E107" i="7" s="1"/>
  <c r="I49" i="7"/>
  <c r="I85" i="7" s="1"/>
  <c r="H110" i="7"/>
  <c r="H77" i="7"/>
  <c r="J113" i="7"/>
  <c r="J105" i="7"/>
  <c r="J107" i="7" s="1"/>
  <c r="J79" i="7"/>
  <c r="K67" i="7"/>
  <c r="K48" i="7"/>
  <c r="K56" i="7"/>
  <c r="F112" i="7"/>
  <c r="K44" i="7"/>
  <c r="K52" i="7"/>
  <c r="G78" i="7"/>
  <c r="G95" i="7" s="1"/>
  <c r="I90" i="7"/>
  <c r="H92" i="7"/>
  <c r="I96" i="7"/>
  <c r="I86" i="7"/>
  <c r="E113" i="7"/>
  <c r="K54" i="7"/>
  <c r="K46" i="7"/>
  <c r="K47" i="7"/>
  <c r="F78" i="7"/>
  <c r="F95" i="7" s="1"/>
  <c r="G112" i="7"/>
  <c r="I69" i="7" l="1"/>
  <c r="I110" i="7" s="1"/>
  <c r="F79" i="7"/>
  <c r="F102" i="7" s="1"/>
  <c r="F105" i="7" s="1"/>
  <c r="F107" i="7" s="1"/>
  <c r="K57" i="7"/>
  <c r="K86" i="7" s="1"/>
  <c r="J119" i="7" s="1"/>
  <c r="H78" i="7"/>
  <c r="H95" i="7" s="1"/>
  <c r="I92" i="7"/>
  <c r="G79" i="7"/>
  <c r="H112" i="7"/>
  <c r="I77" i="7"/>
  <c r="G113" i="7"/>
  <c r="H119" i="7"/>
  <c r="S113" i="7"/>
  <c r="I119" i="7"/>
  <c r="F113" i="7"/>
  <c r="D130" i="7"/>
  <c r="E114" i="7"/>
  <c r="E34" i="8" s="1"/>
  <c r="H129" i="7"/>
  <c r="S123" i="7"/>
  <c r="I129" i="7"/>
  <c r="K49" i="7"/>
  <c r="J114" i="7"/>
  <c r="J34" i="8" s="1"/>
  <c r="K34" i="8" s="1"/>
  <c r="L34" i="8" s="1"/>
  <c r="M34" i="8" s="1"/>
  <c r="N34" i="8" s="1"/>
  <c r="O34" i="8" s="1"/>
  <c r="H118" i="7"/>
  <c r="S112" i="7"/>
  <c r="I118" i="7"/>
  <c r="D132" i="7" l="1"/>
  <c r="D35" i="8"/>
  <c r="D38" i="8" s="1"/>
  <c r="K96" i="7"/>
  <c r="G102" i="7"/>
  <c r="G105" i="7" s="1"/>
  <c r="G107" i="7" s="1"/>
  <c r="S124" i="7"/>
  <c r="S127" i="7" s="1"/>
  <c r="U131" i="7" s="1"/>
  <c r="V131" i="7" s="1"/>
  <c r="H79" i="7"/>
  <c r="I112" i="7"/>
  <c r="K119" i="7"/>
  <c r="H113" i="7"/>
  <c r="I78" i="7"/>
  <c r="I95" i="7" s="1"/>
  <c r="E130" i="7"/>
  <c r="E35" i="8" s="1"/>
  <c r="E38" i="8" s="1"/>
  <c r="F114" i="7"/>
  <c r="F34" i="8" s="1"/>
  <c r="K85" i="7"/>
  <c r="J118" i="7" s="1"/>
  <c r="K69" i="7"/>
  <c r="F130" i="7"/>
  <c r="F35" i="8" s="1"/>
  <c r="G114" i="7"/>
  <c r="G34" i="8" s="1"/>
  <c r="K129" i="7" l="1"/>
  <c r="J129" i="7"/>
  <c r="E132" i="7"/>
  <c r="U130" i="7"/>
  <c r="V130" i="7" s="1"/>
  <c r="W130" i="7" s="1"/>
  <c r="H102" i="7"/>
  <c r="H105" i="7" s="1"/>
  <c r="H107" i="7" s="1"/>
  <c r="F38" i="8"/>
  <c r="F132" i="7"/>
  <c r="I79" i="7"/>
  <c r="K110" i="7"/>
  <c r="K77" i="7"/>
  <c r="I113" i="7"/>
  <c r="K118" i="7"/>
  <c r="K92" i="7"/>
  <c r="G130" i="7"/>
  <c r="H114" i="7"/>
  <c r="H34" i="8" s="1"/>
  <c r="W150" i="7"/>
  <c r="W151" i="7" s="1"/>
  <c r="R152" i="7" s="1"/>
  <c r="R155" i="7" s="1"/>
  <c r="W131" i="7"/>
  <c r="W140" i="7" l="1"/>
  <c r="W141" i="7" s="1"/>
  <c r="R142" i="7" s="1"/>
  <c r="R145" i="7" s="1"/>
  <c r="I102" i="7"/>
  <c r="I105" i="7" s="1"/>
  <c r="I107" i="7" s="1"/>
  <c r="G132" i="7"/>
  <c r="G35" i="8"/>
  <c r="G38" i="8" s="1"/>
  <c r="K112" i="7"/>
  <c r="H130" i="7"/>
  <c r="I130" i="7"/>
  <c r="I35" i="8" s="1"/>
  <c r="I114" i="7"/>
  <c r="K78" i="7"/>
  <c r="K95" i="7" s="1"/>
  <c r="L38" i="8" l="1"/>
  <c r="I132" i="7"/>
  <c r="I34" i="8"/>
  <c r="I38" i="8" s="1"/>
  <c r="H132" i="7"/>
  <c r="H35" i="8"/>
  <c r="H38" i="8" s="1"/>
  <c r="K113" i="7"/>
  <c r="J130" i="7" s="1"/>
  <c r="K105" i="7"/>
  <c r="K107" i="7" s="1"/>
  <c r="K79" i="7"/>
  <c r="J132" i="7" l="1"/>
  <c r="J35" i="8"/>
  <c r="J38" i="8" s="1"/>
  <c r="M38" i="8"/>
  <c r="K130" i="7"/>
  <c r="K35" i="8" s="1"/>
  <c r="K38" i="8" s="1"/>
  <c r="N38" i="8"/>
  <c r="K114" i="7"/>
  <c r="K132" i="7" l="1"/>
  <c r="O38" i="8"/>
  <c r="D39" i="8" s="1"/>
  <c r="D136" i="7"/>
  <c r="E124" i="4"/>
  <c r="F124" i="4"/>
  <c r="G124" i="4"/>
  <c r="H124" i="4"/>
  <c r="I124" i="4"/>
  <c r="J124" i="4"/>
  <c r="K124" i="4"/>
  <c r="L124" i="4"/>
  <c r="M124" i="4"/>
  <c r="N124" i="4"/>
  <c r="O124" i="4"/>
  <c r="O125" i="4" s="1"/>
  <c r="F120" i="4"/>
  <c r="G120" i="4"/>
  <c r="H120" i="4"/>
  <c r="I120" i="4"/>
  <c r="J120" i="4"/>
  <c r="K120" i="4"/>
  <c r="L120" i="4"/>
  <c r="M120" i="4"/>
  <c r="N120" i="4"/>
  <c r="O120" i="4"/>
  <c r="R120" i="4" s="1"/>
  <c r="D124" i="4"/>
  <c r="V81" i="4"/>
  <c r="E37" i="4"/>
  <c r="E66" i="4" s="1"/>
  <c r="E35" i="4"/>
  <c r="E64" i="4" s="1"/>
  <c r="E34" i="4"/>
  <c r="F34" i="4" s="1"/>
  <c r="F75" i="4"/>
  <c r="F110" i="4" s="1"/>
  <c r="G75" i="4"/>
  <c r="G110" i="4" s="1"/>
  <c r="H75" i="4"/>
  <c r="H110" i="4" s="1"/>
  <c r="I75" i="4"/>
  <c r="I110" i="4" s="1"/>
  <c r="J75" i="4"/>
  <c r="J110" i="4" s="1"/>
  <c r="K75" i="4"/>
  <c r="K110" i="4" s="1"/>
  <c r="L75" i="4"/>
  <c r="L110" i="4" s="1"/>
  <c r="M75" i="4"/>
  <c r="M110" i="4" s="1"/>
  <c r="N75" i="4"/>
  <c r="N110" i="4" s="1"/>
  <c r="O75" i="4"/>
  <c r="O110" i="4" s="1"/>
  <c r="E75" i="4"/>
  <c r="E90" i="4" s="1"/>
  <c r="F90" i="4" l="1"/>
  <c r="F37" i="4"/>
  <c r="F66" i="4" s="1"/>
  <c r="E63" i="4"/>
  <c r="F63" i="4"/>
  <c r="G34" i="4"/>
  <c r="G90" i="4"/>
  <c r="H90" i="4" s="1"/>
  <c r="I90" i="4" s="1"/>
  <c r="J90" i="4" s="1"/>
  <c r="K90" i="4" s="1"/>
  <c r="L90" i="4" s="1"/>
  <c r="M90" i="4" s="1"/>
  <c r="N90" i="4" s="1"/>
  <c r="O90" i="4" s="1"/>
  <c r="R124" i="4" s="1"/>
  <c r="R125" i="4" s="1"/>
  <c r="O126" i="4" s="1"/>
  <c r="D42" i="8"/>
  <c r="D133" i="7"/>
  <c r="O121" i="4"/>
  <c r="R121" i="4" s="1"/>
  <c r="O122" i="4" s="1"/>
  <c r="E110" i="4"/>
  <c r="E88" i="4"/>
  <c r="G37" i="4" l="1"/>
  <c r="H37" i="4" s="1"/>
  <c r="E120" i="4"/>
  <c r="D120" i="4"/>
  <c r="H34" i="4"/>
  <c r="G63" i="4"/>
  <c r="G66" i="4"/>
  <c r="I16" i="2"/>
  <c r="F83" i="4"/>
  <c r="G83" i="4"/>
  <c r="H83" i="4"/>
  <c r="I83" i="4"/>
  <c r="J83" i="4"/>
  <c r="K83" i="4"/>
  <c r="L83" i="4"/>
  <c r="M83" i="4"/>
  <c r="N83" i="4"/>
  <c r="O83" i="4"/>
  <c r="E83" i="4"/>
  <c r="E62" i="4"/>
  <c r="E61" i="4"/>
  <c r="F35" i="4"/>
  <c r="F64" i="4" s="1"/>
  <c r="E36" i="4"/>
  <c r="F36" i="4" s="1"/>
  <c r="F65" i="4" s="1"/>
  <c r="F33" i="4"/>
  <c r="G33" i="4" s="1"/>
  <c r="F32" i="4"/>
  <c r="F61" i="4" s="1"/>
  <c r="B3" i="2" l="1"/>
  <c r="I8" i="2"/>
  <c r="I34" i="4"/>
  <c r="H63" i="4"/>
  <c r="I37" i="4"/>
  <c r="H66" i="4"/>
  <c r="U104" i="4"/>
  <c r="F62" i="4"/>
  <c r="H33" i="4"/>
  <c r="G62" i="4"/>
  <c r="G36" i="4"/>
  <c r="G65" i="4" s="1"/>
  <c r="G32" i="4"/>
  <c r="E65" i="4"/>
  <c r="G35" i="4"/>
  <c r="G64" i="4" s="1"/>
  <c r="F31" i="4"/>
  <c r="G31" i="4"/>
  <c r="H31" i="4"/>
  <c r="I31" i="4"/>
  <c r="J31" i="4"/>
  <c r="K31" i="4"/>
  <c r="L31" i="4"/>
  <c r="M31" i="4"/>
  <c r="N31" i="4"/>
  <c r="O31" i="4"/>
  <c r="E31" i="4"/>
  <c r="J34" i="4" l="1"/>
  <c r="I63" i="4"/>
  <c r="J37" i="4"/>
  <c r="I66" i="4"/>
  <c r="H35" i="4"/>
  <c r="H64" i="4" s="1"/>
  <c r="H36" i="4"/>
  <c r="H65" i="4" s="1"/>
  <c r="H32" i="4"/>
  <c r="G61" i="4"/>
  <c r="I33" i="4"/>
  <c r="H62" i="4"/>
  <c r="E6" i="4"/>
  <c r="E10" i="4"/>
  <c r="E14" i="4"/>
  <c r="E54" i="4" s="1"/>
  <c r="E18" i="4"/>
  <c r="E55" i="4" s="1"/>
  <c r="E22" i="4"/>
  <c r="F26" i="4"/>
  <c r="G26" i="4" s="1"/>
  <c r="H26" i="4" s="1"/>
  <c r="I26" i="4" s="1"/>
  <c r="J26" i="4" s="1"/>
  <c r="K26" i="4" s="1"/>
  <c r="L26" i="4" s="1"/>
  <c r="M26" i="4" s="1"/>
  <c r="N26" i="4" s="1"/>
  <c r="O26" i="4" s="1"/>
  <c r="U101" i="4"/>
  <c r="E116" i="4"/>
  <c r="F116" i="4"/>
  <c r="G116" i="4"/>
  <c r="H116" i="4"/>
  <c r="I116" i="4"/>
  <c r="J116" i="4"/>
  <c r="K116" i="4"/>
  <c r="L116" i="4"/>
  <c r="M116" i="4"/>
  <c r="N116" i="4"/>
  <c r="O116" i="4"/>
  <c r="W101" i="4"/>
  <c r="X101" i="4" s="1"/>
  <c r="W100" i="4"/>
  <c r="X100" i="4" s="1"/>
  <c r="F72" i="4"/>
  <c r="G72" i="4"/>
  <c r="H72" i="4"/>
  <c r="I72" i="4"/>
  <c r="J72" i="4"/>
  <c r="K72" i="4"/>
  <c r="L72" i="4"/>
  <c r="M72" i="4"/>
  <c r="N72" i="4"/>
  <c r="O72" i="4"/>
  <c r="E72" i="4"/>
  <c r="Q78" i="4"/>
  <c r="E52" i="4"/>
  <c r="E48" i="4"/>
  <c r="E47" i="4"/>
  <c r="E46" i="4"/>
  <c r="E45" i="4"/>
  <c r="E44" i="4"/>
  <c r="F30" i="4"/>
  <c r="F60" i="4" s="1"/>
  <c r="F67" i="4" s="1"/>
  <c r="E60" i="4"/>
  <c r="E67" i="4" s="1"/>
  <c r="E56" i="4"/>
  <c r="E53" i="4"/>
  <c r="K34" i="4" l="1"/>
  <c r="J63" i="4"/>
  <c r="K37" i="4"/>
  <c r="J66" i="4"/>
  <c r="J33" i="4"/>
  <c r="I62" i="4"/>
  <c r="I36" i="4"/>
  <c r="I65" i="4" s="1"/>
  <c r="I35" i="4"/>
  <c r="I64" i="4" s="1"/>
  <c r="I32" i="4"/>
  <c r="H61" i="4"/>
  <c r="G30" i="4"/>
  <c r="G60" i="4" s="1"/>
  <c r="G67" i="4" s="1"/>
  <c r="L34" i="4" l="1"/>
  <c r="K63" i="4"/>
  <c r="L37" i="4"/>
  <c r="K66" i="4"/>
  <c r="J32" i="4"/>
  <c r="I61" i="4"/>
  <c r="J36" i="4"/>
  <c r="J65" i="4" s="1"/>
  <c r="J35" i="4"/>
  <c r="J64" i="4" s="1"/>
  <c r="K33" i="4"/>
  <c r="J62" i="4"/>
  <c r="H30" i="4"/>
  <c r="H60" i="4" s="1"/>
  <c r="H67" i="4" s="1"/>
  <c r="M34" i="4" l="1"/>
  <c r="L63" i="4"/>
  <c r="M37" i="4"/>
  <c r="L66" i="4"/>
  <c r="L33" i="4"/>
  <c r="K62" i="4"/>
  <c r="K36" i="4"/>
  <c r="K65" i="4" s="1"/>
  <c r="K35" i="4"/>
  <c r="K64" i="4" s="1"/>
  <c r="K32" i="4"/>
  <c r="J61" i="4"/>
  <c r="I30" i="4"/>
  <c r="I60" i="4" s="1"/>
  <c r="I67" i="4" s="1"/>
  <c r="N34" i="4" l="1"/>
  <c r="M63" i="4"/>
  <c r="N37" i="4"/>
  <c r="M66" i="4"/>
  <c r="L32" i="4"/>
  <c r="K61" i="4"/>
  <c r="L36" i="4"/>
  <c r="L65" i="4" s="1"/>
  <c r="L35" i="4"/>
  <c r="L64" i="4" s="1"/>
  <c r="M33" i="4"/>
  <c r="L62" i="4"/>
  <c r="J30" i="4"/>
  <c r="J60" i="4" s="1"/>
  <c r="J67" i="4" s="1"/>
  <c r="O34" i="4" l="1"/>
  <c r="O63" i="4" s="1"/>
  <c r="N63" i="4"/>
  <c r="O37" i="4"/>
  <c r="O66" i="4" s="1"/>
  <c r="N66" i="4"/>
  <c r="N33" i="4"/>
  <c r="M62" i="4"/>
  <c r="M36" i="4"/>
  <c r="M65" i="4" s="1"/>
  <c r="M35" i="4"/>
  <c r="M64" i="4" s="1"/>
  <c r="M32" i="4"/>
  <c r="L61" i="4"/>
  <c r="K30" i="4"/>
  <c r="K60" i="4" s="1"/>
  <c r="K67" i="4" s="1"/>
  <c r="N32" i="4" l="1"/>
  <c r="M61" i="4"/>
  <c r="N36" i="4"/>
  <c r="N65" i="4" s="1"/>
  <c r="N35" i="4"/>
  <c r="N64" i="4" s="1"/>
  <c r="O33" i="4"/>
  <c r="N62" i="4"/>
  <c r="L30" i="4"/>
  <c r="L60" i="4" s="1"/>
  <c r="L67" i="4" s="1"/>
  <c r="O35" i="4" l="1"/>
  <c r="O64" i="4" s="1"/>
  <c r="O62" i="4"/>
  <c r="O36" i="4"/>
  <c r="O65" i="4" s="1"/>
  <c r="O32" i="4"/>
  <c r="N61" i="4"/>
  <c r="M30" i="4"/>
  <c r="M60" i="4" s="1"/>
  <c r="M67" i="4" s="1"/>
  <c r="O61" i="4" l="1"/>
  <c r="N30" i="4"/>
  <c r="N60" i="4" s="1"/>
  <c r="N67" i="4" s="1"/>
  <c r="O30" i="4" l="1"/>
  <c r="O60" i="4" s="1"/>
  <c r="O67" i="4" s="1"/>
  <c r="D116" i="4" l="1"/>
  <c r="V88" i="4"/>
  <c r="W88" i="4" s="1"/>
  <c r="V96" i="4"/>
  <c r="W103" i="4" s="1"/>
  <c r="AB101" i="4"/>
  <c r="AC101" i="4" s="1"/>
  <c r="X103" i="4" l="1"/>
  <c r="V93" i="4"/>
  <c r="F21" i="4" l="1"/>
  <c r="F22" i="4" s="1"/>
  <c r="F20" i="4"/>
  <c r="F17" i="4"/>
  <c r="F18" i="4" s="1"/>
  <c r="F16" i="4"/>
  <c r="F13" i="4"/>
  <c r="F14" i="4" s="1"/>
  <c r="F12" i="4"/>
  <c r="F9" i="4"/>
  <c r="F10" i="4" s="1"/>
  <c r="F8" i="4"/>
  <c r="E57" i="4"/>
  <c r="E96" i="4" s="1"/>
  <c r="D128" i="4" s="1"/>
  <c r="E49" i="4"/>
  <c r="E85" i="4" s="1"/>
  <c r="G12" i="4" l="1"/>
  <c r="F46" i="4"/>
  <c r="G8" i="4"/>
  <c r="F45" i="4"/>
  <c r="G16" i="4"/>
  <c r="F47" i="4"/>
  <c r="G20" i="4"/>
  <c r="F48" i="4"/>
  <c r="E69" i="4"/>
  <c r="G21" i="4"/>
  <c r="G22" i="4" s="1"/>
  <c r="F56" i="4"/>
  <c r="G17" i="4"/>
  <c r="G18" i="4" s="1"/>
  <c r="F55" i="4"/>
  <c r="G13" i="4"/>
  <c r="G14" i="4" s="1"/>
  <c r="F54" i="4"/>
  <c r="G9" i="4"/>
  <c r="G10" i="4" s="1"/>
  <c r="F53" i="4"/>
  <c r="D117" i="4"/>
  <c r="E86" i="4"/>
  <c r="E92" i="4" s="1"/>
  <c r="F4" i="4"/>
  <c r="F5" i="4"/>
  <c r="F6" i="4" s="1"/>
  <c r="F25" i="4"/>
  <c r="F24" i="4"/>
  <c r="I6" i="2"/>
  <c r="I10" i="2" s="1"/>
  <c r="I3" i="2"/>
  <c r="D3" i="2"/>
  <c r="E179" i="2" l="1"/>
  <c r="E175" i="2"/>
  <c r="E171" i="2"/>
  <c r="E164" i="2"/>
  <c r="E160" i="2"/>
  <c r="E156" i="2"/>
  <c r="E149" i="2"/>
  <c r="E145" i="2"/>
  <c r="E141" i="2"/>
  <c r="E134" i="2"/>
  <c r="E130" i="2"/>
  <c r="E126" i="2"/>
  <c r="E119" i="2"/>
  <c r="E115" i="2"/>
  <c r="E111" i="2"/>
  <c r="E104" i="2"/>
  <c r="E100" i="2"/>
  <c r="E96" i="2"/>
  <c r="E89" i="2"/>
  <c r="E85" i="2"/>
  <c r="E81" i="2"/>
  <c r="E173" i="2"/>
  <c r="E162" i="2"/>
  <c r="E154" i="2"/>
  <c r="E143" i="2"/>
  <c r="E132" i="2"/>
  <c r="E124" i="2"/>
  <c r="E113" i="2"/>
  <c r="E102" i="2"/>
  <c r="E94" i="2"/>
  <c r="E83" i="2"/>
  <c r="E172" i="2"/>
  <c r="E161" i="2"/>
  <c r="E153" i="2"/>
  <c r="E138" i="2"/>
  <c r="E127" i="2"/>
  <c r="E116" i="2"/>
  <c r="E108" i="2"/>
  <c r="E97" i="2"/>
  <c r="E82" i="2"/>
  <c r="E178" i="2"/>
  <c r="E174" i="2"/>
  <c r="E170" i="2"/>
  <c r="E163" i="2"/>
  <c r="E159" i="2"/>
  <c r="E155" i="2"/>
  <c r="E148" i="2"/>
  <c r="E144" i="2"/>
  <c r="E140" i="2"/>
  <c r="E133" i="2"/>
  <c r="E129" i="2"/>
  <c r="E125" i="2"/>
  <c r="E118" i="2"/>
  <c r="E114" i="2"/>
  <c r="E110" i="2"/>
  <c r="E103" i="2"/>
  <c r="E99" i="2"/>
  <c r="E95" i="2"/>
  <c r="E88" i="2"/>
  <c r="E84" i="2"/>
  <c r="E80" i="2"/>
  <c r="E177" i="2"/>
  <c r="E169" i="2"/>
  <c r="E158" i="2"/>
  <c r="E147" i="2"/>
  <c r="E139" i="2"/>
  <c r="E128" i="2"/>
  <c r="E117" i="2"/>
  <c r="E109" i="2"/>
  <c r="E98" i="2"/>
  <c r="E87" i="2"/>
  <c r="E79" i="2"/>
  <c r="E176" i="2"/>
  <c r="E168" i="2"/>
  <c r="E157" i="2"/>
  <c r="E146" i="2"/>
  <c r="E142" i="2"/>
  <c r="E131" i="2"/>
  <c r="E123" i="2"/>
  <c r="E112" i="2"/>
  <c r="E101" i="2"/>
  <c r="E93" i="2"/>
  <c r="E86" i="2"/>
  <c r="E78" i="2"/>
  <c r="H20" i="4"/>
  <c r="G48" i="4"/>
  <c r="H8" i="4"/>
  <c r="G45" i="4"/>
  <c r="H16" i="4"/>
  <c r="G47" i="4"/>
  <c r="G4" i="4"/>
  <c r="H4" i="4" s="1"/>
  <c r="F52" i="4"/>
  <c r="F57" i="4" s="1"/>
  <c r="F44" i="4"/>
  <c r="F49" i="4" s="1"/>
  <c r="F85" i="4" s="1"/>
  <c r="H12" i="4"/>
  <c r="G46" i="4"/>
  <c r="D118" i="4"/>
  <c r="E109" i="4"/>
  <c r="E111" i="4" s="1"/>
  <c r="G24" i="4"/>
  <c r="G25" i="4"/>
  <c r="H21" i="4"/>
  <c r="H22" i="4" s="1"/>
  <c r="G56" i="4"/>
  <c r="H17" i="4"/>
  <c r="H18" i="4" s="1"/>
  <c r="G55" i="4"/>
  <c r="H13" i="4"/>
  <c r="H14" i="4" s="1"/>
  <c r="G54" i="4"/>
  <c r="H9" i="4"/>
  <c r="H10" i="4" s="1"/>
  <c r="G53" i="4"/>
  <c r="G5" i="4"/>
  <c r="G6" i="4" s="1"/>
  <c r="E52" i="2"/>
  <c r="E66" i="2"/>
  <c r="E51" i="2"/>
  <c r="E74" i="2"/>
  <c r="E44" i="2"/>
  <c r="E50" i="2"/>
  <c r="E22" i="2"/>
  <c r="E25" i="2"/>
  <c r="E18" i="2"/>
  <c r="E7" i="2"/>
  <c r="E48" i="2"/>
  <c r="E8" i="2"/>
  <c r="E38" i="2"/>
  <c r="E28" i="2"/>
  <c r="E42" i="2"/>
  <c r="E19" i="2"/>
  <c r="E68" i="2"/>
  <c r="E37" i="2"/>
  <c r="E56" i="2"/>
  <c r="E57" i="2"/>
  <c r="E6" i="2"/>
  <c r="E26" i="2"/>
  <c r="E53" i="2"/>
  <c r="E14" i="2"/>
  <c r="E23" i="2"/>
  <c r="E5" i="2"/>
  <c r="E34" i="2"/>
  <c r="E21" i="2"/>
  <c r="E59" i="2"/>
  <c r="E64" i="2"/>
  <c r="E72" i="2"/>
  <c r="E27" i="2"/>
  <c r="E35" i="2"/>
  <c r="E10" i="2"/>
  <c r="E39" i="2"/>
  <c r="E12" i="2"/>
  <c r="E24" i="2"/>
  <c r="E4" i="2"/>
  <c r="E36" i="2"/>
  <c r="E41" i="2"/>
  <c r="E29" i="2"/>
  <c r="E70" i="2"/>
  <c r="E40" i="2"/>
  <c r="E20" i="2"/>
  <c r="E71" i="2"/>
  <c r="E11" i="2"/>
  <c r="E67" i="2"/>
  <c r="E9" i="2"/>
  <c r="E49" i="2"/>
  <c r="E55" i="2"/>
  <c r="E65" i="2"/>
  <c r="E73" i="2"/>
  <c r="E58" i="2"/>
  <c r="E3" i="2"/>
  <c r="C3" i="2" s="1"/>
  <c r="F3" i="2" s="1"/>
  <c r="B4" i="2" s="1"/>
  <c r="E43" i="2"/>
  <c r="E69" i="2"/>
  <c r="E54" i="2"/>
  <c r="E33" i="2"/>
  <c r="E63" i="2"/>
  <c r="E13" i="2"/>
  <c r="F86" i="4" l="1"/>
  <c r="E118" i="4" s="1"/>
  <c r="F96" i="4"/>
  <c r="E128" i="4" s="1"/>
  <c r="E117" i="4"/>
  <c r="F69" i="4"/>
  <c r="I8" i="4"/>
  <c r="H45" i="4"/>
  <c r="I16" i="4"/>
  <c r="H47" i="4"/>
  <c r="G52" i="4"/>
  <c r="G57" i="4" s="1"/>
  <c r="G44" i="4"/>
  <c r="G49" i="4" s="1"/>
  <c r="I12" i="4"/>
  <c r="H46" i="4"/>
  <c r="I20" i="4"/>
  <c r="H48" i="4"/>
  <c r="H24" i="4"/>
  <c r="H25" i="4"/>
  <c r="I21" i="4"/>
  <c r="I22" i="4" s="1"/>
  <c r="H56" i="4"/>
  <c r="I17" i="4"/>
  <c r="I18" i="4" s="1"/>
  <c r="H55" i="4"/>
  <c r="I13" i="4"/>
  <c r="I14" i="4" s="1"/>
  <c r="H54" i="4"/>
  <c r="I9" i="4"/>
  <c r="I10" i="4" s="1"/>
  <c r="H53" i="4"/>
  <c r="H5" i="4"/>
  <c r="I4" i="4"/>
  <c r="D4" i="2"/>
  <c r="F92" i="4" l="1"/>
  <c r="H52" i="4"/>
  <c r="H57" i="4" s="1"/>
  <c r="H6" i="4"/>
  <c r="G69" i="4"/>
  <c r="G85" i="4"/>
  <c r="G86" i="4"/>
  <c r="F118" i="4" s="1"/>
  <c r="G96" i="4"/>
  <c r="F128" i="4" s="1"/>
  <c r="F109" i="4"/>
  <c r="F111" i="4" s="1"/>
  <c r="J4" i="4"/>
  <c r="J20" i="4"/>
  <c r="I48" i="4"/>
  <c r="J8" i="4"/>
  <c r="I45" i="4"/>
  <c r="H44" i="4"/>
  <c r="H49" i="4" s="1"/>
  <c r="J16" i="4"/>
  <c r="I47" i="4"/>
  <c r="J12" i="4"/>
  <c r="I46" i="4"/>
  <c r="I24" i="4"/>
  <c r="I56" i="4"/>
  <c r="J21" i="4"/>
  <c r="J22" i="4" s="1"/>
  <c r="I55" i="4"/>
  <c r="J17" i="4"/>
  <c r="J18" i="4" s="1"/>
  <c r="I54" i="4"/>
  <c r="J13" i="4"/>
  <c r="J14" i="4" s="1"/>
  <c r="I53" i="4"/>
  <c r="J9" i="4"/>
  <c r="J10" i="4" s="1"/>
  <c r="I5" i="4"/>
  <c r="C4" i="2"/>
  <c r="G92" i="4" l="1"/>
  <c r="I44" i="4"/>
  <c r="I49" i="4" s="1"/>
  <c r="I85" i="4" s="1"/>
  <c r="I6" i="4"/>
  <c r="G109" i="4"/>
  <c r="G111" i="4" s="1"/>
  <c r="H96" i="4"/>
  <c r="G128" i="4" s="1"/>
  <c r="H86" i="4"/>
  <c r="G118" i="4" s="1"/>
  <c r="F117" i="4"/>
  <c r="H69" i="4"/>
  <c r="H85" i="4"/>
  <c r="I52" i="4"/>
  <c r="I57" i="4" s="1"/>
  <c r="K12" i="4"/>
  <c r="J46" i="4"/>
  <c r="K20" i="4"/>
  <c r="J48" i="4"/>
  <c r="K16" i="4"/>
  <c r="J47" i="4"/>
  <c r="K8" i="4"/>
  <c r="J45" i="4"/>
  <c r="K4" i="4"/>
  <c r="J24" i="4"/>
  <c r="J56" i="4"/>
  <c r="K21" i="4"/>
  <c r="K22" i="4" s="1"/>
  <c r="K17" i="4"/>
  <c r="K18" i="4" s="1"/>
  <c r="J54" i="4"/>
  <c r="K13" i="4"/>
  <c r="K14" i="4" s="1"/>
  <c r="K9" i="4"/>
  <c r="K10" i="4" s="1"/>
  <c r="J53" i="4"/>
  <c r="J5" i="4"/>
  <c r="F4" i="2"/>
  <c r="B5" i="2" s="1"/>
  <c r="H92" i="4" l="1"/>
  <c r="J44" i="4"/>
  <c r="J49" i="4" s="1"/>
  <c r="J85" i="4" s="1"/>
  <c r="J6" i="4"/>
  <c r="G117" i="4"/>
  <c r="H109" i="4"/>
  <c r="H111" i="4" s="1"/>
  <c r="H117" i="4"/>
  <c r="I69" i="4"/>
  <c r="I86" i="4"/>
  <c r="I92" i="4" s="1"/>
  <c r="I96" i="4"/>
  <c r="H128" i="4" s="1"/>
  <c r="J52" i="4"/>
  <c r="L8" i="4"/>
  <c r="K45" i="4"/>
  <c r="L4" i="4"/>
  <c r="J55" i="4"/>
  <c r="L12" i="4"/>
  <c r="K46" i="4"/>
  <c r="L16" i="4"/>
  <c r="K47" i="4"/>
  <c r="L20" i="4"/>
  <c r="K48" i="4"/>
  <c r="K24" i="4"/>
  <c r="L21" i="4"/>
  <c r="L22" i="4" s="1"/>
  <c r="K56" i="4"/>
  <c r="AB100" i="4"/>
  <c r="AC100" i="4" s="1"/>
  <c r="L17" i="4"/>
  <c r="L18" i="4" s="1"/>
  <c r="K55" i="4"/>
  <c r="L13" i="4"/>
  <c r="L14" i="4" s="1"/>
  <c r="K54" i="4"/>
  <c r="L9" i="4"/>
  <c r="L10" i="4" s="1"/>
  <c r="K53" i="4"/>
  <c r="K5" i="4"/>
  <c r="D5" i="2"/>
  <c r="K52" i="4" l="1"/>
  <c r="K57" i="4" s="1"/>
  <c r="K6" i="4"/>
  <c r="I109" i="4"/>
  <c r="I111" i="4" s="1"/>
  <c r="J57" i="4"/>
  <c r="J69" i="4" s="1"/>
  <c r="I117" i="4"/>
  <c r="H118" i="4"/>
  <c r="K44" i="4"/>
  <c r="K49" i="4" s="1"/>
  <c r="K85" i="4" s="1"/>
  <c r="M16" i="4"/>
  <c r="L47" i="4"/>
  <c r="M12" i="4"/>
  <c r="L46" i="4"/>
  <c r="M4" i="4"/>
  <c r="M20" i="4"/>
  <c r="L48" i="4"/>
  <c r="M8" i="4"/>
  <c r="L45" i="4"/>
  <c r="L24" i="4"/>
  <c r="M21" i="4"/>
  <c r="M22" i="4" s="1"/>
  <c r="L56" i="4"/>
  <c r="M17" i="4"/>
  <c r="M18" i="4" s="1"/>
  <c r="L55" i="4"/>
  <c r="M13" i="4"/>
  <c r="M14" i="4" s="1"/>
  <c r="L54" i="4"/>
  <c r="M9" i="4"/>
  <c r="M10" i="4" s="1"/>
  <c r="L53" i="4"/>
  <c r="L5" i="4"/>
  <c r="C5" i="2"/>
  <c r="L52" i="4" l="1"/>
  <c r="L6" i="4"/>
  <c r="J86" i="4"/>
  <c r="J96" i="4"/>
  <c r="I128" i="4" s="1"/>
  <c r="J109" i="4"/>
  <c r="J111" i="4" s="1"/>
  <c r="K69" i="4"/>
  <c r="K96" i="4"/>
  <c r="K86" i="4"/>
  <c r="K92" i="4" s="1"/>
  <c r="J117" i="4"/>
  <c r="L57" i="4"/>
  <c r="N20" i="4"/>
  <c r="M48" i="4"/>
  <c r="L44" i="4"/>
  <c r="L49" i="4" s="1"/>
  <c r="L85" i="4" s="1"/>
  <c r="N8" i="4"/>
  <c r="M45" i="4"/>
  <c r="N12" i="4"/>
  <c r="M46" i="4"/>
  <c r="N16" i="4"/>
  <c r="M47" i="4"/>
  <c r="N4" i="4"/>
  <c r="M24" i="4"/>
  <c r="N21" i="4"/>
  <c r="N22" i="4" s="1"/>
  <c r="M56" i="4"/>
  <c r="N17" i="4"/>
  <c r="N18" i="4" s="1"/>
  <c r="M55" i="4"/>
  <c r="N13" i="4"/>
  <c r="N14" i="4" s="1"/>
  <c r="M54" i="4"/>
  <c r="N9" i="4"/>
  <c r="N10" i="4" s="1"/>
  <c r="M53" i="4"/>
  <c r="M5" i="4"/>
  <c r="F5" i="2"/>
  <c r="B6" i="2" s="1"/>
  <c r="I118" i="4" l="1"/>
  <c r="J92" i="4"/>
  <c r="K109" i="4"/>
  <c r="K111" i="4" s="1"/>
  <c r="J118" i="4"/>
  <c r="J128" i="4"/>
  <c r="M44" i="4"/>
  <c r="M49" i="4" s="1"/>
  <c r="M85" i="4" s="1"/>
  <c r="M6" i="4"/>
  <c r="K117" i="4"/>
  <c r="L96" i="4"/>
  <c r="K128" i="4" s="1"/>
  <c r="L86" i="4"/>
  <c r="K118" i="4" s="1"/>
  <c r="L69" i="4"/>
  <c r="M52" i="4"/>
  <c r="M57" i="4" s="1"/>
  <c r="O16" i="4"/>
  <c r="N47" i="4"/>
  <c r="O4" i="4"/>
  <c r="O8" i="4"/>
  <c r="N45" i="4"/>
  <c r="O20" i="4"/>
  <c r="N48" i="4"/>
  <c r="O12" i="4"/>
  <c r="N46" i="4"/>
  <c r="N24" i="4"/>
  <c r="O21" i="4"/>
  <c r="O22" i="4" s="1"/>
  <c r="N56" i="4"/>
  <c r="O17" i="4"/>
  <c r="O18" i="4" s="1"/>
  <c r="N55" i="4"/>
  <c r="O13" i="4"/>
  <c r="O14" i="4" s="1"/>
  <c r="N54" i="4"/>
  <c r="O9" i="4"/>
  <c r="O10" i="4" s="1"/>
  <c r="N53" i="4"/>
  <c r="N5" i="4"/>
  <c r="D6" i="2"/>
  <c r="C6" i="2" s="1"/>
  <c r="F6" i="2" s="1"/>
  <c r="B7" i="2" s="1"/>
  <c r="L92" i="4" l="1"/>
  <c r="N52" i="4"/>
  <c r="N57" i="4" s="1"/>
  <c r="N6" i="4"/>
  <c r="L109" i="4"/>
  <c r="L111" i="4" s="1"/>
  <c r="M86" i="4"/>
  <c r="L118" i="4" s="1"/>
  <c r="M96" i="4"/>
  <c r="L128" i="4" s="1"/>
  <c r="L117" i="4"/>
  <c r="M69" i="4"/>
  <c r="O45" i="4"/>
  <c r="O53" i="4"/>
  <c r="O48" i="4"/>
  <c r="O56" i="4"/>
  <c r="N44" i="4"/>
  <c r="N49" i="4" s="1"/>
  <c r="N85" i="4" s="1"/>
  <c r="O47" i="4"/>
  <c r="O55" i="4"/>
  <c r="O54" i="4"/>
  <c r="O46" i="4"/>
  <c r="O24" i="4"/>
  <c r="O5" i="4"/>
  <c r="O6" i="4" s="1"/>
  <c r="D7" i="2"/>
  <c r="C7" i="2" s="1"/>
  <c r="F7" i="2" s="1"/>
  <c r="B8" i="2" s="1"/>
  <c r="M92" i="4" l="1"/>
  <c r="M117" i="4"/>
  <c r="N86" i="4"/>
  <c r="M118" i="4" s="1"/>
  <c r="N96" i="4"/>
  <c r="M128" i="4" s="1"/>
  <c r="M109" i="4"/>
  <c r="M111" i="4" s="1"/>
  <c r="N69" i="4"/>
  <c r="O44" i="4"/>
  <c r="O49" i="4" s="1"/>
  <c r="O85" i="4" s="1"/>
  <c r="O52" i="4"/>
  <c r="O57" i="4" s="1"/>
  <c r="D8" i="2"/>
  <c r="C8" i="2" s="1"/>
  <c r="F8" i="2" s="1"/>
  <c r="B9" i="2" s="1"/>
  <c r="N92" i="4" l="1"/>
  <c r="O86" i="4"/>
  <c r="O92" i="4" s="1"/>
  <c r="O96" i="4"/>
  <c r="N109" i="4"/>
  <c r="N111" i="4" s="1"/>
  <c r="O117" i="4"/>
  <c r="N117" i="4"/>
  <c r="O69" i="4"/>
  <c r="D9" i="2"/>
  <c r="C9" i="2" s="1"/>
  <c r="F9" i="2" s="1"/>
  <c r="B10" i="2" s="1"/>
  <c r="N128" i="4" l="1"/>
  <c r="O128" i="4"/>
  <c r="O118" i="4"/>
  <c r="N118" i="4"/>
  <c r="O109" i="4"/>
  <c r="O111" i="4" s="1"/>
  <c r="D10" i="2"/>
  <c r="C10" i="2" s="1"/>
  <c r="F10" i="2" s="1"/>
  <c r="B11" i="2" s="1"/>
  <c r="D11" i="2" l="1"/>
  <c r="C11" i="2" s="1"/>
  <c r="F11" i="2" s="1"/>
  <c r="B12" i="2" s="1"/>
  <c r="D12" i="2" l="1"/>
  <c r="C12" i="2" s="1"/>
  <c r="F12" i="2" s="1"/>
  <c r="B13" i="2" s="1"/>
  <c r="D13" i="2" l="1"/>
  <c r="C13" i="2" s="1"/>
  <c r="F13" i="2" s="1"/>
  <c r="B14" i="2" s="1"/>
  <c r="D14" i="2" l="1"/>
  <c r="C14" i="2" l="1"/>
  <c r="D15" i="2"/>
  <c r="E71" i="4" s="1"/>
  <c r="E77" i="4" s="1"/>
  <c r="E78" i="4" l="1"/>
  <c r="E95" i="4" s="1"/>
  <c r="E112" i="4" s="1"/>
  <c r="E113" i="4" s="1"/>
  <c r="C15" i="2"/>
  <c r="F14" i="2"/>
  <c r="E98" i="4" s="1"/>
  <c r="E20" i="8" l="1"/>
  <c r="D129" i="4"/>
  <c r="B18" i="2"/>
  <c r="E79" i="4"/>
  <c r="E101" i="4" s="1"/>
  <c r="D8" i="8" l="1"/>
  <c r="D13" i="8" s="1"/>
  <c r="D22" i="8"/>
  <c r="D27" i="8" s="1"/>
  <c r="E104" i="4"/>
  <c r="E106" i="4" s="1"/>
  <c r="D18" i="2"/>
  <c r="G6" i="8" l="1"/>
  <c r="C18" i="2"/>
  <c r="H6" i="8" l="1"/>
  <c r="F18" i="2"/>
  <c r="B19" i="2" s="1"/>
  <c r="I6" i="8" l="1"/>
  <c r="D19" i="2"/>
  <c r="J6" i="8" l="1"/>
  <c r="C19" i="2"/>
  <c r="K6" i="8" l="1"/>
  <c r="F19" i="2"/>
  <c r="B20" i="2" s="1"/>
  <c r="L6" i="8" l="1"/>
  <c r="D20" i="2"/>
  <c r="M6" i="8" l="1"/>
  <c r="C20" i="2"/>
  <c r="N6" i="8" l="1"/>
  <c r="F20" i="2"/>
  <c r="B21" i="2" s="1"/>
  <c r="O6" i="8" l="1"/>
  <c r="D21" i="2"/>
  <c r="C21" i="2" l="1"/>
  <c r="F21" i="2" l="1"/>
  <c r="B22" i="2" s="1"/>
  <c r="D22" i="2" l="1"/>
  <c r="C22" i="2" l="1"/>
  <c r="F22" i="2" l="1"/>
  <c r="B23" i="2" s="1"/>
  <c r="D23" i="2" l="1"/>
  <c r="C23" i="2" s="1"/>
  <c r="F23" i="2" s="1"/>
  <c r="B24" i="2" s="1"/>
  <c r="D24" i="2" l="1"/>
  <c r="C24" i="2" s="1"/>
  <c r="F24" i="2" s="1"/>
  <c r="B25" i="2" s="1"/>
  <c r="D25" i="2" l="1"/>
  <c r="C25" i="2" s="1"/>
  <c r="F25" i="2" s="1"/>
  <c r="B26" i="2" s="1"/>
  <c r="D26" i="2" l="1"/>
  <c r="C26" i="2" s="1"/>
  <c r="F26" i="2" s="1"/>
  <c r="B27" i="2" s="1"/>
  <c r="D27" i="2" l="1"/>
  <c r="C27" i="2" s="1"/>
  <c r="F27" i="2" s="1"/>
  <c r="B28" i="2" s="1"/>
  <c r="D28" i="2" l="1"/>
  <c r="C28" i="2" s="1"/>
  <c r="F28" i="2" s="1"/>
  <c r="B29" i="2" s="1"/>
  <c r="D29" i="2" l="1"/>
  <c r="C29" i="2" l="1"/>
  <c r="D30" i="2"/>
  <c r="F71" i="4" s="1"/>
  <c r="F77" i="4" s="1"/>
  <c r="F78" i="4" l="1"/>
  <c r="F95" i="4" s="1"/>
  <c r="F112" i="4" s="1"/>
  <c r="C30" i="2"/>
  <c r="F29" i="2"/>
  <c r="F98" i="4" s="1"/>
  <c r="F79" i="4" l="1"/>
  <c r="F101" i="4" s="1"/>
  <c r="F104" i="4" s="1"/>
  <c r="F106" i="4" s="1"/>
  <c r="F113" i="4"/>
  <c r="E129" i="4"/>
  <c r="B33" i="2"/>
  <c r="E22" i="8" l="1"/>
  <c r="E27" i="8" s="1"/>
  <c r="E8" i="8"/>
  <c r="F20" i="8"/>
  <c r="D33" i="2"/>
  <c r="F8" i="8" l="1"/>
  <c r="E13" i="8"/>
  <c r="C33" i="2"/>
  <c r="G8" i="8" l="1"/>
  <c r="F13" i="8"/>
  <c r="F33" i="2"/>
  <c r="B34" i="2" s="1"/>
  <c r="H8" i="8" l="1"/>
  <c r="G13" i="8"/>
  <c r="D34" i="2"/>
  <c r="I8" i="8" l="1"/>
  <c r="H13" i="8"/>
  <c r="C34" i="2"/>
  <c r="J8" i="8" l="1"/>
  <c r="I13" i="8"/>
  <c r="F34" i="2"/>
  <c r="B35" i="2" s="1"/>
  <c r="K8" i="8" l="1"/>
  <c r="L8" i="8" s="1"/>
  <c r="M8" i="8" s="1"/>
  <c r="N8" i="8" s="1"/>
  <c r="J13" i="8"/>
  <c r="D35" i="2"/>
  <c r="C35" i="2" l="1"/>
  <c r="F35" i="2" l="1"/>
  <c r="B36" i="2" s="1"/>
  <c r="D36" i="2" l="1"/>
  <c r="C36" i="2" l="1"/>
  <c r="F36" i="2" l="1"/>
  <c r="B37" i="2" s="1"/>
  <c r="D37" i="2" l="1"/>
  <c r="C37" i="2" l="1"/>
  <c r="F37" i="2" l="1"/>
  <c r="B38" i="2" s="1"/>
  <c r="D38" i="2" l="1"/>
  <c r="C38" i="2" s="1"/>
  <c r="F38" i="2" s="1"/>
  <c r="B39" i="2" s="1"/>
  <c r="D39" i="2" l="1"/>
  <c r="C39" i="2" s="1"/>
  <c r="F39" i="2" s="1"/>
  <c r="B40" i="2" s="1"/>
  <c r="D40" i="2" l="1"/>
  <c r="C40" i="2" s="1"/>
  <c r="F40" i="2" s="1"/>
  <c r="B41" i="2" s="1"/>
  <c r="D41" i="2" l="1"/>
  <c r="C41" i="2" s="1"/>
  <c r="F41" i="2" s="1"/>
  <c r="B42" i="2" s="1"/>
  <c r="D42" i="2" l="1"/>
  <c r="C42" i="2" s="1"/>
  <c r="F42" i="2" s="1"/>
  <c r="B43" i="2" s="1"/>
  <c r="D43" i="2" l="1"/>
  <c r="C43" i="2" s="1"/>
  <c r="F43" i="2" s="1"/>
  <c r="B44" i="2" s="1"/>
  <c r="D44" i="2" l="1"/>
  <c r="C44" i="2" l="1"/>
  <c r="F44" i="2" s="1"/>
  <c r="G98" i="4" s="1"/>
  <c r="D45" i="2"/>
  <c r="G71" i="4" s="1"/>
  <c r="G77" i="4" s="1"/>
  <c r="G78" i="4" l="1"/>
  <c r="G95" i="4" s="1"/>
  <c r="G112" i="4" s="1"/>
  <c r="C45" i="2"/>
  <c r="G79" i="4" l="1"/>
  <c r="G101" i="4" s="1"/>
  <c r="G104" i="4" s="1"/>
  <c r="G106" i="4" s="1"/>
  <c r="G113" i="4"/>
  <c r="F129" i="4"/>
  <c r="B48" i="2"/>
  <c r="F22" i="8" l="1"/>
  <c r="F27" i="8" s="1"/>
  <c r="G20" i="8"/>
  <c r="D48" i="2"/>
  <c r="C48" i="2" l="1"/>
  <c r="F48" i="2" l="1"/>
  <c r="B49" i="2" s="1"/>
  <c r="D49" i="2" l="1"/>
  <c r="C49" i="2" l="1"/>
  <c r="F49" i="2" l="1"/>
  <c r="B50" i="2" s="1"/>
  <c r="D50" i="2" l="1"/>
  <c r="C50" i="2" l="1"/>
  <c r="F50" i="2" l="1"/>
  <c r="B51" i="2" s="1"/>
  <c r="D51" i="2" l="1"/>
  <c r="C51" i="2" l="1"/>
  <c r="F51" i="2" l="1"/>
  <c r="B52" i="2" s="1"/>
  <c r="D52" i="2" l="1"/>
  <c r="C52" i="2" l="1"/>
  <c r="F52" i="2" l="1"/>
  <c r="B53" i="2" s="1"/>
  <c r="D53" i="2" l="1"/>
  <c r="C53" i="2" s="1"/>
  <c r="F53" i="2" s="1"/>
  <c r="B54" i="2" s="1"/>
  <c r="D54" i="2" l="1"/>
  <c r="C54" i="2" s="1"/>
  <c r="F54" i="2" s="1"/>
  <c r="B55" i="2" s="1"/>
  <c r="D55" i="2" l="1"/>
  <c r="C55" i="2" s="1"/>
  <c r="F55" i="2" s="1"/>
  <c r="B56" i="2" s="1"/>
  <c r="D56" i="2" l="1"/>
  <c r="C56" i="2" s="1"/>
  <c r="F56" i="2" s="1"/>
  <c r="B57" i="2" s="1"/>
  <c r="D57" i="2" l="1"/>
  <c r="C57" i="2" s="1"/>
  <c r="F57" i="2" s="1"/>
  <c r="B58" i="2" s="1"/>
  <c r="D58" i="2" l="1"/>
  <c r="C58" i="2" s="1"/>
  <c r="F58" i="2" s="1"/>
  <c r="B59" i="2" s="1"/>
  <c r="D59" i="2" l="1"/>
  <c r="C59" i="2" l="1"/>
  <c r="D60" i="2"/>
  <c r="H71" i="4" s="1"/>
  <c r="H77" i="4" s="1"/>
  <c r="H78" i="4" l="1"/>
  <c r="H95" i="4" s="1"/>
  <c r="H112" i="4" s="1"/>
  <c r="C60" i="2"/>
  <c r="F59" i="2"/>
  <c r="H98" i="4" s="1"/>
  <c r="H79" i="4" l="1"/>
  <c r="H101" i="4" s="1"/>
  <c r="H104" i="4" s="1"/>
  <c r="H106" i="4" s="1"/>
  <c r="H113" i="4"/>
  <c r="G129" i="4"/>
  <c r="B63" i="2"/>
  <c r="G22" i="8" l="1"/>
  <c r="G27" i="8" s="1"/>
  <c r="H20" i="8"/>
  <c r="D63" i="2"/>
  <c r="C63" i="2" l="1"/>
  <c r="F63" i="2" l="1"/>
  <c r="B64" i="2" s="1"/>
  <c r="D64" i="2" l="1"/>
  <c r="C64" i="2" l="1"/>
  <c r="F64" i="2" l="1"/>
  <c r="B65" i="2" s="1"/>
  <c r="D65" i="2" l="1"/>
  <c r="C65" i="2" l="1"/>
  <c r="F65" i="2" l="1"/>
  <c r="B66" i="2" s="1"/>
  <c r="D66" i="2" l="1"/>
  <c r="C66" i="2" l="1"/>
  <c r="F66" i="2" l="1"/>
  <c r="B67" i="2" s="1"/>
  <c r="D67" i="2" l="1"/>
  <c r="C67" i="2" l="1"/>
  <c r="F67" i="2" l="1"/>
  <c r="B68" i="2" s="1"/>
  <c r="D68" i="2" l="1"/>
  <c r="C68" i="2" s="1"/>
  <c r="F68" i="2" s="1"/>
  <c r="B69" i="2" s="1"/>
  <c r="D69" i="2" l="1"/>
  <c r="C69" i="2" s="1"/>
  <c r="F69" i="2" s="1"/>
  <c r="B70" i="2" s="1"/>
  <c r="D70" i="2" l="1"/>
  <c r="C70" i="2" s="1"/>
  <c r="F70" i="2" s="1"/>
  <c r="B71" i="2" s="1"/>
  <c r="D71" i="2" l="1"/>
  <c r="C71" i="2" s="1"/>
  <c r="F71" i="2" s="1"/>
  <c r="B72" i="2" s="1"/>
  <c r="D72" i="2" l="1"/>
  <c r="C72" i="2" s="1"/>
  <c r="F72" i="2" s="1"/>
  <c r="B73" i="2" s="1"/>
  <c r="D73" i="2" l="1"/>
  <c r="C73" i="2" s="1"/>
  <c r="F73" i="2" s="1"/>
  <c r="B74" i="2" s="1"/>
  <c r="D74" i="2" l="1"/>
  <c r="C74" i="2" l="1"/>
  <c r="D75" i="2"/>
  <c r="I71" i="4" s="1"/>
  <c r="I77" i="4" s="1"/>
  <c r="I78" i="4" l="1"/>
  <c r="I95" i="4" s="1"/>
  <c r="I112" i="4" s="1"/>
  <c r="C75" i="2"/>
  <c r="F74" i="2"/>
  <c r="I98" i="4" s="1"/>
  <c r="I79" i="4" l="1"/>
  <c r="I101" i="4" s="1"/>
  <c r="I104" i="4" s="1"/>
  <c r="I106" i="4" s="1"/>
  <c r="I113" i="4"/>
  <c r="I20" i="8" s="1"/>
  <c r="H129" i="4"/>
  <c r="B78" i="2"/>
  <c r="H22" i="8" l="1"/>
  <c r="H27" i="8" s="1"/>
  <c r="D78" i="2"/>
  <c r="C78" i="2" l="1"/>
  <c r="F78" i="2" l="1"/>
  <c r="B79" i="2" s="1"/>
  <c r="D79" i="2" l="1"/>
  <c r="C79" i="2" l="1"/>
  <c r="F79" i="2" l="1"/>
  <c r="B80" i="2" s="1"/>
  <c r="D80" i="2" l="1"/>
  <c r="C80" i="2" l="1"/>
  <c r="F80" i="2" l="1"/>
  <c r="B81" i="2" s="1"/>
  <c r="D81" i="2" l="1"/>
  <c r="C81" i="2" l="1"/>
  <c r="F81" i="2" l="1"/>
  <c r="B82" i="2" s="1"/>
  <c r="D82" i="2" l="1"/>
  <c r="C82" i="2" l="1"/>
  <c r="F82" i="2" l="1"/>
  <c r="B83" i="2" s="1"/>
  <c r="D83" i="2" s="1"/>
  <c r="C83" i="2" s="1"/>
  <c r="F83" i="2" s="1"/>
  <c r="B84" i="2" s="1"/>
  <c r="D84" i="2" s="1"/>
  <c r="C84" i="2" s="1"/>
  <c r="F84" i="2" s="1"/>
  <c r="B85" i="2" s="1"/>
  <c r="D85" i="2" s="1"/>
  <c r="C85" i="2" s="1"/>
  <c r="F85" i="2" s="1"/>
  <c r="B86" i="2" s="1"/>
  <c r="D86" i="2" s="1"/>
  <c r="C86" i="2" s="1"/>
  <c r="F86" i="2" s="1"/>
  <c r="B87" i="2" s="1"/>
  <c r="D87" i="2" s="1"/>
  <c r="C87" i="2" s="1"/>
  <c r="F87" i="2" s="1"/>
  <c r="B88" i="2" s="1"/>
  <c r="D88" i="2" l="1"/>
  <c r="C88" i="2" s="1"/>
  <c r="F88" i="2" s="1"/>
  <c r="B89" i="2" s="1"/>
  <c r="D89" i="2" l="1"/>
  <c r="C89" i="2" l="1"/>
  <c r="D90" i="2"/>
  <c r="J71" i="4" s="1"/>
  <c r="J77" i="4" s="1"/>
  <c r="J78" i="4" l="1"/>
  <c r="J95" i="4" s="1"/>
  <c r="J112" i="4" s="1"/>
  <c r="C90" i="2"/>
  <c r="F89" i="2"/>
  <c r="J98" i="4" s="1"/>
  <c r="J79" i="4" l="1"/>
  <c r="J101" i="4" s="1"/>
  <c r="J104" i="4" s="1"/>
  <c r="J106" i="4" s="1"/>
  <c r="J113" i="4"/>
  <c r="I129" i="4"/>
  <c r="B93" i="2"/>
  <c r="D93" i="2" s="1"/>
  <c r="I22" i="8" l="1"/>
  <c r="I27" i="8" s="1"/>
  <c r="J20" i="8"/>
  <c r="C93" i="2"/>
  <c r="F93" i="2" l="1"/>
  <c r="B94" i="2" s="1"/>
  <c r="D94" i="2" l="1"/>
  <c r="C94" i="2" l="1"/>
  <c r="F94" i="2" l="1"/>
  <c r="B95" i="2" s="1"/>
  <c r="D95" i="2" l="1"/>
  <c r="C95" i="2" l="1"/>
  <c r="F95" i="2" l="1"/>
  <c r="B96" i="2" s="1"/>
  <c r="D96" i="2" l="1"/>
  <c r="C96" i="2" l="1"/>
  <c r="F96" i="2" l="1"/>
  <c r="B97" i="2" s="1"/>
  <c r="D97" i="2" s="1"/>
  <c r="C97" i="2" l="1"/>
  <c r="F97" i="2" l="1"/>
  <c r="B98" i="2" s="1"/>
  <c r="D98" i="2" s="1"/>
  <c r="C98" i="2" s="1"/>
  <c r="F98" i="2" s="1"/>
  <c r="B99" i="2" s="1"/>
  <c r="D99" i="2" s="1"/>
  <c r="C99" i="2" s="1"/>
  <c r="F99" i="2" s="1"/>
  <c r="B100" i="2" s="1"/>
  <c r="D100" i="2" s="1"/>
  <c r="C100" i="2" s="1"/>
  <c r="F100" i="2" s="1"/>
  <c r="B101" i="2" s="1"/>
  <c r="D101" i="2" s="1"/>
  <c r="C101" i="2" s="1"/>
  <c r="F101" i="2" s="1"/>
  <c r="B102" i="2" s="1"/>
  <c r="D102" i="2" s="1"/>
  <c r="C102" i="2" s="1"/>
  <c r="F102" i="2" s="1"/>
  <c r="B103" i="2" s="1"/>
  <c r="D103" i="2" s="1"/>
  <c r="C103" i="2" s="1"/>
  <c r="F103" i="2" s="1"/>
  <c r="B104" i="2" s="1"/>
  <c r="D104" i="2" l="1"/>
  <c r="C104" i="2" l="1"/>
  <c r="D105" i="2"/>
  <c r="K71" i="4" s="1"/>
  <c r="K77" i="4" s="1"/>
  <c r="K78" i="4" l="1"/>
  <c r="K95" i="4" s="1"/>
  <c r="K112" i="4" s="1"/>
  <c r="C105" i="2"/>
  <c r="F104" i="2"/>
  <c r="K98" i="4" s="1"/>
  <c r="K79" i="4" l="1"/>
  <c r="K101" i="4" s="1"/>
  <c r="K104" i="4" s="1"/>
  <c r="K106" i="4" s="1"/>
  <c r="K113" i="4"/>
  <c r="J129" i="4"/>
  <c r="B108" i="2"/>
  <c r="J22" i="8" l="1"/>
  <c r="J27" i="8" s="1"/>
  <c r="K20" i="8"/>
  <c r="D108" i="2"/>
  <c r="K7" i="8" l="1"/>
  <c r="C108" i="2"/>
  <c r="F108" i="2" l="1"/>
  <c r="B109" i="2" s="1"/>
  <c r="D109" i="2" l="1"/>
  <c r="C109" i="2" l="1"/>
  <c r="F109" i="2" l="1"/>
  <c r="B110" i="2" s="1"/>
  <c r="D110" i="2" l="1"/>
  <c r="C110" i="2" l="1"/>
  <c r="F110" i="2" l="1"/>
  <c r="B111" i="2" s="1"/>
  <c r="D111" i="2" l="1"/>
  <c r="C111" i="2" l="1"/>
  <c r="F111" i="2" l="1"/>
  <c r="B112" i="2" s="1"/>
  <c r="D112" i="2" s="1"/>
  <c r="C112" i="2" l="1"/>
  <c r="F112" i="2" l="1"/>
  <c r="B113" i="2" s="1"/>
  <c r="D113" i="2" s="1"/>
  <c r="C113" i="2" s="1"/>
  <c r="F113" i="2" s="1"/>
  <c r="B114" i="2" s="1"/>
  <c r="D114" i="2" s="1"/>
  <c r="C114" i="2" s="1"/>
  <c r="F114" i="2" s="1"/>
  <c r="B115" i="2" s="1"/>
  <c r="D115" i="2" s="1"/>
  <c r="C115" i="2" s="1"/>
  <c r="F115" i="2" s="1"/>
  <c r="B116" i="2" s="1"/>
  <c r="D116" i="2" l="1"/>
  <c r="C116" i="2" s="1"/>
  <c r="F116" i="2" s="1"/>
  <c r="B117" i="2" s="1"/>
  <c r="D117" i="2" s="1"/>
  <c r="C117" i="2" s="1"/>
  <c r="F117" i="2" s="1"/>
  <c r="B118" i="2" s="1"/>
  <c r="D118" i="2" l="1"/>
  <c r="C118" i="2" s="1"/>
  <c r="F118" i="2" s="1"/>
  <c r="B119" i="2" s="1"/>
  <c r="D119" i="2" l="1"/>
  <c r="C119" i="2" l="1"/>
  <c r="D120" i="2"/>
  <c r="L71" i="4" s="1"/>
  <c r="L77" i="4" s="1"/>
  <c r="L78" i="4" l="1"/>
  <c r="L95" i="4" s="1"/>
  <c r="L112" i="4" s="1"/>
  <c r="C120" i="2"/>
  <c r="F119" i="2"/>
  <c r="L98" i="4" s="1"/>
  <c r="L79" i="4" l="1"/>
  <c r="L101" i="4" s="1"/>
  <c r="L104" i="4" s="1"/>
  <c r="L106" i="4" s="1"/>
  <c r="K129" i="4"/>
  <c r="L113" i="4"/>
  <c r="B123" i="2"/>
  <c r="L20" i="8" l="1"/>
  <c r="L7" i="8" s="1"/>
  <c r="K22" i="8"/>
  <c r="D123" i="2"/>
  <c r="P9" i="8" l="1"/>
  <c r="K9" i="8" s="1"/>
  <c r="K13" i="8" s="1"/>
  <c r="K27" i="8"/>
  <c r="C123" i="2"/>
  <c r="L9" i="8" l="1"/>
  <c r="L13" i="8" s="1"/>
  <c r="F123" i="2"/>
  <c r="B124" i="2" s="1"/>
  <c r="D124" i="2" l="1"/>
  <c r="C124" i="2" l="1"/>
  <c r="F124" i="2" l="1"/>
  <c r="B125" i="2" s="1"/>
  <c r="D125" i="2" l="1"/>
  <c r="C125" i="2" l="1"/>
  <c r="F125" i="2" l="1"/>
  <c r="B126" i="2" s="1"/>
  <c r="D126" i="2" l="1"/>
  <c r="C126" i="2" l="1"/>
  <c r="F126" i="2" l="1"/>
  <c r="B127" i="2" s="1"/>
  <c r="D127" i="2" s="1"/>
  <c r="C127" i="2" l="1"/>
  <c r="F127" i="2" l="1"/>
  <c r="B128" i="2" s="1"/>
  <c r="D128" i="2" s="1"/>
  <c r="C128" i="2" s="1"/>
  <c r="F128" i="2" s="1"/>
  <c r="B129" i="2" s="1"/>
  <c r="D129" i="2" s="1"/>
  <c r="C129" i="2" s="1"/>
  <c r="F129" i="2" s="1"/>
  <c r="B130" i="2" s="1"/>
  <c r="D130" i="2" s="1"/>
  <c r="C130" i="2" s="1"/>
  <c r="F130" i="2" s="1"/>
  <c r="B131" i="2" s="1"/>
  <c r="D131" i="2" s="1"/>
  <c r="C131" i="2" s="1"/>
  <c r="F131" i="2" s="1"/>
  <c r="B132" i="2" s="1"/>
  <c r="D132" i="2" s="1"/>
  <c r="C132" i="2" s="1"/>
  <c r="F132" i="2" s="1"/>
  <c r="B133" i="2" s="1"/>
  <c r="D133" i="2" s="1"/>
  <c r="C133" i="2" s="1"/>
  <c r="F133" i="2" s="1"/>
  <c r="B134" i="2" s="1"/>
  <c r="D134" i="2" l="1"/>
  <c r="C134" i="2" l="1"/>
  <c r="D135" i="2"/>
  <c r="M71" i="4" s="1"/>
  <c r="M77" i="4" s="1"/>
  <c r="M78" i="4" s="1"/>
  <c r="M79" i="4" l="1"/>
  <c r="M101" i="4" s="1"/>
  <c r="M95" i="4"/>
  <c r="M112" i="4" s="1"/>
  <c r="C135" i="2"/>
  <c r="F134" i="2"/>
  <c r="M98" i="4" s="1"/>
  <c r="L129" i="4" l="1"/>
  <c r="M113" i="4"/>
  <c r="M104" i="4"/>
  <c r="M106" i="4" s="1"/>
  <c r="B138" i="2"/>
  <c r="M20" i="8" l="1"/>
  <c r="M7" i="8" s="1"/>
  <c r="L22" i="8"/>
  <c r="L27" i="8" s="1"/>
  <c r="D138" i="2"/>
  <c r="M9" i="8" l="1"/>
  <c r="M13" i="8" s="1"/>
  <c r="C138" i="2"/>
  <c r="F138" i="2" l="1"/>
  <c r="B139" i="2" s="1"/>
  <c r="D139" i="2" l="1"/>
  <c r="C139" i="2" l="1"/>
  <c r="F139" i="2" l="1"/>
  <c r="B140" i="2" s="1"/>
  <c r="D140" i="2" l="1"/>
  <c r="C140" i="2" l="1"/>
  <c r="F140" i="2" l="1"/>
  <c r="B141" i="2" s="1"/>
  <c r="D141" i="2" l="1"/>
  <c r="C141" i="2" l="1"/>
  <c r="F141" i="2" l="1"/>
  <c r="B142" i="2" s="1"/>
  <c r="D142" i="2" s="1"/>
  <c r="C142" i="2" l="1"/>
  <c r="F142" i="2" l="1"/>
  <c r="B143" i="2" s="1"/>
  <c r="D143" i="2" s="1"/>
  <c r="C143" i="2" s="1"/>
  <c r="F143" i="2" s="1"/>
  <c r="B144" i="2" s="1"/>
  <c r="D144" i="2" s="1"/>
  <c r="C144" i="2" s="1"/>
  <c r="F144" i="2" s="1"/>
  <c r="B145" i="2" s="1"/>
  <c r="D145" i="2" s="1"/>
  <c r="C145" i="2" s="1"/>
  <c r="F145" i="2" s="1"/>
  <c r="B146" i="2" s="1"/>
  <c r="D146" i="2" s="1"/>
  <c r="C146" i="2" s="1"/>
  <c r="F146" i="2" s="1"/>
  <c r="B147" i="2" s="1"/>
  <c r="D147" i="2" s="1"/>
  <c r="C147" i="2" s="1"/>
  <c r="F147" i="2" s="1"/>
  <c r="B148" i="2" s="1"/>
  <c r="D148" i="2" s="1"/>
  <c r="C148" i="2" s="1"/>
  <c r="F148" i="2" s="1"/>
  <c r="B149" i="2" s="1"/>
  <c r="D149" i="2" l="1"/>
  <c r="C149" i="2" l="1"/>
  <c r="D150" i="2"/>
  <c r="N71" i="4" s="1"/>
  <c r="N77" i="4" s="1"/>
  <c r="N78" i="4" l="1"/>
  <c r="N95" i="4" s="1"/>
  <c r="N112" i="4" s="1"/>
  <c r="C150" i="2"/>
  <c r="F149" i="2"/>
  <c r="N79" i="4" l="1"/>
  <c r="N101" i="4" s="1"/>
  <c r="N113" i="4"/>
  <c r="M129" i="4"/>
  <c r="N98" i="4"/>
  <c r="B153" i="2"/>
  <c r="N104" i="4" l="1"/>
  <c r="N106" i="4" s="1"/>
  <c r="M22" i="8"/>
  <c r="M27" i="8" s="1"/>
  <c r="N20" i="8"/>
  <c r="N7" i="8" s="1"/>
  <c r="D153" i="2"/>
  <c r="N9" i="8" l="1"/>
  <c r="N13" i="8" s="1"/>
  <c r="C153" i="2"/>
  <c r="F153" i="2" l="1"/>
  <c r="B154" i="2" s="1"/>
  <c r="D154" i="2" l="1"/>
  <c r="C154" i="2" l="1"/>
  <c r="F154" i="2" l="1"/>
  <c r="B155" i="2" s="1"/>
  <c r="D155" i="2" l="1"/>
  <c r="C155" i="2" l="1"/>
  <c r="F155" i="2" l="1"/>
  <c r="B156" i="2" s="1"/>
  <c r="D156" i="2" l="1"/>
  <c r="C156" i="2" l="1"/>
  <c r="F156" i="2" l="1"/>
  <c r="B157" i="2" s="1"/>
  <c r="D157" i="2" s="1"/>
  <c r="C157" i="2" l="1"/>
  <c r="F157" i="2" l="1"/>
  <c r="B158" i="2" s="1"/>
  <c r="D158" i="2" s="1"/>
  <c r="C158" i="2" s="1"/>
  <c r="F158" i="2" s="1"/>
  <c r="B159" i="2" s="1"/>
  <c r="D159" i="2" l="1"/>
  <c r="C159" i="2" s="1"/>
  <c r="F159" i="2" s="1"/>
  <c r="B160" i="2" s="1"/>
  <c r="D160" i="2" s="1"/>
  <c r="C160" i="2" s="1"/>
  <c r="F160" i="2" s="1"/>
  <c r="B161" i="2" s="1"/>
  <c r="D161" i="2" s="1"/>
  <c r="C161" i="2" s="1"/>
  <c r="F161" i="2" s="1"/>
  <c r="B162" i="2" s="1"/>
  <c r="D162" i="2" s="1"/>
  <c r="C162" i="2" s="1"/>
  <c r="F162" i="2" s="1"/>
  <c r="B163" i="2" s="1"/>
  <c r="D163" i="2" s="1"/>
  <c r="C163" i="2" s="1"/>
  <c r="F163" i="2" s="1"/>
  <c r="B164" i="2" s="1"/>
  <c r="D164" i="2" l="1"/>
  <c r="C164" i="2" l="1"/>
  <c r="D165" i="2"/>
  <c r="O71" i="4" s="1"/>
  <c r="O77" i="4" s="1"/>
  <c r="O78" i="4" l="1"/>
  <c r="O95" i="4" s="1"/>
  <c r="O112" i="4" s="1"/>
  <c r="C165" i="2"/>
  <c r="F164" i="2"/>
  <c r="O79" i="4" l="1"/>
  <c r="O101" i="4" s="1"/>
  <c r="U103" i="4" s="1"/>
  <c r="O113" i="4"/>
  <c r="O129" i="4"/>
  <c r="O24" i="8" s="1"/>
  <c r="N129" i="4"/>
  <c r="O98" i="4"/>
  <c r="B168" i="2"/>
  <c r="N22" i="8" l="1"/>
  <c r="N27" i="8" s="1"/>
  <c r="O20" i="8"/>
  <c r="D134" i="4"/>
  <c r="D168" i="2"/>
  <c r="O104" i="4"/>
  <c r="O106" i="4" s="1"/>
  <c r="U100" i="4"/>
  <c r="O7" i="8" l="1"/>
  <c r="O13" i="8" s="1"/>
  <c r="D14" i="8" s="1"/>
  <c r="O27" i="8"/>
  <c r="D28" i="8" s="1"/>
  <c r="U105" i="4"/>
  <c r="V100" i="4" s="1"/>
  <c r="C168" i="2"/>
  <c r="AA100" i="4" l="1"/>
  <c r="Y100" i="4"/>
  <c r="F168" i="2"/>
  <c r="B169" i="2" s="1"/>
  <c r="V103" i="4"/>
  <c r="V101" i="4"/>
  <c r="D169" i="2" l="1"/>
  <c r="AD100" i="4"/>
  <c r="AA101" i="4"/>
  <c r="AD101" i="4" s="1"/>
  <c r="Y101" i="4"/>
  <c r="V105" i="4"/>
  <c r="AA103" i="4"/>
  <c r="Y103" i="4"/>
  <c r="Y105" i="4" l="1"/>
  <c r="V94" i="4"/>
  <c r="V97" i="4" s="1"/>
  <c r="AB103" i="4" s="1"/>
  <c r="AC103" i="4" s="1"/>
  <c r="AD103" i="4" s="1"/>
  <c r="AD105" i="4" s="1"/>
  <c r="D136" i="4" s="1"/>
  <c r="C169" i="2"/>
  <c r="AA105" i="4"/>
  <c r="D137" i="4" l="1"/>
  <c r="D17" i="8"/>
  <c r="D30" i="8"/>
  <c r="D31" i="8" s="1"/>
  <c r="F169" i="2"/>
  <c r="B170" i="2" s="1"/>
  <c r="I1" i="8" l="1"/>
  <c r="N1" i="8" s="1"/>
  <c r="D170" i="2"/>
  <c r="C170" i="2" l="1"/>
  <c r="F170" i="2" l="1"/>
  <c r="B171" i="2" s="1"/>
  <c r="D171" i="2" l="1"/>
  <c r="C171" i="2" l="1"/>
  <c r="F171" i="2" l="1"/>
  <c r="B172" i="2" s="1"/>
  <c r="D172" i="2" s="1"/>
  <c r="C172" i="2" l="1"/>
  <c r="F172" i="2" l="1"/>
  <c r="B173" i="2" s="1"/>
  <c r="D173" i="2" s="1"/>
  <c r="C173" i="2" s="1"/>
  <c r="F173" i="2" s="1"/>
  <c r="B174" i="2" s="1"/>
  <c r="D174" i="2" s="1"/>
  <c r="C174" i="2" s="1"/>
  <c r="F174" i="2" s="1"/>
  <c r="B175" i="2" s="1"/>
  <c r="D175" i="2" s="1"/>
  <c r="C175" i="2" s="1"/>
  <c r="F175" i="2" s="1"/>
  <c r="B176" i="2" s="1"/>
  <c r="D176" i="2" s="1"/>
  <c r="C176" i="2" s="1"/>
  <c r="F176" i="2" s="1"/>
  <c r="B177" i="2" s="1"/>
  <c r="D177" i="2" s="1"/>
  <c r="C177" i="2" s="1"/>
  <c r="F177" i="2" s="1"/>
  <c r="B178" i="2" s="1"/>
  <c r="D178" i="2" l="1"/>
  <c r="C178" i="2" s="1"/>
  <c r="F178" i="2" s="1"/>
  <c r="B179" i="2" s="1"/>
  <c r="D179" i="2" l="1"/>
  <c r="C179" i="2" l="1"/>
  <c r="D180" i="2"/>
  <c r="C180" i="2" l="1"/>
  <c r="F179" i="2"/>
</calcChain>
</file>

<file path=xl/sharedStrings.xml><?xml version="1.0" encoding="utf-8"?>
<sst xmlns="http://schemas.openxmlformats.org/spreadsheetml/2006/main" count="636" uniqueCount="205">
  <si>
    <t>Beg Balance</t>
  </si>
  <si>
    <t>Principal</t>
  </si>
  <si>
    <t xml:space="preserve">Interest </t>
  </si>
  <si>
    <t>Payment</t>
  </si>
  <si>
    <t>End Balance</t>
  </si>
  <si>
    <t>Rate</t>
  </si>
  <si>
    <t>Per Rate</t>
  </si>
  <si>
    <t>FV</t>
  </si>
  <si>
    <t>Per</t>
  </si>
  <si>
    <t>Type</t>
  </si>
  <si>
    <t>PV</t>
  </si>
  <si>
    <t>TOTALS</t>
  </si>
  <si>
    <t>Feb</t>
  </si>
  <si>
    <t>Mar</t>
  </si>
  <si>
    <t>Apr</t>
  </si>
  <si>
    <t>May</t>
  </si>
  <si>
    <t>Jun</t>
  </si>
  <si>
    <t>Jul</t>
  </si>
  <si>
    <t>Aug</t>
  </si>
  <si>
    <t>Sep</t>
  </si>
  <si>
    <t>Oct</t>
  </si>
  <si>
    <t>Nov</t>
  </si>
  <si>
    <t>Dec</t>
  </si>
  <si>
    <t>Jan 2016</t>
  </si>
  <si>
    <t>Jan 2014</t>
  </si>
  <si>
    <t>Jan 2015</t>
  </si>
  <si>
    <t>Years</t>
  </si>
  <si>
    <t>Days of Receivables</t>
  </si>
  <si>
    <t>INCOME STATEMENT</t>
  </si>
  <si>
    <t>Operating Expenses</t>
  </si>
  <si>
    <t>Marketing</t>
  </si>
  <si>
    <t>Taxable Income</t>
  </si>
  <si>
    <t>Taxes</t>
  </si>
  <si>
    <t>Net Income</t>
  </si>
  <si>
    <t>BALANCE SHEET</t>
  </si>
  <si>
    <t>Assets</t>
  </si>
  <si>
    <t>Accounts Receivable</t>
  </si>
  <si>
    <t>Inventory</t>
  </si>
  <si>
    <t>Liabilities and Equity</t>
  </si>
  <si>
    <t>Total Assets</t>
  </si>
  <si>
    <t>Taxes Payable</t>
  </si>
  <si>
    <t>Accounts Payable</t>
  </si>
  <si>
    <t>Mortgage Loan</t>
  </si>
  <si>
    <t>Retained Earnings</t>
  </si>
  <si>
    <t>Total Liabilities and Equity</t>
  </si>
  <si>
    <t>DFN</t>
  </si>
  <si>
    <t>Days of Payables</t>
  </si>
  <si>
    <t>Yearly change</t>
  </si>
  <si>
    <t>Inventory Days</t>
  </si>
  <si>
    <t>Extra Cash</t>
  </si>
  <si>
    <t>Minimum Cash Inventory</t>
  </si>
  <si>
    <t>Extra Bank Loan</t>
  </si>
  <si>
    <t>General and Admin</t>
  </si>
  <si>
    <t>Mortgage Interest Expense</t>
  </si>
  <si>
    <t>Cost of Goods Sold</t>
  </si>
  <si>
    <t>Revenue</t>
  </si>
  <si>
    <t>Clothing</t>
  </si>
  <si>
    <t>Handbags</t>
  </si>
  <si>
    <t>Jewelery</t>
  </si>
  <si>
    <t>Shoes</t>
  </si>
  <si>
    <t>Home Furnishings</t>
  </si>
  <si>
    <t>Total Revenue</t>
  </si>
  <si>
    <t>Total COGS</t>
  </si>
  <si>
    <t>Bentley's Home Furnishings</t>
  </si>
  <si>
    <t>Clothing Sales (units)</t>
  </si>
  <si>
    <t>Clothing Sales Avg Price</t>
  </si>
  <si>
    <t>Clothing Avg Cost</t>
  </si>
  <si>
    <t>Handbags Sales (units)</t>
  </si>
  <si>
    <t>Handbags Sales Avg Price</t>
  </si>
  <si>
    <t>Handbags Avg Cost</t>
  </si>
  <si>
    <t>Jewelery Sales (units)</t>
  </si>
  <si>
    <t>Jewelery Sales Avg Price</t>
  </si>
  <si>
    <t>Jewelery Avg Cost</t>
  </si>
  <si>
    <t>Shoes Sales (units)</t>
  </si>
  <si>
    <t>Shoes Sales Avg Price</t>
  </si>
  <si>
    <t>Shoes Avg Cost</t>
  </si>
  <si>
    <t>Home Furnishings Sales (units)</t>
  </si>
  <si>
    <t>Home Furnishings Sales Avg Price</t>
  </si>
  <si>
    <t>Home Furnishings Avg Cost</t>
  </si>
  <si>
    <t>Sales Labor</t>
  </si>
  <si>
    <t>Total</t>
  </si>
  <si>
    <t>Operating Profit</t>
  </si>
  <si>
    <t>Totals</t>
  </si>
  <si>
    <t>Jan 2017</t>
  </si>
  <si>
    <t>Jan 2018</t>
  </si>
  <si>
    <t>Jan 2019</t>
  </si>
  <si>
    <t>Jan 2020</t>
  </si>
  <si>
    <t>Jan 2021</t>
  </si>
  <si>
    <t>Jan 2022</t>
  </si>
  <si>
    <t>Jan 2023</t>
  </si>
  <si>
    <t>Jan 2024</t>
  </si>
  <si>
    <t>Jan 2025</t>
  </si>
  <si>
    <t>Tax rate</t>
  </si>
  <si>
    <t>T-Bill</t>
  </si>
  <si>
    <t>S&amp;P 500</t>
  </si>
  <si>
    <t>Equity Beta</t>
  </si>
  <si>
    <t>Unlevered</t>
  </si>
  <si>
    <t>Relevered</t>
  </si>
  <si>
    <t>CAPM as is:</t>
  </si>
  <si>
    <t>CAPM new %:</t>
  </si>
  <si>
    <t>As is Average</t>
  </si>
  <si>
    <t>Prop</t>
  </si>
  <si>
    <t>After Tax</t>
  </si>
  <si>
    <t>Weighted</t>
  </si>
  <si>
    <t>New Prop</t>
  </si>
  <si>
    <t>New Rate</t>
  </si>
  <si>
    <t>WACC</t>
  </si>
  <si>
    <t>FREE CASH FLOWS</t>
  </si>
  <si>
    <t>Cash from Operations</t>
  </si>
  <si>
    <t>Less: Depreciation</t>
  </si>
  <si>
    <t>Taxable Operating Profit</t>
  </si>
  <si>
    <t>Taxes on Operations (=Taxes Payable)</t>
  </si>
  <si>
    <t>Net Cash from Operations</t>
  </si>
  <si>
    <t>Cash in/out from Changes in Balance Sheet</t>
  </si>
  <si>
    <t>Minimum Cash Balance</t>
  </si>
  <si>
    <t>Taxes Payable (=Taxes on Operations)</t>
  </si>
  <si>
    <t>TOTAL FREE CASH FLOWS</t>
  </si>
  <si>
    <t>IRR</t>
  </si>
  <si>
    <t>WACC COMPUTED FROM FORECAST</t>
  </si>
  <si>
    <t>NPV USING COMPUTED WACC</t>
  </si>
  <si>
    <t>Expenses</t>
  </si>
  <si>
    <t>Hourly Employees</t>
  </si>
  <si>
    <t>Hourly Rate</t>
  </si>
  <si>
    <t>Yearly hrs per employee</t>
  </si>
  <si>
    <t>yearly change</t>
  </si>
  <si>
    <t>Rent</t>
  </si>
  <si>
    <t>Extra Bank Loan Interest Expense</t>
  </si>
  <si>
    <t>rate</t>
  </si>
  <si>
    <t>Asking Price</t>
  </si>
  <si>
    <t>Willing to Pay</t>
  </si>
  <si>
    <t>Assumptions</t>
  </si>
  <si>
    <t>Debt %</t>
  </si>
  <si>
    <t>Equity %</t>
  </si>
  <si>
    <t>% of sales price</t>
  </si>
  <si>
    <t>Yearly Store Hours</t>
  </si>
  <si>
    <t>General &amp; Admin</t>
  </si>
  <si>
    <t>Minimum Cash</t>
  </si>
  <si>
    <t>Fixed Utilities</t>
  </si>
  <si>
    <t>Variable Utilities</t>
  </si>
  <si>
    <t>Supplies (grocery bags etc.)</t>
  </si>
  <si>
    <t>Land</t>
  </si>
  <si>
    <t>Buldings</t>
  </si>
  <si>
    <t>Accum. Depr.</t>
  </si>
  <si>
    <t>Common Stock</t>
  </si>
  <si>
    <t>% bank will give</t>
  </si>
  <si>
    <t>PV of loan</t>
  </si>
  <si>
    <t>Adjustment for Sale</t>
  </si>
  <si>
    <t>Tax on Gain</t>
  </si>
  <si>
    <t>Building</t>
  </si>
  <si>
    <t>Contribution from Owners</t>
  </si>
  <si>
    <t>Depreciation Expense</t>
  </si>
  <si>
    <t>Monthly Insurance</t>
  </si>
  <si>
    <t>Supplies</t>
  </si>
  <si>
    <t>Book Value</t>
  </si>
  <si>
    <t>Gain on Sale</t>
  </si>
  <si>
    <t>- Bankruptcy</t>
  </si>
  <si>
    <t>% Sale</t>
  </si>
  <si>
    <t>Secured</t>
  </si>
  <si>
    <t>Unsecured</t>
  </si>
  <si>
    <t>Extra</t>
  </si>
  <si>
    <t>Admin Costs</t>
  </si>
  <si>
    <t>Real Total</t>
  </si>
  <si>
    <t>Paid from secured</t>
  </si>
  <si>
    <t>Remaining</t>
  </si>
  <si>
    <t>Proportion</t>
  </si>
  <si>
    <t>Paid from unsecured</t>
  </si>
  <si>
    <t>on the $</t>
  </si>
  <si>
    <t>Mortgage</t>
  </si>
  <si>
    <t>Extra Loan</t>
  </si>
  <si>
    <t>DEBT</t>
  </si>
  <si>
    <t>Banruptcy probability</t>
  </si>
  <si>
    <t>Mortgage on Buildings</t>
  </si>
  <si>
    <t>Principal Loans (Balance Sheet)</t>
  </si>
  <si>
    <t>Interest Paid (Income Statement)</t>
  </si>
  <si>
    <t>Bankruptcy Payout</t>
  </si>
  <si>
    <t>Probability of Bankruptcy</t>
  </si>
  <si>
    <t>Non bankruptcy IRR</t>
  </si>
  <si>
    <t>Expected IRR</t>
  </si>
  <si>
    <t>Probability</t>
  </si>
  <si>
    <t>STRONG MARKET</t>
  </si>
  <si>
    <t>WEAK MARKET</t>
  </si>
  <si>
    <t>Operations Total FCFs</t>
  </si>
  <si>
    <t>Balance Sheet Total FCFs</t>
  </si>
  <si>
    <t>Sale of Assets Total FCFs</t>
  </si>
  <si>
    <t>NPV + Cost</t>
  </si>
  <si>
    <t>- Options</t>
  </si>
  <si>
    <t xml:space="preserve">Expected Value:  </t>
  </si>
  <si>
    <t>Option</t>
  </si>
  <si>
    <t>The option will be exercised if Total FCF's</t>
  </si>
  <si>
    <t>location in Hawaii.</t>
  </si>
  <si>
    <t>Willing to pay for Option:</t>
  </si>
  <si>
    <t>Cost of Build.&amp;Land</t>
  </si>
  <si>
    <t>Jewelry Sales (units)</t>
  </si>
  <si>
    <t>Jewelry Sales Avg Price</t>
  </si>
  <si>
    <t>Jewelry Avg Cost</t>
  </si>
  <si>
    <t>MEDIUM MARKET</t>
  </si>
  <si>
    <t>exceed $50,000.  It is to open a new</t>
  </si>
  <si>
    <t>FROM BALANCE SHEET</t>
  </si>
  <si>
    <t>BANKRUPTCY OVERVIEW</t>
  </si>
  <si>
    <t>MORTGAGE OVERVIEW</t>
  </si>
  <si>
    <t>Contributions from Owners</t>
  </si>
  <si>
    <t>Contribution from Lenders</t>
  </si>
  <si>
    <t>WEIGHTED AVERAGE COST OF CAPITAL OVERVIEW</t>
  </si>
  <si>
    <t>-We came up with 20% increase each year for operating Total FCF's in a strong market by changing inputs (sales units) on our original/existing forecast.  We wanted to have at least $50,000 in Total FCF's by the fifth year (2018) of the company, but not more than that in the year previous.  We chose the fifth because in our bankruptcy analysis forecast, that was the year the company went bankrupt (weak market).                                                                                                                                                                                                                                                                                                                                                                                                                                                                                     -With the outlook for the economy, we chose to put the highest priority for the average or medium market, the second highest for the weak market due to recent downturns in the economy, and the lowest priority to the strong market.                                                                                                                                                                                                                                                                                                                                                                                                                           -The Expected value means that even with only 10% chance of success, the company can expect to make a profit from the option because the strong market is so much better than the failing one.  This relates to the WACC, in that if there is a higher WACC, there will be a lower expected value.</t>
  </si>
  <si>
    <t>Possible Goodwill</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</si>
</sst>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quot;$&quot;#,##0.00_);[Red]\(&quot;$&quot;#,##0.00\)"/>
    <numFmt numFmtId="44" formatCode="_(&quot;$&quot;* #,##0.00_);_(&quot;$&quot;* \(#,##0.00\);_(&quot;$&quot;* &quot;-&quot;??_);_(@_)"/>
    <numFmt numFmtId="43" formatCode="_(* #,##0.00_);_(* \(#,##0.00\);_(* &quot;-&quot;??_);_(@_)"/>
    <numFmt numFmtId="164" formatCode="_(\$* #,##0.00_);_(\$* \(#,##0.00\);_(\$* \-??_);_(@_)"/>
    <numFmt numFmtId="165" formatCode="_(\$* #,##0_);_(\$* \(#,##0\);_(\$* \-??_);_(@_)"/>
    <numFmt numFmtId="166" formatCode="_(* #,##0.00_);_(* \(#,##0.00\);_(* \-??_);_(@_)"/>
    <numFmt numFmtId="167" formatCode="0.0%"/>
    <numFmt numFmtId="168" formatCode="[$$-409]#,##0.00;[Red]\-[$$-409]#,##0.00"/>
    <numFmt numFmtId="169" formatCode="_(* #,##0.0000_);_(* \(#,##0.0000\);_(* \-??_);_(@_)"/>
    <numFmt numFmtId="170" formatCode="_(&quot;$&quot;* #,##0_);_(&quot;$&quot;* \(#,##0\);_(&quot;$&quot;* &quot;-&quot;??_);_(@_)"/>
  </numFmts>
  <fonts count="48" x14ac:knownFonts="1">
    <font>
      <sz val="10"/>
      <name val="Arial"/>
      <family val="2"/>
    </font>
    <font>
      <sz val="11"/>
      <color indexed="8"/>
      <name val="Calibri"/>
      <family val="2"/>
      <charset val="1"/>
    </font>
    <font>
      <sz val="12"/>
      <color indexed="8"/>
      <name val="Calibri"/>
      <family val="2"/>
    </font>
    <font>
      <sz val="11"/>
      <color indexed="8"/>
      <name val="Arial"/>
      <family val="2"/>
    </font>
    <font>
      <sz val="11"/>
      <name val="Arial"/>
      <family val="2"/>
    </font>
    <font>
      <b/>
      <sz val="11"/>
      <name val="Arial"/>
      <family val="2"/>
    </font>
    <font>
      <sz val="12"/>
      <name val="Calibri"/>
      <family val="2"/>
      <scheme val="minor"/>
    </font>
    <font>
      <sz val="12"/>
      <color indexed="8"/>
      <name val="Calibri"/>
      <family val="2"/>
      <scheme val="minor"/>
    </font>
    <font>
      <b/>
      <sz val="12"/>
      <name val="Calibri"/>
      <family val="2"/>
      <scheme val="minor"/>
    </font>
    <font>
      <b/>
      <sz val="11"/>
      <color indexed="8"/>
      <name val="Calibri"/>
      <family val="2"/>
    </font>
    <font>
      <sz val="10"/>
      <color theme="0"/>
      <name val="Arial"/>
      <family val="2"/>
    </font>
    <font>
      <sz val="12"/>
      <name val="Arial"/>
      <family val="2"/>
    </font>
    <font>
      <sz val="12"/>
      <color theme="0"/>
      <name val="Calibri"/>
      <family val="2"/>
      <scheme val="minor"/>
    </font>
    <font>
      <b/>
      <sz val="14"/>
      <color theme="0"/>
      <name val="Calibri"/>
      <family val="2"/>
      <scheme val="minor"/>
    </font>
    <font>
      <b/>
      <sz val="16"/>
      <color theme="0"/>
      <name val="Calibri"/>
      <family val="2"/>
      <scheme val="minor"/>
    </font>
    <font>
      <b/>
      <sz val="22"/>
      <color theme="0"/>
      <name val="Calibri"/>
      <family val="2"/>
      <scheme val="minor"/>
    </font>
    <font>
      <sz val="22"/>
      <color theme="0"/>
      <name val="Calibri"/>
      <family val="2"/>
      <scheme val="minor"/>
    </font>
    <font>
      <b/>
      <sz val="14"/>
      <name val="Arial"/>
      <family val="2"/>
    </font>
    <font>
      <b/>
      <sz val="14"/>
      <name val="Calibri"/>
      <family val="2"/>
      <scheme val="minor"/>
    </font>
    <font>
      <b/>
      <sz val="16"/>
      <name val="Calibri"/>
      <family val="2"/>
      <scheme val="minor"/>
    </font>
    <font>
      <b/>
      <sz val="14"/>
      <color theme="0"/>
      <name val="Arial"/>
      <family val="2"/>
    </font>
    <font>
      <sz val="14"/>
      <color indexed="8"/>
      <name val="Calibri"/>
      <family val="2"/>
      <charset val="1"/>
    </font>
    <font>
      <b/>
      <sz val="16"/>
      <color theme="0"/>
      <name val="Arial"/>
      <family val="2"/>
    </font>
    <font>
      <sz val="14"/>
      <color theme="0"/>
      <name val="Arial"/>
      <family val="2"/>
    </font>
    <font>
      <sz val="12"/>
      <color indexed="8"/>
      <name val="Calibri"/>
      <family val="2"/>
      <charset val="1"/>
    </font>
    <font>
      <sz val="11"/>
      <color rgb="FF0070C0"/>
      <name val="Calibri"/>
      <family val="2"/>
      <charset val="1"/>
    </font>
    <font>
      <sz val="12"/>
      <color rgb="FF0070C0"/>
      <name val="Calibri"/>
      <family val="2"/>
    </font>
    <font>
      <sz val="12"/>
      <color rgb="FF0070C0"/>
      <name val="Calibri"/>
      <family val="2"/>
      <scheme val="minor"/>
    </font>
    <font>
      <sz val="10"/>
      <color rgb="FF0070C0"/>
      <name val="Arial"/>
      <family val="2"/>
    </font>
    <font>
      <sz val="11"/>
      <color rgb="FF0070C0"/>
      <name val="Calibri"/>
      <family val="2"/>
    </font>
    <font>
      <sz val="12"/>
      <color rgb="FF0070C0"/>
      <name val="Calibri"/>
      <family val="2"/>
      <charset val="1"/>
    </font>
    <font>
      <sz val="12"/>
      <name val="Calibri"/>
      <family val="2"/>
      <charset val="1"/>
    </font>
    <font>
      <sz val="11"/>
      <color indexed="8"/>
      <name val="Calibri"/>
      <family val="2"/>
      <scheme val="minor"/>
    </font>
    <font>
      <b/>
      <sz val="14"/>
      <color theme="0"/>
      <name val="Calibri"/>
      <family val="2"/>
    </font>
    <font>
      <b/>
      <sz val="14"/>
      <color theme="3" tint="0.39997558519241921"/>
      <name val="Calibri"/>
      <family val="2"/>
    </font>
    <font>
      <b/>
      <sz val="14"/>
      <color indexed="8"/>
      <name val="Calibri"/>
      <family val="2"/>
    </font>
    <font>
      <sz val="11"/>
      <color indexed="8"/>
      <name val="Calibri"/>
      <family val="2"/>
    </font>
    <font>
      <sz val="18"/>
      <color theme="0"/>
      <name val="Calibri"/>
      <family val="2"/>
      <charset val="1"/>
    </font>
    <font>
      <b/>
      <sz val="20"/>
      <color theme="0"/>
      <name val="Calibri"/>
      <family val="2"/>
    </font>
    <font>
      <b/>
      <sz val="18"/>
      <color theme="0"/>
      <name val="Arial"/>
      <family val="2"/>
    </font>
    <font>
      <sz val="18"/>
      <color theme="0"/>
      <name val="Arial"/>
      <family val="2"/>
    </font>
    <font>
      <b/>
      <sz val="14"/>
      <name val="Calibri"/>
      <family val="2"/>
    </font>
    <font>
      <b/>
      <sz val="12"/>
      <name val="Arial"/>
      <family val="2"/>
    </font>
    <font>
      <b/>
      <sz val="12"/>
      <color indexed="8"/>
      <name val="Calibri"/>
      <family val="2"/>
    </font>
    <font>
      <b/>
      <sz val="16"/>
      <color theme="0" tint="-0.249977111117893"/>
      <name val="Calibri"/>
      <family val="2"/>
      <scheme val="minor"/>
    </font>
    <font>
      <b/>
      <sz val="20"/>
      <color theme="0"/>
      <name val="Calibri"/>
      <family val="2"/>
      <scheme val="minor"/>
    </font>
    <font>
      <b/>
      <sz val="10"/>
      <name val="Arial"/>
      <family val="2"/>
    </font>
    <font>
      <sz val="20"/>
      <color theme="0"/>
      <name val="Calibri"/>
      <family val="2"/>
      <scheme val="minor"/>
    </font>
  </fonts>
  <fills count="27">
    <fill>
      <patternFill patternType="none"/>
    </fill>
    <fill>
      <patternFill patternType="gray125"/>
    </fill>
    <fill>
      <patternFill patternType="solid">
        <fgColor theme="6" tint="0.39997558519241921"/>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7" tint="-0.499984740745262"/>
        <bgColor indexed="64"/>
      </patternFill>
    </fill>
    <fill>
      <patternFill patternType="solid">
        <fgColor theme="5" tint="-0.499984740745262"/>
        <bgColor indexed="64"/>
      </patternFill>
    </fill>
    <fill>
      <patternFill patternType="solid">
        <fgColor theme="6" tint="-0.249977111117893"/>
        <bgColor indexed="64"/>
      </patternFill>
    </fill>
    <fill>
      <patternFill patternType="solid">
        <fgColor theme="9"/>
        <bgColor indexed="64"/>
      </patternFill>
    </fill>
    <fill>
      <patternFill patternType="solid">
        <fgColor rgb="FFFFFF00"/>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6" tint="-0.499984740745262"/>
        <bgColor indexed="64"/>
      </patternFill>
    </fill>
    <fill>
      <patternFill patternType="solid">
        <fgColor theme="6" tint="0.59999389629810485"/>
        <bgColor indexed="64"/>
      </patternFill>
    </fill>
    <fill>
      <patternFill patternType="solid">
        <fgColor rgb="FFF2F571"/>
        <bgColor indexed="64"/>
      </patternFill>
    </fill>
    <fill>
      <patternFill patternType="solid">
        <fgColor rgb="FFF8FFA3"/>
        <bgColor indexed="64"/>
      </patternFill>
    </fill>
    <fill>
      <patternFill patternType="solid">
        <fgColor rgb="FFCC6C6A"/>
        <bgColor indexed="64"/>
      </patternFill>
    </fill>
    <fill>
      <patternFill patternType="solid">
        <fgColor rgb="FFF2F565"/>
        <bgColor indexed="64"/>
      </patternFill>
    </fill>
    <fill>
      <patternFill patternType="solid">
        <fgColor rgb="FF276B7B"/>
        <bgColor indexed="64"/>
      </patternFill>
    </fill>
    <fill>
      <patternFill patternType="solid">
        <fgColor theme="7" tint="0.79998168889431442"/>
        <bgColor indexed="64"/>
      </patternFill>
    </fill>
    <fill>
      <patternFill patternType="solid">
        <fgColor rgb="FFF9F905"/>
        <bgColor indexed="64"/>
      </patternFill>
    </fill>
    <fill>
      <patternFill patternType="solid">
        <fgColor rgb="FFF6F896"/>
        <bgColor indexed="64"/>
      </patternFill>
    </fill>
  </fills>
  <borders count="17">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166" fontId="1" fillId="0" borderId="0"/>
    <xf numFmtId="164" fontId="1" fillId="0" borderId="0"/>
    <xf numFmtId="0" fontId="1" fillId="0" borderId="0"/>
    <xf numFmtId="9" fontId="1" fillId="0" borderId="0"/>
  </cellStyleXfs>
  <cellXfs count="431">
    <xf numFmtId="0" fontId="0" fillId="0" borderId="0" xfId="0"/>
    <xf numFmtId="0" fontId="6" fillId="0" borderId="0" xfId="0" applyFont="1"/>
    <xf numFmtId="169" fontId="7" fillId="0" borderId="0" xfId="1" applyNumberFormat="1" applyFont="1"/>
    <xf numFmtId="165" fontId="7" fillId="0" borderId="0" xfId="2" applyNumberFormat="1" applyFont="1"/>
    <xf numFmtId="165" fontId="6" fillId="0" borderId="0" xfId="0" applyNumberFormat="1" applyFont="1"/>
    <xf numFmtId="0" fontId="0" fillId="0" borderId="0" xfId="0" applyFont="1"/>
    <xf numFmtId="0" fontId="4" fillId="0" borderId="0" xfId="0" applyFont="1"/>
    <xf numFmtId="168" fontId="4" fillId="0" borderId="0" xfId="0" applyNumberFormat="1" applyFont="1" applyAlignment="1">
      <alignment wrapText="1"/>
    </xf>
    <xf numFmtId="170" fontId="0" fillId="0" borderId="0" xfId="0" applyNumberFormat="1" applyFill="1" applyBorder="1"/>
    <xf numFmtId="165" fontId="1" fillId="0" borderId="0" xfId="2" applyNumberFormat="1" applyFill="1" applyBorder="1"/>
    <xf numFmtId="10" fontId="1" fillId="0" borderId="0" xfId="4" applyNumberFormat="1" applyFill="1" applyBorder="1"/>
    <xf numFmtId="10" fontId="1" fillId="0" borderId="0" xfId="3" applyNumberFormat="1" applyFill="1" applyBorder="1"/>
    <xf numFmtId="0" fontId="1" fillId="0" borderId="0" xfId="3" applyFill="1" applyBorder="1"/>
    <xf numFmtId="9" fontId="1" fillId="0" borderId="0" xfId="3" applyNumberFormat="1" applyFill="1" applyBorder="1"/>
    <xf numFmtId="0" fontId="0" fillId="0" borderId="0" xfId="0" applyFill="1" applyBorder="1"/>
    <xf numFmtId="165" fontId="1" fillId="0" borderId="0" xfId="3" applyNumberFormat="1" applyFill="1" applyBorder="1"/>
    <xf numFmtId="0" fontId="9" fillId="0" borderId="0" xfId="3" applyFont="1" applyFill="1" applyBorder="1" applyAlignment="1">
      <alignment horizontal="right"/>
    </xf>
    <xf numFmtId="10" fontId="9" fillId="0" borderId="0" xfId="4" applyNumberFormat="1" applyFont="1" applyFill="1" applyBorder="1"/>
    <xf numFmtId="165" fontId="7" fillId="5" borderId="1" xfId="2" applyNumberFormat="1" applyFont="1" applyFill="1" applyBorder="1"/>
    <xf numFmtId="0" fontId="1" fillId="8" borderId="0" xfId="3" applyFill="1" applyBorder="1"/>
    <xf numFmtId="0" fontId="0" fillId="8" borderId="0" xfId="0" applyFill="1" applyBorder="1"/>
    <xf numFmtId="168" fontId="0" fillId="8" borderId="0" xfId="0" applyNumberFormat="1" applyFill="1" applyBorder="1"/>
    <xf numFmtId="0" fontId="0" fillId="7" borderId="0" xfId="0" applyFill="1" applyBorder="1"/>
    <xf numFmtId="0" fontId="11" fillId="7" borderId="0" xfId="0" applyFont="1" applyFill="1" applyBorder="1"/>
    <xf numFmtId="0" fontId="10" fillId="9" borderId="3" xfId="0" applyFont="1" applyFill="1" applyBorder="1"/>
    <xf numFmtId="168" fontId="10" fillId="9" borderId="3" xfId="0" applyNumberFormat="1" applyFont="1" applyFill="1" applyBorder="1"/>
    <xf numFmtId="0" fontId="17" fillId="8" borderId="4" xfId="0" applyFont="1" applyFill="1" applyBorder="1"/>
    <xf numFmtId="0" fontId="20" fillId="9" borderId="4" xfId="0" applyFont="1" applyFill="1" applyBorder="1"/>
    <xf numFmtId="0" fontId="20" fillId="9" borderId="0" xfId="0" applyFont="1" applyFill="1" applyBorder="1"/>
    <xf numFmtId="10" fontId="20" fillId="9" borderId="0" xfId="4" applyNumberFormat="1" applyFont="1" applyFill="1" applyBorder="1"/>
    <xf numFmtId="168" fontId="20" fillId="9" borderId="0" xfId="0" applyNumberFormat="1" applyFont="1" applyFill="1" applyBorder="1"/>
    <xf numFmtId="165" fontId="7" fillId="8" borderId="0" xfId="2" applyNumberFormat="1" applyFont="1" applyFill="1" applyBorder="1"/>
    <xf numFmtId="165" fontId="7" fillId="7" borderId="0" xfId="2" applyNumberFormat="1" applyFont="1" applyFill="1" applyBorder="1"/>
    <xf numFmtId="10" fontId="1" fillId="8" borderId="0" xfId="4" applyNumberFormat="1" applyFill="1" applyBorder="1"/>
    <xf numFmtId="0" fontId="13" fillId="9" borderId="0" xfId="0" applyFont="1" applyFill="1" applyBorder="1"/>
    <xf numFmtId="0" fontId="0" fillId="9" borderId="3" xfId="0" applyFill="1" applyBorder="1"/>
    <xf numFmtId="0" fontId="1" fillId="9" borderId="3" xfId="3" applyFill="1" applyBorder="1"/>
    <xf numFmtId="2" fontId="1" fillId="9" borderId="3" xfId="3" applyNumberFormat="1" applyFill="1" applyBorder="1"/>
    <xf numFmtId="165" fontId="7" fillId="9" borderId="3" xfId="2" applyNumberFormat="1" applyFont="1" applyFill="1" applyBorder="1"/>
    <xf numFmtId="165" fontId="7" fillId="9" borderId="9" xfId="2" applyNumberFormat="1" applyFont="1" applyFill="1" applyBorder="1"/>
    <xf numFmtId="165" fontId="7" fillId="8" borderId="5" xfId="2" applyNumberFormat="1" applyFont="1" applyFill="1" applyBorder="1"/>
    <xf numFmtId="165" fontId="7" fillId="7" borderId="5" xfId="2" applyNumberFormat="1" applyFont="1" applyFill="1" applyBorder="1"/>
    <xf numFmtId="0" fontId="13" fillId="9" borderId="4" xfId="0" applyFont="1" applyFill="1" applyBorder="1"/>
    <xf numFmtId="0" fontId="13" fillId="9" borderId="6" xfId="0" applyFont="1" applyFill="1" applyBorder="1"/>
    <xf numFmtId="0" fontId="13" fillId="9" borderId="7" xfId="0" applyFont="1" applyFill="1" applyBorder="1"/>
    <xf numFmtId="165" fontId="7" fillId="7" borderId="7" xfId="2" applyNumberFormat="1" applyFont="1" applyFill="1" applyBorder="1"/>
    <xf numFmtId="165" fontId="7" fillId="7" borderId="8" xfId="2" applyNumberFormat="1" applyFont="1" applyFill="1" applyBorder="1"/>
    <xf numFmtId="0" fontId="6" fillId="3" borderId="0" xfId="0" applyFont="1" applyFill="1" applyBorder="1"/>
    <xf numFmtId="165" fontId="7" fillId="3" borderId="0" xfId="2" applyNumberFormat="1" applyFont="1" applyFill="1" applyBorder="1"/>
    <xf numFmtId="165" fontId="7" fillId="3" borderId="5" xfId="2" applyNumberFormat="1" applyFont="1" applyFill="1" applyBorder="1"/>
    <xf numFmtId="0" fontId="8" fillId="5" borderId="4" xfId="0" applyFont="1" applyFill="1" applyBorder="1"/>
    <xf numFmtId="0" fontId="6" fillId="5" borderId="0" xfId="0" applyFont="1" applyFill="1" applyBorder="1"/>
    <xf numFmtId="165" fontId="7" fillId="5" borderId="0" xfId="2" applyNumberFormat="1" applyFont="1" applyFill="1" applyBorder="1"/>
    <xf numFmtId="165" fontId="7" fillId="5" borderId="5" xfId="2" applyNumberFormat="1" applyFont="1" applyFill="1" applyBorder="1"/>
    <xf numFmtId="165" fontId="7" fillId="5" borderId="10" xfId="2" applyNumberFormat="1" applyFont="1" applyFill="1" applyBorder="1"/>
    <xf numFmtId="0" fontId="6" fillId="4" borderId="4" xfId="0" applyFont="1" applyFill="1" applyBorder="1"/>
    <xf numFmtId="0" fontId="6" fillId="4" borderId="0" xfId="0" applyFont="1" applyFill="1" applyBorder="1"/>
    <xf numFmtId="165" fontId="7" fillId="4" borderId="0" xfId="2" applyNumberFormat="1" applyFont="1" applyFill="1" applyBorder="1"/>
    <xf numFmtId="165" fontId="7" fillId="4" borderId="5" xfId="2" applyNumberFormat="1" applyFont="1" applyFill="1" applyBorder="1"/>
    <xf numFmtId="0" fontId="6" fillId="5" borderId="4" xfId="0" applyFont="1" applyFill="1" applyBorder="1"/>
    <xf numFmtId="0" fontId="12" fillId="11" borderId="0" xfId="0" applyFont="1" applyFill="1" applyBorder="1"/>
    <xf numFmtId="165" fontId="12" fillId="11" borderId="0" xfId="2" applyNumberFormat="1" applyFont="1" applyFill="1" applyBorder="1"/>
    <xf numFmtId="0" fontId="8" fillId="4" borderId="4" xfId="0" applyFont="1" applyFill="1" applyBorder="1"/>
    <xf numFmtId="0" fontId="12" fillId="11" borderId="7" xfId="0" applyFont="1" applyFill="1" applyBorder="1"/>
    <xf numFmtId="165" fontId="12" fillId="11" borderId="7" xfId="2" applyNumberFormat="1" applyFont="1" applyFill="1" applyBorder="1"/>
    <xf numFmtId="165" fontId="12" fillId="11" borderId="8" xfId="2" applyNumberFormat="1" applyFont="1" applyFill="1" applyBorder="1"/>
    <xf numFmtId="0" fontId="12" fillId="11" borderId="5" xfId="0" applyFont="1" applyFill="1" applyBorder="1"/>
    <xf numFmtId="0" fontId="6" fillId="6" borderId="4" xfId="0" applyFont="1" applyFill="1" applyBorder="1"/>
    <xf numFmtId="0" fontId="6" fillId="6" borderId="0" xfId="0" applyFont="1" applyFill="1" applyBorder="1"/>
    <xf numFmtId="166" fontId="7" fillId="6" borderId="0" xfId="1" applyFont="1" applyFill="1" applyBorder="1"/>
    <xf numFmtId="0" fontId="6" fillId="6" borderId="5" xfId="0" applyFont="1" applyFill="1" applyBorder="1"/>
    <xf numFmtId="164" fontId="7" fillId="6" borderId="0" xfId="2" applyFont="1" applyFill="1" applyBorder="1"/>
    <xf numFmtId="169" fontId="7" fillId="6" borderId="0" xfId="1" applyNumberFormat="1" applyFont="1" applyFill="1" applyBorder="1"/>
    <xf numFmtId="0" fontId="6" fillId="6" borderId="6" xfId="0" applyFont="1" applyFill="1" applyBorder="1"/>
    <xf numFmtId="0" fontId="6" fillId="6" borderId="7" xfId="0" applyFont="1" applyFill="1" applyBorder="1"/>
    <xf numFmtId="0" fontId="6" fillId="6" borderId="8" xfId="0" applyFont="1" applyFill="1" applyBorder="1"/>
    <xf numFmtId="0" fontId="15" fillId="9" borderId="2" xfId="0" applyFont="1" applyFill="1" applyBorder="1"/>
    <xf numFmtId="0" fontId="16" fillId="9" borderId="3" xfId="0" applyFont="1" applyFill="1" applyBorder="1"/>
    <xf numFmtId="169" fontId="16" fillId="9" borderId="3" xfId="1" applyNumberFormat="1" applyFont="1" applyFill="1" applyBorder="1"/>
    <xf numFmtId="0" fontId="16" fillId="9" borderId="9" xfId="0" applyFont="1" applyFill="1" applyBorder="1"/>
    <xf numFmtId="169" fontId="7" fillId="6" borderId="3" xfId="1" applyNumberFormat="1" applyFont="1" applyFill="1" applyBorder="1"/>
    <xf numFmtId="0" fontId="6" fillId="6" borderId="9" xfId="0" applyFont="1" applyFill="1" applyBorder="1"/>
    <xf numFmtId="10" fontId="2" fillId="6" borderId="0" xfId="4" applyNumberFormat="1" applyFont="1" applyFill="1" applyBorder="1"/>
    <xf numFmtId="0" fontId="1" fillId="6" borderId="5" xfId="3" applyFill="1" applyBorder="1"/>
    <xf numFmtId="0" fontId="12" fillId="3" borderId="0" xfId="0" applyFont="1" applyFill="1" applyBorder="1"/>
    <xf numFmtId="165" fontId="12" fillId="3" borderId="0" xfId="2" applyNumberFormat="1" applyFont="1" applyFill="1" applyBorder="1"/>
    <xf numFmtId="0" fontId="14" fillId="11" borderId="4" xfId="0" applyFont="1" applyFill="1" applyBorder="1"/>
    <xf numFmtId="0" fontId="13" fillId="3" borderId="4" xfId="0" applyFont="1" applyFill="1" applyBorder="1"/>
    <xf numFmtId="0" fontId="18" fillId="4" borderId="4" xfId="0" applyFont="1" applyFill="1" applyBorder="1"/>
    <xf numFmtId="0" fontId="13" fillId="11" borderId="6" xfId="0" applyFont="1" applyFill="1" applyBorder="1"/>
    <xf numFmtId="0" fontId="22" fillId="9" borderId="2" xfId="0" applyFont="1" applyFill="1" applyBorder="1"/>
    <xf numFmtId="0" fontId="23" fillId="8" borderId="4" xfId="0" applyFont="1" applyFill="1" applyBorder="1"/>
    <xf numFmtId="10" fontId="26" fillId="6" borderId="0" xfId="4" applyNumberFormat="1" applyFont="1" applyFill="1" applyBorder="1"/>
    <xf numFmtId="169" fontId="27" fillId="6" borderId="0" xfId="1" applyNumberFormat="1" applyFont="1" applyFill="1" applyBorder="1"/>
    <xf numFmtId="0" fontId="28" fillId="6" borderId="0" xfId="0" applyFont="1" applyFill="1" applyBorder="1"/>
    <xf numFmtId="167" fontId="26" fillId="6" borderId="0" xfId="4" applyNumberFormat="1" applyFont="1" applyFill="1" applyBorder="1"/>
    <xf numFmtId="164" fontId="29" fillId="6" borderId="0" xfId="2" applyFont="1" applyFill="1" applyBorder="1"/>
    <xf numFmtId="169" fontId="27" fillId="6" borderId="7" xfId="1" applyNumberFormat="1" applyFont="1" applyFill="1" applyBorder="1"/>
    <xf numFmtId="166" fontId="27" fillId="6" borderId="0" xfId="1" applyFont="1" applyFill="1" applyBorder="1"/>
    <xf numFmtId="164" fontId="27" fillId="6" borderId="0" xfId="2" applyFont="1" applyFill="1" applyBorder="1"/>
    <xf numFmtId="0" fontId="27" fillId="6" borderId="0" xfId="0" applyFont="1" applyFill="1" applyBorder="1"/>
    <xf numFmtId="166" fontId="6" fillId="6" borderId="0" xfId="1" applyFont="1" applyFill="1" applyBorder="1"/>
    <xf numFmtId="2" fontId="27" fillId="6" borderId="0" xfId="0" applyNumberFormat="1" applyFont="1" applyFill="1" applyBorder="1" applyAlignment="1">
      <alignment horizontal="right"/>
    </xf>
    <xf numFmtId="2" fontId="6" fillId="6" borderId="0" xfId="0" applyNumberFormat="1" applyFont="1" applyFill="1" applyBorder="1" applyAlignment="1">
      <alignment horizontal="right"/>
    </xf>
    <xf numFmtId="166" fontId="27" fillId="6" borderId="0" xfId="1" applyNumberFormat="1" applyFont="1" applyFill="1" applyBorder="1" applyAlignment="1">
      <alignment horizontal="right"/>
    </xf>
    <xf numFmtId="166" fontId="7" fillId="6" borderId="0" xfId="1" applyNumberFormat="1" applyFont="1" applyFill="1" applyBorder="1" applyAlignment="1">
      <alignment horizontal="right"/>
    </xf>
    <xf numFmtId="165" fontId="27" fillId="5" borderId="0" xfId="2" applyNumberFormat="1" applyFont="1" applyFill="1" applyBorder="1"/>
    <xf numFmtId="0" fontId="14" fillId="10" borderId="6" xfId="0" applyFont="1" applyFill="1" applyBorder="1"/>
    <xf numFmtId="0" fontId="14" fillId="10" borderId="7" xfId="0" applyFont="1" applyFill="1" applyBorder="1"/>
    <xf numFmtId="169" fontId="14" fillId="10" borderId="7" xfId="1" applyNumberFormat="1" applyFont="1" applyFill="1" applyBorder="1"/>
    <xf numFmtId="0" fontId="14" fillId="10" borderId="8" xfId="0" applyFont="1" applyFill="1" applyBorder="1"/>
    <xf numFmtId="44" fontId="24" fillId="2" borderId="3" xfId="2" applyNumberFormat="1" applyFont="1" applyFill="1" applyBorder="1"/>
    <xf numFmtId="0" fontId="24" fillId="2" borderId="3" xfId="3" applyFont="1" applyFill="1" applyBorder="1"/>
    <xf numFmtId="0" fontId="24" fillId="2" borderId="9" xfId="3" applyFont="1" applyFill="1" applyBorder="1"/>
    <xf numFmtId="0" fontId="11" fillId="2" borderId="0" xfId="0" applyFont="1" applyFill="1" applyBorder="1"/>
    <xf numFmtId="0" fontId="24" fillId="2" borderId="0" xfId="3" applyFont="1" applyFill="1" applyBorder="1"/>
    <xf numFmtId="0" fontId="30" fillId="2" borderId="0" xfId="3" applyFont="1" applyFill="1" applyBorder="1"/>
    <xf numFmtId="0" fontId="24" fillId="2" borderId="5" xfId="3" applyFont="1" applyFill="1" applyBorder="1"/>
    <xf numFmtId="170" fontId="24" fillId="2" borderId="0" xfId="2" applyNumberFormat="1" applyFont="1" applyFill="1" applyBorder="1"/>
    <xf numFmtId="10" fontId="30" fillId="2" borderId="0" xfId="3" applyNumberFormat="1" applyFont="1" applyFill="1" applyBorder="1"/>
    <xf numFmtId="170" fontId="11" fillId="2" borderId="0" xfId="0" applyNumberFormat="1" applyFont="1" applyFill="1" applyBorder="1"/>
    <xf numFmtId="10" fontId="24" fillId="2" borderId="0" xfId="3" applyNumberFormat="1" applyFont="1" applyFill="1" applyBorder="1"/>
    <xf numFmtId="2" fontId="24" fillId="2" borderId="0" xfId="3" applyNumberFormat="1" applyFont="1" applyFill="1" applyBorder="1"/>
    <xf numFmtId="170" fontId="24" fillId="12" borderId="0" xfId="2" applyNumberFormat="1" applyFont="1" applyFill="1" applyBorder="1"/>
    <xf numFmtId="0" fontId="24" fillId="12" borderId="0" xfId="3" applyFont="1" applyFill="1" applyBorder="1"/>
    <xf numFmtId="2" fontId="24" fillId="12" borderId="0" xfId="3" applyNumberFormat="1" applyFont="1" applyFill="1" applyBorder="1"/>
    <xf numFmtId="0" fontId="24" fillId="12" borderId="5" xfId="3" applyFont="1" applyFill="1" applyBorder="1"/>
    <xf numFmtId="10" fontId="24" fillId="2" borderId="0" xfId="4" applyNumberFormat="1" applyFont="1" applyFill="1" applyBorder="1"/>
    <xf numFmtId="44" fontId="24" fillId="12" borderId="0" xfId="2" applyNumberFormat="1" applyFont="1" applyFill="1" applyBorder="1"/>
    <xf numFmtId="10" fontId="24" fillId="12" borderId="0" xfId="4" applyNumberFormat="1" applyFont="1" applyFill="1" applyBorder="1"/>
    <xf numFmtId="44" fontId="11" fillId="2" borderId="0" xfId="0" applyNumberFormat="1" applyFont="1" applyFill="1" applyBorder="1"/>
    <xf numFmtId="165" fontId="24" fillId="2" borderId="0" xfId="2" applyNumberFormat="1" applyFont="1" applyFill="1" applyBorder="1"/>
    <xf numFmtId="10" fontId="24" fillId="12" borderId="0" xfId="3" applyNumberFormat="1" applyFont="1" applyFill="1" applyBorder="1"/>
    <xf numFmtId="10" fontId="31" fillId="12" borderId="0" xfId="3" applyNumberFormat="1" applyFont="1" applyFill="1" applyBorder="1"/>
    <xf numFmtId="10" fontId="24" fillId="12" borderId="5" xfId="3" applyNumberFormat="1" applyFont="1" applyFill="1" applyBorder="1"/>
    <xf numFmtId="164" fontId="24" fillId="2" borderId="0" xfId="2" applyFont="1" applyFill="1" applyBorder="1"/>
    <xf numFmtId="0" fontId="11" fillId="2" borderId="7" xfId="0" applyFont="1" applyFill="1" applyBorder="1"/>
    <xf numFmtId="165" fontId="24" fillId="2" borderId="7" xfId="3" applyNumberFormat="1" applyFont="1" applyFill="1" applyBorder="1"/>
    <xf numFmtId="10" fontId="24" fillId="2" borderId="7" xfId="4" applyNumberFormat="1" applyFont="1" applyFill="1" applyBorder="1"/>
    <xf numFmtId="0" fontId="24" fillId="2" borderId="7" xfId="3" applyFont="1" applyFill="1" applyBorder="1"/>
    <xf numFmtId="0" fontId="24" fillId="12" borderId="7" xfId="3" applyFont="1" applyFill="1" applyBorder="1"/>
    <xf numFmtId="0" fontId="4" fillId="7" borderId="4" xfId="0" applyFont="1" applyFill="1" applyBorder="1"/>
    <xf numFmtId="0" fontId="4" fillId="7" borderId="0" xfId="0" applyFont="1" applyFill="1" applyBorder="1"/>
    <xf numFmtId="168" fontId="4" fillId="7" borderId="0" xfId="0" applyNumberFormat="1" applyFont="1" applyFill="1" applyBorder="1"/>
    <xf numFmtId="165" fontId="4" fillId="7" borderId="0" xfId="0" applyNumberFormat="1" applyFont="1" applyFill="1" applyBorder="1"/>
    <xf numFmtId="165" fontId="4" fillId="7" borderId="5" xfId="0" applyNumberFormat="1" applyFont="1" applyFill="1" applyBorder="1"/>
    <xf numFmtId="165" fontId="1" fillId="7" borderId="0" xfId="2" applyNumberFormat="1" applyFont="1" applyFill="1" applyBorder="1"/>
    <xf numFmtId="10" fontId="1" fillId="7" borderId="0" xfId="4" applyNumberFormat="1" applyFont="1" applyFill="1" applyBorder="1"/>
    <xf numFmtId="165" fontId="32" fillId="7" borderId="0" xfId="2" applyNumberFormat="1" applyFont="1" applyFill="1" applyBorder="1"/>
    <xf numFmtId="165" fontId="32" fillId="7" borderId="5" xfId="2" applyNumberFormat="1" applyFont="1" applyFill="1" applyBorder="1"/>
    <xf numFmtId="165" fontId="11" fillId="7" borderId="0" xfId="0" applyNumberFormat="1" applyFont="1" applyFill="1" applyBorder="1"/>
    <xf numFmtId="165" fontId="24" fillId="7" borderId="0" xfId="2" applyNumberFormat="1" applyFont="1" applyFill="1" applyBorder="1"/>
    <xf numFmtId="165" fontId="24" fillId="7" borderId="5" xfId="2" applyNumberFormat="1" applyFont="1" applyFill="1" applyBorder="1"/>
    <xf numFmtId="165" fontId="21" fillId="8" borderId="0" xfId="2" applyNumberFormat="1" applyFont="1" applyFill="1" applyBorder="1"/>
    <xf numFmtId="165" fontId="21" fillId="8" borderId="5" xfId="2" applyNumberFormat="1" applyFont="1" applyFill="1" applyBorder="1"/>
    <xf numFmtId="164" fontId="33" fillId="9" borderId="0" xfId="2" applyFont="1" applyFill="1" applyBorder="1"/>
    <xf numFmtId="164" fontId="34" fillId="9" borderId="0" xfId="2" applyFont="1" applyFill="1" applyBorder="1"/>
    <xf numFmtId="164" fontId="34" fillId="9" borderId="7" xfId="2" applyFont="1" applyFill="1" applyBorder="1"/>
    <xf numFmtId="0" fontId="19" fillId="13" borderId="2" xfId="0" applyFont="1" applyFill="1" applyBorder="1"/>
    <xf numFmtId="0" fontId="6" fillId="13" borderId="3" xfId="0" applyFont="1" applyFill="1" applyBorder="1"/>
    <xf numFmtId="169" fontId="7" fillId="13" borderId="3" xfId="1" applyNumberFormat="1" applyFont="1" applyFill="1" applyBorder="1"/>
    <xf numFmtId="0" fontId="6" fillId="13" borderId="9" xfId="0" applyFont="1" applyFill="1" applyBorder="1"/>
    <xf numFmtId="164" fontId="30" fillId="6" borderId="0" xfId="2" applyFont="1" applyFill="1"/>
    <xf numFmtId="165" fontId="6" fillId="5" borderId="0" xfId="2" applyNumberFormat="1" applyFont="1" applyFill="1" applyBorder="1"/>
    <xf numFmtId="10" fontId="24" fillId="12" borderId="7" xfId="4" applyNumberFormat="1" applyFont="1" applyFill="1" applyBorder="1"/>
    <xf numFmtId="0" fontId="2" fillId="2" borderId="11" xfId="3" applyFont="1" applyFill="1" applyBorder="1" applyAlignment="1">
      <alignment horizontal="right"/>
    </xf>
    <xf numFmtId="10" fontId="2" fillId="2" borderId="12" xfId="4" applyNumberFormat="1" applyFont="1" applyFill="1" applyBorder="1"/>
    <xf numFmtId="0" fontId="35" fillId="12" borderId="11" xfId="3" applyFont="1" applyFill="1" applyBorder="1" applyAlignment="1">
      <alignment horizontal="right"/>
    </xf>
    <xf numFmtId="10" fontId="35" fillId="12" borderId="13" xfId="4" applyNumberFormat="1" applyFont="1" applyFill="1" applyBorder="1"/>
    <xf numFmtId="0" fontId="16" fillId="9" borderId="3" xfId="0" quotePrefix="1" applyFont="1" applyFill="1" applyBorder="1"/>
    <xf numFmtId="10" fontId="30" fillId="2" borderId="3" xfId="3" applyNumberFormat="1" applyFont="1" applyFill="1" applyBorder="1"/>
    <xf numFmtId="0" fontId="6" fillId="15" borderId="3" xfId="0" applyFont="1" applyFill="1" applyBorder="1"/>
    <xf numFmtId="0" fontId="6" fillId="15" borderId="9" xfId="0" applyFont="1" applyFill="1" applyBorder="1"/>
    <xf numFmtId="9" fontId="6" fillId="15" borderId="4" xfId="0" applyNumberFormat="1" applyFont="1" applyFill="1" applyBorder="1"/>
    <xf numFmtId="0" fontId="6" fillId="15" borderId="0" xfId="0" applyFont="1" applyFill="1" applyBorder="1"/>
    <xf numFmtId="165" fontId="6" fillId="15" borderId="0" xfId="0" applyNumberFormat="1" applyFont="1" applyFill="1" applyBorder="1"/>
    <xf numFmtId="0" fontId="6" fillId="15" borderId="5" xfId="0" applyFont="1" applyFill="1" applyBorder="1"/>
    <xf numFmtId="0" fontId="6" fillId="15" borderId="4" xfId="0" applyFont="1" applyFill="1" applyBorder="1"/>
    <xf numFmtId="43" fontId="6" fillId="15" borderId="0" xfId="0" applyNumberFormat="1" applyFont="1" applyFill="1" applyBorder="1"/>
    <xf numFmtId="165" fontId="1" fillId="15" borderId="0" xfId="2" applyNumberFormat="1" applyFill="1" applyBorder="1"/>
    <xf numFmtId="43" fontId="1" fillId="15" borderId="0" xfId="2" applyNumberFormat="1" applyFill="1" applyBorder="1"/>
    <xf numFmtId="9" fontId="1" fillId="15" borderId="0" xfId="4" applyFill="1" applyBorder="1"/>
    <xf numFmtId="164" fontId="1" fillId="15" borderId="0" xfId="2" applyFill="1" applyBorder="1"/>
    <xf numFmtId="164" fontId="9" fillId="15" borderId="0" xfId="2" applyNumberFormat="1" applyFont="1" applyFill="1" applyBorder="1"/>
    <xf numFmtId="164" fontId="1" fillId="15" borderId="5" xfId="2" applyFill="1" applyBorder="1"/>
    <xf numFmtId="165" fontId="1" fillId="15" borderId="1" xfId="2" applyNumberFormat="1" applyFill="1" applyBorder="1"/>
    <xf numFmtId="164" fontId="1" fillId="15" borderId="5" xfId="2" applyNumberFormat="1" applyFill="1" applyBorder="1"/>
    <xf numFmtId="165" fontId="1" fillId="15" borderId="7" xfId="2" applyNumberFormat="1" applyFill="1" applyBorder="1"/>
    <xf numFmtId="165" fontId="36" fillId="15" borderId="7" xfId="3" applyNumberFormat="1" applyFont="1" applyFill="1" applyBorder="1"/>
    <xf numFmtId="10" fontId="1" fillId="15" borderId="7" xfId="3" applyNumberFormat="1" applyFill="1" applyBorder="1"/>
    <xf numFmtId="10" fontId="1" fillId="15" borderId="7" xfId="4" applyNumberFormat="1" applyFill="1" applyBorder="1"/>
    <xf numFmtId="0" fontId="1" fillId="15" borderId="7" xfId="3" applyFill="1" applyBorder="1"/>
    <xf numFmtId="0" fontId="1" fillId="15" borderId="8" xfId="3" applyFill="1" applyBorder="1"/>
    <xf numFmtId="165" fontId="7" fillId="15" borderId="3" xfId="2" applyNumberFormat="1" applyFont="1" applyFill="1" applyBorder="1"/>
    <xf numFmtId="165" fontId="7" fillId="15" borderId="9" xfId="2" applyNumberFormat="1" applyFont="1" applyFill="1" applyBorder="1"/>
    <xf numFmtId="165" fontId="7" fillId="15" borderId="0" xfId="2" applyNumberFormat="1" applyFont="1" applyFill="1" applyBorder="1"/>
    <xf numFmtId="165" fontId="7" fillId="15" borderId="5" xfId="2" applyNumberFormat="1" applyFont="1" applyFill="1" applyBorder="1"/>
    <xf numFmtId="165" fontId="1" fillId="0" borderId="0" xfId="2" applyNumberFormat="1"/>
    <xf numFmtId="10" fontId="6" fillId="15" borderId="0" xfId="0" applyNumberFormat="1" applyFont="1" applyFill="1" applyBorder="1"/>
    <xf numFmtId="9" fontId="6" fillId="15" borderId="0" xfId="0" applyNumberFormat="1" applyFont="1" applyFill="1" applyBorder="1"/>
    <xf numFmtId="10" fontId="6" fillId="15" borderId="7" xfId="0" applyNumberFormat="1" applyFont="1" applyFill="1" applyBorder="1"/>
    <xf numFmtId="165" fontId="7" fillId="15" borderId="7" xfId="2" applyNumberFormat="1" applyFont="1" applyFill="1" applyBorder="1"/>
    <xf numFmtId="165" fontId="7" fillId="15" borderId="8" xfId="2" applyNumberFormat="1" applyFont="1" applyFill="1" applyBorder="1"/>
    <xf numFmtId="10" fontId="24" fillId="2" borderId="5" xfId="3" applyNumberFormat="1" applyFont="1" applyFill="1" applyBorder="1"/>
    <xf numFmtId="10" fontId="2" fillId="2" borderId="13" xfId="4" applyNumberFormat="1" applyFont="1" applyFill="1" applyBorder="1"/>
    <xf numFmtId="0" fontId="14" fillId="10" borderId="0" xfId="0" applyFont="1" applyFill="1" applyBorder="1"/>
    <xf numFmtId="0" fontId="14" fillId="10" borderId="5" xfId="0" applyFont="1" applyFill="1" applyBorder="1"/>
    <xf numFmtId="0" fontId="39" fillId="3" borderId="0" xfId="0" applyFont="1" applyFill="1" applyBorder="1"/>
    <xf numFmtId="9" fontId="39" fillId="3" borderId="0" xfId="0" applyNumberFormat="1" applyFont="1" applyFill="1" applyBorder="1"/>
    <xf numFmtId="0" fontId="0" fillId="16" borderId="0" xfId="0" applyFill="1" applyBorder="1"/>
    <xf numFmtId="164" fontId="38" fillId="9" borderId="3" xfId="2" applyFont="1" applyFill="1" applyBorder="1"/>
    <xf numFmtId="0" fontId="39" fillId="3" borderId="4" xfId="0" applyFont="1" applyFill="1" applyBorder="1"/>
    <xf numFmtId="0" fontId="0" fillId="16" borderId="4" xfId="0" applyFill="1" applyBorder="1"/>
    <xf numFmtId="169" fontId="14" fillId="0" borderId="0" xfId="1" applyNumberFormat="1" applyFont="1" applyFill="1" applyBorder="1"/>
    <xf numFmtId="0" fontId="14" fillId="0" borderId="0" xfId="0" applyFont="1" applyFill="1" applyBorder="1"/>
    <xf numFmtId="169" fontId="16" fillId="0" borderId="0" xfId="1" applyNumberFormat="1" applyFont="1" applyFill="1" applyBorder="1"/>
    <xf numFmtId="0" fontId="16" fillId="0" borderId="0" xfId="0" applyFont="1" applyFill="1" applyBorder="1"/>
    <xf numFmtId="0" fontId="39" fillId="17" borderId="4" xfId="0" applyFont="1" applyFill="1" applyBorder="1"/>
    <xf numFmtId="0" fontId="40" fillId="17" borderId="0" xfId="0" applyFont="1" applyFill="1" applyBorder="1"/>
    <xf numFmtId="9" fontId="39" fillId="17" borderId="0" xfId="0" applyNumberFormat="1" applyFont="1" applyFill="1" applyBorder="1"/>
    <xf numFmtId="0" fontId="0" fillId="17" borderId="5" xfId="0" applyFill="1" applyBorder="1"/>
    <xf numFmtId="0" fontId="39" fillId="19" borderId="4" xfId="0" applyFont="1" applyFill="1" applyBorder="1"/>
    <xf numFmtId="0" fontId="40" fillId="19" borderId="0" xfId="0" applyFont="1" applyFill="1" applyBorder="1"/>
    <xf numFmtId="9" fontId="39" fillId="19" borderId="0" xfId="0" applyNumberFormat="1" applyFont="1" applyFill="1" applyBorder="1"/>
    <xf numFmtId="9" fontId="37" fillId="19" borderId="0" xfId="4" applyFont="1" applyFill="1" applyBorder="1"/>
    <xf numFmtId="0" fontId="0" fillId="19" borderId="5" xfId="0" applyFill="1" applyBorder="1"/>
    <xf numFmtId="0" fontId="0" fillId="20" borderId="0" xfId="0" applyFill="1" applyBorder="1"/>
    <xf numFmtId="0" fontId="0" fillId="20" borderId="5" xfId="0" applyFill="1" applyBorder="1"/>
    <xf numFmtId="165" fontId="7" fillId="20" borderId="0" xfId="2" applyNumberFormat="1" applyFont="1" applyFill="1" applyBorder="1"/>
    <xf numFmtId="0" fontId="0" fillId="4" borderId="0" xfId="0" applyFill="1" applyBorder="1"/>
    <xf numFmtId="0" fontId="0" fillId="4" borderId="5" xfId="0" applyFill="1" applyBorder="1"/>
    <xf numFmtId="0" fontId="0" fillId="4" borderId="7" xfId="0" applyFill="1" applyBorder="1"/>
    <xf numFmtId="165" fontId="7" fillId="4" borderId="7" xfId="2" applyNumberFormat="1" applyFont="1" applyFill="1" applyBorder="1"/>
    <xf numFmtId="0" fontId="0" fillId="4" borderId="8" xfId="0" applyFill="1" applyBorder="1"/>
    <xf numFmtId="0" fontId="17" fillId="12" borderId="4" xfId="0" applyFont="1" applyFill="1" applyBorder="1"/>
    <xf numFmtId="0" fontId="0" fillId="3" borderId="5" xfId="0" applyFill="1" applyBorder="1"/>
    <xf numFmtId="0" fontId="0" fillId="7" borderId="5" xfId="0" applyFill="1" applyBorder="1"/>
    <xf numFmtId="43" fontId="40" fillId="19" borderId="0" xfId="0" applyNumberFormat="1" applyFont="1" applyFill="1" applyBorder="1"/>
    <xf numFmtId="0" fontId="17" fillId="22" borderId="4" xfId="0" applyFont="1" applyFill="1" applyBorder="1"/>
    <xf numFmtId="0" fontId="17" fillId="22" borderId="0" xfId="0" applyFont="1" applyFill="1" applyBorder="1"/>
    <xf numFmtId="10" fontId="17" fillId="22" borderId="0" xfId="4" applyNumberFormat="1" applyFont="1" applyFill="1" applyBorder="1"/>
    <xf numFmtId="168" fontId="17" fillId="22" borderId="0" xfId="0" applyNumberFormat="1" applyFont="1" applyFill="1" applyBorder="1"/>
    <xf numFmtId="164" fontId="41" fillId="22" borderId="0" xfId="2" applyFont="1" applyFill="1" applyBorder="1"/>
    <xf numFmtId="0" fontId="42" fillId="18" borderId="4" xfId="0" applyFont="1" applyFill="1" applyBorder="1"/>
    <xf numFmtId="0" fontId="11" fillId="18" borderId="0" xfId="0" applyFont="1" applyFill="1" applyBorder="1"/>
    <xf numFmtId="9" fontId="11" fillId="18" borderId="5" xfId="0" applyNumberFormat="1" applyFont="1" applyFill="1" applyBorder="1"/>
    <xf numFmtId="0" fontId="11" fillId="18" borderId="5" xfId="0" applyFont="1" applyFill="1" applyBorder="1"/>
    <xf numFmtId="9" fontId="24" fillId="18" borderId="5" xfId="4" applyFont="1" applyFill="1" applyBorder="1"/>
    <xf numFmtId="0" fontId="11" fillId="18" borderId="4" xfId="0" applyFont="1" applyFill="1" applyBorder="1"/>
    <xf numFmtId="165" fontId="24" fillId="18" borderId="0" xfId="2" applyNumberFormat="1" applyFont="1" applyFill="1" applyBorder="1"/>
    <xf numFmtId="0" fontId="1" fillId="0" borderId="0" xfId="3" applyBorder="1"/>
    <xf numFmtId="0" fontId="0" fillId="0" borderId="0" xfId="0" applyBorder="1"/>
    <xf numFmtId="164" fontId="0" fillId="0" borderId="0" xfId="2" applyFont="1" applyBorder="1"/>
    <xf numFmtId="9" fontId="0" fillId="0" borderId="0" xfId="4" applyFont="1" applyBorder="1"/>
    <xf numFmtId="9" fontId="0" fillId="0" borderId="0" xfId="4" applyNumberFormat="1" applyFont="1" applyBorder="1"/>
    <xf numFmtId="44" fontId="1" fillId="0" borderId="0" xfId="2" applyNumberFormat="1" applyBorder="1"/>
    <xf numFmtId="164" fontId="0" fillId="0" borderId="0" xfId="0" applyNumberFormat="1" applyBorder="1"/>
    <xf numFmtId="8" fontId="0" fillId="0" borderId="0" xfId="0" applyNumberFormat="1" applyBorder="1"/>
    <xf numFmtId="0" fontId="42" fillId="20" borderId="4" xfId="0" applyFont="1" applyFill="1" applyBorder="1"/>
    <xf numFmtId="0" fontId="11" fillId="20" borderId="0" xfId="0" applyFont="1" applyFill="1" applyBorder="1"/>
    <xf numFmtId="0" fontId="11" fillId="20" borderId="4" xfId="0" applyFont="1" applyFill="1" applyBorder="1"/>
    <xf numFmtId="165" fontId="24" fillId="20" borderId="0" xfId="2" applyNumberFormat="1" applyFont="1" applyFill="1" applyBorder="1"/>
    <xf numFmtId="0" fontId="42" fillId="4" borderId="4" xfId="0" applyFont="1" applyFill="1" applyBorder="1"/>
    <xf numFmtId="0" fontId="11" fillId="4" borderId="0" xfId="0" applyFont="1" applyFill="1" applyBorder="1"/>
    <xf numFmtId="0" fontId="11" fillId="4" borderId="4" xfId="0" applyFont="1" applyFill="1" applyBorder="1"/>
    <xf numFmtId="165" fontId="24" fillId="4" borderId="0" xfId="2" applyNumberFormat="1" applyFont="1" applyFill="1" applyBorder="1"/>
    <xf numFmtId="0" fontId="43" fillId="15" borderId="2" xfId="3" applyFont="1" applyFill="1" applyBorder="1"/>
    <xf numFmtId="0" fontId="2" fillId="15" borderId="3" xfId="3" applyFont="1" applyFill="1" applyBorder="1"/>
    <xf numFmtId="0" fontId="2" fillId="15" borderId="4" xfId="3" applyFont="1" applyFill="1" applyBorder="1"/>
    <xf numFmtId="0" fontId="2" fillId="15" borderId="0" xfId="3" applyFont="1" applyFill="1" applyBorder="1"/>
    <xf numFmtId="9" fontId="2" fillId="15" borderId="0" xfId="3" applyNumberFormat="1" applyFont="1" applyFill="1" applyBorder="1"/>
    <xf numFmtId="0" fontId="43" fillId="15" borderId="4" xfId="3" applyFont="1" applyFill="1" applyBorder="1"/>
    <xf numFmtId="165" fontId="2" fillId="15" borderId="0" xfId="3" applyNumberFormat="1" applyFont="1" applyFill="1" applyBorder="1"/>
    <xf numFmtId="165" fontId="2" fillId="15" borderId="0" xfId="2" applyNumberFormat="1" applyFont="1" applyFill="1" applyBorder="1"/>
    <xf numFmtId="165" fontId="2" fillId="15" borderId="5" xfId="2" applyNumberFormat="1" applyFont="1" applyFill="1" applyBorder="1"/>
    <xf numFmtId="10" fontId="2" fillId="15" borderId="0" xfId="3" applyNumberFormat="1" applyFont="1" applyFill="1" applyBorder="1"/>
    <xf numFmtId="0" fontId="43" fillId="15" borderId="0" xfId="3" applyFont="1" applyFill="1" applyBorder="1"/>
    <xf numFmtId="10" fontId="43" fillId="15" borderId="0" xfId="4" applyNumberFormat="1" applyFont="1" applyFill="1" applyBorder="1"/>
    <xf numFmtId="0" fontId="43" fillId="15" borderId="6" xfId="3" applyFont="1" applyFill="1" applyBorder="1"/>
    <xf numFmtId="0" fontId="43" fillId="15" borderId="7" xfId="3" applyFont="1" applyFill="1" applyBorder="1"/>
    <xf numFmtId="10" fontId="43" fillId="15" borderId="7" xfId="4" applyNumberFormat="1" applyFont="1" applyFill="1" applyBorder="1"/>
    <xf numFmtId="0" fontId="6" fillId="6" borderId="3" xfId="0" applyFont="1" applyFill="1" applyBorder="1"/>
    <xf numFmtId="165" fontId="7" fillId="6" borderId="0" xfId="2" applyNumberFormat="1" applyFont="1" applyFill="1" applyBorder="1"/>
    <xf numFmtId="166" fontId="7" fillId="6" borderId="5" xfId="1" applyFont="1" applyFill="1" applyBorder="1"/>
    <xf numFmtId="164" fontId="7" fillId="6" borderId="5" xfId="2" applyFont="1" applyFill="1" applyBorder="1"/>
    <xf numFmtId="166" fontId="7" fillId="6" borderId="5" xfId="1" applyNumberFormat="1" applyFont="1" applyFill="1" applyBorder="1" applyAlignment="1">
      <alignment horizontal="right"/>
    </xf>
    <xf numFmtId="2" fontId="6" fillId="6" borderId="5" xfId="0" applyNumberFormat="1" applyFont="1" applyFill="1" applyBorder="1" applyAlignment="1">
      <alignment horizontal="right"/>
    </xf>
    <xf numFmtId="166" fontId="27" fillId="6" borderId="5" xfId="1" applyFont="1" applyFill="1" applyBorder="1"/>
    <xf numFmtId="166" fontId="6" fillId="6" borderId="5" xfId="1" applyFont="1" applyFill="1" applyBorder="1"/>
    <xf numFmtId="164" fontId="30" fillId="6" borderId="0" xfId="2" applyFont="1" applyFill="1" applyBorder="1"/>
    <xf numFmtId="164" fontId="30" fillId="6" borderId="5" xfId="2" applyFont="1" applyFill="1" applyBorder="1"/>
    <xf numFmtId="165" fontId="6" fillId="5" borderId="5" xfId="2" applyNumberFormat="1" applyFont="1" applyFill="1" applyBorder="1"/>
    <xf numFmtId="165" fontId="24" fillId="5" borderId="0" xfId="2" applyNumberFormat="1" applyFont="1" applyFill="1" applyBorder="1"/>
    <xf numFmtId="165" fontId="24" fillId="5" borderId="5" xfId="2" applyNumberFormat="1" applyFont="1" applyFill="1" applyBorder="1"/>
    <xf numFmtId="165" fontId="12" fillId="3" borderId="5" xfId="2" applyNumberFormat="1" applyFont="1" applyFill="1" applyBorder="1"/>
    <xf numFmtId="165" fontId="12" fillId="11" borderId="5" xfId="2" applyNumberFormat="1" applyFont="1" applyFill="1" applyBorder="1"/>
    <xf numFmtId="165" fontId="2" fillId="5" borderId="0" xfId="2" applyNumberFormat="1" applyFont="1" applyFill="1" applyBorder="1"/>
    <xf numFmtId="165" fontId="2" fillId="5" borderId="5" xfId="2" applyNumberFormat="1" applyFont="1" applyFill="1" applyBorder="1"/>
    <xf numFmtId="165" fontId="27" fillId="5" borderId="5" xfId="2" applyNumberFormat="1" applyFont="1" applyFill="1" applyBorder="1"/>
    <xf numFmtId="165" fontId="1" fillId="7" borderId="5" xfId="2" applyNumberFormat="1" applyFont="1" applyFill="1" applyBorder="1"/>
    <xf numFmtId="165" fontId="7" fillId="16" borderId="2" xfId="2" applyNumberFormat="1" applyFont="1" applyFill="1" applyBorder="1"/>
    <xf numFmtId="165" fontId="7" fillId="16" borderId="9" xfId="2" applyNumberFormat="1" applyFont="1" applyFill="1" applyBorder="1"/>
    <xf numFmtId="165" fontId="7" fillId="16" borderId="4" xfId="2" applyNumberFormat="1" applyFont="1" applyFill="1" applyBorder="1"/>
    <xf numFmtId="165" fontId="7" fillId="16" borderId="5" xfId="2" applyNumberFormat="1" applyFont="1" applyFill="1" applyBorder="1"/>
    <xf numFmtId="165" fontId="7" fillId="16" borderId="6" xfId="2" applyNumberFormat="1" applyFont="1" applyFill="1" applyBorder="1"/>
    <xf numFmtId="165" fontId="7" fillId="16" borderId="8" xfId="2" applyNumberFormat="1" applyFont="1" applyFill="1" applyBorder="1"/>
    <xf numFmtId="0" fontId="14" fillId="11" borderId="2" xfId="0" applyFont="1" applyFill="1" applyBorder="1"/>
    <xf numFmtId="0" fontId="12" fillId="11" borderId="3" xfId="0" applyFont="1" applyFill="1" applyBorder="1"/>
    <xf numFmtId="0" fontId="11" fillId="7" borderId="4" xfId="0" applyFont="1" applyFill="1" applyBorder="1"/>
    <xf numFmtId="0" fontId="17" fillId="12" borderId="0" xfId="0" applyFont="1" applyFill="1" applyBorder="1"/>
    <xf numFmtId="10" fontId="17" fillId="12" borderId="0" xfId="4" applyNumberFormat="1" applyFont="1" applyFill="1" applyBorder="1"/>
    <xf numFmtId="168" fontId="17" fillId="12" borderId="0" xfId="0" applyNumberFormat="1" applyFont="1" applyFill="1" applyBorder="1"/>
    <xf numFmtId="164" fontId="41" fillId="12" borderId="0" xfId="2" applyFont="1" applyFill="1" applyBorder="1"/>
    <xf numFmtId="0" fontId="17" fillId="21" borderId="4" xfId="0" applyFont="1" applyFill="1" applyBorder="1"/>
    <xf numFmtId="0" fontId="17" fillId="21" borderId="0" xfId="0" applyFont="1" applyFill="1" applyBorder="1"/>
    <xf numFmtId="10" fontId="17" fillId="21" borderId="0" xfId="4" applyNumberFormat="1" applyFont="1" applyFill="1" applyBorder="1"/>
    <xf numFmtId="168" fontId="17" fillId="21" borderId="0" xfId="0" applyNumberFormat="1" applyFont="1" applyFill="1" applyBorder="1"/>
    <xf numFmtId="0" fontId="17" fillId="21" borderId="6" xfId="0" applyFont="1" applyFill="1" applyBorder="1"/>
    <xf numFmtId="0" fontId="17" fillId="21" borderId="7" xfId="0" applyFont="1" applyFill="1" applyBorder="1"/>
    <xf numFmtId="164" fontId="41" fillId="21" borderId="7" xfId="2" applyFont="1" applyFill="1" applyBorder="1"/>
    <xf numFmtId="165" fontId="24" fillId="20" borderId="5" xfId="2" applyNumberFormat="1" applyFont="1" applyFill="1" applyBorder="1"/>
    <xf numFmtId="165" fontId="24" fillId="4" borderId="5" xfId="2" applyNumberFormat="1" applyFont="1" applyFill="1" applyBorder="1"/>
    <xf numFmtId="0" fontId="44" fillId="23" borderId="2" xfId="0" applyFont="1" applyFill="1" applyBorder="1"/>
    <xf numFmtId="0" fontId="44" fillId="23" borderId="3" xfId="0" applyFont="1" applyFill="1" applyBorder="1"/>
    <xf numFmtId="0" fontId="44" fillId="23" borderId="9" xfId="0" applyFont="1" applyFill="1" applyBorder="1"/>
    <xf numFmtId="0" fontId="44" fillId="23" borderId="4" xfId="0" applyFont="1" applyFill="1" applyBorder="1"/>
    <xf numFmtId="0" fontId="44" fillId="23" borderId="0" xfId="0" applyFont="1" applyFill="1" applyBorder="1"/>
    <xf numFmtId="0" fontId="44" fillId="23" borderId="5" xfId="0" applyFont="1" applyFill="1" applyBorder="1"/>
    <xf numFmtId="0" fontId="44" fillId="23" borderId="6" xfId="0" applyFont="1" applyFill="1" applyBorder="1"/>
    <xf numFmtId="0" fontId="44" fillId="23" borderId="7" xfId="0" applyFont="1" applyFill="1" applyBorder="1"/>
    <xf numFmtId="0" fontId="44" fillId="23" borderId="8" xfId="0" applyFont="1" applyFill="1" applyBorder="1"/>
    <xf numFmtId="10" fontId="6" fillId="0" borderId="0" xfId="0" applyNumberFormat="1" applyFont="1"/>
    <xf numFmtId="0" fontId="45" fillId="9" borderId="2" xfId="0" applyFont="1" applyFill="1" applyBorder="1"/>
    <xf numFmtId="0" fontId="20" fillId="9" borderId="6" xfId="0" applyFont="1" applyFill="1" applyBorder="1"/>
    <xf numFmtId="0" fontId="20" fillId="9" borderId="7" xfId="0" applyFont="1" applyFill="1" applyBorder="1"/>
    <xf numFmtId="164" fontId="33" fillId="9" borderId="7" xfId="2" applyFont="1" applyFill="1" applyBorder="1"/>
    <xf numFmtId="0" fontId="0" fillId="7" borderId="7" xfId="0" applyFill="1" applyBorder="1"/>
    <xf numFmtId="0" fontId="36" fillId="15" borderId="0" xfId="3" applyFont="1" applyFill="1" applyBorder="1" applyAlignment="1">
      <alignment horizontal="center"/>
    </xf>
    <xf numFmtId="0" fontId="1" fillId="15" borderId="0" xfId="3" applyFill="1" applyBorder="1" applyAlignment="1">
      <alignment horizontal="center"/>
    </xf>
    <xf numFmtId="0" fontId="9" fillId="15" borderId="0" xfId="3" applyFont="1" applyFill="1" applyBorder="1" applyAlignment="1">
      <alignment horizontal="center"/>
    </xf>
    <xf numFmtId="0" fontId="1" fillId="15" borderId="5" xfId="3" applyFill="1" applyBorder="1" applyAlignment="1">
      <alignment horizontal="center"/>
    </xf>
    <xf numFmtId="0" fontId="8" fillId="15" borderId="2" xfId="0" applyFont="1" applyFill="1" applyBorder="1" applyAlignment="1">
      <alignment horizontal="center"/>
    </xf>
    <xf numFmtId="0" fontId="8" fillId="15" borderId="3" xfId="0" applyFont="1" applyFill="1" applyBorder="1" applyAlignment="1">
      <alignment horizontal="center"/>
    </xf>
    <xf numFmtId="0" fontId="8" fillId="15" borderId="4" xfId="0" applyFont="1" applyFill="1" applyBorder="1"/>
    <xf numFmtId="0" fontId="8" fillId="15" borderId="6" xfId="0" applyFont="1" applyFill="1" applyBorder="1"/>
    <xf numFmtId="0" fontId="18" fillId="15" borderId="4" xfId="0" applyFont="1" applyFill="1" applyBorder="1"/>
    <xf numFmtId="0" fontId="0" fillId="15" borderId="9" xfId="0" applyFill="1" applyBorder="1"/>
    <xf numFmtId="165" fontId="24" fillId="15" borderId="5" xfId="2" applyNumberFormat="1" applyFont="1" applyFill="1" applyBorder="1"/>
    <xf numFmtId="0" fontId="0" fillId="15" borderId="4" xfId="0" applyFill="1" applyBorder="1"/>
    <xf numFmtId="0" fontId="11" fillId="15" borderId="5" xfId="0" applyFont="1" applyFill="1" applyBorder="1"/>
    <xf numFmtId="0" fontId="0" fillId="15" borderId="5" xfId="0" applyFill="1" applyBorder="1"/>
    <xf numFmtId="0" fontId="11" fillId="15" borderId="4" xfId="0" applyFont="1" applyFill="1" applyBorder="1"/>
    <xf numFmtId="0" fontId="0" fillId="15" borderId="6" xfId="0" applyFill="1" applyBorder="1"/>
    <xf numFmtId="0" fontId="0" fillId="15" borderId="8" xfId="0" applyFill="1" applyBorder="1"/>
    <xf numFmtId="0" fontId="46" fillId="15" borderId="2" xfId="0" applyFont="1" applyFill="1" applyBorder="1"/>
    <xf numFmtId="0" fontId="4" fillId="22" borderId="4" xfId="0" applyFont="1" applyFill="1" applyBorder="1"/>
    <xf numFmtId="10" fontId="4" fillId="22" borderId="5" xfId="0" applyNumberFormat="1" applyFont="1" applyFill="1" applyBorder="1"/>
    <xf numFmtId="168" fontId="4" fillId="22" borderId="5" xfId="0" applyNumberFormat="1" applyFont="1" applyFill="1" applyBorder="1"/>
    <xf numFmtId="0" fontId="4" fillId="22" borderId="5" xfId="0" applyFont="1" applyFill="1" applyBorder="1"/>
    <xf numFmtId="164" fontId="3" fillId="22" borderId="5" xfId="2" applyFont="1" applyFill="1" applyBorder="1"/>
    <xf numFmtId="0" fontId="0" fillId="14" borderId="4" xfId="0" applyFill="1" applyBorder="1"/>
    <xf numFmtId="164" fontId="1" fillId="14" borderId="5" xfId="2" applyFill="1" applyBorder="1"/>
    <xf numFmtId="9" fontId="1" fillId="14" borderId="5" xfId="4" applyFill="1" applyBorder="1"/>
    <xf numFmtId="0" fontId="0" fillId="14" borderId="5" xfId="0" applyFill="1" applyBorder="1"/>
    <xf numFmtId="0" fontId="0" fillId="14" borderId="6" xfId="0" applyFill="1" applyBorder="1"/>
    <xf numFmtId="164" fontId="1" fillId="14" borderId="8" xfId="2" applyFill="1" applyBorder="1"/>
    <xf numFmtId="0" fontId="4" fillId="26" borderId="2" xfId="0" applyFont="1" applyFill="1" applyBorder="1"/>
    <xf numFmtId="17" fontId="4" fillId="26" borderId="4" xfId="0" quotePrefix="1" applyNumberFormat="1" applyFont="1" applyFill="1" applyBorder="1" applyAlignment="1">
      <alignment wrapText="1"/>
    </xf>
    <xf numFmtId="0" fontId="4" fillId="26" borderId="4" xfId="0" applyFont="1" applyFill="1" applyBorder="1" applyAlignment="1">
      <alignment wrapText="1"/>
    </xf>
    <xf numFmtId="0" fontId="5" fillId="26" borderId="4" xfId="0" applyFont="1" applyFill="1" applyBorder="1" applyAlignment="1">
      <alignment wrapText="1"/>
    </xf>
    <xf numFmtId="0" fontId="4" fillId="26" borderId="4" xfId="0" quotePrefix="1" applyFont="1" applyFill="1" applyBorder="1" applyAlignment="1">
      <alignment wrapText="1"/>
    </xf>
    <xf numFmtId="0" fontId="4" fillId="26" borderId="4" xfId="0" applyFont="1" applyFill="1" applyBorder="1"/>
    <xf numFmtId="17" fontId="4" fillId="26" borderId="4" xfId="0" quotePrefix="1" applyNumberFormat="1" applyFont="1" applyFill="1" applyBorder="1" applyAlignment="1">
      <alignment horizontal="left" wrapText="1"/>
    </xf>
    <xf numFmtId="0" fontId="0" fillId="26" borderId="4" xfId="0" applyFill="1" applyBorder="1"/>
    <xf numFmtId="0" fontId="5" fillId="26" borderId="6" xfId="0" applyFont="1" applyFill="1" applyBorder="1" applyAlignment="1">
      <alignment wrapText="1"/>
    </xf>
    <xf numFmtId="0" fontId="24" fillId="2" borderId="0" xfId="3" applyFont="1" applyFill="1" applyBorder="1" applyAlignment="1">
      <alignment horizontal="center"/>
    </xf>
    <xf numFmtId="0" fontId="24" fillId="12" borderId="0" xfId="3" applyFont="1" applyFill="1" applyBorder="1" applyAlignment="1">
      <alignment horizontal="center"/>
    </xf>
    <xf numFmtId="0" fontId="24" fillId="12" borderId="5" xfId="3" applyFont="1" applyFill="1" applyBorder="1" applyAlignment="1">
      <alignment horizontal="center"/>
    </xf>
    <xf numFmtId="0" fontId="6" fillId="2" borderId="0" xfId="0" applyFont="1" applyFill="1" applyBorder="1"/>
    <xf numFmtId="44" fontId="24" fillId="2" borderId="2" xfId="2" applyNumberFormat="1" applyFont="1" applyFill="1" applyBorder="1"/>
    <xf numFmtId="0" fontId="11" fillId="2" borderId="4" xfId="0" applyFont="1" applyFill="1" applyBorder="1"/>
    <xf numFmtId="170" fontId="24" fillId="2" borderId="4" xfId="2" applyNumberFormat="1" applyFont="1" applyFill="1" applyBorder="1"/>
    <xf numFmtId="170" fontId="11" fillId="2" borderId="4" xfId="0" applyNumberFormat="1" applyFont="1" applyFill="1" applyBorder="1"/>
    <xf numFmtId="44" fontId="24" fillId="2" borderId="4" xfId="2" applyNumberFormat="1" applyFont="1" applyFill="1" applyBorder="1"/>
    <xf numFmtId="44" fontId="6" fillId="2" borderId="4" xfId="0" applyNumberFormat="1" applyFont="1" applyFill="1" applyBorder="1"/>
    <xf numFmtId="164" fontId="7" fillId="2" borderId="4" xfId="2" applyFont="1" applyFill="1" applyBorder="1"/>
    <xf numFmtId="0" fontId="6" fillId="2" borderId="4" xfId="0" applyFont="1" applyFill="1" applyBorder="1"/>
    <xf numFmtId="170" fontId="6" fillId="2" borderId="4" xfId="0" applyNumberFormat="1" applyFont="1" applyFill="1" applyBorder="1"/>
    <xf numFmtId="0" fontId="11" fillId="2" borderId="6" xfId="0" applyFont="1" applyFill="1" applyBorder="1"/>
    <xf numFmtId="165" fontId="7" fillId="0" borderId="0" xfId="2" applyNumberFormat="1" applyFont="1" applyFill="1" applyBorder="1"/>
    <xf numFmtId="0" fontId="16" fillId="9" borderId="2" xfId="0" applyFont="1" applyFill="1" applyBorder="1"/>
    <xf numFmtId="0" fontId="6" fillId="13" borderId="2" xfId="0" applyFont="1" applyFill="1" applyBorder="1"/>
    <xf numFmtId="166" fontId="7" fillId="6" borderId="4" xfId="1" applyFont="1" applyFill="1" applyBorder="1"/>
    <xf numFmtId="164" fontId="7" fillId="6" borderId="4" xfId="2" applyFont="1" applyFill="1" applyBorder="1"/>
    <xf numFmtId="9" fontId="25" fillId="6" borderId="0" xfId="4" applyFont="1" applyFill="1" applyBorder="1"/>
    <xf numFmtId="164" fontId="25" fillId="6" borderId="0" xfId="2" applyFont="1" applyFill="1" applyBorder="1"/>
    <xf numFmtId="166" fontId="6" fillId="6" borderId="4" xfId="1" applyFont="1" applyFill="1" applyBorder="1"/>
    <xf numFmtId="10" fontId="25" fillId="6" borderId="0" xfId="4" applyNumberFormat="1" applyFont="1" applyFill="1" applyBorder="1"/>
    <xf numFmtId="164" fontId="30" fillId="6" borderId="4" xfId="2" applyFont="1" applyFill="1" applyBorder="1"/>
    <xf numFmtId="0" fontId="6" fillId="6" borderId="2" xfId="0" applyFont="1" applyFill="1" applyBorder="1"/>
    <xf numFmtId="165" fontId="7" fillId="6" borderId="4" xfId="2" applyNumberFormat="1" applyFont="1" applyFill="1" applyBorder="1"/>
    <xf numFmtId="165" fontId="7" fillId="6" borderId="6" xfId="2" applyNumberFormat="1" applyFont="1" applyFill="1" applyBorder="1"/>
    <xf numFmtId="10" fontId="25" fillId="6" borderId="7" xfId="2" applyNumberFormat="1" applyFont="1" applyFill="1" applyBorder="1"/>
    <xf numFmtId="0" fontId="1" fillId="6" borderId="8" xfId="3" applyFill="1" applyBorder="1"/>
    <xf numFmtId="165" fontId="7" fillId="6" borderId="7" xfId="2" applyNumberFormat="1" applyFont="1" applyFill="1" applyBorder="1"/>
    <xf numFmtId="165" fontId="7" fillId="2" borderId="2" xfId="2" applyNumberFormat="1" applyFont="1" applyFill="1" applyBorder="1"/>
    <xf numFmtId="165" fontId="7" fillId="2" borderId="4" xfId="2" applyNumberFormat="1" applyFont="1" applyFill="1" applyBorder="1"/>
    <xf numFmtId="165" fontId="7" fillId="12" borderId="4" xfId="2" applyNumberFormat="1" applyFont="1" applyFill="1" applyBorder="1"/>
    <xf numFmtId="165" fontId="7" fillId="2" borderId="6" xfId="2" applyNumberFormat="1" applyFont="1" applyFill="1" applyBorder="1"/>
    <xf numFmtId="44" fontId="47" fillId="9" borderId="3" xfId="0" applyNumberFormat="1" applyFont="1" applyFill="1" applyBorder="1"/>
    <xf numFmtId="0" fontId="4" fillId="26" borderId="3" xfId="0" applyFont="1" applyFill="1" applyBorder="1" applyAlignment="1">
      <alignment horizontal="center"/>
    </xf>
    <xf numFmtId="0" fontId="4" fillId="26" borderId="9" xfId="0" applyFont="1" applyFill="1" applyBorder="1" applyAlignment="1">
      <alignment horizontal="center"/>
    </xf>
    <xf numFmtId="164" fontId="3" fillId="26" borderId="0" xfId="2" applyFont="1" applyFill="1" applyBorder="1" applyAlignment="1">
      <alignment horizontal="center"/>
    </xf>
    <xf numFmtId="164" fontId="3" fillId="26" borderId="5" xfId="2" applyFont="1" applyFill="1" applyBorder="1" applyAlignment="1">
      <alignment horizontal="center"/>
    </xf>
    <xf numFmtId="0" fontId="0" fillId="26" borderId="0" xfId="0" applyFill="1" applyBorder="1" applyAlignment="1">
      <alignment horizontal="center"/>
    </xf>
    <xf numFmtId="0" fontId="0" fillId="26" borderId="5" xfId="0" applyFill="1" applyBorder="1" applyAlignment="1">
      <alignment horizontal="center"/>
    </xf>
    <xf numFmtId="0" fontId="4" fillId="26" borderId="0" xfId="0" applyFont="1" applyFill="1" applyBorder="1" applyAlignment="1">
      <alignment horizontal="center"/>
    </xf>
    <xf numFmtId="0" fontId="4" fillId="26" borderId="5" xfId="0" applyFont="1" applyFill="1" applyBorder="1" applyAlignment="1">
      <alignment horizontal="center"/>
    </xf>
    <xf numFmtId="164" fontId="3" fillId="26" borderId="7" xfId="2" applyFont="1" applyFill="1" applyBorder="1" applyAlignment="1">
      <alignment horizontal="center"/>
    </xf>
    <xf numFmtId="164" fontId="3" fillId="26" borderId="8" xfId="2" applyFont="1" applyFill="1" applyBorder="1" applyAlignment="1">
      <alignment horizontal="center"/>
    </xf>
    <xf numFmtId="0" fontId="8" fillId="12" borderId="14" xfId="0" applyFont="1" applyFill="1" applyBorder="1" applyAlignment="1">
      <alignment horizontal="center"/>
    </xf>
    <xf numFmtId="0" fontId="8" fillId="12" borderId="15" xfId="0" applyFont="1" applyFill="1" applyBorder="1" applyAlignment="1">
      <alignment horizontal="center"/>
    </xf>
    <xf numFmtId="0" fontId="8" fillId="12" borderId="16" xfId="0" applyFont="1" applyFill="1" applyBorder="1" applyAlignment="1">
      <alignment horizontal="center"/>
    </xf>
    <xf numFmtId="0" fontId="8" fillId="24" borderId="14" xfId="0" applyFont="1" applyFill="1" applyBorder="1" applyAlignment="1">
      <alignment horizontal="center"/>
    </xf>
    <xf numFmtId="0" fontId="8" fillId="24" borderId="15" xfId="0" applyFont="1" applyFill="1" applyBorder="1" applyAlignment="1">
      <alignment horizontal="center"/>
    </xf>
    <xf numFmtId="0" fontId="8" fillId="24" borderId="16" xfId="0" applyFont="1" applyFill="1" applyBorder="1" applyAlignment="1">
      <alignment horizontal="center"/>
    </xf>
    <xf numFmtId="0" fontId="0" fillId="2" borderId="0" xfId="0" quotePrefix="1" applyFont="1" applyFill="1" applyBorder="1" applyAlignment="1">
      <alignment horizontal="left" vertical="top" wrapText="1"/>
    </xf>
    <xf numFmtId="0" fontId="0" fillId="2" borderId="5" xfId="0" quotePrefix="1" applyFont="1" applyFill="1" applyBorder="1" applyAlignment="1">
      <alignment horizontal="left" vertical="top" wrapText="1"/>
    </xf>
    <xf numFmtId="0" fontId="46" fillId="25" borderId="14" xfId="0" applyFont="1" applyFill="1" applyBorder="1" applyAlignment="1">
      <alignment horizontal="center"/>
    </xf>
    <xf numFmtId="0" fontId="46" fillId="25" borderId="15" xfId="0" applyFont="1" applyFill="1" applyBorder="1" applyAlignment="1">
      <alignment horizontal="center"/>
    </xf>
    <xf numFmtId="0" fontId="46" fillId="25" borderId="16" xfId="0" applyFont="1" applyFill="1" applyBorder="1" applyAlignment="1">
      <alignment horizontal="center"/>
    </xf>
  </cellXfs>
  <cellStyles count="5">
    <cellStyle name="Comma" xfId="1" builtinId="3"/>
    <cellStyle name="Currency" xfId="2" builtinId="4"/>
    <cellStyle name="Excel Built-in Normal" xfId="3"/>
    <cellStyle name="Normal" xfId="0" builtinId="0"/>
    <cellStyle name="Percent" xfId="4" builtinId="5"/>
  </cellStyles>
  <dxfs count="0"/>
  <tableStyles count="0" defaultTableStyle="TableStyleMedium2" defaultPivotStyle="PivotStyleLight16"/>
  <colors>
    <mruColors>
      <color rgb="FFF6F896"/>
      <color rgb="FFF9F905"/>
      <color rgb="FFF2F565"/>
      <color rgb="FFF8FFA3"/>
      <color rgb="FF276B7B"/>
      <color rgb="FFF2F571"/>
      <color rgb="FFCC6C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evans10/Downloads/Bentley'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swer"/>
      <sheetName val="Mortgage"/>
      <sheetName val="Sheet3"/>
      <sheetName val="Sheet4"/>
      <sheetName val="Sheet5"/>
      <sheetName val="K"/>
    </sheetNames>
    <sheetDataSet>
      <sheetData sheetId="0"/>
      <sheetData sheetId="1">
        <row r="1">
          <cell r="I1">
            <v>0.05</v>
          </cell>
        </row>
        <row r="2">
          <cell r="L2">
            <v>150000</v>
          </cell>
        </row>
        <row r="13">
          <cell r="F13">
            <v>103450.86638715412</v>
          </cell>
        </row>
        <row r="14">
          <cell r="D14">
            <v>5214.8188371070974</v>
          </cell>
        </row>
        <row r="27">
          <cell r="F27">
            <v>101822.4761586027</v>
          </cell>
        </row>
        <row r="28">
          <cell r="D28">
            <v>5135.5622214015166</v>
          </cell>
        </row>
        <row r="41">
          <cell r="F41">
            <v>100110.77439546649</v>
          </cell>
        </row>
        <row r="42">
          <cell r="D42">
            <v>5052.2506868167575</v>
          </cell>
        </row>
        <row r="55">
          <cell r="F55">
            <v>98311.498721520722</v>
          </cell>
        </row>
        <row r="56">
          <cell r="D56">
            <v>4964.676776007198</v>
          </cell>
        </row>
        <row r="69">
          <cell r="F69">
            <v>96420.168689283484</v>
          </cell>
        </row>
        <row r="70">
          <cell r="D70">
            <v>4872.6224177156992</v>
          </cell>
        </row>
      </sheetData>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270"/>
  <sheetViews>
    <sheetView tabSelected="1" view="pageBreakPreview" topLeftCell="A118" zoomScale="70" zoomScaleNormal="100" zoomScaleSheetLayoutView="70" workbookViewId="0">
      <selection activeCell="F130" sqref="F130"/>
    </sheetView>
  </sheetViews>
  <sheetFormatPr defaultRowHeight="15.75" x14ac:dyDescent="0.25"/>
  <cols>
    <col min="1" max="1" width="5" style="1" customWidth="1"/>
    <col min="2" max="2" width="34" style="1" customWidth="1"/>
    <col min="3" max="3" width="12.140625" style="1" customWidth="1"/>
    <col min="4" max="4" width="20.28515625" style="1" bestFit="1" customWidth="1"/>
    <col min="5" max="6" width="16.85546875" style="1" bestFit="1" customWidth="1"/>
    <col min="7" max="7" width="15.42578125" style="1" bestFit="1" customWidth="1"/>
    <col min="8" max="8" width="16.85546875" style="1" bestFit="1" customWidth="1"/>
    <col min="9" max="9" width="16" style="1" bestFit="1" customWidth="1"/>
    <col min="10" max="10" width="15.42578125" style="1" bestFit="1" customWidth="1"/>
    <col min="11" max="13" width="14.7109375" style="1" customWidth="1"/>
    <col min="14" max="14" width="16" style="1" bestFit="1" customWidth="1"/>
    <col min="15" max="15" width="17.5703125" style="1" bestFit="1" customWidth="1"/>
    <col min="16" max="16" width="2.140625" style="1" customWidth="1"/>
    <col min="17" max="17" width="17.28515625" style="2" bestFit="1" customWidth="1"/>
    <col min="18" max="18" width="22.28515625" style="1" bestFit="1" customWidth="1"/>
    <col min="19" max="19" width="14.85546875" style="1" customWidth="1"/>
    <col min="20" max="20" width="14.28515625" style="1" customWidth="1"/>
    <col min="21" max="21" width="14.85546875" style="1" bestFit="1" customWidth="1"/>
    <col min="22" max="24" width="9.85546875" style="1" bestFit="1" customWidth="1"/>
    <col min="25" max="25" width="10" style="1" bestFit="1" customWidth="1"/>
    <col min="26" max="26" width="9.42578125" style="1" bestFit="1" customWidth="1"/>
    <col min="27" max="28" width="10.5703125" style="1" bestFit="1" customWidth="1"/>
    <col min="29" max="29" width="10.140625" style="1" bestFit="1" customWidth="1"/>
    <col min="30" max="30" width="10.85546875" style="1" bestFit="1" customWidth="1"/>
    <col min="31" max="16384" width="9.140625" style="1"/>
  </cols>
  <sheetData>
    <row r="1" spans="1:20" ht="28.5" x14ac:dyDescent="0.45">
      <c r="A1" s="332" t="s">
        <v>63</v>
      </c>
      <c r="B1" s="77"/>
      <c r="C1" s="77"/>
      <c r="D1" s="77"/>
      <c r="E1" s="77"/>
      <c r="F1" s="77"/>
      <c r="G1" s="77"/>
      <c r="H1" s="77"/>
      <c r="I1" s="77"/>
      <c r="J1" s="77"/>
      <c r="K1" s="77"/>
      <c r="L1" s="77"/>
      <c r="M1" s="77"/>
      <c r="N1" s="77"/>
      <c r="O1" s="77"/>
      <c r="P1" s="390"/>
      <c r="Q1" s="78"/>
      <c r="R1" s="79"/>
    </row>
    <row r="2" spans="1:20" ht="21.75" thickBot="1" x14ac:dyDescent="0.4">
      <c r="A2" s="107"/>
      <c r="B2" s="108"/>
      <c r="C2" s="108"/>
      <c r="D2" s="108"/>
      <c r="E2" s="108">
        <v>2014</v>
      </c>
      <c r="F2" s="108">
        <v>2015</v>
      </c>
      <c r="G2" s="108">
        <v>2016</v>
      </c>
      <c r="H2" s="108">
        <v>2017</v>
      </c>
      <c r="I2" s="108">
        <v>2018</v>
      </c>
      <c r="J2" s="108">
        <v>2019</v>
      </c>
      <c r="K2" s="108">
        <v>2020</v>
      </c>
      <c r="L2" s="108">
        <v>2021</v>
      </c>
      <c r="M2" s="108">
        <v>2022</v>
      </c>
      <c r="N2" s="108">
        <v>2023</v>
      </c>
      <c r="O2" s="108">
        <v>2024</v>
      </c>
      <c r="P2" s="107"/>
      <c r="Q2" s="109"/>
      <c r="R2" s="110"/>
    </row>
    <row r="3" spans="1:20" ht="21" x14ac:dyDescent="0.35">
      <c r="A3" s="158" t="s">
        <v>130</v>
      </c>
      <c r="B3" s="159"/>
      <c r="C3" s="159"/>
      <c r="D3" s="159"/>
      <c r="E3" s="159"/>
      <c r="F3" s="159"/>
      <c r="G3" s="159"/>
      <c r="H3" s="159"/>
      <c r="I3" s="159"/>
      <c r="J3" s="159"/>
      <c r="K3" s="159"/>
      <c r="L3" s="159"/>
      <c r="M3" s="159"/>
      <c r="N3" s="159"/>
      <c r="O3" s="159"/>
      <c r="P3" s="391"/>
      <c r="Q3" s="160"/>
      <c r="R3" s="161"/>
    </row>
    <row r="4" spans="1:20" x14ac:dyDescent="0.25">
      <c r="A4" s="67" t="s">
        <v>64</v>
      </c>
      <c r="B4" s="68"/>
      <c r="C4" s="68"/>
      <c r="D4" s="68"/>
      <c r="E4" s="98">
        <v>3000</v>
      </c>
      <c r="F4" s="69">
        <f t="shared" ref="F4:O4" si="0">E4*(1+$Q4)</f>
        <v>3030</v>
      </c>
      <c r="G4" s="69">
        <f t="shared" si="0"/>
        <v>3060.3</v>
      </c>
      <c r="H4" s="69">
        <f t="shared" si="0"/>
        <v>3090.9030000000002</v>
      </c>
      <c r="I4" s="69">
        <f t="shared" si="0"/>
        <v>3121.8120300000005</v>
      </c>
      <c r="J4" s="69">
        <f t="shared" si="0"/>
        <v>3153.0301503000005</v>
      </c>
      <c r="K4" s="69">
        <f t="shared" si="0"/>
        <v>3184.5604518030004</v>
      </c>
      <c r="L4" s="69">
        <f t="shared" si="0"/>
        <v>3216.4060563210305</v>
      </c>
      <c r="M4" s="69">
        <f t="shared" si="0"/>
        <v>3248.5701168842406</v>
      </c>
      <c r="N4" s="69">
        <f t="shared" si="0"/>
        <v>3281.0558180530829</v>
      </c>
      <c r="O4" s="69">
        <f t="shared" si="0"/>
        <v>3313.8663762336137</v>
      </c>
      <c r="P4" s="392"/>
      <c r="Q4" s="95">
        <v>0.01</v>
      </c>
      <c r="R4" s="70" t="s">
        <v>47</v>
      </c>
    </row>
    <row r="5" spans="1:20" x14ac:dyDescent="0.25">
      <c r="A5" s="67" t="s">
        <v>65</v>
      </c>
      <c r="B5" s="68"/>
      <c r="C5" s="68"/>
      <c r="D5" s="68"/>
      <c r="E5" s="99">
        <v>40</v>
      </c>
      <c r="F5" s="71">
        <f t="shared" ref="F5:O5" si="1">E5*(1+$Q5)</f>
        <v>41.6</v>
      </c>
      <c r="G5" s="71">
        <f t="shared" si="1"/>
        <v>43.264000000000003</v>
      </c>
      <c r="H5" s="71">
        <f t="shared" si="1"/>
        <v>44.994560000000007</v>
      </c>
      <c r="I5" s="71">
        <f t="shared" si="1"/>
        <v>46.794342400000012</v>
      </c>
      <c r="J5" s="71">
        <f t="shared" si="1"/>
        <v>48.666116096000017</v>
      </c>
      <c r="K5" s="71">
        <f t="shared" si="1"/>
        <v>50.61276073984002</v>
      </c>
      <c r="L5" s="71">
        <f t="shared" si="1"/>
        <v>52.637271169433625</v>
      </c>
      <c r="M5" s="71">
        <f t="shared" si="1"/>
        <v>54.742762016210975</v>
      </c>
      <c r="N5" s="71">
        <f t="shared" si="1"/>
        <v>56.932472496859418</v>
      </c>
      <c r="O5" s="71">
        <f t="shared" si="1"/>
        <v>59.2097713967338</v>
      </c>
      <c r="P5" s="393"/>
      <c r="Q5" s="95">
        <v>0.04</v>
      </c>
      <c r="R5" s="70" t="s">
        <v>47</v>
      </c>
    </row>
    <row r="6" spans="1:20" x14ac:dyDescent="0.25">
      <c r="A6" s="67" t="s">
        <v>66</v>
      </c>
      <c r="B6" s="68"/>
      <c r="C6" s="68"/>
      <c r="D6" s="68"/>
      <c r="E6" s="71">
        <f>$Q$6*E5</f>
        <v>23.88</v>
      </c>
      <c r="F6" s="71">
        <f t="shared" ref="F6:O6" si="2">$Q$6*F5</f>
        <v>24.8352</v>
      </c>
      <c r="G6" s="71">
        <f t="shared" si="2"/>
        <v>25.828607999999999</v>
      </c>
      <c r="H6" s="71">
        <f t="shared" si="2"/>
        <v>26.861752320000004</v>
      </c>
      <c r="I6" s="71">
        <f t="shared" si="2"/>
        <v>27.936222412800007</v>
      </c>
      <c r="J6" s="71">
        <f t="shared" si="2"/>
        <v>29.053671309312008</v>
      </c>
      <c r="K6" s="71">
        <f t="shared" si="2"/>
        <v>30.215818161684492</v>
      </c>
      <c r="L6" s="71">
        <f t="shared" si="2"/>
        <v>31.424450888151874</v>
      </c>
      <c r="M6" s="71">
        <f t="shared" si="2"/>
        <v>32.681428923677949</v>
      </c>
      <c r="N6" s="71">
        <f t="shared" si="2"/>
        <v>33.988686080625072</v>
      </c>
      <c r="O6" s="71">
        <f t="shared" si="2"/>
        <v>35.348233523850077</v>
      </c>
      <c r="P6" s="393"/>
      <c r="Q6" s="95">
        <v>0.59699999999999998</v>
      </c>
      <c r="R6" s="70" t="s">
        <v>133</v>
      </c>
    </row>
    <row r="7" spans="1:20" x14ac:dyDescent="0.25">
      <c r="A7" s="67"/>
      <c r="B7" s="68"/>
      <c r="C7" s="68"/>
      <c r="D7" s="68"/>
      <c r="E7" s="71"/>
      <c r="F7" s="71"/>
      <c r="G7" s="71"/>
      <c r="H7" s="71"/>
      <c r="I7" s="71"/>
      <c r="J7" s="71"/>
      <c r="K7" s="71"/>
      <c r="L7" s="71"/>
      <c r="M7" s="71"/>
      <c r="N7" s="71"/>
      <c r="O7" s="71"/>
      <c r="P7" s="393"/>
      <c r="Q7" s="95"/>
      <c r="R7" s="70"/>
    </row>
    <row r="8" spans="1:20" x14ac:dyDescent="0.25">
      <c r="A8" s="67" t="s">
        <v>67</v>
      </c>
      <c r="B8" s="68"/>
      <c r="C8" s="68"/>
      <c r="D8" s="68"/>
      <c r="E8" s="98">
        <v>750</v>
      </c>
      <c r="F8" s="69">
        <f t="shared" ref="F8:O8" si="3">E8*(1+$Q8)</f>
        <v>757.5</v>
      </c>
      <c r="G8" s="69">
        <f t="shared" si="3"/>
        <v>765.07500000000005</v>
      </c>
      <c r="H8" s="69">
        <f t="shared" si="3"/>
        <v>772.72575000000006</v>
      </c>
      <c r="I8" s="69">
        <f t="shared" si="3"/>
        <v>780.45300750000013</v>
      </c>
      <c r="J8" s="69">
        <f t="shared" si="3"/>
        <v>788.25753757500013</v>
      </c>
      <c r="K8" s="69">
        <f t="shared" si="3"/>
        <v>796.14011295075011</v>
      </c>
      <c r="L8" s="69">
        <f t="shared" si="3"/>
        <v>804.10151408025763</v>
      </c>
      <c r="M8" s="69">
        <f t="shared" si="3"/>
        <v>812.14252922106016</v>
      </c>
      <c r="N8" s="69">
        <f t="shared" si="3"/>
        <v>820.26395451327073</v>
      </c>
      <c r="O8" s="69">
        <f t="shared" si="3"/>
        <v>828.46659405840342</v>
      </c>
      <c r="P8" s="392"/>
      <c r="Q8" s="95">
        <v>0.01</v>
      </c>
      <c r="R8" s="70" t="s">
        <v>47</v>
      </c>
      <c r="T8" s="331"/>
    </row>
    <row r="9" spans="1:20" x14ac:dyDescent="0.25">
      <c r="A9" s="67" t="s">
        <v>68</v>
      </c>
      <c r="B9" s="68"/>
      <c r="C9" s="68"/>
      <c r="D9" s="68"/>
      <c r="E9" s="99">
        <v>30</v>
      </c>
      <c r="F9" s="71">
        <f t="shared" ref="F9:O9" si="4">E9*(1+$Q9)</f>
        <v>31.200000000000003</v>
      </c>
      <c r="G9" s="71">
        <f t="shared" si="4"/>
        <v>32.448000000000008</v>
      </c>
      <c r="H9" s="71">
        <f t="shared" si="4"/>
        <v>33.745920000000012</v>
      </c>
      <c r="I9" s="71">
        <f t="shared" si="4"/>
        <v>35.095756800000011</v>
      </c>
      <c r="J9" s="71">
        <f t="shared" si="4"/>
        <v>36.499587072000011</v>
      </c>
      <c r="K9" s="71">
        <f t="shared" si="4"/>
        <v>37.95957055488001</v>
      </c>
      <c r="L9" s="71">
        <f t="shared" si="4"/>
        <v>39.47795337707521</v>
      </c>
      <c r="M9" s="71">
        <f t="shared" si="4"/>
        <v>41.057071512158217</v>
      </c>
      <c r="N9" s="71">
        <f t="shared" si="4"/>
        <v>42.699354372644549</v>
      </c>
      <c r="O9" s="71">
        <f t="shared" si="4"/>
        <v>44.407328547550335</v>
      </c>
      <c r="P9" s="393"/>
      <c r="Q9" s="95">
        <v>0.04</v>
      </c>
      <c r="R9" s="70" t="s">
        <v>47</v>
      </c>
      <c r="T9" s="331"/>
    </row>
    <row r="10" spans="1:20" x14ac:dyDescent="0.25">
      <c r="A10" s="67" t="s">
        <v>69</v>
      </c>
      <c r="B10" s="68"/>
      <c r="C10" s="68"/>
      <c r="D10" s="68"/>
      <c r="E10" s="71">
        <f>$Q$10*E9</f>
        <v>17.099999999999998</v>
      </c>
      <c r="F10" s="71">
        <f t="shared" ref="F10:O10" si="5">$Q$10*F9</f>
        <v>17.783999999999999</v>
      </c>
      <c r="G10" s="71">
        <f t="shared" si="5"/>
        <v>18.495360000000002</v>
      </c>
      <c r="H10" s="71">
        <f t="shared" si="5"/>
        <v>19.235174400000005</v>
      </c>
      <c r="I10" s="71">
        <f t="shared" si="5"/>
        <v>20.004581376000004</v>
      </c>
      <c r="J10" s="71">
        <f t="shared" si="5"/>
        <v>20.804764631040005</v>
      </c>
      <c r="K10" s="71">
        <f t="shared" si="5"/>
        <v>21.636955216281603</v>
      </c>
      <c r="L10" s="71">
        <f t="shared" si="5"/>
        <v>22.502433424932867</v>
      </c>
      <c r="M10" s="71">
        <f t="shared" si="5"/>
        <v>23.40253076193018</v>
      </c>
      <c r="N10" s="71">
        <f t="shared" si="5"/>
        <v>24.33863199240739</v>
      </c>
      <c r="O10" s="71">
        <f t="shared" si="5"/>
        <v>25.312177272103689</v>
      </c>
      <c r="P10" s="393"/>
      <c r="Q10" s="95">
        <v>0.56999999999999995</v>
      </c>
      <c r="R10" s="70" t="s">
        <v>133</v>
      </c>
      <c r="T10" s="331"/>
    </row>
    <row r="11" spans="1:20" x14ac:dyDescent="0.25">
      <c r="A11" s="67"/>
      <c r="B11" s="68"/>
      <c r="C11" s="68"/>
      <c r="D11" s="68"/>
      <c r="E11" s="71"/>
      <c r="F11" s="71"/>
      <c r="G11" s="71"/>
      <c r="H11" s="71"/>
      <c r="I11" s="71"/>
      <c r="J11" s="71"/>
      <c r="K11" s="71"/>
      <c r="L11" s="71"/>
      <c r="M11" s="71"/>
      <c r="N11" s="71"/>
      <c r="O11" s="71"/>
      <c r="P11" s="393"/>
      <c r="Q11" s="95"/>
      <c r="R11" s="70"/>
    </row>
    <row r="12" spans="1:20" x14ac:dyDescent="0.25">
      <c r="A12" s="67" t="s">
        <v>192</v>
      </c>
      <c r="B12" s="68"/>
      <c r="C12" s="68"/>
      <c r="D12" s="68"/>
      <c r="E12" s="98">
        <v>5000</v>
      </c>
      <c r="F12" s="69">
        <f t="shared" ref="F12:O12" si="6">E12*(1+$Q12)</f>
        <v>5050</v>
      </c>
      <c r="G12" s="69">
        <f t="shared" si="6"/>
        <v>5100.5</v>
      </c>
      <c r="H12" s="69">
        <f t="shared" si="6"/>
        <v>5151.5050000000001</v>
      </c>
      <c r="I12" s="69">
        <f t="shared" si="6"/>
        <v>5203.0200500000001</v>
      </c>
      <c r="J12" s="69">
        <f t="shared" si="6"/>
        <v>5255.0502505000004</v>
      </c>
      <c r="K12" s="69">
        <f t="shared" si="6"/>
        <v>5307.6007530050001</v>
      </c>
      <c r="L12" s="69">
        <f t="shared" si="6"/>
        <v>5360.6767605350506</v>
      </c>
      <c r="M12" s="69">
        <f t="shared" si="6"/>
        <v>5414.2835281404014</v>
      </c>
      <c r="N12" s="69">
        <f t="shared" si="6"/>
        <v>5468.426363421805</v>
      </c>
      <c r="O12" s="69">
        <f t="shared" si="6"/>
        <v>5523.1106270560231</v>
      </c>
      <c r="P12" s="392"/>
      <c r="Q12" s="95">
        <v>0.01</v>
      </c>
      <c r="R12" s="70" t="s">
        <v>47</v>
      </c>
    </row>
    <row r="13" spans="1:20" x14ac:dyDescent="0.25">
      <c r="A13" s="67" t="s">
        <v>193</v>
      </c>
      <c r="B13" s="68"/>
      <c r="C13" s="68"/>
      <c r="D13" s="68"/>
      <c r="E13" s="99">
        <v>35</v>
      </c>
      <c r="F13" s="71">
        <f t="shared" ref="F13:O13" si="7">E13*(1+$Q13)</f>
        <v>37.17</v>
      </c>
      <c r="G13" s="71">
        <f t="shared" si="7"/>
        <v>39.474540000000005</v>
      </c>
      <c r="H13" s="71">
        <f t="shared" si="7"/>
        <v>41.921961480000007</v>
      </c>
      <c r="I13" s="71">
        <f t="shared" si="7"/>
        <v>44.52112309176001</v>
      </c>
      <c r="J13" s="71">
        <f t="shared" si="7"/>
        <v>47.281432723449136</v>
      </c>
      <c r="K13" s="71">
        <f t="shared" si="7"/>
        <v>50.212881552302981</v>
      </c>
      <c r="L13" s="71">
        <f t="shared" si="7"/>
        <v>53.326080208545768</v>
      </c>
      <c r="M13" s="71">
        <f t="shared" si="7"/>
        <v>56.632297181475607</v>
      </c>
      <c r="N13" s="71">
        <f t="shared" si="7"/>
        <v>60.143499606727097</v>
      </c>
      <c r="O13" s="71">
        <f t="shared" si="7"/>
        <v>63.87239658234418</v>
      </c>
      <c r="P13" s="393"/>
      <c r="Q13" s="95">
        <v>6.2E-2</v>
      </c>
      <c r="R13" s="70" t="s">
        <v>47</v>
      </c>
    </row>
    <row r="14" spans="1:20" x14ac:dyDescent="0.25">
      <c r="A14" s="67" t="s">
        <v>194</v>
      </c>
      <c r="B14" s="68"/>
      <c r="C14" s="68"/>
      <c r="D14" s="68"/>
      <c r="E14" s="71">
        <f>E13*$Q$14</f>
        <v>21.49</v>
      </c>
      <c r="F14" s="71">
        <f t="shared" ref="F14:O14" si="8">F13*$Q$14</f>
        <v>22.822379999999999</v>
      </c>
      <c r="G14" s="71">
        <f t="shared" si="8"/>
        <v>24.237367560000003</v>
      </c>
      <c r="H14" s="71">
        <f t="shared" si="8"/>
        <v>25.740084348720004</v>
      </c>
      <c r="I14" s="71">
        <f t="shared" si="8"/>
        <v>27.335969578340645</v>
      </c>
      <c r="J14" s="71">
        <f t="shared" si="8"/>
        <v>29.030799692197768</v>
      </c>
      <c r="K14" s="71">
        <f t="shared" si="8"/>
        <v>30.830709273114032</v>
      </c>
      <c r="L14" s="71">
        <f t="shared" si="8"/>
        <v>32.742213248047101</v>
      </c>
      <c r="M14" s="71">
        <f t="shared" si="8"/>
        <v>34.77223046942602</v>
      </c>
      <c r="N14" s="71">
        <f t="shared" si="8"/>
        <v>36.928108758530435</v>
      </c>
      <c r="O14" s="71">
        <f t="shared" si="8"/>
        <v>39.217651501559324</v>
      </c>
      <c r="P14" s="393"/>
      <c r="Q14" s="95">
        <v>0.61399999999999999</v>
      </c>
      <c r="R14" s="70" t="s">
        <v>133</v>
      </c>
    </row>
    <row r="15" spans="1:20" x14ac:dyDescent="0.25">
      <c r="A15" s="67"/>
      <c r="B15" s="68"/>
      <c r="C15" s="68"/>
      <c r="D15" s="68"/>
      <c r="E15" s="71"/>
      <c r="F15" s="71"/>
      <c r="G15" s="71"/>
      <c r="H15" s="71"/>
      <c r="I15" s="71"/>
      <c r="J15" s="71"/>
      <c r="K15" s="71"/>
      <c r="L15" s="71"/>
      <c r="M15" s="71"/>
      <c r="N15" s="71"/>
      <c r="O15" s="71"/>
      <c r="P15" s="393"/>
      <c r="Q15" s="95"/>
      <c r="R15" s="70"/>
    </row>
    <row r="16" spans="1:20" x14ac:dyDescent="0.25">
      <c r="A16" s="67" t="s">
        <v>73</v>
      </c>
      <c r="B16" s="68"/>
      <c r="C16" s="68"/>
      <c r="D16" s="68"/>
      <c r="E16" s="98">
        <v>800</v>
      </c>
      <c r="F16" s="69">
        <f t="shared" ref="F16:O16" si="9">E16*(1+$Q16)</f>
        <v>808</v>
      </c>
      <c r="G16" s="69">
        <f t="shared" si="9"/>
        <v>816.08</v>
      </c>
      <c r="H16" s="69">
        <f t="shared" si="9"/>
        <v>824.24080000000004</v>
      </c>
      <c r="I16" s="69">
        <f t="shared" si="9"/>
        <v>832.48320799999999</v>
      </c>
      <c r="J16" s="69">
        <f t="shared" si="9"/>
        <v>840.80804007999996</v>
      </c>
      <c r="K16" s="69">
        <f t="shared" si="9"/>
        <v>849.21612048079999</v>
      </c>
      <c r="L16" s="69">
        <f t="shared" si="9"/>
        <v>857.70828168560797</v>
      </c>
      <c r="M16" s="69">
        <f t="shared" si="9"/>
        <v>866.28536450246406</v>
      </c>
      <c r="N16" s="69">
        <f t="shared" si="9"/>
        <v>874.94821814748866</v>
      </c>
      <c r="O16" s="69">
        <f t="shared" si="9"/>
        <v>883.69770032896361</v>
      </c>
      <c r="P16" s="392"/>
      <c r="Q16" s="95">
        <v>0.01</v>
      </c>
      <c r="R16" s="70" t="s">
        <v>47</v>
      </c>
    </row>
    <row r="17" spans="1:18" x14ac:dyDescent="0.25">
      <c r="A17" s="67" t="s">
        <v>74</v>
      </c>
      <c r="B17" s="68"/>
      <c r="C17" s="68"/>
      <c r="D17" s="68"/>
      <c r="E17" s="99">
        <v>60</v>
      </c>
      <c r="F17" s="71">
        <f t="shared" ref="F17:O17" si="10">E17*(1+$Q17)</f>
        <v>63.059999999999995</v>
      </c>
      <c r="G17" s="71">
        <f t="shared" si="10"/>
        <v>66.276059999999987</v>
      </c>
      <c r="H17" s="71">
        <f t="shared" si="10"/>
        <v>69.656139059999987</v>
      </c>
      <c r="I17" s="71">
        <f t="shared" si="10"/>
        <v>73.208602152059981</v>
      </c>
      <c r="J17" s="71">
        <f t="shared" si="10"/>
        <v>76.942240861815037</v>
      </c>
      <c r="K17" s="71">
        <f t="shared" si="10"/>
        <v>80.866295145767594</v>
      </c>
      <c r="L17" s="71">
        <f t="shared" si="10"/>
        <v>84.990476198201733</v>
      </c>
      <c r="M17" s="71">
        <f t="shared" si="10"/>
        <v>89.324990484310021</v>
      </c>
      <c r="N17" s="71">
        <f t="shared" si="10"/>
        <v>93.88056499900982</v>
      </c>
      <c r="O17" s="71">
        <f t="shared" si="10"/>
        <v>98.668473813959309</v>
      </c>
      <c r="P17" s="393"/>
      <c r="Q17" s="95">
        <v>5.0999999999999997E-2</v>
      </c>
      <c r="R17" s="70" t="s">
        <v>47</v>
      </c>
    </row>
    <row r="18" spans="1:18" x14ac:dyDescent="0.25">
      <c r="A18" s="67" t="s">
        <v>75</v>
      </c>
      <c r="B18" s="68"/>
      <c r="C18" s="68"/>
      <c r="D18" s="68"/>
      <c r="E18" s="71">
        <f>$Q$18*E17</f>
        <v>40.68</v>
      </c>
      <c r="F18" s="71">
        <f t="shared" ref="F18:O18" si="11">$Q$18*F17</f>
        <v>42.75468</v>
      </c>
      <c r="G18" s="71">
        <f t="shared" si="11"/>
        <v>44.935168679999997</v>
      </c>
      <c r="H18" s="71">
        <f t="shared" si="11"/>
        <v>47.226862282679996</v>
      </c>
      <c r="I18" s="71">
        <f t="shared" si="11"/>
        <v>49.635432259096667</v>
      </c>
      <c r="J18" s="71">
        <f t="shared" si="11"/>
        <v>52.166839304310599</v>
      </c>
      <c r="K18" s="71">
        <f t="shared" si="11"/>
        <v>54.827348108830435</v>
      </c>
      <c r="L18" s="71">
        <f t="shared" si="11"/>
        <v>57.623542862380781</v>
      </c>
      <c r="M18" s="71">
        <f t="shared" si="11"/>
        <v>60.5623435483622</v>
      </c>
      <c r="N18" s="71">
        <f t="shared" si="11"/>
        <v>63.651023069328666</v>
      </c>
      <c r="O18" s="71">
        <f t="shared" si="11"/>
        <v>66.897225245864419</v>
      </c>
      <c r="P18" s="393"/>
      <c r="Q18" s="95">
        <v>0.67800000000000005</v>
      </c>
      <c r="R18" s="70" t="s">
        <v>133</v>
      </c>
    </row>
    <row r="19" spans="1:18" x14ac:dyDescent="0.25">
      <c r="A19" s="67"/>
      <c r="B19" s="68"/>
      <c r="C19" s="68"/>
      <c r="D19" s="68"/>
      <c r="E19" s="71"/>
      <c r="F19" s="71"/>
      <c r="G19" s="71"/>
      <c r="H19" s="71"/>
      <c r="I19" s="71"/>
      <c r="J19" s="71"/>
      <c r="K19" s="71"/>
      <c r="L19" s="71"/>
      <c r="M19" s="71"/>
      <c r="N19" s="71"/>
      <c r="O19" s="71"/>
      <c r="P19" s="393"/>
      <c r="Q19" s="95"/>
      <c r="R19" s="70"/>
    </row>
    <row r="20" spans="1:18" x14ac:dyDescent="0.25">
      <c r="A20" s="67" t="s">
        <v>76</v>
      </c>
      <c r="B20" s="68"/>
      <c r="C20" s="68"/>
      <c r="D20" s="68"/>
      <c r="E20" s="98">
        <v>2000</v>
      </c>
      <c r="F20" s="69">
        <f t="shared" ref="F20:O20" si="12">E20*(1+$Q20)</f>
        <v>2020</v>
      </c>
      <c r="G20" s="69">
        <f t="shared" si="12"/>
        <v>2040.2</v>
      </c>
      <c r="H20" s="69">
        <f t="shared" si="12"/>
        <v>2060.6019999999999</v>
      </c>
      <c r="I20" s="69">
        <f t="shared" si="12"/>
        <v>2081.20802</v>
      </c>
      <c r="J20" s="69">
        <f t="shared" si="12"/>
        <v>2102.0201001999999</v>
      </c>
      <c r="K20" s="69">
        <f t="shared" si="12"/>
        <v>2123.0403012019997</v>
      </c>
      <c r="L20" s="69">
        <f t="shared" si="12"/>
        <v>2144.2707042140196</v>
      </c>
      <c r="M20" s="69">
        <f t="shared" si="12"/>
        <v>2165.7134112561598</v>
      </c>
      <c r="N20" s="69">
        <f t="shared" si="12"/>
        <v>2187.3705453687217</v>
      </c>
      <c r="O20" s="69">
        <f t="shared" si="12"/>
        <v>2209.244250822409</v>
      </c>
      <c r="P20" s="392"/>
      <c r="Q20" s="95">
        <v>0.01</v>
      </c>
      <c r="R20" s="70" t="s">
        <v>47</v>
      </c>
    </row>
    <row r="21" spans="1:18" x14ac:dyDescent="0.25">
      <c r="A21" s="67" t="s">
        <v>77</v>
      </c>
      <c r="B21" s="68"/>
      <c r="C21" s="68"/>
      <c r="D21" s="68"/>
      <c r="E21" s="99">
        <v>40</v>
      </c>
      <c r="F21" s="71">
        <f t="shared" ref="F21:O21" si="13">E21*(1+$Q21)</f>
        <v>41.64</v>
      </c>
      <c r="G21" s="71">
        <f t="shared" si="13"/>
        <v>43.347239999999999</v>
      </c>
      <c r="H21" s="71">
        <f t="shared" si="13"/>
        <v>45.124476839999993</v>
      </c>
      <c r="I21" s="71">
        <f t="shared" si="13"/>
        <v>46.974580390439989</v>
      </c>
      <c r="J21" s="71">
        <f t="shared" si="13"/>
        <v>48.900538186448024</v>
      </c>
      <c r="K21" s="71">
        <f t="shared" si="13"/>
        <v>50.905460252092389</v>
      </c>
      <c r="L21" s="71">
        <f t="shared" si="13"/>
        <v>52.992584122428177</v>
      </c>
      <c r="M21" s="71">
        <f t="shared" si="13"/>
        <v>55.165280071447725</v>
      </c>
      <c r="N21" s="71">
        <f t="shared" si="13"/>
        <v>57.427056554377074</v>
      </c>
      <c r="O21" s="71">
        <f t="shared" si="13"/>
        <v>59.78156587310653</v>
      </c>
      <c r="P21" s="393"/>
      <c r="Q21" s="95">
        <v>4.1000000000000002E-2</v>
      </c>
      <c r="R21" s="70" t="s">
        <v>47</v>
      </c>
    </row>
    <row r="22" spans="1:18" x14ac:dyDescent="0.25">
      <c r="A22" s="67" t="s">
        <v>78</v>
      </c>
      <c r="B22" s="68"/>
      <c r="C22" s="68"/>
      <c r="D22" s="68"/>
      <c r="E22" s="71">
        <f>$Q$22*E21</f>
        <v>22.12</v>
      </c>
      <c r="F22" s="71">
        <f t="shared" ref="F22:O22" si="14">$Q$22*F21</f>
        <v>23.02692</v>
      </c>
      <c r="G22" s="71">
        <f t="shared" si="14"/>
        <v>23.971023720000002</v>
      </c>
      <c r="H22" s="71">
        <f t="shared" si="14"/>
        <v>24.953835692519998</v>
      </c>
      <c r="I22" s="71">
        <f t="shared" si="14"/>
        <v>25.976942955913316</v>
      </c>
      <c r="J22" s="71">
        <f t="shared" si="14"/>
        <v>27.041997617105761</v>
      </c>
      <c r="K22" s="71">
        <f t="shared" si="14"/>
        <v>28.150719519407094</v>
      </c>
      <c r="L22" s="71">
        <f t="shared" si="14"/>
        <v>29.304899019702784</v>
      </c>
      <c r="M22" s="71">
        <f t="shared" si="14"/>
        <v>30.506399879510596</v>
      </c>
      <c r="N22" s="71">
        <f t="shared" si="14"/>
        <v>31.757162274570526</v>
      </c>
      <c r="O22" s="71">
        <f t="shared" si="14"/>
        <v>33.059205927827911</v>
      </c>
      <c r="P22" s="393"/>
      <c r="Q22" s="95">
        <v>0.55300000000000005</v>
      </c>
      <c r="R22" s="70" t="s">
        <v>133</v>
      </c>
    </row>
    <row r="23" spans="1:18" x14ac:dyDescent="0.25">
      <c r="A23" s="67"/>
      <c r="B23" s="68"/>
      <c r="C23" s="68"/>
      <c r="D23" s="68"/>
      <c r="E23" s="68"/>
      <c r="F23" s="68"/>
      <c r="G23" s="68"/>
      <c r="H23" s="68"/>
      <c r="I23" s="68"/>
      <c r="J23" s="68"/>
      <c r="K23" s="68"/>
      <c r="L23" s="68"/>
      <c r="M23" s="68"/>
      <c r="N23" s="68"/>
      <c r="O23" s="68"/>
      <c r="P23" s="67"/>
      <c r="Q23" s="93"/>
      <c r="R23" s="70"/>
    </row>
    <row r="24" spans="1:18" x14ac:dyDescent="0.25">
      <c r="A24" s="67" t="s">
        <v>27</v>
      </c>
      <c r="B24" s="68"/>
      <c r="C24" s="68"/>
      <c r="D24" s="68"/>
      <c r="E24" s="104">
        <v>45</v>
      </c>
      <c r="F24" s="105">
        <f t="shared" ref="F24:O24" si="15">E24*(1+$Q24)</f>
        <v>46.35</v>
      </c>
      <c r="G24" s="105">
        <f t="shared" si="15"/>
        <v>47.740500000000004</v>
      </c>
      <c r="H24" s="105">
        <f t="shared" si="15"/>
        <v>49.172715000000004</v>
      </c>
      <c r="I24" s="105">
        <f t="shared" si="15"/>
        <v>50.647896450000005</v>
      </c>
      <c r="J24" s="105">
        <f t="shared" si="15"/>
        <v>52.167333343500005</v>
      </c>
      <c r="K24" s="105">
        <f t="shared" si="15"/>
        <v>53.732353343805009</v>
      </c>
      <c r="L24" s="105">
        <f t="shared" si="15"/>
        <v>55.344323944119161</v>
      </c>
      <c r="M24" s="105">
        <f t="shared" si="15"/>
        <v>57.004653662442735</v>
      </c>
      <c r="N24" s="105">
        <f t="shared" si="15"/>
        <v>58.714793272316015</v>
      </c>
      <c r="O24" s="105">
        <f t="shared" si="15"/>
        <v>60.476237070485496</v>
      </c>
      <c r="P24" s="392"/>
      <c r="Q24" s="95">
        <v>0.03</v>
      </c>
      <c r="R24" s="70" t="s">
        <v>47</v>
      </c>
    </row>
    <row r="25" spans="1:18" x14ac:dyDescent="0.25">
      <c r="A25" s="67" t="s">
        <v>48</v>
      </c>
      <c r="B25" s="68"/>
      <c r="C25" s="68"/>
      <c r="D25" s="68"/>
      <c r="E25" s="104">
        <v>60</v>
      </c>
      <c r="F25" s="105">
        <f t="shared" ref="F25:H25" si="16">E25*(1+$Q25)</f>
        <v>57</v>
      </c>
      <c r="G25" s="105">
        <f t="shared" si="16"/>
        <v>54.15</v>
      </c>
      <c r="H25" s="105">
        <f t="shared" si="16"/>
        <v>51.442499999999995</v>
      </c>
      <c r="I25" s="105">
        <v>50</v>
      </c>
      <c r="J25" s="105">
        <v>50</v>
      </c>
      <c r="K25" s="105">
        <v>50</v>
      </c>
      <c r="L25" s="105">
        <v>50</v>
      </c>
      <c r="M25" s="105">
        <v>50</v>
      </c>
      <c r="N25" s="105">
        <v>50</v>
      </c>
      <c r="O25" s="105">
        <v>50</v>
      </c>
      <c r="P25" s="392"/>
      <c r="Q25" s="95">
        <v>-0.05</v>
      </c>
      <c r="R25" s="70" t="s">
        <v>47</v>
      </c>
    </row>
    <row r="26" spans="1:18" x14ac:dyDescent="0.25">
      <c r="A26" s="67" t="s">
        <v>46</v>
      </c>
      <c r="B26" s="68"/>
      <c r="C26" s="68"/>
      <c r="D26" s="68"/>
      <c r="E26" s="102">
        <v>40</v>
      </c>
      <c r="F26" s="103">
        <f>E26*(1+$Q$26)</f>
        <v>40</v>
      </c>
      <c r="G26" s="103">
        <f t="shared" ref="G26:O26" si="17">F26*(1+$Q$26)</f>
        <v>40</v>
      </c>
      <c r="H26" s="103">
        <f t="shared" si="17"/>
        <v>40</v>
      </c>
      <c r="I26" s="103">
        <f t="shared" si="17"/>
        <v>40</v>
      </c>
      <c r="J26" s="103">
        <f t="shared" si="17"/>
        <v>40</v>
      </c>
      <c r="K26" s="103">
        <f t="shared" si="17"/>
        <v>40</v>
      </c>
      <c r="L26" s="103">
        <f t="shared" si="17"/>
        <v>40</v>
      </c>
      <c r="M26" s="103">
        <f t="shared" si="17"/>
        <v>40</v>
      </c>
      <c r="N26" s="103">
        <f t="shared" si="17"/>
        <v>40</v>
      </c>
      <c r="O26" s="103">
        <f t="shared" si="17"/>
        <v>40</v>
      </c>
      <c r="P26" s="67"/>
      <c r="Q26" s="394">
        <v>0</v>
      </c>
      <c r="R26" s="70" t="s">
        <v>47</v>
      </c>
    </row>
    <row r="27" spans="1:18" x14ac:dyDescent="0.25">
      <c r="A27" s="67"/>
      <c r="B27" s="68"/>
      <c r="C27" s="68"/>
      <c r="D27" s="68"/>
      <c r="E27" s="100"/>
      <c r="F27" s="68"/>
      <c r="G27" s="68"/>
      <c r="H27" s="68"/>
      <c r="I27" s="68"/>
      <c r="J27" s="68"/>
      <c r="K27" s="68"/>
      <c r="L27" s="68"/>
      <c r="M27" s="68"/>
      <c r="N27" s="68"/>
      <c r="O27" s="68"/>
      <c r="P27" s="67"/>
      <c r="Q27" s="93"/>
      <c r="R27" s="70"/>
    </row>
    <row r="28" spans="1:18" x14ac:dyDescent="0.25">
      <c r="A28" s="67" t="s">
        <v>120</v>
      </c>
      <c r="B28" s="68"/>
      <c r="C28" s="68"/>
      <c r="D28" s="68"/>
      <c r="E28" s="98"/>
      <c r="F28" s="69"/>
      <c r="G28" s="69"/>
      <c r="H28" s="69"/>
      <c r="I28" s="69"/>
      <c r="J28" s="69"/>
      <c r="K28" s="69"/>
      <c r="L28" s="69"/>
      <c r="M28" s="69"/>
      <c r="N28" s="69"/>
      <c r="O28" s="69"/>
      <c r="P28" s="392"/>
      <c r="Q28" s="95"/>
      <c r="R28" s="70"/>
    </row>
    <row r="29" spans="1:18" x14ac:dyDescent="0.25">
      <c r="A29" s="67"/>
      <c r="B29" s="68" t="s">
        <v>121</v>
      </c>
      <c r="C29" s="68"/>
      <c r="D29" s="68"/>
      <c r="E29" s="98">
        <v>4</v>
      </c>
      <c r="F29" s="98">
        <v>4</v>
      </c>
      <c r="G29" s="98">
        <v>4</v>
      </c>
      <c r="H29" s="98">
        <v>4</v>
      </c>
      <c r="I29" s="98">
        <v>4</v>
      </c>
      <c r="J29" s="98">
        <v>4</v>
      </c>
      <c r="K29" s="98">
        <v>4</v>
      </c>
      <c r="L29" s="98">
        <v>4</v>
      </c>
      <c r="M29" s="98">
        <v>4</v>
      </c>
      <c r="N29" s="98">
        <v>4</v>
      </c>
      <c r="O29" s="98">
        <v>4</v>
      </c>
      <c r="P29" s="392"/>
      <c r="Q29" s="95"/>
      <c r="R29" s="70"/>
    </row>
    <row r="30" spans="1:18" x14ac:dyDescent="0.25">
      <c r="A30" s="67"/>
      <c r="B30" s="68" t="s">
        <v>122</v>
      </c>
      <c r="C30" s="68"/>
      <c r="D30" s="68"/>
      <c r="E30" s="96">
        <v>7.25</v>
      </c>
      <c r="F30" s="69">
        <f>E30+$Q$30</f>
        <v>7.5</v>
      </c>
      <c r="G30" s="69">
        <f t="shared" ref="G30:O30" si="18">F30+$Q$30</f>
        <v>7.75</v>
      </c>
      <c r="H30" s="69">
        <f t="shared" si="18"/>
        <v>8</v>
      </c>
      <c r="I30" s="69">
        <f t="shared" si="18"/>
        <v>8.25</v>
      </c>
      <c r="J30" s="69">
        <f t="shared" si="18"/>
        <v>8.5</v>
      </c>
      <c r="K30" s="69">
        <f t="shared" si="18"/>
        <v>8.75</v>
      </c>
      <c r="L30" s="69">
        <f t="shared" si="18"/>
        <v>9</v>
      </c>
      <c r="M30" s="69">
        <f t="shared" si="18"/>
        <v>9.25</v>
      </c>
      <c r="N30" s="69">
        <f t="shared" si="18"/>
        <v>9.5</v>
      </c>
      <c r="O30" s="69">
        <f t="shared" si="18"/>
        <v>9.75</v>
      </c>
      <c r="P30" s="392"/>
      <c r="Q30" s="96">
        <v>0.25</v>
      </c>
      <c r="R30" s="70" t="s">
        <v>124</v>
      </c>
    </row>
    <row r="31" spans="1:18" x14ac:dyDescent="0.25">
      <c r="A31" s="67"/>
      <c r="B31" s="68" t="s">
        <v>123</v>
      </c>
      <c r="C31" s="68"/>
      <c r="D31" s="68"/>
      <c r="E31" s="101">
        <f>$Q$31/2</f>
        <v>1469</v>
      </c>
      <c r="F31" s="101">
        <f t="shared" ref="F31:O31" si="19">$Q$31/2</f>
        <v>1469</v>
      </c>
      <c r="G31" s="101">
        <f t="shared" si="19"/>
        <v>1469</v>
      </c>
      <c r="H31" s="101">
        <f t="shared" si="19"/>
        <v>1469</v>
      </c>
      <c r="I31" s="101">
        <f t="shared" si="19"/>
        <v>1469</v>
      </c>
      <c r="J31" s="101">
        <f t="shared" si="19"/>
        <v>1469</v>
      </c>
      <c r="K31" s="101">
        <f t="shared" si="19"/>
        <v>1469</v>
      </c>
      <c r="L31" s="101">
        <f t="shared" si="19"/>
        <v>1469</v>
      </c>
      <c r="M31" s="101">
        <f t="shared" si="19"/>
        <v>1469</v>
      </c>
      <c r="N31" s="101">
        <f t="shared" si="19"/>
        <v>1469</v>
      </c>
      <c r="O31" s="101">
        <f t="shared" si="19"/>
        <v>1469</v>
      </c>
      <c r="P31" s="392"/>
      <c r="Q31" s="395">
        <v>2938</v>
      </c>
      <c r="R31" s="70" t="s">
        <v>134</v>
      </c>
    </row>
    <row r="32" spans="1:18" x14ac:dyDescent="0.25">
      <c r="A32" s="67"/>
      <c r="B32" s="68" t="s">
        <v>151</v>
      </c>
      <c r="C32" s="68"/>
      <c r="D32" s="68"/>
      <c r="E32" s="162">
        <v>150</v>
      </c>
      <c r="F32" s="101">
        <f>E32*(1+$Q$32)</f>
        <v>153</v>
      </c>
      <c r="G32" s="101">
        <f t="shared" ref="G32:O32" si="20">F32*(1+$Q$32)</f>
        <v>156.06</v>
      </c>
      <c r="H32" s="101">
        <f t="shared" si="20"/>
        <v>159.18120000000002</v>
      </c>
      <c r="I32" s="101">
        <f t="shared" si="20"/>
        <v>162.36482400000003</v>
      </c>
      <c r="J32" s="101">
        <f t="shared" si="20"/>
        <v>165.61212048000004</v>
      </c>
      <c r="K32" s="101">
        <f t="shared" si="20"/>
        <v>168.92436288960005</v>
      </c>
      <c r="L32" s="101">
        <f t="shared" si="20"/>
        <v>172.30285014739206</v>
      </c>
      <c r="M32" s="101">
        <f t="shared" si="20"/>
        <v>175.7489071503399</v>
      </c>
      <c r="N32" s="101">
        <f t="shared" si="20"/>
        <v>179.2638852933467</v>
      </c>
      <c r="O32" s="101">
        <f t="shared" si="20"/>
        <v>182.84916299921363</v>
      </c>
      <c r="P32" s="396"/>
      <c r="Q32" s="397">
        <v>0.02</v>
      </c>
      <c r="R32" s="70" t="s">
        <v>47</v>
      </c>
    </row>
    <row r="33" spans="1:18" x14ac:dyDescent="0.25">
      <c r="A33" s="67"/>
      <c r="B33" s="68" t="s">
        <v>135</v>
      </c>
      <c r="C33" s="68"/>
      <c r="D33" s="68"/>
      <c r="E33" s="162">
        <v>60455</v>
      </c>
      <c r="F33" s="101">
        <f>E33*(1+$Q$33)</f>
        <v>61664.1</v>
      </c>
      <c r="G33" s="101">
        <f t="shared" ref="G33:O33" si="21">F33*(1+$Q$33)</f>
        <v>62897.381999999998</v>
      </c>
      <c r="H33" s="101">
        <f t="shared" si="21"/>
        <v>64155.329639999996</v>
      </c>
      <c r="I33" s="101">
        <f t="shared" si="21"/>
        <v>65438.436232799999</v>
      </c>
      <c r="J33" s="101">
        <f t="shared" si="21"/>
        <v>66747.204957455993</v>
      </c>
      <c r="K33" s="101">
        <f t="shared" si="21"/>
        <v>68082.149056605122</v>
      </c>
      <c r="L33" s="101">
        <f t="shared" si="21"/>
        <v>69443.792037737221</v>
      </c>
      <c r="M33" s="101">
        <f t="shared" si="21"/>
        <v>70832.667878491964</v>
      </c>
      <c r="N33" s="101">
        <f t="shared" si="21"/>
        <v>72249.321236061805</v>
      </c>
      <c r="O33" s="101">
        <f t="shared" si="21"/>
        <v>73694.307660783044</v>
      </c>
      <c r="P33" s="396"/>
      <c r="Q33" s="397">
        <v>0.02</v>
      </c>
      <c r="R33" s="70" t="s">
        <v>47</v>
      </c>
    </row>
    <row r="34" spans="1:18" x14ac:dyDescent="0.25">
      <c r="A34" s="67"/>
      <c r="B34" s="68" t="s">
        <v>137</v>
      </c>
      <c r="C34" s="68"/>
      <c r="D34" s="68"/>
      <c r="E34" s="162">
        <f>175*12*0.25</f>
        <v>525</v>
      </c>
      <c r="F34" s="101">
        <f>E34*(1+ $Q$34)</f>
        <v>535.5</v>
      </c>
      <c r="G34" s="101">
        <f t="shared" ref="G34:O34" si="22">F34*(1+ $Q$34)</f>
        <v>546.21</v>
      </c>
      <c r="H34" s="101">
        <f t="shared" si="22"/>
        <v>557.13420000000008</v>
      </c>
      <c r="I34" s="101">
        <f t="shared" si="22"/>
        <v>568.27688400000011</v>
      </c>
      <c r="J34" s="101">
        <f t="shared" si="22"/>
        <v>579.6424216800001</v>
      </c>
      <c r="K34" s="101">
        <f t="shared" si="22"/>
        <v>591.23527011360011</v>
      </c>
      <c r="L34" s="101">
        <f t="shared" si="22"/>
        <v>603.05997551587211</v>
      </c>
      <c r="M34" s="101">
        <f t="shared" si="22"/>
        <v>615.12117502618958</v>
      </c>
      <c r="N34" s="101">
        <f t="shared" si="22"/>
        <v>627.42359852671336</v>
      </c>
      <c r="O34" s="101">
        <f t="shared" si="22"/>
        <v>639.97207049724761</v>
      </c>
      <c r="P34" s="396"/>
      <c r="Q34" s="397">
        <v>0.02</v>
      </c>
      <c r="R34" s="70" t="s">
        <v>47</v>
      </c>
    </row>
    <row r="35" spans="1:18" x14ac:dyDescent="0.25">
      <c r="A35" s="67"/>
      <c r="B35" s="68" t="s">
        <v>138</v>
      </c>
      <c r="C35" s="68"/>
      <c r="D35" s="68"/>
      <c r="E35" s="162">
        <f>175*12*0.75</f>
        <v>1575</v>
      </c>
      <c r="F35" s="101">
        <f>E35*(1+$Q$35)</f>
        <v>1606.5</v>
      </c>
      <c r="G35" s="101">
        <f t="shared" ref="G35:O35" si="23">F35*(1+$Q$35)</f>
        <v>1638.63</v>
      </c>
      <c r="H35" s="101">
        <f t="shared" si="23"/>
        <v>1671.4026000000001</v>
      </c>
      <c r="I35" s="101">
        <f t="shared" si="23"/>
        <v>1704.8306520000001</v>
      </c>
      <c r="J35" s="101">
        <f t="shared" si="23"/>
        <v>1738.9272650400001</v>
      </c>
      <c r="K35" s="101">
        <f t="shared" si="23"/>
        <v>1773.7058103408001</v>
      </c>
      <c r="L35" s="101">
        <f t="shared" si="23"/>
        <v>1809.1799265476161</v>
      </c>
      <c r="M35" s="101">
        <f t="shared" si="23"/>
        <v>1845.3635250785685</v>
      </c>
      <c r="N35" s="101">
        <f t="shared" si="23"/>
        <v>1882.27079558014</v>
      </c>
      <c r="O35" s="101">
        <f t="shared" si="23"/>
        <v>1919.9162114917428</v>
      </c>
      <c r="P35" s="396"/>
      <c r="Q35" s="397">
        <v>0.02</v>
      </c>
      <c r="R35" s="70" t="s">
        <v>47</v>
      </c>
    </row>
    <row r="36" spans="1:18" x14ac:dyDescent="0.25">
      <c r="A36" s="67"/>
      <c r="B36" s="68" t="s">
        <v>30</v>
      </c>
      <c r="C36" s="68"/>
      <c r="D36" s="68"/>
      <c r="E36" s="162">
        <f>36900/2</f>
        <v>18450</v>
      </c>
      <c r="F36" s="101">
        <f>E36*(1+$Q$36)</f>
        <v>18819</v>
      </c>
      <c r="G36" s="101">
        <f t="shared" ref="G36:O36" si="24">F36*(1+$Q$36)</f>
        <v>19195.38</v>
      </c>
      <c r="H36" s="101">
        <f t="shared" si="24"/>
        <v>19579.2876</v>
      </c>
      <c r="I36" s="101">
        <f t="shared" si="24"/>
        <v>19970.873351999999</v>
      </c>
      <c r="J36" s="101">
        <f t="shared" si="24"/>
        <v>20370.290819039998</v>
      </c>
      <c r="K36" s="101">
        <f t="shared" si="24"/>
        <v>20777.696635420798</v>
      </c>
      <c r="L36" s="101">
        <f t="shared" si="24"/>
        <v>21193.250568129213</v>
      </c>
      <c r="M36" s="101">
        <f t="shared" si="24"/>
        <v>21617.115579491798</v>
      </c>
      <c r="N36" s="101">
        <f t="shared" si="24"/>
        <v>22049.457891081634</v>
      </c>
      <c r="O36" s="101">
        <f t="shared" si="24"/>
        <v>22490.447048903268</v>
      </c>
      <c r="P36" s="396"/>
      <c r="Q36" s="397">
        <v>0.02</v>
      </c>
      <c r="R36" s="70" t="s">
        <v>47</v>
      </c>
    </row>
    <row r="37" spans="1:18" x14ac:dyDescent="0.25">
      <c r="A37" s="67"/>
      <c r="B37" s="68" t="s">
        <v>139</v>
      </c>
      <c r="C37" s="68"/>
      <c r="D37" s="68"/>
      <c r="E37" s="162">
        <f>80*5</f>
        <v>400</v>
      </c>
      <c r="F37" s="101">
        <f>E37*(1+$Q$37)</f>
        <v>408</v>
      </c>
      <c r="G37" s="101">
        <f t="shared" ref="G37:O37" si="25">F37*(1+$Q$37)</f>
        <v>416.16</v>
      </c>
      <c r="H37" s="101">
        <f t="shared" si="25"/>
        <v>424.48320000000001</v>
      </c>
      <c r="I37" s="101">
        <f t="shared" si="25"/>
        <v>432.97286400000002</v>
      </c>
      <c r="J37" s="101">
        <f t="shared" si="25"/>
        <v>441.63232128000004</v>
      </c>
      <c r="K37" s="101">
        <f t="shared" si="25"/>
        <v>450.46496770560003</v>
      </c>
      <c r="L37" s="101">
        <f t="shared" si="25"/>
        <v>459.47426705971202</v>
      </c>
      <c r="M37" s="101">
        <f t="shared" si="25"/>
        <v>468.66375240090628</v>
      </c>
      <c r="N37" s="101">
        <f t="shared" si="25"/>
        <v>478.03702744892439</v>
      </c>
      <c r="O37" s="101">
        <f t="shared" si="25"/>
        <v>487.59776799790291</v>
      </c>
      <c r="P37" s="396"/>
      <c r="Q37" s="397">
        <v>0.02</v>
      </c>
      <c r="R37" s="70" t="s">
        <v>47</v>
      </c>
    </row>
    <row r="38" spans="1:18" x14ac:dyDescent="0.25">
      <c r="A38" s="67"/>
      <c r="B38" s="68"/>
      <c r="C38" s="68"/>
      <c r="D38" s="68"/>
      <c r="E38" s="162"/>
      <c r="F38" s="101"/>
      <c r="G38" s="101"/>
      <c r="H38" s="101"/>
      <c r="I38" s="101"/>
      <c r="J38" s="101"/>
      <c r="K38" s="101"/>
      <c r="L38" s="101"/>
      <c r="M38" s="101"/>
      <c r="N38" s="101"/>
      <c r="O38" s="101"/>
      <c r="P38" s="396"/>
      <c r="Q38" s="397"/>
      <c r="R38" s="70"/>
    </row>
    <row r="39" spans="1:18" x14ac:dyDescent="0.25">
      <c r="A39" s="67" t="s">
        <v>136</v>
      </c>
      <c r="B39" s="68"/>
      <c r="C39" s="68"/>
      <c r="D39" s="68"/>
      <c r="E39" s="162">
        <v>3000</v>
      </c>
      <c r="F39" s="162">
        <v>3000</v>
      </c>
      <c r="G39" s="162">
        <v>3000</v>
      </c>
      <c r="H39" s="162">
        <v>3000</v>
      </c>
      <c r="I39" s="162">
        <v>3000</v>
      </c>
      <c r="J39" s="162">
        <v>3000</v>
      </c>
      <c r="K39" s="162">
        <v>3000</v>
      </c>
      <c r="L39" s="162">
        <v>3000</v>
      </c>
      <c r="M39" s="162">
        <v>3000</v>
      </c>
      <c r="N39" s="162">
        <v>3000</v>
      </c>
      <c r="O39" s="162">
        <v>3000</v>
      </c>
      <c r="P39" s="398"/>
      <c r="Q39" s="397"/>
      <c r="R39" s="70"/>
    </row>
    <row r="40" spans="1:18" x14ac:dyDescent="0.25">
      <c r="A40" s="67" t="s">
        <v>143</v>
      </c>
      <c r="B40" s="68"/>
      <c r="C40" s="68"/>
      <c r="D40" s="68"/>
      <c r="E40" s="162">
        <v>40000</v>
      </c>
      <c r="F40" s="162">
        <v>40000</v>
      </c>
      <c r="G40" s="162">
        <v>40000</v>
      </c>
      <c r="H40" s="162">
        <v>40000</v>
      </c>
      <c r="I40" s="162">
        <v>40000</v>
      </c>
      <c r="J40" s="162">
        <v>40000</v>
      </c>
      <c r="K40" s="162">
        <v>40000</v>
      </c>
      <c r="L40" s="162">
        <v>40000</v>
      </c>
      <c r="M40" s="162">
        <v>40000</v>
      </c>
      <c r="N40" s="162">
        <v>40000</v>
      </c>
      <c r="O40" s="162">
        <v>40000</v>
      </c>
      <c r="P40" s="398"/>
      <c r="Q40" s="397"/>
      <c r="R40" s="70"/>
    </row>
    <row r="41" spans="1:18" ht="16.5" thickBot="1" x14ac:dyDescent="0.3">
      <c r="A41" s="73"/>
      <c r="B41" s="74"/>
      <c r="C41" s="74"/>
      <c r="D41" s="74"/>
      <c r="E41" s="74"/>
      <c r="F41" s="74"/>
      <c r="G41" s="74"/>
      <c r="H41" s="74"/>
      <c r="I41" s="74"/>
      <c r="J41" s="74"/>
      <c r="K41" s="74"/>
      <c r="L41" s="74"/>
      <c r="M41" s="74"/>
      <c r="N41" s="74"/>
      <c r="O41" s="74"/>
      <c r="P41" s="73"/>
      <c r="Q41" s="97"/>
      <c r="R41" s="75"/>
    </row>
    <row r="42" spans="1:18" ht="21" x14ac:dyDescent="0.35">
      <c r="A42" s="306" t="s">
        <v>28</v>
      </c>
      <c r="B42" s="307"/>
      <c r="C42" s="307"/>
      <c r="D42" s="307"/>
      <c r="E42" s="307"/>
      <c r="F42" s="307"/>
      <c r="G42" s="307"/>
      <c r="H42" s="307"/>
      <c r="I42" s="307"/>
      <c r="J42" s="307"/>
      <c r="K42" s="307"/>
      <c r="L42" s="307"/>
      <c r="M42" s="307"/>
      <c r="N42" s="307"/>
      <c r="O42" s="307"/>
      <c r="P42" s="399"/>
      <c r="Q42" s="80"/>
      <c r="R42" s="81"/>
    </row>
    <row r="43" spans="1:18" ht="18.75" x14ac:dyDescent="0.3">
      <c r="A43" s="87" t="s">
        <v>55</v>
      </c>
      <c r="B43" s="47"/>
      <c r="C43" s="47"/>
      <c r="D43" s="47"/>
      <c r="E43" s="48"/>
      <c r="F43" s="48"/>
      <c r="G43" s="48"/>
      <c r="H43" s="48"/>
      <c r="I43" s="48"/>
      <c r="J43" s="48"/>
      <c r="K43" s="48"/>
      <c r="L43" s="48"/>
      <c r="M43" s="48"/>
      <c r="N43" s="48"/>
      <c r="O43" s="48"/>
      <c r="P43" s="400"/>
      <c r="Q43" s="72"/>
      <c r="R43" s="70"/>
    </row>
    <row r="44" spans="1:18" x14ac:dyDescent="0.25">
      <c r="A44" s="50"/>
      <c r="B44" s="51" t="s">
        <v>56</v>
      </c>
      <c r="C44" s="51"/>
      <c r="D44" s="51"/>
      <c r="E44" s="52">
        <f t="shared" ref="E44:O44" si="26">E4*E5</f>
        <v>120000</v>
      </c>
      <c r="F44" s="52">
        <f t="shared" si="26"/>
        <v>126048</v>
      </c>
      <c r="G44" s="52">
        <f t="shared" si="26"/>
        <v>132400.81920000003</v>
      </c>
      <c r="H44" s="52">
        <f t="shared" si="26"/>
        <v>139073.82048768003</v>
      </c>
      <c r="I44" s="52">
        <f t="shared" si="26"/>
        <v>146083.14104025913</v>
      </c>
      <c r="J44" s="52">
        <f t="shared" si="26"/>
        <v>153445.73134868822</v>
      </c>
      <c r="K44" s="52">
        <f t="shared" si="26"/>
        <v>161179.3962086621</v>
      </c>
      <c r="L44" s="52">
        <f t="shared" si="26"/>
        <v>169302.83777757868</v>
      </c>
      <c r="M44" s="52">
        <f t="shared" si="26"/>
        <v>177835.70080156866</v>
      </c>
      <c r="N44" s="52">
        <f t="shared" si="26"/>
        <v>186798.62012196772</v>
      </c>
      <c r="O44" s="52">
        <f t="shared" si="26"/>
        <v>196213.27057611491</v>
      </c>
      <c r="P44" s="400"/>
      <c r="Q44" s="72"/>
      <c r="R44" s="70"/>
    </row>
    <row r="45" spans="1:18" x14ac:dyDescent="0.25">
      <c r="A45" s="50"/>
      <c r="B45" s="51" t="s">
        <v>57</v>
      </c>
      <c r="C45" s="51"/>
      <c r="D45" s="51"/>
      <c r="E45" s="52">
        <f t="shared" ref="E45:O45" si="27">E8*E9</f>
        <v>22500</v>
      </c>
      <c r="F45" s="52">
        <f t="shared" si="27"/>
        <v>23634.000000000004</v>
      </c>
      <c r="G45" s="52">
        <f t="shared" si="27"/>
        <v>24825.153600000009</v>
      </c>
      <c r="H45" s="52">
        <f t="shared" si="27"/>
        <v>26076.341341440013</v>
      </c>
      <c r="I45" s="52">
        <f t="shared" si="27"/>
        <v>27390.588945048588</v>
      </c>
      <c r="J45" s="52">
        <f t="shared" si="27"/>
        <v>28771.074627879039</v>
      </c>
      <c r="K45" s="52">
        <f t="shared" si="27"/>
        <v>30221.136789124139</v>
      </c>
      <c r="L45" s="52">
        <f t="shared" si="27"/>
        <v>31744.282083295995</v>
      </c>
      <c r="M45" s="52">
        <f t="shared" si="27"/>
        <v>33344.193900294114</v>
      </c>
      <c r="N45" s="52">
        <f t="shared" si="27"/>
        <v>35024.741272868938</v>
      </c>
      <c r="O45" s="52">
        <f t="shared" si="27"/>
        <v>36789.988233021533</v>
      </c>
      <c r="P45" s="400"/>
      <c r="Q45" s="72"/>
      <c r="R45" s="70"/>
    </row>
    <row r="46" spans="1:18" x14ac:dyDescent="0.25">
      <c r="A46" s="50"/>
      <c r="B46" s="51" t="s">
        <v>58</v>
      </c>
      <c r="C46" s="51"/>
      <c r="D46" s="51"/>
      <c r="E46" s="52">
        <f t="shared" ref="E46:O46" si="28">E12*E13</f>
        <v>175000</v>
      </c>
      <c r="F46" s="52">
        <f t="shared" si="28"/>
        <v>187708.5</v>
      </c>
      <c r="G46" s="52">
        <f t="shared" si="28"/>
        <v>201339.89127000002</v>
      </c>
      <c r="H46" s="52">
        <f t="shared" si="28"/>
        <v>215961.19417402745</v>
      </c>
      <c r="I46" s="52">
        <f t="shared" si="28"/>
        <v>231644.29609494534</v>
      </c>
      <c r="J46" s="52">
        <f t="shared" si="28"/>
        <v>248466.30487736029</v>
      </c>
      <c r="K46" s="52">
        <f t="shared" si="28"/>
        <v>266509.9279375542</v>
      </c>
      <c r="L46" s="52">
        <f t="shared" si="28"/>
        <v>285863.87890437938</v>
      </c>
      <c r="M46" s="52">
        <f t="shared" si="28"/>
        <v>306623.31379041547</v>
      </c>
      <c r="N46" s="52">
        <f t="shared" si="28"/>
        <v>328890.29883787542</v>
      </c>
      <c r="O46" s="52">
        <f t="shared" si="28"/>
        <v>352774.31233948196</v>
      </c>
      <c r="P46" s="400"/>
      <c r="Q46" s="72"/>
      <c r="R46" s="70"/>
    </row>
    <row r="47" spans="1:18" x14ac:dyDescent="0.25">
      <c r="A47" s="50"/>
      <c r="B47" s="51" t="s">
        <v>59</v>
      </c>
      <c r="C47" s="51"/>
      <c r="D47" s="51"/>
      <c r="E47" s="52">
        <f t="shared" ref="E47:O47" si="29">E16*E17</f>
        <v>48000</v>
      </c>
      <c r="F47" s="52">
        <f t="shared" si="29"/>
        <v>50952.479999999996</v>
      </c>
      <c r="G47" s="52">
        <f t="shared" si="29"/>
        <v>54086.567044799995</v>
      </c>
      <c r="H47" s="52">
        <f t="shared" si="29"/>
        <v>57413.431783725639</v>
      </c>
      <c r="I47" s="52">
        <f t="shared" si="29"/>
        <v>60944.931972742597</v>
      </c>
      <c r="J47" s="52">
        <f t="shared" si="29"/>
        <v>64693.654738385987</v>
      </c>
      <c r="K47" s="52">
        <f t="shared" si="29"/>
        <v>68672.961441344101</v>
      </c>
      <c r="L47" s="52">
        <f t="shared" si="29"/>
        <v>72897.035299601179</v>
      </c>
      <c r="M47" s="52">
        <f t="shared" si="29"/>
        <v>77380.931940879644</v>
      </c>
      <c r="N47" s="52">
        <f t="shared" si="29"/>
        <v>82140.633064563139</v>
      </c>
      <c r="O47" s="52">
        <f t="shared" si="29"/>
        <v>87193.103404364403</v>
      </c>
      <c r="P47" s="400"/>
      <c r="Q47" s="72"/>
      <c r="R47" s="70"/>
    </row>
    <row r="48" spans="1:18" x14ac:dyDescent="0.25">
      <c r="A48" s="50"/>
      <c r="B48" s="51" t="s">
        <v>60</v>
      </c>
      <c r="C48" s="51"/>
      <c r="D48" s="51"/>
      <c r="E48" s="18">
        <f t="shared" ref="E48:O48" si="30">E20*E21</f>
        <v>80000</v>
      </c>
      <c r="F48" s="18">
        <f t="shared" si="30"/>
        <v>84112.8</v>
      </c>
      <c r="G48" s="18">
        <f t="shared" si="30"/>
        <v>88437.039048000006</v>
      </c>
      <c r="H48" s="18">
        <f t="shared" si="30"/>
        <v>92983.587225457653</v>
      </c>
      <c r="I48" s="18">
        <f t="shared" si="30"/>
        <v>97763.87344471844</v>
      </c>
      <c r="J48" s="18">
        <f t="shared" si="30"/>
        <v>102789.91417851139</v>
      </c>
      <c r="K48" s="18">
        <f t="shared" si="30"/>
        <v>108074.34366642864</v>
      </c>
      <c r="L48" s="18">
        <f t="shared" si="30"/>
        <v>113630.44567431974</v>
      </c>
      <c r="M48" s="18">
        <f t="shared" si="30"/>
        <v>119472.18688643651</v>
      </c>
      <c r="N48" s="18">
        <f t="shared" si="30"/>
        <v>125614.2520142682</v>
      </c>
      <c r="O48" s="18">
        <f t="shared" si="30"/>
        <v>132072.08071032172</v>
      </c>
      <c r="P48" s="400"/>
      <c r="Q48" s="72"/>
      <c r="R48" s="70"/>
    </row>
    <row r="49" spans="1:20" x14ac:dyDescent="0.25">
      <c r="A49" s="55"/>
      <c r="B49" s="56" t="s">
        <v>61</v>
      </c>
      <c r="C49" s="56"/>
      <c r="D49" s="56"/>
      <c r="E49" s="57">
        <f>SUM(E44:E48)</f>
        <v>445500</v>
      </c>
      <c r="F49" s="57">
        <f t="shared" ref="F49:O49" si="31">SUM(F44:F48)</f>
        <v>472455.77999999997</v>
      </c>
      <c r="G49" s="57">
        <f t="shared" si="31"/>
        <v>501089.47016280005</v>
      </c>
      <c r="H49" s="57">
        <f t="shared" si="31"/>
        <v>531508.37501233071</v>
      </c>
      <c r="I49" s="57">
        <f t="shared" si="31"/>
        <v>563826.83149771416</v>
      </c>
      <c r="J49" s="57">
        <f t="shared" si="31"/>
        <v>598166.67977082497</v>
      </c>
      <c r="K49" s="57">
        <f t="shared" si="31"/>
        <v>634657.76604311308</v>
      </c>
      <c r="L49" s="57">
        <f t="shared" si="31"/>
        <v>673438.47973917495</v>
      </c>
      <c r="M49" s="57">
        <f t="shared" si="31"/>
        <v>714656.32731959445</v>
      </c>
      <c r="N49" s="57">
        <f t="shared" si="31"/>
        <v>758468.54531154339</v>
      </c>
      <c r="O49" s="57">
        <f t="shared" si="31"/>
        <v>805042.75526330457</v>
      </c>
      <c r="P49" s="400"/>
      <c r="Q49" s="72"/>
      <c r="R49" s="70"/>
    </row>
    <row r="50" spans="1:20" x14ac:dyDescent="0.25">
      <c r="A50" s="59"/>
      <c r="B50" s="51"/>
      <c r="C50" s="51"/>
      <c r="D50" s="51"/>
      <c r="E50" s="52"/>
      <c r="F50" s="52"/>
      <c r="G50" s="52"/>
      <c r="H50" s="52"/>
      <c r="I50" s="52"/>
      <c r="J50" s="52"/>
      <c r="K50" s="52"/>
      <c r="L50" s="52"/>
      <c r="M50" s="52"/>
      <c r="N50" s="52"/>
      <c r="O50" s="52"/>
      <c r="P50" s="400"/>
      <c r="Q50" s="72"/>
      <c r="R50" s="70"/>
    </row>
    <row r="51" spans="1:20" ht="18.75" x14ac:dyDescent="0.3">
      <c r="A51" s="87" t="s">
        <v>54</v>
      </c>
      <c r="B51" s="47"/>
      <c r="C51" s="47"/>
      <c r="D51" s="47"/>
      <c r="E51" s="48"/>
      <c r="F51" s="48"/>
      <c r="G51" s="48"/>
      <c r="H51" s="48"/>
      <c r="I51" s="48"/>
      <c r="J51" s="48"/>
      <c r="K51" s="48"/>
      <c r="L51" s="48"/>
      <c r="M51" s="48"/>
      <c r="N51" s="48"/>
      <c r="O51" s="48"/>
      <c r="P51" s="400"/>
      <c r="Q51" s="72"/>
      <c r="R51" s="70"/>
    </row>
    <row r="52" spans="1:20" x14ac:dyDescent="0.25">
      <c r="A52" s="50"/>
      <c r="B52" s="51" t="s">
        <v>56</v>
      </c>
      <c r="C52" s="51"/>
      <c r="D52" s="51"/>
      <c r="E52" s="52">
        <f t="shared" ref="E52:O52" si="32">E4*E5</f>
        <v>120000</v>
      </c>
      <c r="F52" s="52">
        <f t="shared" si="32"/>
        <v>126048</v>
      </c>
      <c r="G52" s="52">
        <f t="shared" si="32"/>
        <v>132400.81920000003</v>
      </c>
      <c r="H52" s="52">
        <f t="shared" si="32"/>
        <v>139073.82048768003</v>
      </c>
      <c r="I52" s="52">
        <f t="shared" si="32"/>
        <v>146083.14104025913</v>
      </c>
      <c r="J52" s="52">
        <f t="shared" si="32"/>
        <v>153445.73134868822</v>
      </c>
      <c r="K52" s="52">
        <f t="shared" si="32"/>
        <v>161179.3962086621</v>
      </c>
      <c r="L52" s="52">
        <f t="shared" si="32"/>
        <v>169302.83777757868</v>
      </c>
      <c r="M52" s="52">
        <f t="shared" si="32"/>
        <v>177835.70080156866</v>
      </c>
      <c r="N52" s="52">
        <f t="shared" si="32"/>
        <v>186798.62012196772</v>
      </c>
      <c r="O52" s="52">
        <f t="shared" si="32"/>
        <v>196213.27057611491</v>
      </c>
      <c r="P52" s="400"/>
      <c r="Q52" s="72"/>
      <c r="R52" s="70"/>
    </row>
    <row r="53" spans="1:20" x14ac:dyDescent="0.25">
      <c r="A53" s="50"/>
      <c r="B53" s="51" t="s">
        <v>57</v>
      </c>
      <c r="C53" s="51"/>
      <c r="D53" s="51"/>
      <c r="E53" s="52">
        <f t="shared" ref="E53:O53" si="33">E8*E10</f>
        <v>12824.999999999998</v>
      </c>
      <c r="F53" s="52">
        <f t="shared" si="33"/>
        <v>13471.38</v>
      </c>
      <c r="G53" s="52">
        <f t="shared" si="33"/>
        <v>14150.337552000003</v>
      </c>
      <c r="H53" s="52">
        <f t="shared" si="33"/>
        <v>14863.514564620806</v>
      </c>
      <c r="I53" s="52">
        <f t="shared" si="33"/>
        <v>15612.635698677694</v>
      </c>
      <c r="J53" s="52">
        <f t="shared" si="33"/>
        <v>16399.512537891049</v>
      </c>
      <c r="K53" s="52">
        <f t="shared" si="33"/>
        <v>17226.047969800758</v>
      </c>
      <c r="L53" s="52">
        <f t="shared" si="33"/>
        <v>18094.240787478717</v>
      </c>
      <c r="M53" s="52">
        <f t="shared" si="33"/>
        <v>19006.190523167639</v>
      </c>
      <c r="N53" s="52">
        <f t="shared" si="33"/>
        <v>19964.102525535291</v>
      </c>
      <c r="O53" s="52">
        <f t="shared" si="33"/>
        <v>20970.293292822273</v>
      </c>
      <c r="P53" s="400"/>
      <c r="Q53" s="72"/>
      <c r="R53" s="70"/>
    </row>
    <row r="54" spans="1:20" x14ac:dyDescent="0.25">
      <c r="A54" s="50"/>
      <c r="B54" s="51" t="s">
        <v>58</v>
      </c>
      <c r="C54" s="51"/>
      <c r="D54" s="51"/>
      <c r="E54" s="52">
        <f t="shared" ref="E54:O54" si="34">E12*E14</f>
        <v>107449.99999999999</v>
      </c>
      <c r="F54" s="52">
        <f t="shared" si="34"/>
        <v>115253.019</v>
      </c>
      <c r="G54" s="52">
        <f t="shared" si="34"/>
        <v>123622.69323978001</v>
      </c>
      <c r="H54" s="52">
        <f t="shared" si="34"/>
        <v>132600.17322285284</v>
      </c>
      <c r="I54" s="52">
        <f t="shared" si="34"/>
        <v>142229.59780229643</v>
      </c>
      <c r="J54" s="52">
        <f t="shared" si="34"/>
        <v>152558.3111946992</v>
      </c>
      <c r="K54" s="52">
        <f t="shared" si="34"/>
        <v>163637.09575365827</v>
      </c>
      <c r="L54" s="52">
        <f t="shared" si="34"/>
        <v>175520.42164728895</v>
      </c>
      <c r="M54" s="52">
        <f t="shared" si="34"/>
        <v>188266.71466731507</v>
      </c>
      <c r="N54" s="52">
        <f t="shared" si="34"/>
        <v>201938.64348645549</v>
      </c>
      <c r="O54" s="52">
        <f t="shared" si="34"/>
        <v>216603.42777644191</v>
      </c>
      <c r="P54" s="400"/>
      <c r="Q54" s="72"/>
      <c r="R54" s="70"/>
    </row>
    <row r="55" spans="1:20" x14ac:dyDescent="0.25">
      <c r="A55" s="50"/>
      <c r="B55" s="51" t="s">
        <v>59</v>
      </c>
      <c r="C55" s="51"/>
      <c r="D55" s="51"/>
      <c r="E55" s="52">
        <f t="shared" ref="E55:O55" si="35">E16*E18</f>
        <v>32544</v>
      </c>
      <c r="F55" s="52">
        <f t="shared" si="35"/>
        <v>34545.781439999999</v>
      </c>
      <c r="G55" s="52">
        <f t="shared" si="35"/>
        <v>36670.692456374396</v>
      </c>
      <c r="H55" s="52">
        <f t="shared" si="35"/>
        <v>38926.306749365991</v>
      </c>
      <c r="I55" s="52">
        <f t="shared" si="35"/>
        <v>41320.663877519481</v>
      </c>
      <c r="J55" s="52">
        <f t="shared" si="35"/>
        <v>43862.297912625705</v>
      </c>
      <c r="K55" s="52">
        <f t="shared" si="35"/>
        <v>46560.267857231309</v>
      </c>
      <c r="L55" s="52">
        <f t="shared" si="35"/>
        <v>49424.189933129601</v>
      </c>
      <c r="M55" s="52">
        <f t="shared" si="35"/>
        <v>52464.271855916399</v>
      </c>
      <c r="N55" s="52">
        <f t="shared" si="35"/>
        <v>55691.349217773808</v>
      </c>
      <c r="O55" s="52">
        <f t="shared" si="35"/>
        <v>59116.924108159074</v>
      </c>
      <c r="P55" s="400"/>
      <c r="Q55" s="72"/>
      <c r="R55" s="70"/>
    </row>
    <row r="56" spans="1:20" x14ac:dyDescent="0.25">
      <c r="A56" s="50"/>
      <c r="B56" s="51" t="s">
        <v>60</v>
      </c>
      <c r="C56" s="51"/>
      <c r="D56" s="51"/>
      <c r="E56" s="18">
        <f t="shared" ref="E56:O56" si="36">E20*E22</f>
        <v>44240</v>
      </c>
      <c r="F56" s="18">
        <f t="shared" si="36"/>
        <v>46514.378400000001</v>
      </c>
      <c r="G56" s="18">
        <f t="shared" si="36"/>
        <v>48905.682593544007</v>
      </c>
      <c r="H56" s="18">
        <f t="shared" si="36"/>
        <v>51419.923735678087</v>
      </c>
      <c r="I56" s="18">
        <f t="shared" si="36"/>
        <v>54063.422014929303</v>
      </c>
      <c r="J56" s="18">
        <f t="shared" si="36"/>
        <v>56842.822540716807</v>
      </c>
      <c r="K56" s="18">
        <f t="shared" si="36"/>
        <v>59765.112047535047</v>
      </c>
      <c r="L56" s="18">
        <f t="shared" si="36"/>
        <v>62837.636457898821</v>
      </c>
      <c r="M56" s="18">
        <f t="shared" si="36"/>
        <v>66068.119348199398</v>
      </c>
      <c r="N56" s="18">
        <f t="shared" si="36"/>
        <v>69464.681363890326</v>
      </c>
      <c r="O56" s="18">
        <f t="shared" si="36"/>
        <v>73035.860632807919</v>
      </c>
      <c r="P56" s="400"/>
      <c r="Q56" s="72"/>
      <c r="R56" s="70"/>
    </row>
    <row r="57" spans="1:20" x14ac:dyDescent="0.25">
      <c r="A57" s="55"/>
      <c r="B57" s="56" t="s">
        <v>62</v>
      </c>
      <c r="C57" s="56"/>
      <c r="D57" s="56"/>
      <c r="E57" s="57">
        <f>SUM(E52:E56)</f>
        <v>317059</v>
      </c>
      <c r="F57" s="57">
        <f t="shared" ref="F57:O57" si="37">SUM(F52:F56)</f>
        <v>335832.55884000001</v>
      </c>
      <c r="G57" s="57">
        <f t="shared" si="37"/>
        <v>355750.22504169849</v>
      </c>
      <c r="H57" s="57">
        <f t="shared" si="37"/>
        <v>376883.73876019777</v>
      </c>
      <c r="I57" s="57">
        <f t="shared" si="37"/>
        <v>399309.46043368202</v>
      </c>
      <c r="J57" s="57">
        <f t="shared" si="37"/>
        <v>423108.67553462094</v>
      </c>
      <c r="K57" s="57">
        <f t="shared" si="37"/>
        <v>448367.91983688751</v>
      </c>
      <c r="L57" s="57">
        <f t="shared" si="37"/>
        <v>475179.32660337473</v>
      </c>
      <c r="M57" s="57">
        <f t="shared" si="37"/>
        <v>503640.99719616718</v>
      </c>
      <c r="N57" s="57">
        <f t="shared" si="37"/>
        <v>533857.39671562263</v>
      </c>
      <c r="O57" s="57">
        <f t="shared" si="37"/>
        <v>565939.77638634609</v>
      </c>
      <c r="P57" s="400"/>
      <c r="Q57" s="72"/>
      <c r="R57" s="70"/>
      <c r="T57" s="4"/>
    </row>
    <row r="58" spans="1:20" x14ac:dyDescent="0.25">
      <c r="A58" s="59"/>
      <c r="B58" s="51"/>
      <c r="C58" s="51"/>
      <c r="D58" s="51"/>
      <c r="E58" s="52"/>
      <c r="F58" s="52"/>
      <c r="G58" s="52"/>
      <c r="H58" s="52"/>
      <c r="I58" s="52"/>
      <c r="J58" s="52"/>
      <c r="K58" s="52"/>
      <c r="L58" s="52"/>
      <c r="M58" s="52"/>
      <c r="N58" s="52"/>
      <c r="O58" s="52"/>
      <c r="P58" s="400"/>
      <c r="Q58" s="72"/>
      <c r="R58" s="70"/>
    </row>
    <row r="59" spans="1:20" ht="18.75" x14ac:dyDescent="0.3">
      <c r="A59" s="87" t="s">
        <v>29</v>
      </c>
      <c r="B59" s="47"/>
      <c r="C59" s="47"/>
      <c r="D59" s="47"/>
      <c r="E59" s="48"/>
      <c r="F59" s="48"/>
      <c r="G59" s="48"/>
      <c r="H59" s="48"/>
      <c r="I59" s="48"/>
      <c r="J59" s="48"/>
      <c r="K59" s="48"/>
      <c r="L59" s="48"/>
      <c r="M59" s="48"/>
      <c r="N59" s="48"/>
      <c r="O59" s="48"/>
      <c r="P59" s="400"/>
      <c r="Q59" s="72"/>
      <c r="R59" s="70"/>
    </row>
    <row r="60" spans="1:20" x14ac:dyDescent="0.25">
      <c r="A60" s="59"/>
      <c r="B60" s="51" t="s">
        <v>79</v>
      </c>
      <c r="C60" s="51"/>
      <c r="D60" s="51"/>
      <c r="E60" s="52">
        <f>E29*E30*E31</f>
        <v>42601</v>
      </c>
      <c r="F60" s="52">
        <f t="shared" ref="F60:O60" si="38">F29*F30*F31</f>
        <v>44070</v>
      </c>
      <c r="G60" s="52">
        <f t="shared" si="38"/>
        <v>45539</v>
      </c>
      <c r="H60" s="52">
        <f t="shared" si="38"/>
        <v>47008</v>
      </c>
      <c r="I60" s="52">
        <f t="shared" si="38"/>
        <v>48477</v>
      </c>
      <c r="J60" s="52">
        <f t="shared" si="38"/>
        <v>49946</v>
      </c>
      <c r="K60" s="52">
        <f t="shared" si="38"/>
        <v>51415</v>
      </c>
      <c r="L60" s="52">
        <f t="shared" si="38"/>
        <v>52884</v>
      </c>
      <c r="M60" s="52">
        <f t="shared" si="38"/>
        <v>54353</v>
      </c>
      <c r="N60" s="52">
        <f t="shared" si="38"/>
        <v>55822</v>
      </c>
      <c r="O60" s="52">
        <f t="shared" si="38"/>
        <v>57291</v>
      </c>
      <c r="P60" s="400"/>
      <c r="Q60" s="82"/>
      <c r="R60" s="70"/>
    </row>
    <row r="61" spans="1:20" x14ac:dyDescent="0.25">
      <c r="A61" s="59"/>
      <c r="B61" s="51" t="s">
        <v>125</v>
      </c>
      <c r="C61" s="51"/>
      <c r="D61" s="51"/>
      <c r="E61" s="163">
        <f>E32*12</f>
        <v>1800</v>
      </c>
      <c r="F61" s="163">
        <f t="shared" ref="F61:O61" si="39">F32*12</f>
        <v>1836</v>
      </c>
      <c r="G61" s="163">
        <f t="shared" si="39"/>
        <v>1872.72</v>
      </c>
      <c r="H61" s="163">
        <f t="shared" si="39"/>
        <v>1910.1744000000003</v>
      </c>
      <c r="I61" s="163">
        <f t="shared" si="39"/>
        <v>1948.3778880000004</v>
      </c>
      <c r="J61" s="163">
        <f t="shared" si="39"/>
        <v>1987.3454457600005</v>
      </c>
      <c r="K61" s="163">
        <f t="shared" si="39"/>
        <v>2027.0923546752006</v>
      </c>
      <c r="L61" s="163">
        <f t="shared" si="39"/>
        <v>2067.6342017687048</v>
      </c>
      <c r="M61" s="163">
        <f t="shared" si="39"/>
        <v>2108.9868858040791</v>
      </c>
      <c r="N61" s="163">
        <f t="shared" si="39"/>
        <v>2151.1666235201606</v>
      </c>
      <c r="O61" s="163">
        <f t="shared" si="39"/>
        <v>2194.1899559905637</v>
      </c>
      <c r="P61" s="400"/>
      <c r="Q61" s="92"/>
      <c r="R61" s="70"/>
    </row>
    <row r="62" spans="1:20" x14ac:dyDescent="0.25">
      <c r="A62" s="59"/>
      <c r="B62" s="51" t="s">
        <v>52</v>
      </c>
      <c r="C62" s="51"/>
      <c r="D62" s="51"/>
      <c r="E62" s="163">
        <f>E33</f>
        <v>60455</v>
      </c>
      <c r="F62" s="163">
        <f t="shared" ref="F62:O62" si="40">F33</f>
        <v>61664.1</v>
      </c>
      <c r="G62" s="163">
        <f t="shared" si="40"/>
        <v>62897.381999999998</v>
      </c>
      <c r="H62" s="163">
        <f t="shared" si="40"/>
        <v>64155.329639999996</v>
      </c>
      <c r="I62" s="163">
        <f t="shared" si="40"/>
        <v>65438.436232799999</v>
      </c>
      <c r="J62" s="163">
        <f t="shared" si="40"/>
        <v>66747.204957455993</v>
      </c>
      <c r="K62" s="163">
        <f t="shared" si="40"/>
        <v>68082.149056605122</v>
      </c>
      <c r="L62" s="163">
        <f t="shared" si="40"/>
        <v>69443.792037737221</v>
      </c>
      <c r="M62" s="163">
        <f t="shared" si="40"/>
        <v>70832.667878491964</v>
      </c>
      <c r="N62" s="163">
        <f t="shared" si="40"/>
        <v>72249.321236061805</v>
      </c>
      <c r="O62" s="163">
        <f t="shared" si="40"/>
        <v>73694.307660783044</v>
      </c>
      <c r="P62" s="400"/>
      <c r="Q62" s="92"/>
      <c r="R62" s="70"/>
    </row>
    <row r="63" spans="1:20" x14ac:dyDescent="0.25">
      <c r="A63" s="59"/>
      <c r="B63" s="51" t="s">
        <v>137</v>
      </c>
      <c r="C63" s="51"/>
      <c r="D63" s="51"/>
      <c r="E63" s="163">
        <f>E34</f>
        <v>525</v>
      </c>
      <c r="F63" s="163">
        <f t="shared" ref="F63:O63" si="41">F34</f>
        <v>535.5</v>
      </c>
      <c r="G63" s="163">
        <f t="shared" si="41"/>
        <v>546.21</v>
      </c>
      <c r="H63" s="163">
        <f t="shared" si="41"/>
        <v>557.13420000000008</v>
      </c>
      <c r="I63" s="163">
        <f t="shared" si="41"/>
        <v>568.27688400000011</v>
      </c>
      <c r="J63" s="163">
        <f t="shared" si="41"/>
        <v>579.6424216800001</v>
      </c>
      <c r="K63" s="163">
        <f t="shared" si="41"/>
        <v>591.23527011360011</v>
      </c>
      <c r="L63" s="163">
        <f t="shared" si="41"/>
        <v>603.05997551587211</v>
      </c>
      <c r="M63" s="163">
        <f t="shared" si="41"/>
        <v>615.12117502618958</v>
      </c>
      <c r="N63" s="163">
        <f t="shared" si="41"/>
        <v>627.42359852671336</v>
      </c>
      <c r="O63" s="163">
        <f t="shared" si="41"/>
        <v>639.97207049724761</v>
      </c>
      <c r="P63" s="400"/>
      <c r="Q63" s="92"/>
      <c r="R63" s="70"/>
    </row>
    <row r="64" spans="1:20" x14ac:dyDescent="0.25">
      <c r="A64" s="59"/>
      <c r="B64" s="51" t="s">
        <v>138</v>
      </c>
      <c r="C64" s="51"/>
      <c r="D64" s="51"/>
      <c r="E64" s="163">
        <f>E35</f>
        <v>1575</v>
      </c>
      <c r="F64" s="163">
        <f t="shared" ref="F64:O64" si="42">F35</f>
        <v>1606.5</v>
      </c>
      <c r="G64" s="163">
        <f t="shared" si="42"/>
        <v>1638.63</v>
      </c>
      <c r="H64" s="163">
        <f t="shared" si="42"/>
        <v>1671.4026000000001</v>
      </c>
      <c r="I64" s="163">
        <f t="shared" si="42"/>
        <v>1704.8306520000001</v>
      </c>
      <c r="J64" s="163">
        <f t="shared" si="42"/>
        <v>1738.9272650400001</v>
      </c>
      <c r="K64" s="163">
        <f t="shared" si="42"/>
        <v>1773.7058103408001</v>
      </c>
      <c r="L64" s="163">
        <f t="shared" si="42"/>
        <v>1809.1799265476161</v>
      </c>
      <c r="M64" s="163">
        <f t="shared" si="42"/>
        <v>1845.3635250785685</v>
      </c>
      <c r="N64" s="163">
        <f t="shared" si="42"/>
        <v>1882.27079558014</v>
      </c>
      <c r="O64" s="163">
        <f t="shared" si="42"/>
        <v>1919.9162114917428</v>
      </c>
      <c r="P64" s="400"/>
      <c r="Q64" s="92"/>
      <c r="R64" s="70"/>
    </row>
    <row r="65" spans="1:30" x14ac:dyDescent="0.25">
      <c r="A65" s="59"/>
      <c r="B65" s="51" t="s">
        <v>30</v>
      </c>
      <c r="C65" s="51"/>
      <c r="D65" s="51"/>
      <c r="E65" s="163">
        <f t="shared" ref="E65" si="43">E36</f>
        <v>18450</v>
      </c>
      <c r="F65" s="163">
        <f t="shared" ref="F65:O65" si="44">F36</f>
        <v>18819</v>
      </c>
      <c r="G65" s="163">
        <f t="shared" si="44"/>
        <v>19195.38</v>
      </c>
      <c r="H65" s="163">
        <f t="shared" si="44"/>
        <v>19579.2876</v>
      </c>
      <c r="I65" s="163">
        <f t="shared" si="44"/>
        <v>19970.873351999999</v>
      </c>
      <c r="J65" s="163">
        <f t="shared" si="44"/>
        <v>20370.290819039998</v>
      </c>
      <c r="K65" s="163">
        <f t="shared" si="44"/>
        <v>20777.696635420798</v>
      </c>
      <c r="L65" s="163">
        <f t="shared" si="44"/>
        <v>21193.250568129213</v>
      </c>
      <c r="M65" s="163">
        <f t="shared" si="44"/>
        <v>21617.115579491798</v>
      </c>
      <c r="N65" s="163">
        <f t="shared" si="44"/>
        <v>22049.457891081634</v>
      </c>
      <c r="O65" s="163">
        <f t="shared" si="44"/>
        <v>22490.447048903268</v>
      </c>
      <c r="P65" s="400"/>
      <c r="Q65" s="92"/>
      <c r="R65" s="70"/>
    </row>
    <row r="66" spans="1:30" x14ac:dyDescent="0.25">
      <c r="A66" s="59"/>
      <c r="B66" s="51" t="s">
        <v>152</v>
      </c>
      <c r="C66" s="51"/>
      <c r="D66" s="51"/>
      <c r="E66" s="163">
        <f>E37</f>
        <v>400</v>
      </c>
      <c r="F66" s="163">
        <f t="shared" ref="F66:O66" si="45">F37</f>
        <v>408</v>
      </c>
      <c r="G66" s="163">
        <f t="shared" si="45"/>
        <v>416.16</v>
      </c>
      <c r="H66" s="163">
        <f t="shared" si="45"/>
        <v>424.48320000000001</v>
      </c>
      <c r="I66" s="163">
        <f t="shared" si="45"/>
        <v>432.97286400000002</v>
      </c>
      <c r="J66" s="163">
        <f t="shared" si="45"/>
        <v>441.63232128000004</v>
      </c>
      <c r="K66" s="163">
        <f t="shared" si="45"/>
        <v>450.46496770560003</v>
      </c>
      <c r="L66" s="163">
        <f t="shared" si="45"/>
        <v>459.47426705971202</v>
      </c>
      <c r="M66" s="163">
        <f t="shared" si="45"/>
        <v>468.66375240090628</v>
      </c>
      <c r="N66" s="163">
        <f t="shared" si="45"/>
        <v>478.03702744892439</v>
      </c>
      <c r="O66" s="163">
        <f t="shared" si="45"/>
        <v>487.59776799790291</v>
      </c>
      <c r="P66" s="400"/>
      <c r="Q66" s="92"/>
      <c r="R66" s="70"/>
    </row>
    <row r="67" spans="1:30" x14ac:dyDescent="0.25">
      <c r="A67" s="55"/>
      <c r="B67" s="56" t="s">
        <v>80</v>
      </c>
      <c r="C67" s="56"/>
      <c r="D67" s="56"/>
      <c r="E67" s="57">
        <f>SUM(E60:E66)</f>
        <v>125806</v>
      </c>
      <c r="F67" s="57">
        <f t="shared" ref="F67:O67" si="46">SUM(F60:F66)</f>
        <v>128939.1</v>
      </c>
      <c r="G67" s="57">
        <f t="shared" si="46"/>
        <v>132105.48200000002</v>
      </c>
      <c r="H67" s="57">
        <f t="shared" si="46"/>
        <v>135305.81164</v>
      </c>
      <c r="I67" s="57">
        <f t="shared" si="46"/>
        <v>138540.76787280003</v>
      </c>
      <c r="J67" s="57">
        <f t="shared" si="46"/>
        <v>141811.04323025598</v>
      </c>
      <c r="K67" s="57">
        <f t="shared" si="46"/>
        <v>145117.34409486112</v>
      </c>
      <c r="L67" s="57">
        <f t="shared" si="46"/>
        <v>148460.39097675835</v>
      </c>
      <c r="M67" s="57">
        <f t="shared" si="46"/>
        <v>151840.9187962935</v>
      </c>
      <c r="N67" s="57">
        <f t="shared" si="46"/>
        <v>155259.67717221938</v>
      </c>
      <c r="O67" s="57">
        <f t="shared" si="46"/>
        <v>158717.4307156638</v>
      </c>
      <c r="P67" s="400"/>
      <c r="Q67" s="92"/>
      <c r="R67" s="70"/>
    </row>
    <row r="68" spans="1:30" x14ac:dyDescent="0.25">
      <c r="A68" s="59"/>
      <c r="B68" s="51"/>
      <c r="C68" s="51"/>
      <c r="D68" s="51"/>
      <c r="E68" s="52"/>
      <c r="F68" s="52"/>
      <c r="G68" s="52"/>
      <c r="H68" s="52"/>
      <c r="I68" s="52"/>
      <c r="J68" s="52"/>
      <c r="K68" s="52"/>
      <c r="L68" s="52"/>
      <c r="M68" s="52"/>
      <c r="N68" s="52"/>
      <c r="O68" s="52"/>
      <c r="P68" s="400"/>
      <c r="Q68" s="92"/>
      <c r="R68" s="70"/>
    </row>
    <row r="69" spans="1:30" ht="18.75" x14ac:dyDescent="0.3">
      <c r="A69" s="88" t="s">
        <v>81</v>
      </c>
      <c r="B69" s="56"/>
      <c r="C69" s="56"/>
      <c r="D69" s="56"/>
      <c r="E69" s="57">
        <f>E49-E57-E67</f>
        <v>2635</v>
      </c>
      <c r="F69" s="57">
        <f t="shared" ref="F69:O69" si="47">F49-F57-F67</f>
        <v>7684.1211599999515</v>
      </c>
      <c r="G69" s="57">
        <f t="shared" si="47"/>
        <v>13233.76312110154</v>
      </c>
      <c r="H69" s="57">
        <f t="shared" si="47"/>
        <v>19318.824612132943</v>
      </c>
      <c r="I69" s="57">
        <f t="shared" si="47"/>
        <v>25976.603191232105</v>
      </c>
      <c r="J69" s="57">
        <f t="shared" si="47"/>
        <v>33246.961005948047</v>
      </c>
      <c r="K69" s="57">
        <f t="shared" si="47"/>
        <v>41172.502111364447</v>
      </c>
      <c r="L69" s="57">
        <f t="shared" si="47"/>
        <v>49798.762159041857</v>
      </c>
      <c r="M69" s="57">
        <f t="shared" si="47"/>
        <v>59174.41132713377</v>
      </c>
      <c r="N69" s="57">
        <f t="shared" si="47"/>
        <v>69351.471423701383</v>
      </c>
      <c r="O69" s="57">
        <f t="shared" si="47"/>
        <v>80385.54816129469</v>
      </c>
      <c r="P69" s="400"/>
      <c r="Q69" s="92"/>
      <c r="R69" s="70"/>
    </row>
    <row r="70" spans="1:30" x14ac:dyDescent="0.25">
      <c r="A70" s="59"/>
      <c r="B70" s="51"/>
      <c r="C70" s="51"/>
      <c r="D70" s="51"/>
      <c r="E70" s="52"/>
      <c r="F70" s="52"/>
      <c r="G70" s="52"/>
      <c r="H70" s="52"/>
      <c r="I70" s="52"/>
      <c r="J70" s="52"/>
      <c r="K70" s="52"/>
      <c r="L70" s="52"/>
      <c r="M70" s="52"/>
      <c r="N70" s="52"/>
      <c r="O70" s="52"/>
      <c r="P70" s="400"/>
      <c r="Q70" s="92"/>
      <c r="R70" s="70"/>
    </row>
    <row r="71" spans="1:30" x14ac:dyDescent="0.25">
      <c r="A71" s="59" t="s">
        <v>53</v>
      </c>
      <c r="B71" s="51"/>
      <c r="C71" s="51"/>
      <c r="D71" s="51"/>
      <c r="E71" s="52">
        <f>Mortgage!D15</f>
        <v>5214.8188371070974</v>
      </c>
      <c r="F71" s="52">
        <f>Mortgage!D30</f>
        <v>5135.5622214015166</v>
      </c>
      <c r="G71" s="52">
        <f>Mortgage!D45</f>
        <v>5052.2506868167575</v>
      </c>
      <c r="H71" s="52">
        <f>Mortgage!D60</f>
        <v>4964.676776007198</v>
      </c>
      <c r="I71" s="52">
        <f>Mortgage!D75</f>
        <v>4872.6224177156992</v>
      </c>
      <c r="J71" s="52">
        <f>Mortgage!D90</f>
        <v>4775.8583837457227</v>
      </c>
      <c r="K71" s="52">
        <f>Mortgage!D105</f>
        <v>4674.1437181511483</v>
      </c>
      <c r="L71" s="52">
        <f>Mortgage!D120</f>
        <v>4567.22513722235</v>
      </c>
      <c r="M71" s="52">
        <f>Mortgage!D135</f>
        <v>4454.8363987744115</v>
      </c>
      <c r="N71" s="52">
        <f>Mortgage!D150</f>
        <v>4336.6976391669459</v>
      </c>
      <c r="O71" s="52">
        <f>Mortgage!D165</f>
        <v>4212.5146764045667</v>
      </c>
      <c r="P71" s="400"/>
      <c r="Q71" s="92">
        <v>0.05</v>
      </c>
      <c r="R71" s="70" t="s">
        <v>127</v>
      </c>
    </row>
    <row r="72" spans="1:30" x14ac:dyDescent="0.25">
      <c r="A72" s="59" t="s">
        <v>126</v>
      </c>
      <c r="B72" s="51"/>
      <c r="C72" s="51"/>
      <c r="D72" s="51"/>
      <c r="E72" s="52">
        <f>$Q$72*E99</f>
        <v>16169.732908752201</v>
      </c>
      <c r="F72" s="52">
        <f t="shared" ref="F72:O72" si="48">$Q$72*F99</f>
        <v>17676.927985199607</v>
      </c>
      <c r="G72" s="52">
        <f t="shared" si="48"/>
        <v>18885.201909893229</v>
      </c>
      <c r="H72" s="52">
        <f t="shared" si="48"/>
        <v>19729.921239465875</v>
      </c>
      <c r="I72" s="52">
        <f t="shared" si="48"/>
        <v>20238.697090242207</v>
      </c>
      <c r="J72" s="52">
        <f t="shared" si="48"/>
        <v>20373.521836742249</v>
      </c>
      <c r="K72" s="52">
        <f t="shared" si="48"/>
        <v>20010.500146611797</v>
      </c>
      <c r="L72" s="52">
        <f t="shared" si="48"/>
        <v>19115.244262812619</v>
      </c>
      <c r="M72" s="52">
        <f t="shared" si="48"/>
        <v>17609.397440793964</v>
      </c>
      <c r="N72" s="52">
        <f t="shared" si="48"/>
        <v>15406.614160528514</v>
      </c>
      <c r="O72" s="52">
        <f t="shared" si="48"/>
        <v>12411.856434402924</v>
      </c>
      <c r="P72" s="400"/>
      <c r="Q72" s="92">
        <v>7.4999999999999997E-2</v>
      </c>
      <c r="R72" s="70" t="s">
        <v>127</v>
      </c>
    </row>
    <row r="73" spans="1:30" x14ac:dyDescent="0.25">
      <c r="A73" s="59"/>
      <c r="B73" s="51"/>
      <c r="C73" s="51"/>
      <c r="D73" s="51"/>
      <c r="E73" s="52"/>
      <c r="F73" s="52"/>
      <c r="G73" s="52"/>
      <c r="H73" s="52"/>
      <c r="I73" s="52"/>
      <c r="J73" s="52"/>
      <c r="K73" s="52"/>
      <c r="L73" s="52"/>
      <c r="M73" s="52"/>
      <c r="N73" s="52"/>
      <c r="O73" s="52"/>
      <c r="P73" s="400"/>
      <c r="Q73" s="92">
        <v>7.4999999999999997E-2</v>
      </c>
      <c r="R73" s="70" t="s">
        <v>127</v>
      </c>
    </row>
    <row r="74" spans="1:30" x14ac:dyDescent="0.25">
      <c r="A74" s="59"/>
      <c r="B74" s="51"/>
      <c r="C74" s="51"/>
      <c r="D74" s="51"/>
      <c r="E74" s="52"/>
      <c r="F74" s="52"/>
      <c r="G74" s="52"/>
      <c r="H74" s="52"/>
      <c r="I74" s="52"/>
      <c r="J74" s="52"/>
      <c r="K74" s="52"/>
      <c r="L74" s="52"/>
      <c r="M74" s="52"/>
      <c r="N74" s="52"/>
      <c r="O74" s="52"/>
      <c r="P74" s="400"/>
      <c r="Q74" s="92"/>
      <c r="R74" s="70"/>
    </row>
    <row r="75" spans="1:30" x14ac:dyDescent="0.25">
      <c r="A75" s="59" t="s">
        <v>150</v>
      </c>
      <c r="B75" s="51"/>
      <c r="C75" s="51"/>
      <c r="D75" s="51"/>
      <c r="E75" s="292">
        <f>E89/30</f>
        <v>3333.3333333333335</v>
      </c>
      <c r="F75" s="292">
        <f t="shared" ref="F75:O75" si="49">F89/30</f>
        <v>3333.3333333333335</v>
      </c>
      <c r="G75" s="292">
        <f t="shared" si="49"/>
        <v>3333.3333333333335</v>
      </c>
      <c r="H75" s="292">
        <f t="shared" si="49"/>
        <v>3333.3333333333335</v>
      </c>
      <c r="I75" s="292">
        <f t="shared" si="49"/>
        <v>3333.3333333333335</v>
      </c>
      <c r="J75" s="292">
        <f t="shared" si="49"/>
        <v>3333.3333333333335</v>
      </c>
      <c r="K75" s="292">
        <f t="shared" si="49"/>
        <v>3333.3333333333335</v>
      </c>
      <c r="L75" s="292">
        <f t="shared" si="49"/>
        <v>3333.3333333333335</v>
      </c>
      <c r="M75" s="292">
        <f t="shared" si="49"/>
        <v>3333.3333333333335</v>
      </c>
      <c r="N75" s="292">
        <f t="shared" si="49"/>
        <v>3333.3333333333335</v>
      </c>
      <c r="O75" s="292">
        <f t="shared" si="49"/>
        <v>3333.3333333333335</v>
      </c>
      <c r="P75" s="400"/>
      <c r="Q75" s="92"/>
      <c r="R75" s="70"/>
    </row>
    <row r="76" spans="1:30" x14ac:dyDescent="0.25">
      <c r="A76" s="59"/>
      <c r="B76" s="51"/>
      <c r="C76" s="51"/>
      <c r="D76" s="51"/>
      <c r="E76" s="52"/>
      <c r="F76" s="52"/>
      <c r="G76" s="52"/>
      <c r="H76" s="52"/>
      <c r="I76" s="52"/>
      <c r="J76" s="52"/>
      <c r="K76" s="52"/>
      <c r="L76" s="52"/>
      <c r="M76" s="52"/>
      <c r="N76" s="52"/>
      <c r="O76" s="52"/>
      <c r="P76" s="400"/>
      <c r="Q76" s="93"/>
      <c r="R76" s="70"/>
    </row>
    <row r="77" spans="1:30" x14ac:dyDescent="0.25">
      <c r="A77" s="59" t="s">
        <v>31</v>
      </c>
      <c r="B77" s="51"/>
      <c r="C77" s="51"/>
      <c r="D77" s="51"/>
      <c r="E77" s="52">
        <f>E69-E71-E72-E73-E75</f>
        <v>-22082.885079192631</v>
      </c>
      <c r="F77" s="52">
        <f t="shared" ref="F77:O77" si="50">F69-F71-F72-F73-F75</f>
        <v>-18461.702379934504</v>
      </c>
      <c r="G77" s="52">
        <f t="shared" si="50"/>
        <v>-14037.022808941781</v>
      </c>
      <c r="H77" s="52">
        <f t="shared" si="50"/>
        <v>-8709.1067366734642</v>
      </c>
      <c r="I77" s="52">
        <f t="shared" si="50"/>
        <v>-2468.0496500591339</v>
      </c>
      <c r="J77" s="52">
        <f t="shared" si="50"/>
        <v>4764.2474521267413</v>
      </c>
      <c r="K77" s="52">
        <f t="shared" si="50"/>
        <v>13154.524913268166</v>
      </c>
      <c r="L77" s="52">
        <f t="shared" si="50"/>
        <v>22782.959425673558</v>
      </c>
      <c r="M77" s="52">
        <f t="shared" si="50"/>
        <v>33776.844154232058</v>
      </c>
      <c r="N77" s="52">
        <f t="shared" si="50"/>
        <v>46274.826290672587</v>
      </c>
      <c r="O77" s="52">
        <f t="shared" si="50"/>
        <v>60427.843717153868</v>
      </c>
      <c r="P77" s="400"/>
      <c r="Q77" s="94"/>
      <c r="R77" s="83"/>
      <c r="S77" s="12"/>
      <c r="T77" s="12"/>
      <c r="U77" s="12"/>
      <c r="V77" s="12"/>
      <c r="W77" s="12"/>
      <c r="X77" s="12"/>
      <c r="Y77" s="12"/>
      <c r="Z77" s="12"/>
      <c r="AA77" s="12"/>
    </row>
    <row r="78" spans="1:30" ht="16.5" thickBot="1" x14ac:dyDescent="0.3">
      <c r="A78" s="59" t="s">
        <v>32</v>
      </c>
      <c r="B78" s="51"/>
      <c r="C78" s="51"/>
      <c r="D78" s="51"/>
      <c r="E78" s="52">
        <f>IF(E77&lt;0,0,E77*$Q$78)</f>
        <v>0</v>
      </c>
      <c r="F78" s="52">
        <f t="shared" ref="F78" si="51">IF(F77&lt;0,0,F77*$Q$78)</f>
        <v>0</v>
      </c>
      <c r="G78" s="52">
        <f t="shared" ref="G78" si="52">IF(G77&lt;0,0,G77*$Q$78)</f>
        <v>0</v>
      </c>
      <c r="H78" s="52">
        <f t="shared" ref="H78" si="53">IF(H77&lt;0,0,H77*$Q$78)</f>
        <v>0</v>
      </c>
      <c r="I78" s="52">
        <f t="shared" ref="I78" si="54">IF(I77&lt;0,0,I77*$Q$78)</f>
        <v>0</v>
      </c>
      <c r="J78" s="52">
        <f t="shared" ref="J78" si="55">IF(J77&lt;0,0,J77*$Q$78)</f>
        <v>929.02825316471456</v>
      </c>
      <c r="K78" s="52">
        <f t="shared" ref="K78" si="56">IF(K77&lt;0,0,K77*$Q$78)</f>
        <v>2565.1323580872922</v>
      </c>
      <c r="L78" s="52">
        <f t="shared" ref="L78" si="57">IF(L77&lt;0,0,L77*$Q$78)</f>
        <v>4442.6770880063441</v>
      </c>
      <c r="M78" s="52">
        <f t="shared" ref="M78" si="58">IF(M77&lt;0,0,M77*$Q$78)</f>
        <v>6586.4846100752511</v>
      </c>
      <c r="N78" s="52">
        <f t="shared" ref="N78" si="59">IF(N77&lt;0,0,N77*$Q$78)</f>
        <v>9023.5911266811545</v>
      </c>
      <c r="O78" s="52">
        <f t="shared" ref="O78" si="60">IF(O77&lt;0,0,O77*$Q$78)</f>
        <v>11783.429524845005</v>
      </c>
      <c r="P78" s="401"/>
      <c r="Q78" s="402">
        <f>V81</f>
        <v>0.19500000000000001</v>
      </c>
      <c r="R78" s="403"/>
      <c r="S78" s="11"/>
      <c r="T78" s="12"/>
      <c r="U78" s="12"/>
      <c r="V78" s="12"/>
      <c r="W78" s="12"/>
      <c r="X78" s="12"/>
      <c r="Y78" s="12"/>
      <c r="Z78" s="12"/>
      <c r="AA78" s="12"/>
    </row>
    <row r="79" spans="1:30" ht="19.5" thickBot="1" x14ac:dyDescent="0.35">
      <c r="A79" s="87" t="s">
        <v>33</v>
      </c>
      <c r="B79" s="84"/>
      <c r="C79" s="84"/>
      <c r="D79" s="84"/>
      <c r="E79" s="85">
        <f>E77-E78</f>
        <v>-22082.885079192631</v>
      </c>
      <c r="F79" s="85">
        <f t="shared" ref="F79:O79" si="61">F77-F78</f>
        <v>-18461.702379934504</v>
      </c>
      <c r="G79" s="85">
        <f t="shared" si="61"/>
        <v>-14037.022808941781</v>
      </c>
      <c r="H79" s="85">
        <f t="shared" si="61"/>
        <v>-8709.1067366734642</v>
      </c>
      <c r="I79" s="85">
        <f t="shared" si="61"/>
        <v>-2468.0496500591339</v>
      </c>
      <c r="J79" s="85">
        <f t="shared" si="61"/>
        <v>3835.2191989620269</v>
      </c>
      <c r="K79" s="85">
        <f t="shared" si="61"/>
        <v>10589.392555180873</v>
      </c>
      <c r="L79" s="85">
        <f t="shared" si="61"/>
        <v>18340.282337667213</v>
      </c>
      <c r="M79" s="85">
        <f t="shared" si="61"/>
        <v>27190.359544156807</v>
      </c>
      <c r="N79" s="85">
        <f t="shared" si="61"/>
        <v>37251.235163991434</v>
      </c>
      <c r="O79" s="294">
        <f t="shared" si="61"/>
        <v>48644.414192308861</v>
      </c>
    </row>
    <row r="80" spans="1:30" ht="16.5" thickBot="1" x14ac:dyDescent="0.3">
      <c r="A80" s="59"/>
      <c r="B80" s="51"/>
      <c r="C80" s="51"/>
      <c r="D80" s="51"/>
      <c r="E80" s="52"/>
      <c r="F80" s="52"/>
      <c r="G80" s="52"/>
      <c r="H80" s="52"/>
      <c r="I80" s="52"/>
      <c r="J80" s="52"/>
      <c r="K80" s="52"/>
      <c r="L80" s="52"/>
      <c r="M80" s="52"/>
      <c r="N80" s="52"/>
      <c r="O80" s="53"/>
      <c r="S80" s="420" t="s">
        <v>202</v>
      </c>
      <c r="T80" s="421"/>
      <c r="U80" s="421"/>
      <c r="V80" s="421"/>
      <c r="W80" s="421"/>
      <c r="X80" s="421"/>
      <c r="Y80" s="421"/>
      <c r="Z80" s="421"/>
      <c r="AA80" s="421"/>
      <c r="AB80" s="421"/>
      <c r="AC80" s="421"/>
      <c r="AD80" s="422"/>
    </row>
    <row r="81" spans="1:30" ht="21" x14ac:dyDescent="0.35">
      <c r="A81" s="86" t="s">
        <v>34</v>
      </c>
      <c r="B81" s="60"/>
      <c r="C81" s="60"/>
      <c r="D81" s="60"/>
      <c r="E81" s="61"/>
      <c r="F81" s="61"/>
      <c r="G81" s="61"/>
      <c r="H81" s="61"/>
      <c r="I81" s="61"/>
      <c r="J81" s="61"/>
      <c r="K81" s="61"/>
      <c r="L81" s="61"/>
      <c r="M81" s="61"/>
      <c r="N81" s="61"/>
      <c r="O81" s="295"/>
      <c r="S81" s="405"/>
      <c r="T81" s="111"/>
      <c r="U81" s="112" t="s">
        <v>92</v>
      </c>
      <c r="V81" s="170">
        <f>0.045+0.15</f>
        <v>0.19500000000000001</v>
      </c>
      <c r="W81" s="112"/>
      <c r="X81" s="112"/>
      <c r="Y81" s="112"/>
      <c r="Z81" s="112"/>
      <c r="AA81" s="112"/>
      <c r="AB81" s="112"/>
      <c r="AC81" s="112"/>
      <c r="AD81" s="113"/>
    </row>
    <row r="82" spans="1:30" ht="18.75" x14ac:dyDescent="0.3">
      <c r="A82" s="87" t="s">
        <v>35</v>
      </c>
      <c r="B82" s="47"/>
      <c r="C82" s="47"/>
      <c r="D82" s="47"/>
      <c r="E82" s="48"/>
      <c r="F82" s="48"/>
      <c r="G82" s="48"/>
      <c r="H82" s="48"/>
      <c r="I82" s="48"/>
      <c r="J82" s="48"/>
      <c r="K82" s="48"/>
      <c r="L82" s="48"/>
      <c r="M82" s="48"/>
      <c r="N82" s="48"/>
      <c r="O82" s="49"/>
      <c r="S82" s="406"/>
      <c r="T82" s="114"/>
      <c r="U82" s="115"/>
      <c r="V82" s="116"/>
      <c r="W82" s="115"/>
      <c r="X82" s="115"/>
      <c r="Y82" s="115"/>
      <c r="Z82" s="115"/>
      <c r="AA82" s="115"/>
      <c r="AB82" s="115"/>
      <c r="AC82" s="115"/>
      <c r="AD82" s="117"/>
    </row>
    <row r="83" spans="1:30" x14ac:dyDescent="0.25">
      <c r="A83" s="59" t="s">
        <v>50</v>
      </c>
      <c r="B83" s="51"/>
      <c r="C83" s="51"/>
      <c r="D83" s="51"/>
      <c r="E83" s="163">
        <f>E39</f>
        <v>3000</v>
      </c>
      <c r="F83" s="163">
        <f t="shared" ref="F83:O83" si="62">F39</f>
        <v>3000</v>
      </c>
      <c r="G83" s="163">
        <f t="shared" si="62"/>
        <v>3000</v>
      </c>
      <c r="H83" s="163">
        <f t="shared" si="62"/>
        <v>3000</v>
      </c>
      <c r="I83" s="163">
        <f t="shared" si="62"/>
        <v>3000</v>
      </c>
      <c r="J83" s="163">
        <f t="shared" si="62"/>
        <v>3000</v>
      </c>
      <c r="K83" s="163">
        <f t="shared" si="62"/>
        <v>3000</v>
      </c>
      <c r="L83" s="163">
        <f t="shared" si="62"/>
        <v>3000</v>
      </c>
      <c r="M83" s="163">
        <f t="shared" si="62"/>
        <v>3000</v>
      </c>
      <c r="N83" s="163">
        <f t="shared" si="62"/>
        <v>3000</v>
      </c>
      <c r="O83" s="291">
        <f t="shared" si="62"/>
        <v>3000</v>
      </c>
      <c r="S83" s="406"/>
      <c r="T83" s="118"/>
      <c r="U83" s="115" t="s">
        <v>93</v>
      </c>
      <c r="V83" s="119">
        <v>2.75E-2</v>
      </c>
      <c r="W83" s="115"/>
      <c r="X83" s="115"/>
      <c r="Y83" s="115"/>
      <c r="Z83" s="115"/>
      <c r="AA83" s="115"/>
      <c r="AB83" s="115"/>
      <c r="AC83" s="115"/>
      <c r="AD83" s="117"/>
    </row>
    <row r="84" spans="1:30" x14ac:dyDescent="0.25">
      <c r="A84" s="59" t="s">
        <v>49</v>
      </c>
      <c r="B84" s="51"/>
      <c r="C84" s="51"/>
      <c r="D84" s="51"/>
      <c r="E84" s="52">
        <v>0</v>
      </c>
      <c r="F84" s="52">
        <v>0</v>
      </c>
      <c r="G84" s="52">
        <v>0</v>
      </c>
      <c r="H84" s="52">
        <v>0</v>
      </c>
      <c r="I84" s="52">
        <v>0</v>
      </c>
      <c r="J84" s="52">
        <v>0</v>
      </c>
      <c r="K84" s="52">
        <v>0</v>
      </c>
      <c r="L84" s="52">
        <v>0</v>
      </c>
      <c r="M84" s="52">
        <v>0</v>
      </c>
      <c r="N84" s="52">
        <v>0</v>
      </c>
      <c r="O84" s="53">
        <v>0</v>
      </c>
      <c r="S84" s="406"/>
      <c r="T84" s="118"/>
      <c r="U84" s="115" t="s">
        <v>94</v>
      </c>
      <c r="V84" s="119">
        <v>7.0000000000000007E-2</v>
      </c>
      <c r="W84" s="115"/>
      <c r="X84" s="115"/>
      <c r="Y84" s="115"/>
      <c r="Z84" s="115"/>
      <c r="AA84" s="115"/>
      <c r="AB84" s="115"/>
      <c r="AC84" s="115"/>
      <c r="AD84" s="117"/>
    </row>
    <row r="85" spans="1:30" x14ac:dyDescent="0.25">
      <c r="A85" s="59" t="s">
        <v>36</v>
      </c>
      <c r="B85" s="51"/>
      <c r="C85" s="51"/>
      <c r="D85" s="51"/>
      <c r="E85" s="52">
        <f t="shared" ref="E85:O85" si="63">E49/365*E24</f>
        <v>54924.657534246573</v>
      </c>
      <c r="F85" s="52">
        <f t="shared" si="63"/>
        <v>59995.412063013697</v>
      </c>
      <c r="G85" s="52">
        <f t="shared" si="63"/>
        <v>65540.443425499063</v>
      </c>
      <c r="H85" s="52">
        <f t="shared" si="63"/>
        <v>71604.684505738245</v>
      </c>
      <c r="I85" s="52">
        <f t="shared" si="63"/>
        <v>78237.37802035021</v>
      </c>
      <c r="J85" s="52">
        <f t="shared" si="63"/>
        <v>85492.494735833548</v>
      </c>
      <c r="K85" s="52">
        <f t="shared" si="63"/>
        <v>93429.192705256122</v>
      </c>
      <c r="L85" s="52">
        <f t="shared" si="63"/>
        <v>102112.32158663021</v>
      </c>
      <c r="M85" s="52">
        <f t="shared" si="63"/>
        <v>111612.97651103232</v>
      </c>
      <c r="N85" s="52">
        <f t="shared" si="63"/>
        <v>122009.10641512746</v>
      </c>
      <c r="O85" s="53">
        <f t="shared" si="63"/>
        <v>133386.18224432998</v>
      </c>
      <c r="S85" s="406"/>
      <c r="T85" s="120"/>
      <c r="U85" s="115"/>
      <c r="V85" s="116"/>
      <c r="W85" s="115"/>
      <c r="X85" s="115"/>
      <c r="Y85" s="115"/>
      <c r="Z85" s="115"/>
      <c r="AA85" s="115"/>
      <c r="AB85" s="115"/>
      <c r="AC85" s="115"/>
      <c r="AD85" s="117"/>
    </row>
    <row r="86" spans="1:30" x14ac:dyDescent="0.25">
      <c r="A86" s="59" t="s">
        <v>37</v>
      </c>
      <c r="B86" s="51"/>
      <c r="C86" s="51"/>
      <c r="D86" s="51"/>
      <c r="E86" s="52">
        <f t="shared" ref="E86:O86" si="64">E57/365*E25</f>
        <v>52119.28767123288</v>
      </c>
      <c r="F86" s="52">
        <f t="shared" si="64"/>
        <v>52445.084531178087</v>
      </c>
      <c r="G86" s="52">
        <f t="shared" si="64"/>
        <v>52777.738865775267</v>
      </c>
      <c r="H86" s="52">
        <f t="shared" si="64"/>
        <v>53117.374605949241</v>
      </c>
      <c r="I86" s="52">
        <f t="shared" si="64"/>
        <v>54699.926086805761</v>
      </c>
      <c r="J86" s="52">
        <f t="shared" si="64"/>
        <v>57960.092538989171</v>
      </c>
      <c r="K86" s="52">
        <f t="shared" si="64"/>
        <v>61420.262991354459</v>
      </c>
      <c r="L86" s="52">
        <f t="shared" si="64"/>
        <v>65093.058438818458</v>
      </c>
      <c r="M86" s="52">
        <f t="shared" si="64"/>
        <v>68991.91742413248</v>
      </c>
      <c r="N86" s="52">
        <f t="shared" si="64"/>
        <v>73131.150235016801</v>
      </c>
      <c r="O86" s="53">
        <f t="shared" si="64"/>
        <v>77525.996765252887</v>
      </c>
      <c r="S86" s="406"/>
      <c r="T86" s="118"/>
      <c r="U86" s="115" t="s">
        <v>95</v>
      </c>
      <c r="V86" s="116">
        <v>0.99</v>
      </c>
      <c r="W86" s="115"/>
      <c r="X86" s="115"/>
      <c r="Y86" s="115"/>
      <c r="Z86" s="115"/>
      <c r="AA86" s="115"/>
      <c r="AB86" s="115"/>
      <c r="AC86" s="115"/>
      <c r="AD86" s="117"/>
    </row>
    <row r="87" spans="1:30" x14ac:dyDescent="0.25">
      <c r="A87" s="59"/>
      <c r="B87" s="51"/>
      <c r="C87" s="51"/>
      <c r="D87" s="51"/>
      <c r="E87" s="52"/>
      <c r="F87" s="52"/>
      <c r="G87" s="52"/>
      <c r="H87" s="52"/>
      <c r="I87" s="52"/>
      <c r="J87" s="52"/>
      <c r="K87" s="52"/>
      <c r="L87" s="52"/>
      <c r="M87" s="52"/>
      <c r="N87" s="52"/>
      <c r="O87" s="53"/>
      <c r="S87" s="406"/>
      <c r="T87" s="120"/>
      <c r="U87" s="115" t="s">
        <v>131</v>
      </c>
      <c r="V87" s="121">
        <v>0.378</v>
      </c>
      <c r="W87" s="115"/>
      <c r="X87" s="115"/>
      <c r="Y87" s="115"/>
      <c r="Z87" s="115"/>
      <c r="AA87" s="115"/>
      <c r="AB87" s="115"/>
      <c r="AC87" s="115"/>
      <c r="AD87" s="117"/>
    </row>
    <row r="88" spans="1:30" x14ac:dyDescent="0.25">
      <c r="A88" s="59" t="s">
        <v>140</v>
      </c>
      <c r="B88" s="51"/>
      <c r="C88" s="51"/>
      <c r="D88" s="51"/>
      <c r="E88" s="52">
        <f>Mortgage!I13-100000</f>
        <v>50000</v>
      </c>
      <c r="F88" s="52">
        <v>50000</v>
      </c>
      <c r="G88" s="52">
        <v>50000</v>
      </c>
      <c r="H88" s="52">
        <v>50000</v>
      </c>
      <c r="I88" s="52">
        <v>50000</v>
      </c>
      <c r="J88" s="52">
        <v>50000</v>
      </c>
      <c r="K88" s="52">
        <v>50000</v>
      </c>
      <c r="L88" s="52">
        <v>50000</v>
      </c>
      <c r="M88" s="52">
        <v>50000</v>
      </c>
      <c r="N88" s="52">
        <v>50000</v>
      </c>
      <c r="O88" s="53">
        <v>50000</v>
      </c>
      <c r="S88" s="406"/>
      <c r="T88" s="118"/>
      <c r="U88" s="115" t="s">
        <v>132</v>
      </c>
      <c r="V88" s="121">
        <f>1-V87</f>
        <v>0.622</v>
      </c>
      <c r="W88" s="121">
        <f>V88+V87</f>
        <v>1</v>
      </c>
      <c r="X88" s="115"/>
      <c r="Y88" s="115"/>
      <c r="Z88" s="115"/>
      <c r="AA88" s="115"/>
      <c r="AB88" s="115"/>
      <c r="AC88" s="115"/>
      <c r="AD88" s="117"/>
    </row>
    <row r="89" spans="1:30" x14ac:dyDescent="0.25">
      <c r="A89" s="59" t="s">
        <v>141</v>
      </c>
      <c r="B89" s="51"/>
      <c r="C89" s="51"/>
      <c r="D89" s="51"/>
      <c r="E89" s="52">
        <v>100000</v>
      </c>
      <c r="F89" s="52">
        <v>100000</v>
      </c>
      <c r="G89" s="52">
        <v>100000</v>
      </c>
      <c r="H89" s="52">
        <v>100000</v>
      </c>
      <c r="I89" s="52">
        <v>100000</v>
      </c>
      <c r="J89" s="52">
        <v>100000</v>
      </c>
      <c r="K89" s="52">
        <v>100000</v>
      </c>
      <c r="L89" s="52">
        <v>100000</v>
      </c>
      <c r="M89" s="52">
        <v>100000</v>
      </c>
      <c r="N89" s="52">
        <v>100000</v>
      </c>
      <c r="O89" s="53">
        <v>100000</v>
      </c>
      <c r="S89" s="406"/>
      <c r="T89" s="118"/>
      <c r="U89" s="115"/>
      <c r="V89" s="121"/>
      <c r="W89" s="121"/>
      <c r="X89" s="115"/>
      <c r="Y89" s="115"/>
      <c r="Z89" s="115"/>
      <c r="AA89" s="115"/>
      <c r="AB89" s="115"/>
      <c r="AC89" s="115"/>
      <c r="AD89" s="117"/>
    </row>
    <row r="90" spans="1:30" x14ac:dyDescent="0.25">
      <c r="A90" s="59" t="s">
        <v>142</v>
      </c>
      <c r="B90" s="51"/>
      <c r="C90" s="51"/>
      <c r="D90" s="51"/>
      <c r="E90" s="52">
        <f>D90+E75</f>
        <v>3333.3333333333335</v>
      </c>
      <c r="F90" s="52">
        <f t="shared" ref="F90:O90" si="65">E90+F75</f>
        <v>6666.666666666667</v>
      </c>
      <c r="G90" s="52">
        <f t="shared" si="65"/>
        <v>10000</v>
      </c>
      <c r="H90" s="52">
        <f t="shared" si="65"/>
        <v>13333.333333333334</v>
      </c>
      <c r="I90" s="52">
        <f t="shared" si="65"/>
        <v>16666.666666666668</v>
      </c>
      <c r="J90" s="52">
        <f t="shared" si="65"/>
        <v>20000</v>
      </c>
      <c r="K90" s="52">
        <f t="shared" si="65"/>
        <v>23333.333333333332</v>
      </c>
      <c r="L90" s="52">
        <f t="shared" si="65"/>
        <v>26666.666666666664</v>
      </c>
      <c r="M90" s="52">
        <f t="shared" si="65"/>
        <v>29999.999999999996</v>
      </c>
      <c r="N90" s="52">
        <f t="shared" si="65"/>
        <v>33333.333333333328</v>
      </c>
      <c r="O90" s="53">
        <f t="shared" si="65"/>
        <v>36666.666666666664</v>
      </c>
      <c r="S90" s="406"/>
      <c r="T90" s="118"/>
      <c r="U90" s="115"/>
      <c r="V90" s="121"/>
      <c r="W90" s="121"/>
      <c r="X90" s="115"/>
      <c r="Y90" s="115"/>
      <c r="Z90" s="115"/>
      <c r="AA90" s="115"/>
      <c r="AB90" s="115"/>
      <c r="AC90" s="115"/>
      <c r="AD90" s="117"/>
    </row>
    <row r="91" spans="1:30" x14ac:dyDescent="0.25">
      <c r="A91" s="59"/>
      <c r="B91" s="51"/>
      <c r="C91" s="51"/>
      <c r="D91" s="51"/>
      <c r="E91" s="52"/>
      <c r="F91" s="52"/>
      <c r="G91" s="52"/>
      <c r="H91" s="52"/>
      <c r="I91" s="52"/>
      <c r="J91" s="52"/>
      <c r="K91" s="52"/>
      <c r="L91" s="52"/>
      <c r="M91" s="52"/>
      <c r="N91" s="52"/>
      <c r="O91" s="53"/>
      <c r="S91" s="406"/>
      <c r="T91" s="118"/>
      <c r="U91" s="115"/>
      <c r="V91" s="121"/>
      <c r="W91" s="121"/>
      <c r="X91" s="115"/>
      <c r="Y91" s="115"/>
      <c r="Z91" s="115"/>
      <c r="AA91" s="115"/>
      <c r="AB91" s="115"/>
      <c r="AC91" s="115"/>
      <c r="AD91" s="117"/>
    </row>
    <row r="92" spans="1:30" x14ac:dyDescent="0.25">
      <c r="A92" s="62" t="s">
        <v>39</v>
      </c>
      <c r="B92" s="56"/>
      <c r="C92" s="56"/>
      <c r="D92" s="56"/>
      <c r="E92" s="57">
        <f>SUM(E83:E89)-E90</f>
        <v>256710.61187214611</v>
      </c>
      <c r="F92" s="57">
        <f t="shared" ref="F92:O92" si="66">SUM(F83:F89)-F90</f>
        <v>258773.8299275251</v>
      </c>
      <c r="G92" s="57">
        <f t="shared" si="66"/>
        <v>261318.18229127431</v>
      </c>
      <c r="H92" s="57">
        <f t="shared" si="66"/>
        <v>264388.72577835416</v>
      </c>
      <c r="I92" s="57">
        <f t="shared" si="66"/>
        <v>269270.63744048931</v>
      </c>
      <c r="J92" s="57">
        <f t="shared" si="66"/>
        <v>276452.58727482276</v>
      </c>
      <c r="K92" s="57">
        <f t="shared" si="66"/>
        <v>284516.1223632773</v>
      </c>
      <c r="L92" s="57">
        <f t="shared" si="66"/>
        <v>293538.71335878194</v>
      </c>
      <c r="M92" s="57">
        <f t="shared" si="66"/>
        <v>303604.89393516479</v>
      </c>
      <c r="N92" s="57">
        <f t="shared" si="66"/>
        <v>314806.92331681092</v>
      </c>
      <c r="O92" s="58">
        <f t="shared" si="66"/>
        <v>327245.51234291616</v>
      </c>
      <c r="S92" s="406"/>
      <c r="T92" s="118"/>
      <c r="U92" s="115"/>
      <c r="V92" s="121"/>
      <c r="W92" s="121"/>
      <c r="X92" s="115"/>
      <c r="Y92" s="115"/>
      <c r="Z92" s="115"/>
      <c r="AA92" s="115"/>
      <c r="AB92" s="115"/>
      <c r="AC92" s="115"/>
      <c r="AD92" s="117"/>
    </row>
    <row r="93" spans="1:30" x14ac:dyDescent="0.25">
      <c r="A93" s="59"/>
      <c r="B93" s="51"/>
      <c r="C93" s="51"/>
      <c r="D93" s="51"/>
      <c r="E93" s="52"/>
      <c r="F93" s="52"/>
      <c r="G93" s="52"/>
      <c r="H93" s="52"/>
      <c r="I93" s="52"/>
      <c r="J93" s="52"/>
      <c r="K93" s="52"/>
      <c r="L93" s="52"/>
      <c r="M93" s="52"/>
      <c r="N93" s="52"/>
      <c r="O93" s="53"/>
      <c r="S93" s="406"/>
      <c r="T93" s="120"/>
      <c r="U93" s="115" t="s">
        <v>96</v>
      </c>
      <c r="V93" s="122">
        <f>V86/(1+(1-V81)*(V87/V88))</f>
        <v>0.66478100810761198</v>
      </c>
      <c r="W93" s="115"/>
      <c r="X93" s="115"/>
      <c r="Y93" s="115"/>
      <c r="Z93" s="115"/>
      <c r="AA93" s="115"/>
      <c r="AB93" s="115"/>
      <c r="AC93" s="115"/>
      <c r="AD93" s="117"/>
    </row>
    <row r="94" spans="1:30" ht="18.75" x14ac:dyDescent="0.3">
      <c r="A94" s="87" t="s">
        <v>38</v>
      </c>
      <c r="B94" s="47"/>
      <c r="C94" s="47"/>
      <c r="D94" s="47"/>
      <c r="E94" s="48"/>
      <c r="F94" s="48"/>
      <c r="G94" s="48"/>
      <c r="H94" s="48"/>
      <c r="I94" s="48"/>
      <c r="J94" s="48"/>
      <c r="K94" s="48"/>
      <c r="L94" s="48"/>
      <c r="M94" s="48"/>
      <c r="N94" s="48"/>
      <c r="O94" s="49"/>
      <c r="S94" s="407"/>
      <c r="T94" s="123"/>
      <c r="U94" s="124" t="s">
        <v>97</v>
      </c>
      <c r="V94" s="125">
        <f>V93*(1+(1-V81)*(SUM(AA100:AA101)/AA103))</f>
        <v>2.2834984324227068</v>
      </c>
      <c r="W94" s="124"/>
      <c r="X94" s="124"/>
      <c r="Y94" s="124"/>
      <c r="Z94" s="124"/>
      <c r="AA94" s="124"/>
      <c r="AB94" s="124"/>
      <c r="AC94" s="124"/>
      <c r="AD94" s="126"/>
    </row>
    <row r="95" spans="1:30" x14ac:dyDescent="0.25">
      <c r="A95" s="59" t="s">
        <v>40</v>
      </c>
      <c r="B95" s="51"/>
      <c r="C95" s="51"/>
      <c r="D95" s="51"/>
      <c r="E95" s="52">
        <f>E78</f>
        <v>0</v>
      </c>
      <c r="F95" s="52">
        <f t="shared" ref="F95:O95" si="67">F78</f>
        <v>0</v>
      </c>
      <c r="G95" s="52">
        <f t="shared" si="67"/>
        <v>0</v>
      </c>
      <c r="H95" s="52">
        <f t="shared" si="67"/>
        <v>0</v>
      </c>
      <c r="I95" s="52">
        <f t="shared" si="67"/>
        <v>0</v>
      </c>
      <c r="J95" s="52">
        <f t="shared" si="67"/>
        <v>929.02825316471456</v>
      </c>
      <c r="K95" s="52">
        <f t="shared" si="67"/>
        <v>2565.1323580872922</v>
      </c>
      <c r="L95" s="52">
        <f t="shared" si="67"/>
        <v>4442.6770880063441</v>
      </c>
      <c r="M95" s="52">
        <f t="shared" si="67"/>
        <v>6586.4846100752511</v>
      </c>
      <c r="N95" s="52">
        <f t="shared" si="67"/>
        <v>9023.5911266811545</v>
      </c>
      <c r="O95" s="53">
        <f t="shared" si="67"/>
        <v>11783.429524845005</v>
      </c>
      <c r="S95" s="406"/>
      <c r="T95" s="114"/>
      <c r="U95" s="115"/>
      <c r="V95" s="115"/>
      <c r="W95" s="115"/>
      <c r="X95" s="115"/>
      <c r="Y95" s="115"/>
      <c r="Z95" s="115"/>
      <c r="AA95" s="115"/>
      <c r="AB95" s="115"/>
      <c r="AC95" s="115"/>
      <c r="AD95" s="117"/>
    </row>
    <row r="96" spans="1:30" x14ac:dyDescent="0.25">
      <c r="A96" s="59" t="s">
        <v>41</v>
      </c>
      <c r="B96" s="51"/>
      <c r="C96" s="51"/>
      <c r="D96" s="51"/>
      <c r="E96" s="296">
        <f>E57/365*E26</f>
        <v>34746.191780821915</v>
      </c>
      <c r="F96" s="296">
        <f t="shared" ref="F96:O96" si="68">F57/365*F26</f>
        <v>36803.568092054797</v>
      </c>
      <c r="G96" s="296">
        <f t="shared" si="68"/>
        <v>38986.326031966957</v>
      </c>
      <c r="H96" s="296">
        <f t="shared" si="68"/>
        <v>41302.327535364137</v>
      </c>
      <c r="I96" s="296">
        <f t="shared" si="68"/>
        <v>43759.94086944461</v>
      </c>
      <c r="J96" s="296">
        <f t="shared" si="68"/>
        <v>46368.07403119134</v>
      </c>
      <c r="K96" s="296">
        <f t="shared" si="68"/>
        <v>49136.210393083566</v>
      </c>
      <c r="L96" s="296">
        <f t="shared" si="68"/>
        <v>52074.446751054769</v>
      </c>
      <c r="M96" s="296">
        <f t="shared" si="68"/>
        <v>55193.533939305991</v>
      </c>
      <c r="N96" s="296">
        <f t="shared" si="68"/>
        <v>58504.920188013435</v>
      </c>
      <c r="O96" s="297">
        <f t="shared" si="68"/>
        <v>62020.797412202308</v>
      </c>
      <c r="S96" s="406"/>
      <c r="T96" s="114"/>
      <c r="U96" s="115" t="s">
        <v>98</v>
      </c>
      <c r="V96" s="127">
        <f>V83+V86*(V84-V83)</f>
        <v>6.9575000000000012E-2</v>
      </c>
      <c r="W96" s="115"/>
      <c r="X96" s="115"/>
      <c r="Y96" s="115"/>
      <c r="Z96" s="115"/>
      <c r="AA96" s="115"/>
      <c r="AB96" s="115"/>
      <c r="AC96" s="115"/>
      <c r="AD96" s="117"/>
    </row>
    <row r="97" spans="1:30" x14ac:dyDescent="0.25">
      <c r="A97" s="59"/>
      <c r="B97" s="51"/>
      <c r="C97" s="51"/>
      <c r="D97" s="51"/>
      <c r="E97" s="52"/>
      <c r="F97" s="52"/>
      <c r="G97" s="52"/>
      <c r="H97" s="52"/>
      <c r="I97" s="52"/>
      <c r="J97" s="52"/>
      <c r="K97" s="52"/>
      <c r="L97" s="52"/>
      <c r="M97" s="52"/>
      <c r="N97" s="52"/>
      <c r="O97" s="53"/>
      <c r="S97" s="407"/>
      <c r="T97" s="128"/>
      <c r="U97" s="124" t="s">
        <v>99</v>
      </c>
      <c r="V97" s="129">
        <f>V83+V94*(V84-V83)</f>
        <v>0.12454868337796506</v>
      </c>
      <c r="W97" s="124"/>
      <c r="X97" s="124"/>
      <c r="Y97" s="124"/>
      <c r="Z97" s="124"/>
      <c r="AA97" s="124"/>
      <c r="AB97" s="124"/>
      <c r="AC97" s="124"/>
      <c r="AD97" s="126"/>
    </row>
    <row r="98" spans="1:30" x14ac:dyDescent="0.25">
      <c r="A98" s="59" t="s">
        <v>42</v>
      </c>
      <c r="B98" s="51"/>
      <c r="C98" s="51"/>
      <c r="D98" s="51"/>
      <c r="E98" s="52">
        <f>Mortgage!F14</f>
        <v>103450.86638715412</v>
      </c>
      <c r="F98" s="52">
        <f>Mortgage!F29</f>
        <v>101822.4761586027</v>
      </c>
      <c r="G98" s="52">
        <f>Mortgage!F44</f>
        <v>100110.77439546649</v>
      </c>
      <c r="H98" s="52">
        <f>Mortgage!F59</f>
        <v>98311.498721520722</v>
      </c>
      <c r="I98" s="52">
        <f>Mortgage!F74</f>
        <v>96420.168689283484</v>
      </c>
      <c r="J98" s="52">
        <f>Mortgage!F89</f>
        <v>94432.074623076245</v>
      </c>
      <c r="K98" s="52">
        <f>Mortgage!F104</f>
        <v>92342.265891274452</v>
      </c>
      <c r="L98" s="52">
        <f>Mortgage!F119</f>
        <v>90145.538578543856</v>
      </c>
      <c r="M98" s="52">
        <f>Mortgage!F134</f>
        <v>87836.422527365299</v>
      </c>
      <c r="N98" s="52">
        <f>Mortgage!F149</f>
        <v>85409.167716579308</v>
      </c>
      <c r="O98" s="53">
        <f>Mortgage!F164</f>
        <v>82857.729943030907</v>
      </c>
      <c r="S98" s="406"/>
      <c r="T98" s="118"/>
      <c r="U98" s="115"/>
      <c r="V98" s="115"/>
      <c r="W98" s="115"/>
      <c r="X98" s="115"/>
      <c r="Y98" s="115"/>
      <c r="Z98" s="115"/>
      <c r="AA98" s="115"/>
      <c r="AB98" s="115"/>
      <c r="AC98" s="115"/>
      <c r="AD98" s="117"/>
    </row>
    <row r="99" spans="1:30" x14ac:dyDescent="0.25">
      <c r="A99" s="59" t="s">
        <v>51</v>
      </c>
      <c r="B99" s="51"/>
      <c r="C99" s="51"/>
      <c r="D99" s="51"/>
      <c r="E99" s="52">
        <v>215596.43878336268</v>
      </c>
      <c r="F99" s="52">
        <v>235692.37313599477</v>
      </c>
      <c r="G99" s="52">
        <v>251802.69213190972</v>
      </c>
      <c r="H99" s="52">
        <v>263065.61652621167</v>
      </c>
      <c r="I99" s="52">
        <v>269849.29453656275</v>
      </c>
      <c r="J99" s="52">
        <v>271646.95782323001</v>
      </c>
      <c r="K99" s="52">
        <v>266806.66862149065</v>
      </c>
      <c r="L99" s="52">
        <v>254869.92350416828</v>
      </c>
      <c r="M99" s="52">
        <v>234791.96587725286</v>
      </c>
      <c r="N99" s="52">
        <v>205421.5221403802</v>
      </c>
      <c r="O99" s="53">
        <v>165491.41912537231</v>
      </c>
      <c r="S99" s="406"/>
      <c r="T99" s="114"/>
      <c r="U99" s="375" t="s">
        <v>100</v>
      </c>
      <c r="V99" s="375" t="s">
        <v>101</v>
      </c>
      <c r="W99" s="375" t="s">
        <v>5</v>
      </c>
      <c r="X99" s="375" t="s">
        <v>102</v>
      </c>
      <c r="Y99" s="375" t="s">
        <v>103</v>
      </c>
      <c r="Z99" s="375"/>
      <c r="AA99" s="376" t="s">
        <v>104</v>
      </c>
      <c r="AB99" s="376" t="s">
        <v>105</v>
      </c>
      <c r="AC99" s="376" t="s">
        <v>102</v>
      </c>
      <c r="AD99" s="377" t="s">
        <v>103</v>
      </c>
    </row>
    <row r="100" spans="1:30" x14ac:dyDescent="0.25">
      <c r="A100" s="59"/>
      <c r="B100" s="51"/>
      <c r="C100" s="51"/>
      <c r="D100" s="51"/>
      <c r="E100" s="52"/>
      <c r="F100" s="52"/>
      <c r="G100" s="52"/>
      <c r="H100" s="52"/>
      <c r="I100" s="52"/>
      <c r="J100" s="52"/>
      <c r="K100" s="52"/>
      <c r="L100" s="52"/>
      <c r="M100" s="52"/>
      <c r="N100" s="52"/>
      <c r="O100" s="53"/>
      <c r="S100" s="406" t="s">
        <v>167</v>
      </c>
      <c r="T100" s="130"/>
      <c r="U100" s="131">
        <f>AVERAGE(E98:O98)</f>
        <v>93921.725784717957</v>
      </c>
      <c r="V100" s="127">
        <f>U100/U105</f>
        <v>0.21167090735205513</v>
      </c>
      <c r="W100" s="121">
        <f>Q71</f>
        <v>0.05</v>
      </c>
      <c r="X100" s="127">
        <f>W100*(1-V81)</f>
        <v>4.0250000000000001E-2</v>
      </c>
      <c r="Y100" s="121">
        <f>V100*X100</f>
        <v>8.5197540209202196E-3</v>
      </c>
      <c r="Z100" s="115"/>
      <c r="AA100" s="132">
        <f t="shared" ref="AA100:AB101" si="69">V100</f>
        <v>0.21167090735205513</v>
      </c>
      <c r="AB100" s="133">
        <f t="shared" si="69"/>
        <v>0.05</v>
      </c>
      <c r="AC100" s="132">
        <f>AB100*(1-$V$81)</f>
        <v>4.0250000000000001E-2</v>
      </c>
      <c r="AD100" s="134">
        <f>AA100*AC100</f>
        <v>8.5197540209202196E-3</v>
      </c>
    </row>
    <row r="101" spans="1:30" x14ac:dyDescent="0.25">
      <c r="A101" s="59" t="s">
        <v>43</v>
      </c>
      <c r="B101" s="51"/>
      <c r="C101" s="51"/>
      <c r="D101" s="51"/>
      <c r="E101" s="52">
        <f t="shared" ref="E101:O101" si="70">D101+E79</f>
        <v>-22082.885079192631</v>
      </c>
      <c r="F101" s="52">
        <f t="shared" si="70"/>
        <v>-40544.587459127135</v>
      </c>
      <c r="G101" s="52">
        <f t="shared" si="70"/>
        <v>-54581.610268068915</v>
      </c>
      <c r="H101" s="52">
        <f t="shared" si="70"/>
        <v>-63290.717004742379</v>
      </c>
      <c r="I101" s="52">
        <f t="shared" si="70"/>
        <v>-65758.766654801511</v>
      </c>
      <c r="J101" s="52">
        <f t="shared" si="70"/>
        <v>-61923.547455839485</v>
      </c>
      <c r="K101" s="52">
        <f t="shared" si="70"/>
        <v>-51334.154900658614</v>
      </c>
      <c r="L101" s="52">
        <f t="shared" si="70"/>
        <v>-32993.872562991397</v>
      </c>
      <c r="M101" s="52">
        <f t="shared" si="70"/>
        <v>-5803.5130188345902</v>
      </c>
      <c r="N101" s="52">
        <f t="shared" si="70"/>
        <v>31447.722145156844</v>
      </c>
      <c r="O101" s="53">
        <f t="shared" si="70"/>
        <v>80092.136337465708</v>
      </c>
      <c r="S101" s="406" t="s">
        <v>51</v>
      </c>
      <c r="T101" s="135"/>
      <c r="U101" s="131">
        <f>AVERAGE(E99:O99)</f>
        <v>239548.62474599414</v>
      </c>
      <c r="V101" s="127">
        <f>U101/U105</f>
        <v>0.53986949591562816</v>
      </c>
      <c r="W101" s="121">
        <f>Q72</f>
        <v>7.4999999999999997E-2</v>
      </c>
      <c r="X101" s="127">
        <f>W101*(1-V81)</f>
        <v>6.0374999999999991E-2</v>
      </c>
      <c r="Y101" s="121">
        <f>V101*X101</f>
        <v>3.2594620815906049E-2</v>
      </c>
      <c r="Z101" s="115"/>
      <c r="AA101" s="132">
        <f t="shared" si="69"/>
        <v>0.53986949591562816</v>
      </c>
      <c r="AB101" s="133">
        <f t="shared" si="69"/>
        <v>7.4999999999999997E-2</v>
      </c>
      <c r="AC101" s="132">
        <f>AB101*(1-$V$81)</f>
        <v>6.0374999999999991E-2</v>
      </c>
      <c r="AD101" s="134">
        <f>AA101*AC101</f>
        <v>3.2594620815906049E-2</v>
      </c>
    </row>
    <row r="102" spans="1:30" x14ac:dyDescent="0.25">
      <c r="A102" s="59" t="s">
        <v>149</v>
      </c>
      <c r="B102" s="51"/>
      <c r="C102" s="51"/>
      <c r="D102" s="51"/>
      <c r="E102" s="163">
        <v>75000</v>
      </c>
      <c r="F102" s="163">
        <v>75000</v>
      </c>
      <c r="G102" s="163">
        <v>75000</v>
      </c>
      <c r="H102" s="163">
        <v>75000</v>
      </c>
      <c r="I102" s="163">
        <v>75000</v>
      </c>
      <c r="J102" s="163">
        <v>75000</v>
      </c>
      <c r="K102" s="163">
        <v>75000</v>
      </c>
      <c r="L102" s="163">
        <v>75000</v>
      </c>
      <c r="M102" s="163">
        <v>75000</v>
      </c>
      <c r="N102" s="163">
        <v>75000</v>
      </c>
      <c r="O102" s="291">
        <v>75000</v>
      </c>
      <c r="S102" s="406"/>
      <c r="T102" s="114"/>
      <c r="U102" s="131"/>
      <c r="V102" s="127"/>
      <c r="W102" s="121"/>
      <c r="X102" s="127"/>
      <c r="Y102" s="115"/>
      <c r="Z102" s="115"/>
      <c r="AA102" s="132"/>
      <c r="AB102" s="124"/>
      <c r="AC102" s="124"/>
      <c r="AD102" s="126"/>
    </row>
    <row r="103" spans="1:30" x14ac:dyDescent="0.25">
      <c r="A103" s="59"/>
      <c r="B103" s="51"/>
      <c r="C103" s="51"/>
      <c r="D103" s="51"/>
      <c r="E103" s="52"/>
      <c r="F103" s="52"/>
      <c r="G103" s="52"/>
      <c r="H103" s="52"/>
      <c r="I103" s="52"/>
      <c r="J103" s="52"/>
      <c r="K103" s="52"/>
      <c r="L103" s="52"/>
      <c r="M103" s="52"/>
      <c r="N103" s="52"/>
      <c r="O103" s="53"/>
      <c r="S103" s="387" t="s">
        <v>43</v>
      </c>
      <c r="T103" s="378"/>
      <c r="U103" s="131">
        <f>AVERAGE(M101:O101)</f>
        <v>35245.448487929323</v>
      </c>
      <c r="V103" s="127">
        <f>(U103+U104)/U105</f>
        <v>0.24845959673231671</v>
      </c>
      <c r="W103" s="121">
        <f>V96</f>
        <v>6.9575000000000012E-2</v>
      </c>
      <c r="X103" s="127">
        <f>W103</f>
        <v>6.9575000000000012E-2</v>
      </c>
      <c r="Y103" s="121">
        <f>V103*X103</f>
        <v>1.7286576442650938E-2</v>
      </c>
      <c r="Z103" s="115"/>
      <c r="AA103" s="132">
        <f>V103</f>
        <v>0.24845959673231671</v>
      </c>
      <c r="AB103" s="132">
        <f>V97</f>
        <v>0.12454868337796506</v>
      </c>
      <c r="AC103" s="132">
        <f>AB103</f>
        <v>0.12454868337796506</v>
      </c>
      <c r="AD103" s="134">
        <f>AA103*AC103</f>
        <v>3.0945315645630196E-2</v>
      </c>
    </row>
    <row r="104" spans="1:30" x14ac:dyDescent="0.25">
      <c r="A104" s="62" t="s">
        <v>44</v>
      </c>
      <c r="B104" s="56"/>
      <c r="C104" s="56"/>
      <c r="D104" s="56"/>
      <c r="E104" s="57">
        <f t="shared" ref="E104:O104" si="71">SUM(E95:E101)-E102</f>
        <v>256710.61187214608</v>
      </c>
      <c r="F104" s="57">
        <f t="shared" si="71"/>
        <v>258773.82992752513</v>
      </c>
      <c r="G104" s="57">
        <f t="shared" si="71"/>
        <v>261318.18229127425</v>
      </c>
      <c r="H104" s="57">
        <f t="shared" si="71"/>
        <v>264388.72577835416</v>
      </c>
      <c r="I104" s="57">
        <f t="shared" si="71"/>
        <v>269270.63744048931</v>
      </c>
      <c r="J104" s="57">
        <f t="shared" si="71"/>
        <v>276452.58727482287</v>
      </c>
      <c r="K104" s="57">
        <f t="shared" si="71"/>
        <v>284516.12236327736</v>
      </c>
      <c r="L104" s="57">
        <f t="shared" si="71"/>
        <v>293538.71335878182</v>
      </c>
      <c r="M104" s="57">
        <f t="shared" si="71"/>
        <v>303604.89393516484</v>
      </c>
      <c r="N104" s="57">
        <f t="shared" si="71"/>
        <v>314806.92331681092</v>
      </c>
      <c r="O104" s="58">
        <f t="shared" si="71"/>
        <v>327245.51234291622</v>
      </c>
      <c r="P104" s="3"/>
      <c r="Q104" s="14"/>
      <c r="R104" s="9"/>
      <c r="S104" s="387" t="s">
        <v>200</v>
      </c>
      <c r="T104" s="378"/>
      <c r="U104" s="131">
        <f>AVERAGE(M102:O102)</f>
        <v>75000</v>
      </c>
      <c r="V104" s="127"/>
      <c r="W104" s="115"/>
      <c r="X104" s="115"/>
      <c r="Y104" s="115"/>
      <c r="Z104" s="115"/>
      <c r="AA104" s="124"/>
      <c r="AB104" s="124"/>
      <c r="AC104" s="124"/>
      <c r="AD104" s="126"/>
    </row>
    <row r="105" spans="1:30" ht="19.5" thickBot="1" x14ac:dyDescent="0.35">
      <c r="A105" s="59"/>
      <c r="B105" s="51"/>
      <c r="C105" s="51"/>
      <c r="D105" s="51"/>
      <c r="E105" s="52"/>
      <c r="F105" s="52"/>
      <c r="G105" s="52"/>
      <c r="H105" s="52"/>
      <c r="I105" s="52"/>
      <c r="J105" s="52"/>
      <c r="K105" s="52"/>
      <c r="L105" s="52"/>
      <c r="M105" s="52"/>
      <c r="N105" s="52"/>
      <c r="O105" s="53"/>
      <c r="P105" s="3"/>
      <c r="Q105" s="8"/>
      <c r="R105" s="9"/>
      <c r="S105" s="408"/>
      <c r="T105" s="136"/>
      <c r="U105" s="137">
        <f>SUM(U100:U104)</f>
        <v>443715.79901864141</v>
      </c>
      <c r="V105" s="138">
        <f>SUM(V100:V104)</f>
        <v>1</v>
      </c>
      <c r="W105" s="139"/>
      <c r="X105" s="165" t="s">
        <v>106</v>
      </c>
      <c r="Y105" s="166">
        <f>SUM(Y100:Y104)</f>
        <v>5.8400951279477212E-2</v>
      </c>
      <c r="Z105" s="139"/>
      <c r="AA105" s="164">
        <f>SUM(AA100:AA103)</f>
        <v>1</v>
      </c>
      <c r="AB105" s="140"/>
      <c r="AC105" s="167" t="s">
        <v>106</v>
      </c>
      <c r="AD105" s="168">
        <f>SUM(AD100:AD104)</f>
        <v>7.2059690482456473E-2</v>
      </c>
    </row>
    <row r="106" spans="1:30" ht="19.5" thickBot="1" x14ac:dyDescent="0.35">
      <c r="A106" s="89" t="s">
        <v>45</v>
      </c>
      <c r="B106" s="63"/>
      <c r="C106" s="63"/>
      <c r="D106" s="63"/>
      <c r="E106" s="64">
        <f t="shared" ref="E106:O106" si="72">E92-E104</f>
        <v>0</v>
      </c>
      <c r="F106" s="64">
        <f t="shared" si="72"/>
        <v>0</v>
      </c>
      <c r="G106" s="64">
        <f t="shared" si="72"/>
        <v>0</v>
      </c>
      <c r="H106" s="64">
        <f t="shared" si="72"/>
        <v>0</v>
      </c>
      <c r="I106" s="64">
        <f t="shared" si="72"/>
        <v>0</v>
      </c>
      <c r="J106" s="64">
        <f t="shared" si="72"/>
        <v>0</v>
      </c>
      <c r="K106" s="64">
        <f t="shared" si="72"/>
        <v>0</v>
      </c>
      <c r="L106" s="64">
        <f t="shared" si="72"/>
        <v>0</v>
      </c>
      <c r="M106" s="64">
        <f t="shared" si="72"/>
        <v>0</v>
      </c>
      <c r="N106" s="64">
        <f t="shared" si="72"/>
        <v>0</v>
      </c>
      <c r="O106" s="65">
        <f t="shared" si="72"/>
        <v>0</v>
      </c>
      <c r="P106" s="3"/>
      <c r="Q106" s="8"/>
      <c r="R106" s="9"/>
      <c r="S106" s="10"/>
      <c r="T106" s="11"/>
      <c r="U106" s="10"/>
      <c r="V106" s="11"/>
      <c r="W106" s="12"/>
      <c r="X106" s="13"/>
      <c r="Y106" s="11"/>
      <c r="Z106" s="11"/>
      <c r="AA106" s="11"/>
    </row>
    <row r="107" spans="1:30" ht="20.25" x14ac:dyDescent="0.3">
      <c r="A107" s="90" t="s">
        <v>107</v>
      </c>
      <c r="B107" s="24"/>
      <c r="C107" s="24"/>
      <c r="D107" s="25"/>
      <c r="E107" s="24"/>
      <c r="F107" s="24"/>
      <c r="G107" s="24"/>
      <c r="H107" s="24"/>
      <c r="I107" s="24"/>
      <c r="J107" s="35"/>
      <c r="K107" s="36"/>
      <c r="L107" s="37"/>
      <c r="M107" s="38"/>
      <c r="N107" s="38"/>
      <c r="O107" s="39"/>
      <c r="P107" s="3"/>
      <c r="Q107" s="14"/>
      <c r="R107" s="15"/>
      <c r="S107" s="10"/>
      <c r="T107" s="12"/>
      <c r="U107" s="12"/>
      <c r="V107" s="12"/>
      <c r="W107" s="12"/>
      <c r="X107" s="12"/>
      <c r="Y107" s="12"/>
      <c r="Z107" s="12"/>
      <c r="AA107" s="12"/>
    </row>
    <row r="108" spans="1:30" ht="18" x14ac:dyDescent="0.25">
      <c r="A108" s="91" t="s">
        <v>108</v>
      </c>
      <c r="B108" s="20"/>
      <c r="C108" s="20"/>
      <c r="D108" s="21"/>
      <c r="E108" s="20"/>
      <c r="F108" s="20"/>
      <c r="G108" s="20"/>
      <c r="H108" s="20"/>
      <c r="I108" s="20"/>
      <c r="J108" s="20"/>
      <c r="K108" s="19"/>
      <c r="L108" s="19"/>
      <c r="M108" s="31"/>
      <c r="N108" s="31"/>
      <c r="O108" s="40"/>
      <c r="P108" s="3"/>
      <c r="Q108" s="3"/>
      <c r="R108" s="3"/>
      <c r="S108" s="10"/>
      <c r="T108" s="12"/>
      <c r="U108" s="16"/>
      <c r="V108" s="17"/>
      <c r="W108" s="12"/>
      <c r="X108" s="10"/>
      <c r="Y108" s="12"/>
      <c r="Z108" s="16"/>
      <c r="AA108" s="17"/>
    </row>
    <row r="109" spans="1:30" x14ac:dyDescent="0.25">
      <c r="A109" s="141"/>
      <c r="B109" s="142" t="s">
        <v>81</v>
      </c>
      <c r="C109" s="142"/>
      <c r="D109" s="143"/>
      <c r="E109" s="144">
        <f t="shared" ref="E109:O109" si="73">E69</f>
        <v>2635</v>
      </c>
      <c r="F109" s="144">
        <f t="shared" si="73"/>
        <v>7684.1211599999515</v>
      </c>
      <c r="G109" s="144">
        <f t="shared" si="73"/>
        <v>13233.76312110154</v>
      </c>
      <c r="H109" s="144">
        <f t="shared" si="73"/>
        <v>19318.824612132943</v>
      </c>
      <c r="I109" s="144">
        <f t="shared" si="73"/>
        <v>25976.603191232105</v>
      </c>
      <c r="J109" s="144">
        <f t="shared" si="73"/>
        <v>33246.961005948047</v>
      </c>
      <c r="K109" s="144">
        <f t="shared" si="73"/>
        <v>41172.502111364447</v>
      </c>
      <c r="L109" s="144">
        <f t="shared" si="73"/>
        <v>49798.762159041857</v>
      </c>
      <c r="M109" s="144">
        <f t="shared" si="73"/>
        <v>59174.41132713377</v>
      </c>
      <c r="N109" s="144">
        <f t="shared" si="73"/>
        <v>69351.471423701383</v>
      </c>
      <c r="O109" s="145">
        <f t="shared" si="73"/>
        <v>80385.54816129469</v>
      </c>
      <c r="P109" s="3"/>
      <c r="Q109" s="3"/>
      <c r="R109" s="3"/>
      <c r="S109" s="3"/>
    </row>
    <row r="110" spans="1:30" x14ac:dyDescent="0.25">
      <c r="A110" s="141"/>
      <c r="B110" s="142" t="s">
        <v>109</v>
      </c>
      <c r="C110" s="142"/>
      <c r="D110" s="143"/>
      <c r="E110" s="144">
        <f t="shared" ref="E110:O110" si="74">E75</f>
        <v>3333.3333333333335</v>
      </c>
      <c r="F110" s="144">
        <f t="shared" si="74"/>
        <v>3333.3333333333335</v>
      </c>
      <c r="G110" s="144">
        <f t="shared" si="74"/>
        <v>3333.3333333333335</v>
      </c>
      <c r="H110" s="144">
        <f t="shared" si="74"/>
        <v>3333.3333333333335</v>
      </c>
      <c r="I110" s="144">
        <f t="shared" si="74"/>
        <v>3333.3333333333335</v>
      </c>
      <c r="J110" s="144">
        <f t="shared" si="74"/>
        <v>3333.3333333333335</v>
      </c>
      <c r="K110" s="144">
        <f t="shared" si="74"/>
        <v>3333.3333333333335</v>
      </c>
      <c r="L110" s="144">
        <f t="shared" si="74"/>
        <v>3333.3333333333335</v>
      </c>
      <c r="M110" s="144">
        <f t="shared" si="74"/>
        <v>3333.3333333333335</v>
      </c>
      <c r="N110" s="144">
        <f t="shared" si="74"/>
        <v>3333.3333333333335</v>
      </c>
      <c r="O110" s="145">
        <f t="shared" si="74"/>
        <v>3333.3333333333335</v>
      </c>
      <c r="P110" s="3"/>
      <c r="Q110" s="3"/>
      <c r="R110" s="3"/>
      <c r="S110" s="3"/>
    </row>
    <row r="111" spans="1:30" x14ac:dyDescent="0.25">
      <c r="A111" s="141"/>
      <c r="B111" s="142" t="s">
        <v>110</v>
      </c>
      <c r="C111" s="142"/>
      <c r="D111" s="143"/>
      <c r="E111" s="144">
        <f>E109-E110</f>
        <v>-698.33333333333348</v>
      </c>
      <c r="F111" s="144">
        <f t="shared" ref="F111:O111" si="75">F109-F110</f>
        <v>4350.7878266666175</v>
      </c>
      <c r="G111" s="144">
        <f t="shared" si="75"/>
        <v>9900.4297877682056</v>
      </c>
      <c r="H111" s="144">
        <f t="shared" si="75"/>
        <v>15985.491278799609</v>
      </c>
      <c r="I111" s="144">
        <f t="shared" si="75"/>
        <v>22643.269857898773</v>
      </c>
      <c r="J111" s="144">
        <f t="shared" si="75"/>
        <v>29913.627672614715</v>
      </c>
      <c r="K111" s="144">
        <f t="shared" si="75"/>
        <v>37839.168778031111</v>
      </c>
      <c r="L111" s="144">
        <f t="shared" si="75"/>
        <v>46465.428825708521</v>
      </c>
      <c r="M111" s="144">
        <f t="shared" si="75"/>
        <v>55841.077993800434</v>
      </c>
      <c r="N111" s="144">
        <f t="shared" si="75"/>
        <v>66018.138090368055</v>
      </c>
      <c r="O111" s="145">
        <f t="shared" si="75"/>
        <v>77052.214827961361</v>
      </c>
      <c r="P111" s="3"/>
      <c r="Q111" s="3"/>
      <c r="R111" s="3"/>
      <c r="S111" s="3"/>
    </row>
    <row r="112" spans="1:30" x14ac:dyDescent="0.25">
      <c r="A112" s="141"/>
      <c r="B112" s="142" t="s">
        <v>111</v>
      </c>
      <c r="C112" s="142"/>
      <c r="D112" s="143"/>
      <c r="E112" s="144">
        <f t="shared" ref="E112:O112" si="76">E95</f>
        <v>0</v>
      </c>
      <c r="F112" s="144">
        <f t="shared" si="76"/>
        <v>0</v>
      </c>
      <c r="G112" s="144">
        <f t="shared" si="76"/>
        <v>0</v>
      </c>
      <c r="H112" s="144">
        <f t="shared" si="76"/>
        <v>0</v>
      </c>
      <c r="I112" s="144">
        <f t="shared" si="76"/>
        <v>0</v>
      </c>
      <c r="J112" s="144">
        <f t="shared" si="76"/>
        <v>929.02825316471456</v>
      </c>
      <c r="K112" s="144">
        <f t="shared" si="76"/>
        <v>2565.1323580872922</v>
      </c>
      <c r="L112" s="144">
        <f t="shared" si="76"/>
        <v>4442.6770880063441</v>
      </c>
      <c r="M112" s="144">
        <f t="shared" si="76"/>
        <v>6586.4846100752511</v>
      </c>
      <c r="N112" s="144">
        <f t="shared" si="76"/>
        <v>9023.5911266811545</v>
      </c>
      <c r="O112" s="145">
        <f t="shared" si="76"/>
        <v>11783.429524845005</v>
      </c>
      <c r="P112" s="3"/>
      <c r="Q112" s="3"/>
      <c r="R112" s="3"/>
      <c r="S112" s="3"/>
    </row>
    <row r="113" spans="1:19" x14ac:dyDescent="0.25">
      <c r="A113" s="141"/>
      <c r="B113" s="142" t="s">
        <v>112</v>
      </c>
      <c r="C113" s="142"/>
      <c r="D113" s="143"/>
      <c r="E113" s="144">
        <f>E109-E112</f>
        <v>2635</v>
      </c>
      <c r="F113" s="144">
        <f t="shared" ref="F113:O113" si="77">F109-F112</f>
        <v>7684.1211599999515</v>
      </c>
      <c r="G113" s="144">
        <f t="shared" si="77"/>
        <v>13233.76312110154</v>
      </c>
      <c r="H113" s="144">
        <f t="shared" si="77"/>
        <v>19318.824612132943</v>
      </c>
      <c r="I113" s="144">
        <f t="shared" si="77"/>
        <v>25976.603191232105</v>
      </c>
      <c r="J113" s="144">
        <f t="shared" si="77"/>
        <v>32317.932752783334</v>
      </c>
      <c r="K113" s="144">
        <f t="shared" si="77"/>
        <v>38607.369753277155</v>
      </c>
      <c r="L113" s="144">
        <f t="shared" si="77"/>
        <v>45356.085071035515</v>
      </c>
      <c r="M113" s="144">
        <f t="shared" si="77"/>
        <v>52587.926717058523</v>
      </c>
      <c r="N113" s="144">
        <f t="shared" si="77"/>
        <v>60327.880297020231</v>
      </c>
      <c r="O113" s="145">
        <f t="shared" si="77"/>
        <v>68602.118636449683</v>
      </c>
      <c r="P113" s="3"/>
      <c r="Q113" s="3"/>
      <c r="R113" s="3"/>
      <c r="S113" s="3"/>
    </row>
    <row r="114" spans="1:19" x14ac:dyDescent="0.25">
      <c r="A114" s="141"/>
      <c r="B114" s="142"/>
      <c r="C114" s="142"/>
      <c r="D114" s="143"/>
      <c r="E114" s="142"/>
      <c r="F114" s="142"/>
      <c r="G114" s="142"/>
      <c r="H114" s="142"/>
      <c r="I114" s="142"/>
      <c r="J114" s="142"/>
      <c r="K114" s="146"/>
      <c r="L114" s="147"/>
      <c r="M114" s="148"/>
      <c r="N114" s="148"/>
      <c r="O114" s="149"/>
      <c r="P114" s="3"/>
      <c r="Q114" s="3"/>
      <c r="R114" s="3"/>
      <c r="S114" s="3"/>
    </row>
    <row r="115" spans="1:19" ht="18" x14ac:dyDescent="0.25">
      <c r="A115" s="91" t="s">
        <v>113</v>
      </c>
      <c r="B115" s="20"/>
      <c r="C115" s="20"/>
      <c r="D115" s="21"/>
      <c r="E115" s="20"/>
      <c r="F115" s="20"/>
      <c r="G115" s="20"/>
      <c r="H115" s="20"/>
      <c r="I115" s="20"/>
      <c r="J115" s="20"/>
      <c r="K115" s="19"/>
      <c r="L115" s="33"/>
      <c r="M115" s="31"/>
      <c r="N115" s="31"/>
      <c r="O115" s="40"/>
      <c r="P115" s="3"/>
      <c r="Q115" s="3"/>
      <c r="R115" s="3"/>
      <c r="S115" s="3"/>
    </row>
    <row r="116" spans="1:19" x14ac:dyDescent="0.25">
      <c r="A116" s="308"/>
      <c r="B116" s="23" t="s">
        <v>114</v>
      </c>
      <c r="C116" s="23"/>
      <c r="D116" s="151">
        <f t="shared" ref="D116:N116" si="78">-(E83-D83)</f>
        <v>-3000</v>
      </c>
      <c r="E116" s="151">
        <f t="shared" si="78"/>
        <v>0</v>
      </c>
      <c r="F116" s="151">
        <f t="shared" si="78"/>
        <v>0</v>
      </c>
      <c r="G116" s="151">
        <f t="shared" si="78"/>
        <v>0</v>
      </c>
      <c r="H116" s="151">
        <f t="shared" si="78"/>
        <v>0</v>
      </c>
      <c r="I116" s="151">
        <f t="shared" si="78"/>
        <v>0</v>
      </c>
      <c r="J116" s="151">
        <f t="shared" si="78"/>
        <v>0</v>
      </c>
      <c r="K116" s="151">
        <f t="shared" si="78"/>
        <v>0</v>
      </c>
      <c r="L116" s="151">
        <f t="shared" si="78"/>
        <v>0</v>
      </c>
      <c r="M116" s="151">
        <f t="shared" si="78"/>
        <v>0</v>
      </c>
      <c r="N116" s="151">
        <f t="shared" si="78"/>
        <v>0</v>
      </c>
      <c r="O116" s="152">
        <f>-(S85-O83)</f>
        <v>3000</v>
      </c>
      <c r="P116" s="3"/>
      <c r="Q116" s="3"/>
      <c r="R116" s="3"/>
      <c r="S116" s="3"/>
    </row>
    <row r="117" spans="1:19" x14ac:dyDescent="0.25">
      <c r="A117" s="308"/>
      <c r="B117" s="23" t="s">
        <v>36</v>
      </c>
      <c r="C117" s="23"/>
      <c r="D117" s="151">
        <f t="shared" ref="D117:N117" si="79">-(E85-D85)</f>
        <v>-54924.657534246573</v>
      </c>
      <c r="E117" s="151">
        <f t="shared" si="79"/>
        <v>-5070.7545287671237</v>
      </c>
      <c r="F117" s="151">
        <f t="shared" si="79"/>
        <v>-5545.0313624853661</v>
      </c>
      <c r="G117" s="151">
        <f t="shared" si="79"/>
        <v>-6064.2410802391823</v>
      </c>
      <c r="H117" s="151">
        <f t="shared" si="79"/>
        <v>-6632.6935146119649</v>
      </c>
      <c r="I117" s="151">
        <f t="shared" si="79"/>
        <v>-7255.1167154833383</v>
      </c>
      <c r="J117" s="151">
        <f t="shared" si="79"/>
        <v>-7936.6979694225738</v>
      </c>
      <c r="K117" s="151">
        <f t="shared" si="79"/>
        <v>-8683.128881374083</v>
      </c>
      <c r="L117" s="151">
        <f t="shared" si="79"/>
        <v>-9500.6549244021153</v>
      </c>
      <c r="M117" s="151">
        <f t="shared" si="79"/>
        <v>-10396.129904095142</v>
      </c>
      <c r="N117" s="151">
        <f t="shared" si="79"/>
        <v>-11377.075829202513</v>
      </c>
      <c r="O117" s="152">
        <f>-(S87-O85)</f>
        <v>133386.18224432998</v>
      </c>
      <c r="P117" s="3"/>
      <c r="Q117" s="3"/>
      <c r="R117" s="3"/>
      <c r="S117" s="3"/>
    </row>
    <row r="118" spans="1:19" x14ac:dyDescent="0.25">
      <c r="A118" s="308"/>
      <c r="B118" s="23" t="s">
        <v>37</v>
      </c>
      <c r="C118" s="23"/>
      <c r="D118" s="151">
        <f t="shared" ref="D118:N118" si="80">-(E86-D86)</f>
        <v>-52119.28767123288</v>
      </c>
      <c r="E118" s="151">
        <f t="shared" si="80"/>
        <v>-325.79685994520696</v>
      </c>
      <c r="F118" s="151">
        <f t="shared" si="80"/>
        <v>-332.65433459718042</v>
      </c>
      <c r="G118" s="151">
        <f t="shared" si="80"/>
        <v>-339.63574017397332</v>
      </c>
      <c r="H118" s="151">
        <f t="shared" si="80"/>
        <v>-1582.5514808565204</v>
      </c>
      <c r="I118" s="151">
        <f t="shared" si="80"/>
        <v>-3260.16645218341</v>
      </c>
      <c r="J118" s="151">
        <f t="shared" si="80"/>
        <v>-3460.1704523652879</v>
      </c>
      <c r="K118" s="151">
        <f t="shared" si="80"/>
        <v>-3672.7954474639992</v>
      </c>
      <c r="L118" s="151">
        <f t="shared" si="80"/>
        <v>-3898.858985314022</v>
      </c>
      <c r="M118" s="151">
        <f t="shared" si="80"/>
        <v>-4139.2328108843212</v>
      </c>
      <c r="N118" s="151">
        <f t="shared" si="80"/>
        <v>-4394.8465302360855</v>
      </c>
      <c r="O118" s="152">
        <f>-(S88-O86)</f>
        <v>77525.996765252887</v>
      </c>
      <c r="P118" s="3"/>
      <c r="Q118" s="3"/>
      <c r="R118" s="3"/>
      <c r="S118" s="3"/>
    </row>
    <row r="119" spans="1:19" ht="16.5" thickBot="1" x14ac:dyDescent="0.3">
      <c r="A119" s="308"/>
      <c r="B119" s="23"/>
      <c r="C119" s="23"/>
      <c r="D119" s="151"/>
      <c r="E119" s="151"/>
      <c r="F119" s="151"/>
      <c r="G119" s="151"/>
      <c r="H119" s="151"/>
      <c r="I119" s="151"/>
      <c r="J119" s="151"/>
      <c r="K119" s="151"/>
      <c r="L119" s="151"/>
      <c r="M119" s="151"/>
      <c r="N119" s="151"/>
      <c r="O119" s="152"/>
      <c r="P119" s="3"/>
      <c r="Q119" s="3"/>
      <c r="R119" s="3"/>
      <c r="S119" s="3"/>
    </row>
    <row r="120" spans="1:19" x14ac:dyDescent="0.25">
      <c r="A120" s="308"/>
      <c r="B120" s="23" t="s">
        <v>140</v>
      </c>
      <c r="C120" s="23"/>
      <c r="D120" s="151">
        <f t="shared" ref="D120:N120" si="81">-(E88-D88)</f>
        <v>-50000</v>
      </c>
      <c r="E120" s="151">
        <f t="shared" si="81"/>
        <v>0</v>
      </c>
      <c r="F120" s="151">
        <f t="shared" si="81"/>
        <v>0</v>
      </c>
      <c r="G120" s="151">
        <f t="shared" si="81"/>
        <v>0</v>
      </c>
      <c r="H120" s="151">
        <f t="shared" si="81"/>
        <v>0</v>
      </c>
      <c r="I120" s="151">
        <f t="shared" si="81"/>
        <v>0</v>
      </c>
      <c r="J120" s="151">
        <f t="shared" si="81"/>
        <v>0</v>
      </c>
      <c r="K120" s="151">
        <f t="shared" si="81"/>
        <v>0</v>
      </c>
      <c r="L120" s="151">
        <f t="shared" si="81"/>
        <v>0</v>
      </c>
      <c r="M120" s="151">
        <f t="shared" si="81"/>
        <v>0</v>
      </c>
      <c r="N120" s="151">
        <f t="shared" si="81"/>
        <v>0</v>
      </c>
      <c r="O120" s="152">
        <f>-(S90-O88)</f>
        <v>50000</v>
      </c>
      <c r="P120" s="3"/>
      <c r="Q120" s="300" t="s">
        <v>153</v>
      </c>
      <c r="R120" s="301">
        <f>O120</f>
        <v>50000</v>
      </c>
      <c r="S120" s="3"/>
    </row>
    <row r="121" spans="1:19" x14ac:dyDescent="0.25">
      <c r="A121" s="308"/>
      <c r="B121" s="23" t="s">
        <v>146</v>
      </c>
      <c r="C121" s="23"/>
      <c r="D121" s="151"/>
      <c r="E121" s="151"/>
      <c r="F121" s="151"/>
      <c r="G121" s="151"/>
      <c r="H121" s="151"/>
      <c r="I121" s="151"/>
      <c r="J121" s="151"/>
      <c r="K121" s="151"/>
      <c r="L121" s="151"/>
      <c r="M121" s="151"/>
      <c r="N121" s="151"/>
      <c r="O121" s="152">
        <f>O120*0.07</f>
        <v>3500.0000000000005</v>
      </c>
      <c r="P121" s="3"/>
      <c r="Q121" s="302" t="s">
        <v>154</v>
      </c>
      <c r="R121" s="303">
        <f>O120+O121-R120</f>
        <v>3500</v>
      </c>
      <c r="S121" s="3"/>
    </row>
    <row r="122" spans="1:19" x14ac:dyDescent="0.25">
      <c r="A122" s="308"/>
      <c r="B122" s="23" t="s">
        <v>147</v>
      </c>
      <c r="C122" s="23"/>
      <c r="D122" s="151"/>
      <c r="E122" s="151"/>
      <c r="F122" s="151"/>
      <c r="G122" s="151"/>
      <c r="H122" s="151"/>
      <c r="I122" s="151"/>
      <c r="J122" s="151"/>
      <c r="K122" s="151"/>
      <c r="L122" s="151"/>
      <c r="M122" s="151"/>
      <c r="N122" s="151"/>
      <c r="O122" s="152">
        <f>-R121*V81</f>
        <v>-682.5</v>
      </c>
      <c r="P122" s="3"/>
      <c r="Q122" s="302"/>
      <c r="R122" s="303"/>
      <c r="S122" s="3"/>
    </row>
    <row r="123" spans="1:19" x14ac:dyDescent="0.25">
      <c r="A123" s="308"/>
      <c r="B123" s="23"/>
      <c r="C123" s="23"/>
      <c r="D123" s="151"/>
      <c r="E123" s="151"/>
      <c r="F123" s="151"/>
      <c r="G123" s="151"/>
      <c r="H123" s="151"/>
      <c r="I123" s="151"/>
      <c r="J123" s="151"/>
      <c r="K123" s="151"/>
      <c r="L123" s="151"/>
      <c r="M123" s="151"/>
      <c r="N123" s="151"/>
      <c r="O123" s="152"/>
      <c r="P123" s="3"/>
      <c r="Q123" s="302"/>
      <c r="R123" s="303"/>
      <c r="S123" s="3"/>
    </row>
    <row r="124" spans="1:19" x14ac:dyDescent="0.25">
      <c r="A124" s="308"/>
      <c r="B124" s="23" t="s">
        <v>148</v>
      </c>
      <c r="C124" s="23"/>
      <c r="D124" s="151">
        <f t="shared" ref="D124:N124" si="82">-(E89-D89)</f>
        <v>-100000</v>
      </c>
      <c r="E124" s="151">
        <f t="shared" si="82"/>
        <v>0</v>
      </c>
      <c r="F124" s="151">
        <f t="shared" si="82"/>
        <v>0</v>
      </c>
      <c r="G124" s="151">
        <f t="shared" si="82"/>
        <v>0</v>
      </c>
      <c r="H124" s="151">
        <f t="shared" si="82"/>
        <v>0</v>
      </c>
      <c r="I124" s="151">
        <f t="shared" si="82"/>
        <v>0</v>
      </c>
      <c r="J124" s="151">
        <f t="shared" si="82"/>
        <v>0</v>
      </c>
      <c r="K124" s="151">
        <f t="shared" si="82"/>
        <v>0</v>
      </c>
      <c r="L124" s="151">
        <f t="shared" si="82"/>
        <v>0</v>
      </c>
      <c r="M124" s="151">
        <f t="shared" si="82"/>
        <v>0</v>
      </c>
      <c r="N124" s="151">
        <f t="shared" si="82"/>
        <v>0</v>
      </c>
      <c r="O124" s="152">
        <f>-(S91-O89)</f>
        <v>100000</v>
      </c>
      <c r="P124" s="3"/>
      <c r="Q124" s="302" t="s">
        <v>153</v>
      </c>
      <c r="R124" s="303">
        <f>O124-O90</f>
        <v>63333.333333333336</v>
      </c>
      <c r="S124" s="3"/>
    </row>
    <row r="125" spans="1:19" ht="16.5" thickBot="1" x14ac:dyDescent="0.3">
      <c r="A125" s="308"/>
      <c r="B125" s="23" t="s">
        <v>146</v>
      </c>
      <c r="C125" s="23"/>
      <c r="D125" s="151"/>
      <c r="E125" s="151"/>
      <c r="F125" s="151"/>
      <c r="G125" s="151"/>
      <c r="H125" s="151"/>
      <c r="I125" s="151"/>
      <c r="J125" s="151"/>
      <c r="K125" s="151"/>
      <c r="L125" s="151"/>
      <c r="M125" s="151"/>
      <c r="N125" s="151"/>
      <c r="O125" s="152">
        <f>O124*0.07</f>
        <v>7000.0000000000009</v>
      </c>
      <c r="P125" s="3"/>
      <c r="Q125" s="304" t="s">
        <v>154</v>
      </c>
      <c r="R125" s="305">
        <f>O124+O125-R124</f>
        <v>43666.666666666664</v>
      </c>
      <c r="S125" s="3"/>
    </row>
    <row r="126" spans="1:19" x14ac:dyDescent="0.25">
      <c r="A126" s="308"/>
      <c r="B126" s="23" t="s">
        <v>147</v>
      </c>
      <c r="C126" s="23"/>
      <c r="D126" s="151"/>
      <c r="E126" s="151"/>
      <c r="F126" s="151"/>
      <c r="G126" s="151"/>
      <c r="H126" s="151"/>
      <c r="I126" s="151"/>
      <c r="J126" s="151"/>
      <c r="K126" s="151"/>
      <c r="L126" s="151"/>
      <c r="M126" s="151"/>
      <c r="N126" s="151"/>
      <c r="O126" s="152">
        <f>-R125*V81</f>
        <v>-8515</v>
      </c>
      <c r="P126" s="3"/>
      <c r="Q126" s="3"/>
      <c r="R126" s="3"/>
      <c r="S126" s="3"/>
    </row>
    <row r="127" spans="1:19" x14ac:dyDescent="0.25">
      <c r="A127" s="308"/>
      <c r="B127" s="23"/>
      <c r="C127" s="23"/>
      <c r="D127" s="150"/>
      <c r="E127" s="150"/>
      <c r="F127" s="151"/>
      <c r="G127" s="151"/>
      <c r="H127" s="151"/>
      <c r="I127" s="151"/>
      <c r="J127" s="150"/>
      <c r="K127" s="150"/>
      <c r="L127" s="150"/>
      <c r="M127" s="32"/>
      <c r="N127" s="32"/>
      <c r="O127" s="41"/>
      <c r="P127" s="3"/>
      <c r="Q127" s="3"/>
      <c r="R127" s="3"/>
      <c r="S127" s="3"/>
    </row>
    <row r="128" spans="1:19" x14ac:dyDescent="0.25">
      <c r="A128" s="308"/>
      <c r="B128" s="23" t="s">
        <v>41</v>
      </c>
      <c r="C128" s="23"/>
      <c r="D128" s="151">
        <f t="shared" ref="D128:N128" si="83">(E96-D96)</f>
        <v>34746.191780821915</v>
      </c>
      <c r="E128" s="151">
        <f t="shared" si="83"/>
        <v>2057.3763112328816</v>
      </c>
      <c r="F128" s="151">
        <f t="shared" si="83"/>
        <v>2182.7579399121605</v>
      </c>
      <c r="G128" s="151">
        <f t="shared" si="83"/>
        <v>2316.0015033971795</v>
      </c>
      <c r="H128" s="151">
        <f t="shared" si="83"/>
        <v>2457.6133340804736</v>
      </c>
      <c r="I128" s="151">
        <f t="shared" si="83"/>
        <v>2608.1331617467295</v>
      </c>
      <c r="J128" s="151">
        <f t="shared" si="83"/>
        <v>2768.136361892226</v>
      </c>
      <c r="K128" s="151">
        <f t="shared" si="83"/>
        <v>2938.2363579712037</v>
      </c>
      <c r="L128" s="151">
        <f t="shared" si="83"/>
        <v>3119.087188251222</v>
      </c>
      <c r="M128" s="151">
        <f t="shared" si="83"/>
        <v>3311.3862487074439</v>
      </c>
      <c r="N128" s="151">
        <f t="shared" si="83"/>
        <v>3515.8772241888728</v>
      </c>
      <c r="O128" s="152">
        <f>(S98-O96)</f>
        <v>-62020.797412202308</v>
      </c>
      <c r="P128" s="3"/>
      <c r="Q128" s="3"/>
      <c r="R128" s="3"/>
      <c r="S128" s="3"/>
    </row>
    <row r="129" spans="1:19" x14ac:dyDescent="0.25">
      <c r="A129" s="308"/>
      <c r="B129" s="23" t="s">
        <v>115</v>
      </c>
      <c r="C129" s="23"/>
      <c r="D129" s="151">
        <f t="shared" ref="D129:O129" si="84">(E112-D112)</f>
        <v>0</v>
      </c>
      <c r="E129" s="151">
        <f t="shared" si="84"/>
        <v>0</v>
      </c>
      <c r="F129" s="151">
        <f t="shared" si="84"/>
        <v>0</v>
      </c>
      <c r="G129" s="151">
        <f t="shared" si="84"/>
        <v>0</v>
      </c>
      <c r="H129" s="151">
        <f t="shared" si="84"/>
        <v>0</v>
      </c>
      <c r="I129" s="151">
        <f t="shared" si="84"/>
        <v>929.02825316471456</v>
      </c>
      <c r="J129" s="151">
        <f t="shared" si="84"/>
        <v>1636.1041049225778</v>
      </c>
      <c r="K129" s="151">
        <f t="shared" si="84"/>
        <v>1877.5447299190519</v>
      </c>
      <c r="L129" s="151">
        <f t="shared" si="84"/>
        <v>2143.807522068907</v>
      </c>
      <c r="M129" s="151">
        <f t="shared" si="84"/>
        <v>2437.1065166059034</v>
      </c>
      <c r="N129" s="151">
        <f t="shared" si="84"/>
        <v>2759.8383981638508</v>
      </c>
      <c r="O129" s="152">
        <f t="shared" si="84"/>
        <v>-11783.429524845005</v>
      </c>
      <c r="P129" s="3"/>
      <c r="Q129" s="3"/>
      <c r="R129" s="3"/>
      <c r="S129" s="3"/>
    </row>
    <row r="130" spans="1:19" x14ac:dyDescent="0.25">
      <c r="A130" s="308"/>
      <c r="B130" s="23"/>
      <c r="C130" s="23"/>
      <c r="D130" s="151"/>
      <c r="E130" s="151"/>
      <c r="F130" s="151"/>
      <c r="G130" s="151"/>
      <c r="H130" s="151"/>
      <c r="I130" s="151"/>
      <c r="J130" s="151"/>
      <c r="K130" s="151"/>
      <c r="L130" s="151"/>
      <c r="M130" s="151"/>
      <c r="N130" s="151"/>
      <c r="O130" s="152"/>
      <c r="P130" s="3"/>
      <c r="Q130" s="3"/>
      <c r="R130" s="3"/>
      <c r="S130" s="3"/>
    </row>
    <row r="131" spans="1:19" x14ac:dyDescent="0.25">
      <c r="A131" s="308"/>
      <c r="B131" s="23" t="s">
        <v>204</v>
      </c>
      <c r="C131" s="23"/>
      <c r="D131" s="151">
        <v>-75000</v>
      </c>
      <c r="E131" s="151"/>
      <c r="F131" s="151"/>
      <c r="G131" s="151"/>
      <c r="H131" s="151"/>
      <c r="I131" s="151"/>
      <c r="J131" s="151"/>
      <c r="K131" s="151"/>
      <c r="L131" s="151"/>
      <c r="M131" s="151"/>
      <c r="N131" s="151"/>
      <c r="O131" s="152"/>
      <c r="P131" s="3"/>
      <c r="Q131" s="3"/>
      <c r="R131" s="3"/>
      <c r="S131" s="3"/>
    </row>
    <row r="132" spans="1:19" x14ac:dyDescent="0.25">
      <c r="A132" s="308"/>
      <c r="B132" s="23"/>
      <c r="C132" s="23"/>
      <c r="D132" s="150"/>
      <c r="E132" s="150"/>
      <c r="F132" s="151"/>
      <c r="G132" s="151"/>
      <c r="H132" s="151"/>
      <c r="I132" s="151"/>
      <c r="J132" s="150"/>
      <c r="K132" s="150"/>
      <c r="L132" s="150"/>
      <c r="M132" s="32"/>
      <c r="N132" s="32"/>
      <c r="O132" s="41"/>
      <c r="P132" s="3"/>
      <c r="Q132" s="3"/>
      <c r="R132" s="3"/>
      <c r="S132" s="3"/>
    </row>
    <row r="133" spans="1:19" ht="18.75" x14ac:dyDescent="0.3">
      <c r="A133" s="26" t="s">
        <v>116</v>
      </c>
      <c r="B133" s="20"/>
      <c r="C133" s="20"/>
      <c r="D133" s="153">
        <f>SUM(D113:D132)</f>
        <v>-300297.75342465751</v>
      </c>
      <c r="E133" s="153">
        <f t="shared" ref="E133:O133" si="85">SUM(E113:E132)</f>
        <v>-704.1750774794491</v>
      </c>
      <c r="F133" s="153">
        <f t="shared" si="85"/>
        <v>3989.1934028295655</v>
      </c>
      <c r="G133" s="153">
        <f t="shared" si="85"/>
        <v>9145.8878040855634</v>
      </c>
      <c r="H133" s="153">
        <f t="shared" si="85"/>
        <v>13561.192950744931</v>
      </c>
      <c r="I133" s="153">
        <f t="shared" si="85"/>
        <v>18998.4814384768</v>
      </c>
      <c r="J133" s="153">
        <f t="shared" si="85"/>
        <v>25325.304797810277</v>
      </c>
      <c r="K133" s="153">
        <f t="shared" si="85"/>
        <v>31067.226512329329</v>
      </c>
      <c r="L133" s="153">
        <f t="shared" si="85"/>
        <v>37219.465871639506</v>
      </c>
      <c r="M133" s="153">
        <f t="shared" si="85"/>
        <v>43801.056767392409</v>
      </c>
      <c r="N133" s="153">
        <f t="shared" si="85"/>
        <v>50831.673559934352</v>
      </c>
      <c r="O133" s="153">
        <f t="shared" si="85"/>
        <v>360012.57070898527</v>
      </c>
      <c r="P133" s="3"/>
      <c r="Q133" s="3"/>
      <c r="R133" s="3"/>
      <c r="S133" s="3"/>
    </row>
    <row r="134" spans="1:19" ht="18" x14ac:dyDescent="0.25">
      <c r="A134" s="27" t="s">
        <v>117</v>
      </c>
      <c r="B134" s="28"/>
      <c r="C134" s="28"/>
      <c r="D134" s="29">
        <f>IRR(D133:O133)</f>
        <v>7.471048905912836E-2</v>
      </c>
      <c r="E134" s="22"/>
      <c r="F134" s="22"/>
      <c r="G134" s="22"/>
      <c r="H134" s="22"/>
      <c r="I134" s="22"/>
      <c r="J134" s="22"/>
      <c r="K134" s="22"/>
      <c r="L134" s="22"/>
      <c r="M134" s="32"/>
      <c r="N134" s="32"/>
      <c r="O134" s="41"/>
      <c r="P134" s="3"/>
      <c r="Q134" s="3"/>
      <c r="R134" s="3"/>
      <c r="S134" s="3"/>
    </row>
    <row r="135" spans="1:19" ht="18" x14ac:dyDescent="0.25">
      <c r="A135" s="27"/>
      <c r="B135" s="28"/>
      <c r="C135" s="28"/>
      <c r="D135" s="30"/>
      <c r="E135" s="22"/>
      <c r="F135" s="22"/>
      <c r="G135" s="22"/>
      <c r="H135" s="22"/>
      <c r="I135" s="22"/>
      <c r="J135" s="22"/>
      <c r="K135" s="22"/>
      <c r="L135" s="22"/>
      <c r="M135" s="32"/>
      <c r="N135" s="32"/>
      <c r="O135" s="41"/>
      <c r="P135" s="3"/>
      <c r="Q135" s="3"/>
      <c r="R135" s="3"/>
      <c r="S135" s="3"/>
    </row>
    <row r="136" spans="1:19" ht="18" x14ac:dyDescent="0.25">
      <c r="A136" s="27" t="s">
        <v>118</v>
      </c>
      <c r="B136" s="28"/>
      <c r="C136" s="28"/>
      <c r="D136" s="29">
        <f>AD105</f>
        <v>7.2059690482456473E-2</v>
      </c>
      <c r="E136" s="22"/>
      <c r="F136" s="22"/>
      <c r="G136" s="22"/>
      <c r="H136" s="22"/>
      <c r="I136" s="22"/>
      <c r="J136" s="22"/>
      <c r="K136" s="22"/>
      <c r="L136" s="22"/>
      <c r="M136" s="32"/>
      <c r="N136" s="32"/>
      <c r="O136" s="41"/>
      <c r="P136" s="3"/>
      <c r="Q136" s="3"/>
      <c r="R136" s="3"/>
      <c r="S136" s="3"/>
    </row>
    <row r="137" spans="1:19" ht="18.75" x14ac:dyDescent="0.3">
      <c r="A137" s="27" t="s">
        <v>119</v>
      </c>
      <c r="B137" s="28"/>
      <c r="C137" s="28"/>
      <c r="D137" s="155">
        <f>NPV(D136,E133:O133)</f>
        <v>307244.2546052644</v>
      </c>
      <c r="E137" s="22"/>
      <c r="F137" s="22"/>
      <c r="G137" s="22"/>
      <c r="H137" s="22"/>
      <c r="I137" s="22"/>
      <c r="J137" s="22"/>
      <c r="K137" s="22"/>
      <c r="L137" s="22"/>
      <c r="M137" s="32"/>
      <c r="N137" s="32"/>
      <c r="O137" s="41"/>
      <c r="P137" s="3"/>
      <c r="Q137" s="3"/>
      <c r="R137" s="3"/>
      <c r="S137" s="3"/>
    </row>
    <row r="138" spans="1:19" ht="18.75" x14ac:dyDescent="0.3">
      <c r="A138" s="42" t="s">
        <v>128</v>
      </c>
      <c r="B138" s="34"/>
      <c r="C138" s="34"/>
      <c r="D138" s="156">
        <v>230000</v>
      </c>
      <c r="E138" s="32"/>
      <c r="F138" s="32"/>
      <c r="G138" s="32"/>
      <c r="H138" s="32"/>
      <c r="I138" s="32"/>
      <c r="J138" s="32"/>
      <c r="K138" s="32"/>
      <c r="L138" s="32"/>
      <c r="M138" s="32"/>
      <c r="N138" s="32"/>
      <c r="O138" s="41"/>
      <c r="P138" s="3"/>
      <c r="Q138" s="3"/>
      <c r="R138" s="3"/>
      <c r="S138" s="3"/>
    </row>
    <row r="139" spans="1:19" ht="19.5" thickBot="1" x14ac:dyDescent="0.35">
      <c r="A139" s="43" t="s">
        <v>129</v>
      </c>
      <c r="B139" s="44"/>
      <c r="C139" s="44"/>
      <c r="D139" s="157">
        <v>230000</v>
      </c>
      <c r="E139" s="45"/>
      <c r="F139" s="45"/>
      <c r="G139" s="45"/>
      <c r="H139" s="45"/>
      <c r="I139" s="45"/>
      <c r="J139" s="45"/>
      <c r="K139" s="45"/>
      <c r="L139" s="45"/>
      <c r="M139" s="45"/>
      <c r="N139" s="45"/>
      <c r="O139" s="46"/>
      <c r="P139" s="3"/>
      <c r="Q139" s="3"/>
      <c r="R139" s="3"/>
      <c r="S139" s="3"/>
    </row>
    <row r="140" spans="1:19" x14ac:dyDescent="0.25">
      <c r="E140" s="3"/>
      <c r="F140" s="3"/>
      <c r="G140" s="3"/>
      <c r="H140" s="3"/>
      <c r="I140" s="3"/>
      <c r="J140" s="3"/>
      <c r="K140" s="3"/>
      <c r="L140" s="3"/>
      <c r="M140" s="3"/>
      <c r="N140" s="3"/>
      <c r="O140" s="3"/>
      <c r="P140" s="3"/>
      <c r="Q140" s="3"/>
      <c r="R140" s="3"/>
      <c r="S140" s="3"/>
    </row>
    <row r="141" spans="1:19" x14ac:dyDescent="0.25">
      <c r="E141" s="3"/>
      <c r="F141" s="3"/>
      <c r="G141" s="3"/>
      <c r="H141" s="3"/>
      <c r="I141" s="3"/>
      <c r="J141" s="3"/>
      <c r="K141" s="3"/>
      <c r="L141" s="3"/>
      <c r="M141" s="3"/>
      <c r="N141" s="3"/>
      <c r="O141" s="3"/>
      <c r="P141" s="3"/>
      <c r="Q141" s="3"/>
      <c r="R141" s="3"/>
      <c r="S141" s="3"/>
    </row>
    <row r="142" spans="1:19" x14ac:dyDescent="0.25">
      <c r="E142" s="3"/>
      <c r="F142" s="3"/>
      <c r="G142" s="3"/>
      <c r="H142" s="3"/>
      <c r="I142" s="3"/>
      <c r="J142" s="3"/>
      <c r="K142" s="3"/>
      <c r="L142" s="3"/>
      <c r="M142" s="3"/>
      <c r="N142" s="3"/>
      <c r="O142" s="3"/>
      <c r="P142" s="3"/>
      <c r="Q142" s="3"/>
      <c r="R142" s="3"/>
      <c r="S142" s="3"/>
    </row>
    <row r="143" spans="1:19" x14ac:dyDescent="0.25">
      <c r="E143" s="3"/>
      <c r="F143" s="3"/>
      <c r="G143" s="3"/>
      <c r="H143" s="3"/>
      <c r="I143" s="3"/>
      <c r="J143" s="3"/>
      <c r="K143" s="3"/>
      <c r="L143" s="3"/>
      <c r="M143" s="3"/>
      <c r="N143" s="3"/>
      <c r="O143" s="3"/>
      <c r="P143" s="3"/>
      <c r="Q143" s="3"/>
      <c r="R143" s="3"/>
      <c r="S143" s="3"/>
    </row>
    <row r="144" spans="1:19" x14ac:dyDescent="0.25">
      <c r="E144" s="3"/>
      <c r="F144" s="3"/>
      <c r="G144" s="3"/>
      <c r="H144" s="3"/>
      <c r="I144" s="3"/>
      <c r="J144" s="3"/>
      <c r="K144" s="3"/>
      <c r="L144" s="3"/>
      <c r="M144" s="3"/>
      <c r="N144" s="3"/>
      <c r="O144" s="3"/>
      <c r="P144" s="3"/>
      <c r="Q144" s="3"/>
      <c r="R144" s="3"/>
      <c r="S144" s="3"/>
    </row>
    <row r="145" spans="5:19" x14ac:dyDescent="0.25">
      <c r="E145" s="3"/>
      <c r="F145" s="3"/>
      <c r="G145" s="3"/>
      <c r="H145" s="3"/>
      <c r="I145" s="3"/>
      <c r="J145" s="3"/>
      <c r="K145" s="3"/>
      <c r="L145" s="3"/>
      <c r="M145" s="3"/>
      <c r="N145" s="3"/>
      <c r="O145" s="3"/>
      <c r="P145" s="3"/>
      <c r="Q145" s="3"/>
      <c r="R145" s="3"/>
      <c r="S145" s="3"/>
    </row>
    <row r="146" spans="5:19" x14ac:dyDescent="0.25">
      <c r="E146" s="3"/>
      <c r="F146" s="3"/>
      <c r="G146" s="3"/>
      <c r="H146" s="3"/>
      <c r="I146" s="3"/>
      <c r="J146" s="3"/>
      <c r="K146" s="3"/>
      <c r="L146" s="3"/>
      <c r="M146" s="3"/>
      <c r="N146" s="3"/>
      <c r="O146" s="3"/>
      <c r="P146" s="3"/>
      <c r="Q146" s="3"/>
      <c r="R146" s="3"/>
      <c r="S146" s="3"/>
    </row>
    <row r="147" spans="5:19" x14ac:dyDescent="0.25">
      <c r="E147" s="3"/>
      <c r="F147" s="3"/>
      <c r="G147" s="3"/>
      <c r="H147" s="3"/>
      <c r="I147" s="3"/>
      <c r="J147" s="3"/>
      <c r="K147" s="3"/>
      <c r="L147" s="3"/>
      <c r="M147" s="3"/>
      <c r="N147" s="3"/>
      <c r="O147" s="3"/>
      <c r="P147" s="3"/>
      <c r="Q147" s="3"/>
      <c r="R147" s="3"/>
      <c r="S147" s="3"/>
    </row>
    <row r="148" spans="5:19" x14ac:dyDescent="0.25">
      <c r="E148" s="3"/>
      <c r="F148" s="3"/>
      <c r="G148" s="3"/>
      <c r="H148" s="3"/>
      <c r="I148" s="3"/>
      <c r="J148" s="3"/>
      <c r="K148" s="3"/>
      <c r="L148" s="3"/>
      <c r="M148" s="3"/>
      <c r="N148" s="3"/>
      <c r="O148" s="3"/>
      <c r="P148" s="3"/>
      <c r="Q148" s="3"/>
      <c r="R148" s="3"/>
      <c r="S148" s="3"/>
    </row>
    <row r="149" spans="5:19" x14ac:dyDescent="0.25">
      <c r="E149" s="3"/>
      <c r="F149" s="3"/>
      <c r="G149" s="3"/>
      <c r="H149" s="3"/>
      <c r="I149" s="3"/>
      <c r="J149" s="3"/>
      <c r="K149" s="3"/>
      <c r="L149" s="3"/>
      <c r="M149" s="3"/>
      <c r="N149" s="3"/>
      <c r="O149" s="3"/>
      <c r="P149" s="3"/>
      <c r="Q149" s="3"/>
      <c r="R149" s="3"/>
      <c r="S149" s="3"/>
    </row>
    <row r="150" spans="5:19" x14ac:dyDescent="0.25">
      <c r="E150" s="3"/>
      <c r="F150" s="3"/>
      <c r="G150" s="3"/>
      <c r="H150" s="3"/>
      <c r="I150" s="3"/>
      <c r="J150" s="3"/>
      <c r="K150" s="3"/>
      <c r="L150" s="3"/>
      <c r="M150" s="3"/>
      <c r="N150" s="3"/>
      <c r="O150" s="3"/>
      <c r="P150" s="3"/>
      <c r="Q150" s="3"/>
      <c r="R150" s="3"/>
      <c r="S150" s="3"/>
    </row>
    <row r="151" spans="5:19" x14ac:dyDescent="0.25">
      <c r="E151" s="3"/>
      <c r="F151" s="3"/>
      <c r="G151" s="3"/>
      <c r="H151" s="3"/>
      <c r="I151" s="3"/>
      <c r="J151" s="3"/>
      <c r="K151" s="3"/>
      <c r="L151" s="3"/>
      <c r="M151" s="3"/>
      <c r="N151" s="3"/>
      <c r="O151" s="3"/>
      <c r="P151" s="3"/>
      <c r="Q151" s="3"/>
      <c r="R151" s="3"/>
      <c r="S151" s="3"/>
    </row>
    <row r="152" spans="5:19" x14ac:dyDescent="0.25">
      <c r="E152" s="3"/>
      <c r="F152" s="3"/>
      <c r="G152" s="3"/>
      <c r="H152" s="3"/>
      <c r="I152" s="3"/>
      <c r="J152" s="3"/>
      <c r="K152" s="3"/>
      <c r="L152" s="3"/>
      <c r="M152" s="3"/>
      <c r="N152" s="3"/>
      <c r="O152" s="3"/>
      <c r="P152" s="3"/>
      <c r="Q152" s="3"/>
      <c r="R152" s="3"/>
      <c r="S152" s="3"/>
    </row>
    <row r="153" spans="5:19" x14ac:dyDescent="0.25">
      <c r="E153" s="3"/>
      <c r="F153" s="3"/>
      <c r="G153" s="3"/>
      <c r="H153" s="3"/>
      <c r="I153" s="3"/>
      <c r="J153" s="3"/>
      <c r="K153" s="3"/>
      <c r="L153" s="3"/>
      <c r="M153" s="3"/>
      <c r="N153" s="3"/>
      <c r="O153" s="3"/>
      <c r="P153" s="3"/>
      <c r="Q153" s="3"/>
      <c r="R153" s="3"/>
      <c r="S153" s="3"/>
    </row>
    <row r="154" spans="5:19" x14ac:dyDescent="0.25">
      <c r="E154" s="3"/>
      <c r="F154" s="3"/>
      <c r="G154" s="3"/>
      <c r="H154" s="3"/>
      <c r="I154" s="3"/>
      <c r="J154" s="3"/>
      <c r="K154" s="3"/>
      <c r="L154" s="3"/>
      <c r="M154" s="3"/>
      <c r="N154" s="3"/>
      <c r="O154" s="3"/>
      <c r="P154" s="3"/>
      <c r="Q154" s="3"/>
      <c r="R154" s="3"/>
      <c r="S154" s="3"/>
    </row>
    <row r="155" spans="5:19" x14ac:dyDescent="0.25">
      <c r="E155" s="3"/>
      <c r="F155" s="3"/>
      <c r="G155" s="3"/>
      <c r="H155" s="3"/>
      <c r="I155" s="3"/>
      <c r="J155" s="3"/>
      <c r="K155" s="3"/>
      <c r="L155" s="3"/>
      <c r="M155" s="3"/>
      <c r="N155" s="3"/>
      <c r="O155" s="3"/>
      <c r="P155" s="3"/>
      <c r="Q155" s="3"/>
      <c r="R155" s="3"/>
      <c r="S155" s="3"/>
    </row>
    <row r="156" spans="5:19" x14ac:dyDescent="0.25">
      <c r="E156" s="3"/>
      <c r="F156" s="3"/>
      <c r="G156" s="3"/>
      <c r="H156" s="3"/>
      <c r="I156" s="3"/>
      <c r="J156" s="3"/>
      <c r="K156" s="3"/>
      <c r="L156" s="3"/>
      <c r="M156" s="3"/>
      <c r="N156" s="3"/>
      <c r="O156" s="3"/>
      <c r="P156" s="3"/>
      <c r="Q156" s="3"/>
      <c r="R156" s="3"/>
      <c r="S156" s="3"/>
    </row>
    <row r="157" spans="5:19" x14ac:dyDescent="0.25">
      <c r="E157" s="3"/>
      <c r="F157" s="3"/>
      <c r="G157" s="3"/>
      <c r="H157" s="3"/>
      <c r="I157" s="3"/>
      <c r="J157" s="3"/>
      <c r="K157" s="3"/>
      <c r="L157" s="3"/>
      <c r="M157" s="3"/>
      <c r="N157" s="3"/>
      <c r="O157" s="3"/>
      <c r="P157" s="3"/>
      <c r="Q157" s="3"/>
      <c r="R157" s="3"/>
      <c r="S157" s="3"/>
    </row>
    <row r="158" spans="5:19" x14ac:dyDescent="0.25">
      <c r="E158" s="3"/>
      <c r="F158" s="3"/>
      <c r="G158" s="3"/>
      <c r="H158" s="3"/>
      <c r="I158" s="3"/>
      <c r="J158" s="3"/>
      <c r="K158" s="3"/>
      <c r="L158" s="3"/>
      <c r="M158" s="3"/>
      <c r="N158" s="3"/>
      <c r="O158" s="3"/>
      <c r="P158" s="3"/>
      <c r="Q158" s="3"/>
      <c r="R158" s="3"/>
      <c r="S158" s="3"/>
    </row>
    <row r="159" spans="5:19" x14ac:dyDescent="0.25">
      <c r="E159" s="3"/>
      <c r="F159" s="3"/>
      <c r="G159" s="3"/>
      <c r="H159" s="3"/>
      <c r="I159" s="3"/>
      <c r="J159" s="3"/>
      <c r="K159" s="3"/>
      <c r="L159" s="3"/>
      <c r="M159" s="3"/>
      <c r="N159" s="3"/>
      <c r="O159" s="3"/>
      <c r="P159" s="3"/>
      <c r="Q159" s="3"/>
      <c r="R159" s="3"/>
      <c r="S159" s="3"/>
    </row>
    <row r="160" spans="5:19" x14ac:dyDescent="0.25">
      <c r="E160" s="3"/>
      <c r="F160" s="3"/>
      <c r="G160" s="3"/>
      <c r="H160" s="3"/>
      <c r="I160" s="3"/>
      <c r="J160" s="3"/>
      <c r="K160" s="3"/>
      <c r="L160" s="3"/>
      <c r="M160" s="3"/>
      <c r="N160" s="3"/>
      <c r="O160" s="3"/>
      <c r="P160" s="3"/>
      <c r="Q160" s="3"/>
      <c r="R160" s="3"/>
      <c r="S160" s="3"/>
    </row>
    <row r="161" spans="5:19" x14ac:dyDescent="0.25">
      <c r="E161" s="3"/>
      <c r="F161" s="3"/>
      <c r="G161" s="3"/>
      <c r="H161" s="3"/>
      <c r="I161" s="3"/>
      <c r="J161" s="3"/>
      <c r="K161" s="3"/>
      <c r="L161" s="3"/>
      <c r="M161" s="3"/>
      <c r="N161" s="3"/>
      <c r="O161" s="3"/>
      <c r="P161" s="3"/>
      <c r="Q161" s="3"/>
      <c r="R161" s="3"/>
      <c r="S161" s="3"/>
    </row>
    <row r="162" spans="5:19" x14ac:dyDescent="0.25">
      <c r="E162" s="3"/>
      <c r="F162" s="3"/>
      <c r="G162" s="3"/>
      <c r="H162" s="3"/>
      <c r="I162" s="3"/>
      <c r="J162" s="3"/>
      <c r="K162" s="3"/>
      <c r="L162" s="3"/>
      <c r="M162" s="3"/>
      <c r="N162" s="3"/>
      <c r="O162" s="3"/>
      <c r="P162" s="3"/>
      <c r="Q162" s="3"/>
      <c r="R162" s="3"/>
      <c r="S162" s="3"/>
    </row>
    <row r="163" spans="5:19" x14ac:dyDescent="0.25">
      <c r="E163" s="3"/>
      <c r="F163" s="3"/>
      <c r="G163" s="3"/>
      <c r="H163" s="3"/>
      <c r="I163" s="3"/>
      <c r="J163" s="3"/>
      <c r="K163" s="3"/>
      <c r="L163" s="3"/>
      <c r="M163" s="3"/>
      <c r="N163" s="3"/>
      <c r="O163" s="3"/>
      <c r="P163" s="3"/>
      <c r="Q163" s="3"/>
      <c r="R163" s="3"/>
      <c r="S163" s="3"/>
    </row>
    <row r="164" spans="5:19" x14ac:dyDescent="0.25">
      <c r="E164" s="3"/>
      <c r="F164" s="3"/>
      <c r="G164" s="3"/>
      <c r="H164" s="3"/>
      <c r="I164" s="3"/>
      <c r="J164" s="3"/>
      <c r="K164" s="3"/>
      <c r="L164" s="3"/>
      <c r="M164" s="3"/>
      <c r="N164" s="3"/>
      <c r="O164" s="3"/>
      <c r="P164" s="3"/>
      <c r="Q164" s="3"/>
      <c r="R164" s="3"/>
      <c r="S164" s="3"/>
    </row>
    <row r="165" spans="5:19" x14ac:dyDescent="0.25">
      <c r="E165" s="3"/>
      <c r="F165" s="3"/>
      <c r="G165" s="3"/>
      <c r="H165" s="3"/>
      <c r="I165" s="3"/>
      <c r="J165" s="3"/>
      <c r="K165" s="3"/>
      <c r="L165" s="3"/>
      <c r="M165" s="3"/>
      <c r="N165" s="3"/>
      <c r="O165" s="3"/>
      <c r="P165" s="3"/>
      <c r="Q165" s="3"/>
      <c r="R165" s="3"/>
      <c r="S165" s="3"/>
    </row>
    <row r="166" spans="5:19" x14ac:dyDescent="0.25">
      <c r="E166" s="3"/>
      <c r="F166" s="3"/>
      <c r="G166" s="3"/>
      <c r="H166" s="3"/>
      <c r="I166" s="3"/>
      <c r="J166" s="3"/>
      <c r="K166" s="3"/>
      <c r="L166" s="3"/>
      <c r="M166" s="3"/>
      <c r="N166" s="3"/>
      <c r="O166" s="3"/>
      <c r="P166" s="3"/>
      <c r="Q166" s="3"/>
      <c r="R166" s="3"/>
      <c r="S166" s="3"/>
    </row>
    <row r="167" spans="5:19" x14ac:dyDescent="0.25">
      <c r="E167" s="3"/>
      <c r="F167" s="3"/>
      <c r="G167" s="3"/>
      <c r="H167" s="3"/>
      <c r="I167" s="3"/>
      <c r="J167" s="3"/>
      <c r="K167" s="3"/>
      <c r="L167" s="3"/>
      <c r="M167" s="3"/>
      <c r="N167" s="3"/>
      <c r="O167" s="3"/>
      <c r="P167" s="3"/>
      <c r="Q167" s="3"/>
      <c r="R167" s="3"/>
      <c r="S167" s="3"/>
    </row>
    <row r="168" spans="5:19" x14ac:dyDescent="0.25">
      <c r="E168" s="3"/>
      <c r="F168" s="3"/>
      <c r="G168" s="3"/>
      <c r="H168" s="3"/>
      <c r="I168" s="3"/>
      <c r="J168" s="3"/>
      <c r="K168" s="3"/>
      <c r="L168" s="3"/>
      <c r="M168" s="3"/>
      <c r="N168" s="3"/>
      <c r="O168" s="3"/>
      <c r="P168" s="3"/>
      <c r="Q168" s="3"/>
      <c r="R168" s="3"/>
      <c r="S168" s="3"/>
    </row>
    <row r="169" spans="5:19" x14ac:dyDescent="0.25">
      <c r="E169" s="3"/>
      <c r="F169" s="3"/>
      <c r="G169" s="3"/>
      <c r="H169" s="3"/>
      <c r="I169" s="3"/>
      <c r="J169" s="3"/>
      <c r="K169" s="3"/>
      <c r="L169" s="3"/>
      <c r="M169" s="3"/>
      <c r="N169" s="3"/>
      <c r="O169" s="3"/>
      <c r="P169" s="3"/>
      <c r="Q169" s="3"/>
      <c r="R169" s="3"/>
      <c r="S169" s="3"/>
    </row>
    <row r="170" spans="5:19" x14ac:dyDescent="0.25">
      <c r="E170" s="3"/>
      <c r="F170" s="3"/>
      <c r="G170" s="3"/>
      <c r="H170" s="3"/>
      <c r="I170" s="3"/>
      <c r="J170" s="3"/>
      <c r="K170" s="3"/>
      <c r="L170" s="3"/>
      <c r="M170" s="3"/>
      <c r="N170" s="3"/>
      <c r="O170" s="3"/>
      <c r="P170" s="3"/>
      <c r="Q170" s="3"/>
      <c r="R170" s="3"/>
      <c r="S170" s="3"/>
    </row>
    <row r="171" spans="5:19" x14ac:dyDescent="0.25">
      <c r="E171" s="3"/>
      <c r="F171" s="3"/>
      <c r="G171" s="3"/>
      <c r="H171" s="3"/>
      <c r="I171" s="3"/>
      <c r="J171" s="3"/>
      <c r="K171" s="3"/>
      <c r="L171" s="3"/>
      <c r="M171" s="3"/>
      <c r="N171" s="3"/>
      <c r="O171" s="3"/>
      <c r="P171" s="3"/>
      <c r="Q171" s="3"/>
      <c r="R171" s="3"/>
      <c r="S171" s="3"/>
    </row>
    <row r="172" spans="5:19" x14ac:dyDescent="0.25">
      <c r="E172" s="3"/>
      <c r="F172" s="3"/>
      <c r="G172" s="3"/>
      <c r="H172" s="3"/>
      <c r="I172" s="3"/>
      <c r="J172" s="3"/>
      <c r="K172" s="3"/>
      <c r="L172" s="3"/>
      <c r="M172" s="3"/>
      <c r="N172" s="3"/>
      <c r="O172" s="3"/>
      <c r="P172" s="3"/>
      <c r="Q172" s="3"/>
      <c r="R172" s="3"/>
      <c r="S172" s="3"/>
    </row>
    <row r="173" spans="5:19" x14ac:dyDescent="0.25">
      <c r="E173" s="3"/>
      <c r="F173" s="3"/>
      <c r="G173" s="3"/>
      <c r="H173" s="3"/>
      <c r="I173" s="3"/>
      <c r="J173" s="3"/>
      <c r="K173" s="3"/>
      <c r="L173" s="3"/>
      <c r="M173" s="3"/>
      <c r="N173" s="3"/>
      <c r="O173" s="3"/>
      <c r="P173" s="3"/>
      <c r="Q173" s="3"/>
      <c r="R173" s="3"/>
      <c r="S173" s="3"/>
    </row>
    <row r="174" spans="5:19" x14ac:dyDescent="0.25">
      <c r="E174" s="3"/>
      <c r="F174" s="3"/>
      <c r="G174" s="3"/>
      <c r="H174" s="3"/>
      <c r="I174" s="3"/>
      <c r="J174" s="3"/>
      <c r="K174" s="3"/>
      <c r="L174" s="3"/>
      <c r="M174" s="3"/>
      <c r="N174" s="3"/>
      <c r="O174" s="3"/>
      <c r="P174" s="3"/>
      <c r="Q174" s="3"/>
      <c r="R174" s="3"/>
      <c r="S174" s="3"/>
    </row>
    <row r="175" spans="5:19" x14ac:dyDescent="0.25">
      <c r="E175" s="3"/>
      <c r="F175" s="3"/>
      <c r="G175" s="3"/>
      <c r="H175" s="3"/>
      <c r="I175" s="3"/>
      <c r="J175" s="3"/>
      <c r="K175" s="3"/>
      <c r="L175" s="3"/>
      <c r="M175" s="3"/>
      <c r="N175" s="3"/>
      <c r="O175" s="3"/>
      <c r="P175" s="3"/>
      <c r="Q175" s="3"/>
      <c r="R175" s="3"/>
      <c r="S175" s="3"/>
    </row>
    <row r="176" spans="5:19" x14ac:dyDescent="0.25">
      <c r="E176" s="3"/>
      <c r="F176" s="3"/>
      <c r="G176" s="3"/>
      <c r="H176" s="3"/>
      <c r="I176" s="3"/>
      <c r="J176" s="3"/>
      <c r="K176" s="3"/>
      <c r="L176" s="3"/>
      <c r="M176" s="3"/>
      <c r="N176" s="3"/>
      <c r="O176" s="3"/>
      <c r="P176" s="3"/>
      <c r="Q176" s="3"/>
      <c r="R176" s="3"/>
      <c r="S176" s="3"/>
    </row>
    <row r="177" spans="5:19" x14ac:dyDescent="0.25">
      <c r="E177" s="3"/>
      <c r="F177" s="3"/>
      <c r="G177" s="3"/>
      <c r="H177" s="3"/>
      <c r="I177" s="3"/>
      <c r="J177" s="3"/>
      <c r="K177" s="3"/>
      <c r="L177" s="3"/>
      <c r="M177" s="3"/>
      <c r="N177" s="3"/>
      <c r="O177" s="3"/>
      <c r="P177" s="3"/>
      <c r="Q177" s="3"/>
      <c r="R177" s="3"/>
      <c r="S177" s="3"/>
    </row>
    <row r="178" spans="5:19" x14ac:dyDescent="0.25">
      <c r="E178" s="3"/>
      <c r="F178" s="3"/>
      <c r="G178" s="3"/>
      <c r="H178" s="3"/>
      <c r="I178" s="3"/>
      <c r="J178" s="3"/>
      <c r="K178" s="3"/>
      <c r="L178" s="3"/>
      <c r="M178" s="3"/>
      <c r="N178" s="3"/>
      <c r="O178" s="3"/>
      <c r="P178" s="3"/>
      <c r="Q178" s="3"/>
      <c r="R178" s="3"/>
      <c r="S178" s="3"/>
    </row>
    <row r="179" spans="5:19" x14ac:dyDescent="0.25">
      <c r="E179" s="3"/>
      <c r="F179" s="3"/>
      <c r="G179" s="3"/>
      <c r="H179" s="3"/>
      <c r="I179" s="3"/>
      <c r="J179" s="3"/>
      <c r="K179" s="3"/>
      <c r="L179" s="3"/>
      <c r="M179" s="3"/>
      <c r="N179" s="3"/>
      <c r="O179" s="3"/>
      <c r="P179" s="3"/>
      <c r="Q179" s="3"/>
      <c r="R179" s="3"/>
      <c r="S179" s="3"/>
    </row>
    <row r="180" spans="5:19" x14ac:dyDescent="0.25">
      <c r="E180" s="3"/>
      <c r="F180" s="3"/>
      <c r="G180" s="3"/>
      <c r="H180" s="3"/>
      <c r="I180" s="3"/>
      <c r="J180" s="3"/>
      <c r="K180" s="3"/>
      <c r="L180" s="3"/>
      <c r="M180" s="3"/>
      <c r="N180" s="3"/>
      <c r="O180" s="3"/>
      <c r="P180" s="3"/>
      <c r="Q180" s="3"/>
      <c r="R180" s="3"/>
      <c r="S180" s="3"/>
    </row>
    <row r="181" spans="5:19" x14ac:dyDescent="0.25">
      <c r="E181" s="3"/>
      <c r="F181" s="3"/>
      <c r="G181" s="3"/>
      <c r="H181" s="3"/>
      <c r="I181" s="3"/>
      <c r="J181" s="3"/>
      <c r="K181" s="3"/>
      <c r="L181" s="3"/>
      <c r="M181" s="3"/>
      <c r="N181" s="3"/>
      <c r="O181" s="3"/>
      <c r="P181" s="3"/>
      <c r="Q181" s="3"/>
      <c r="R181" s="3"/>
      <c r="S181" s="3"/>
    </row>
    <row r="182" spans="5:19" x14ac:dyDescent="0.25">
      <c r="E182" s="3"/>
      <c r="F182" s="3"/>
      <c r="G182" s="3"/>
      <c r="H182" s="3"/>
      <c r="I182" s="3"/>
      <c r="J182" s="3"/>
      <c r="K182" s="3"/>
      <c r="L182" s="3"/>
      <c r="M182" s="3"/>
      <c r="N182" s="3"/>
      <c r="O182" s="3"/>
      <c r="P182" s="3"/>
      <c r="Q182" s="3"/>
      <c r="R182" s="3"/>
      <c r="S182" s="3"/>
    </row>
    <row r="183" spans="5:19" x14ac:dyDescent="0.25">
      <c r="E183" s="3"/>
      <c r="F183" s="3"/>
      <c r="G183" s="3"/>
      <c r="H183" s="3"/>
      <c r="I183" s="3"/>
      <c r="J183" s="3"/>
      <c r="K183" s="3"/>
      <c r="L183" s="3"/>
      <c r="M183" s="3"/>
      <c r="N183" s="3"/>
      <c r="O183" s="3"/>
      <c r="P183" s="3"/>
      <c r="Q183" s="3"/>
      <c r="R183" s="3"/>
      <c r="S183" s="3"/>
    </row>
    <row r="184" spans="5:19" x14ac:dyDescent="0.25">
      <c r="E184" s="3"/>
      <c r="F184" s="3"/>
      <c r="G184" s="3"/>
      <c r="H184" s="3"/>
      <c r="I184" s="3"/>
      <c r="J184" s="3"/>
      <c r="K184" s="3"/>
      <c r="L184" s="3"/>
      <c r="M184" s="3"/>
      <c r="N184" s="3"/>
      <c r="O184" s="3"/>
      <c r="P184" s="3"/>
      <c r="Q184" s="3"/>
      <c r="R184" s="3"/>
      <c r="S184" s="3"/>
    </row>
    <row r="185" spans="5:19" x14ac:dyDescent="0.25">
      <c r="E185" s="3"/>
      <c r="F185" s="3"/>
      <c r="G185" s="3"/>
      <c r="H185" s="3"/>
      <c r="I185" s="3"/>
      <c r="J185" s="3"/>
      <c r="K185" s="3"/>
      <c r="L185" s="3"/>
      <c r="M185" s="3"/>
      <c r="N185" s="3"/>
      <c r="O185" s="3"/>
      <c r="P185" s="3"/>
      <c r="Q185" s="3"/>
      <c r="R185" s="3"/>
      <c r="S185" s="3"/>
    </row>
    <row r="186" spans="5:19" x14ac:dyDescent="0.25">
      <c r="E186" s="3"/>
      <c r="F186" s="3"/>
      <c r="G186" s="3"/>
      <c r="H186" s="3"/>
      <c r="I186" s="3"/>
      <c r="J186" s="3"/>
      <c r="K186" s="3"/>
      <c r="L186" s="3"/>
      <c r="M186" s="3"/>
      <c r="N186" s="3"/>
      <c r="O186" s="3"/>
      <c r="P186" s="3"/>
      <c r="Q186" s="3"/>
      <c r="R186" s="3"/>
      <c r="S186" s="3"/>
    </row>
    <row r="187" spans="5:19" x14ac:dyDescent="0.25">
      <c r="E187" s="3"/>
      <c r="F187" s="3"/>
      <c r="G187" s="3"/>
      <c r="H187" s="3"/>
      <c r="I187" s="3"/>
      <c r="J187" s="3"/>
      <c r="K187" s="3"/>
      <c r="L187" s="3"/>
      <c r="M187" s="3"/>
      <c r="N187" s="3"/>
      <c r="O187" s="3"/>
      <c r="P187" s="3"/>
      <c r="Q187" s="3"/>
      <c r="R187" s="3"/>
      <c r="S187" s="3"/>
    </row>
    <row r="188" spans="5:19" x14ac:dyDescent="0.25">
      <c r="E188" s="3"/>
      <c r="F188" s="3"/>
      <c r="G188" s="3"/>
      <c r="H188" s="3"/>
      <c r="I188" s="3"/>
      <c r="J188" s="3"/>
      <c r="K188" s="3"/>
      <c r="L188" s="3"/>
      <c r="M188" s="3"/>
      <c r="N188" s="3"/>
      <c r="O188" s="3"/>
      <c r="P188" s="3"/>
      <c r="Q188" s="3"/>
      <c r="R188" s="3"/>
      <c r="S188" s="3"/>
    </row>
    <row r="189" spans="5:19" x14ac:dyDescent="0.25">
      <c r="E189" s="3"/>
      <c r="F189" s="3"/>
      <c r="G189" s="3"/>
      <c r="H189" s="3"/>
      <c r="I189" s="3"/>
      <c r="J189" s="3"/>
      <c r="K189" s="3"/>
      <c r="L189" s="3"/>
      <c r="M189" s="3"/>
      <c r="N189" s="3"/>
      <c r="O189" s="3"/>
      <c r="P189" s="3"/>
      <c r="Q189" s="3"/>
      <c r="R189" s="3"/>
      <c r="S189" s="3"/>
    </row>
    <row r="190" spans="5:19" x14ac:dyDescent="0.25">
      <c r="E190" s="3"/>
      <c r="F190" s="3"/>
      <c r="G190" s="3"/>
      <c r="H190" s="3"/>
      <c r="I190" s="3"/>
      <c r="J190" s="3"/>
      <c r="K190" s="3"/>
      <c r="L190" s="3"/>
      <c r="M190" s="3"/>
      <c r="N190" s="3"/>
      <c r="O190" s="3"/>
      <c r="P190" s="3"/>
      <c r="Q190" s="3"/>
      <c r="R190" s="3"/>
      <c r="S190" s="3"/>
    </row>
    <row r="191" spans="5:19" x14ac:dyDescent="0.25">
      <c r="E191" s="3"/>
      <c r="F191" s="3"/>
      <c r="G191" s="3"/>
      <c r="H191" s="3"/>
      <c r="I191" s="3"/>
      <c r="J191" s="3"/>
      <c r="K191" s="3"/>
      <c r="L191" s="3"/>
      <c r="M191" s="3"/>
      <c r="N191" s="3"/>
      <c r="O191" s="3"/>
      <c r="P191" s="3"/>
      <c r="Q191" s="3"/>
      <c r="R191" s="3"/>
      <c r="S191" s="3"/>
    </row>
    <row r="192" spans="5:19" x14ac:dyDescent="0.25">
      <c r="E192" s="3"/>
      <c r="F192" s="3"/>
      <c r="G192" s="3"/>
      <c r="H192" s="3"/>
      <c r="I192" s="3"/>
      <c r="J192" s="3"/>
      <c r="K192" s="3"/>
      <c r="L192" s="3"/>
      <c r="M192" s="3"/>
      <c r="N192" s="3"/>
      <c r="O192" s="3"/>
      <c r="P192" s="3"/>
      <c r="Q192" s="3"/>
      <c r="R192" s="3"/>
      <c r="S192" s="3"/>
    </row>
    <row r="193" spans="5:19" x14ac:dyDescent="0.25">
      <c r="E193" s="3"/>
      <c r="F193" s="3"/>
      <c r="G193" s="3"/>
      <c r="H193" s="3"/>
      <c r="I193" s="3"/>
      <c r="J193" s="3"/>
      <c r="K193" s="3"/>
      <c r="L193" s="3"/>
      <c r="M193" s="3"/>
      <c r="N193" s="3"/>
      <c r="O193" s="3"/>
      <c r="P193" s="3"/>
      <c r="Q193" s="3"/>
      <c r="R193" s="3"/>
      <c r="S193" s="3"/>
    </row>
    <row r="194" spans="5:19" x14ac:dyDescent="0.25">
      <c r="E194" s="3"/>
      <c r="F194" s="3"/>
      <c r="G194" s="3"/>
      <c r="H194" s="3"/>
      <c r="I194" s="3"/>
      <c r="J194" s="3"/>
      <c r="K194" s="3"/>
      <c r="L194" s="3"/>
      <c r="M194" s="3"/>
      <c r="N194" s="3"/>
      <c r="O194" s="3"/>
      <c r="P194" s="3"/>
      <c r="Q194" s="3"/>
      <c r="R194" s="3"/>
      <c r="S194" s="3"/>
    </row>
    <row r="195" spans="5:19" x14ac:dyDescent="0.25">
      <c r="E195" s="3"/>
      <c r="F195" s="3"/>
      <c r="G195" s="3"/>
      <c r="H195" s="3"/>
      <c r="I195" s="3"/>
      <c r="J195" s="3"/>
      <c r="K195" s="3"/>
      <c r="L195" s="3"/>
      <c r="M195" s="3"/>
      <c r="N195" s="3"/>
      <c r="O195" s="3"/>
      <c r="P195" s="3"/>
      <c r="Q195" s="3"/>
      <c r="R195" s="3"/>
      <c r="S195" s="3"/>
    </row>
    <row r="196" spans="5:19" x14ac:dyDescent="0.25">
      <c r="E196" s="3"/>
      <c r="F196" s="3"/>
      <c r="G196" s="3"/>
      <c r="H196" s="3"/>
      <c r="I196" s="3"/>
      <c r="J196" s="3"/>
      <c r="K196" s="3"/>
      <c r="L196" s="3"/>
      <c r="M196" s="3"/>
      <c r="N196" s="3"/>
      <c r="O196" s="3"/>
      <c r="P196" s="3"/>
      <c r="Q196" s="3"/>
      <c r="R196" s="3"/>
      <c r="S196" s="3"/>
    </row>
    <row r="197" spans="5:19" x14ac:dyDescent="0.25">
      <c r="E197" s="3"/>
      <c r="F197" s="3"/>
      <c r="G197" s="3"/>
      <c r="H197" s="3"/>
      <c r="I197" s="3"/>
      <c r="J197" s="3"/>
      <c r="K197" s="3"/>
      <c r="L197" s="3"/>
      <c r="M197" s="3"/>
      <c r="N197" s="3"/>
      <c r="O197" s="3"/>
      <c r="P197" s="3"/>
      <c r="Q197" s="3"/>
      <c r="R197" s="3"/>
      <c r="S197" s="3"/>
    </row>
    <row r="198" spans="5:19" x14ac:dyDescent="0.25">
      <c r="E198" s="3"/>
      <c r="F198" s="3"/>
      <c r="G198" s="3"/>
      <c r="H198" s="3"/>
      <c r="I198" s="3"/>
      <c r="J198" s="3"/>
      <c r="K198" s="3"/>
      <c r="L198" s="3"/>
      <c r="M198" s="3"/>
      <c r="N198" s="3"/>
      <c r="O198" s="3"/>
      <c r="P198" s="3"/>
      <c r="Q198" s="3"/>
      <c r="R198" s="3"/>
      <c r="S198" s="3"/>
    </row>
    <row r="199" spans="5:19" x14ac:dyDescent="0.25">
      <c r="E199" s="3"/>
      <c r="F199" s="3"/>
      <c r="G199" s="3"/>
      <c r="H199" s="3"/>
      <c r="I199" s="3"/>
      <c r="J199" s="3"/>
      <c r="K199" s="3"/>
      <c r="L199" s="3"/>
      <c r="M199" s="3"/>
      <c r="N199" s="3"/>
      <c r="O199" s="3"/>
      <c r="P199" s="3"/>
      <c r="Q199" s="3"/>
      <c r="R199" s="3"/>
      <c r="S199" s="3"/>
    </row>
    <row r="200" spans="5:19" x14ac:dyDescent="0.25">
      <c r="E200" s="3"/>
      <c r="F200" s="3"/>
      <c r="G200" s="3"/>
      <c r="H200" s="3"/>
      <c r="I200" s="3"/>
      <c r="J200" s="3"/>
      <c r="K200" s="3"/>
      <c r="L200" s="3"/>
      <c r="M200" s="3"/>
      <c r="N200" s="3"/>
      <c r="O200" s="3"/>
      <c r="P200" s="3"/>
      <c r="Q200" s="3"/>
      <c r="R200" s="3"/>
      <c r="S200" s="3"/>
    </row>
    <row r="201" spans="5:19" x14ac:dyDescent="0.25">
      <c r="E201" s="3"/>
      <c r="F201" s="3"/>
      <c r="G201" s="3"/>
      <c r="H201" s="3"/>
      <c r="I201" s="3"/>
      <c r="J201" s="3"/>
      <c r="K201" s="3"/>
      <c r="L201" s="3"/>
      <c r="M201" s="3"/>
      <c r="N201" s="3"/>
      <c r="O201" s="3"/>
      <c r="P201" s="3"/>
      <c r="Q201" s="3"/>
      <c r="R201" s="3"/>
      <c r="S201" s="3"/>
    </row>
    <row r="202" spans="5:19" x14ac:dyDescent="0.25">
      <c r="E202" s="3"/>
      <c r="F202" s="3"/>
      <c r="G202" s="3"/>
      <c r="H202" s="3"/>
      <c r="I202" s="3"/>
      <c r="J202" s="3"/>
      <c r="K202" s="3"/>
      <c r="L202" s="3"/>
      <c r="M202" s="3"/>
      <c r="N202" s="3"/>
      <c r="O202" s="3"/>
      <c r="P202" s="3"/>
      <c r="Q202" s="3"/>
      <c r="R202" s="3"/>
      <c r="S202" s="3"/>
    </row>
    <row r="203" spans="5:19" x14ac:dyDescent="0.25">
      <c r="E203" s="3"/>
      <c r="F203" s="3"/>
      <c r="G203" s="3"/>
      <c r="H203" s="3"/>
      <c r="I203" s="3"/>
      <c r="J203" s="3"/>
      <c r="K203" s="3"/>
      <c r="L203" s="3"/>
      <c r="M203" s="3"/>
      <c r="N203" s="3"/>
      <c r="O203" s="3"/>
      <c r="P203" s="3"/>
      <c r="Q203" s="3"/>
      <c r="R203" s="3"/>
      <c r="S203" s="3"/>
    </row>
    <row r="204" spans="5:19" x14ac:dyDescent="0.25">
      <c r="E204" s="3"/>
      <c r="F204" s="3"/>
      <c r="G204" s="3"/>
      <c r="H204" s="3"/>
      <c r="I204" s="3"/>
      <c r="J204" s="3"/>
      <c r="K204" s="3"/>
      <c r="L204" s="3"/>
      <c r="M204" s="3"/>
      <c r="N204" s="3"/>
      <c r="O204" s="3"/>
      <c r="P204" s="3"/>
      <c r="Q204" s="3"/>
      <c r="R204" s="3"/>
      <c r="S204" s="3"/>
    </row>
    <row r="205" spans="5:19" x14ac:dyDescent="0.25">
      <c r="E205" s="3"/>
      <c r="F205" s="3"/>
      <c r="G205" s="3"/>
      <c r="H205" s="3"/>
      <c r="I205" s="3"/>
      <c r="J205" s="3"/>
      <c r="K205" s="3"/>
      <c r="L205" s="3"/>
      <c r="M205" s="3"/>
      <c r="N205" s="3"/>
      <c r="O205" s="3"/>
      <c r="P205" s="3"/>
      <c r="Q205" s="3"/>
      <c r="R205" s="3"/>
      <c r="S205" s="3"/>
    </row>
    <row r="206" spans="5:19" x14ac:dyDescent="0.25">
      <c r="E206" s="3"/>
      <c r="F206" s="3"/>
      <c r="G206" s="3"/>
      <c r="H206" s="3"/>
      <c r="I206" s="3"/>
      <c r="J206" s="3"/>
      <c r="K206" s="3"/>
      <c r="L206" s="3"/>
      <c r="M206" s="3"/>
      <c r="N206" s="3"/>
      <c r="O206" s="3"/>
      <c r="P206" s="3"/>
      <c r="Q206" s="3"/>
      <c r="R206" s="3"/>
      <c r="S206" s="3"/>
    </row>
    <row r="207" spans="5:19" x14ac:dyDescent="0.25">
      <c r="E207" s="3"/>
      <c r="F207" s="3"/>
      <c r="G207" s="3"/>
      <c r="H207" s="3"/>
      <c r="I207" s="3"/>
      <c r="J207" s="3"/>
      <c r="K207" s="3"/>
      <c r="L207" s="3"/>
      <c r="M207" s="3"/>
      <c r="N207" s="3"/>
      <c r="O207" s="3"/>
      <c r="P207" s="3"/>
      <c r="Q207" s="3"/>
      <c r="R207" s="3"/>
      <c r="S207" s="3"/>
    </row>
    <row r="208" spans="5:19" x14ac:dyDescent="0.25">
      <c r="E208" s="3"/>
      <c r="F208" s="3"/>
      <c r="G208" s="3"/>
      <c r="H208" s="3"/>
      <c r="I208" s="3"/>
      <c r="J208" s="3"/>
      <c r="K208" s="3"/>
      <c r="L208" s="3"/>
      <c r="M208" s="3"/>
      <c r="N208" s="3"/>
      <c r="O208" s="3"/>
      <c r="P208" s="3"/>
      <c r="Q208" s="3"/>
      <c r="R208" s="3"/>
      <c r="S208" s="3"/>
    </row>
    <row r="209" spans="5:19" x14ac:dyDescent="0.25">
      <c r="E209" s="3"/>
      <c r="F209" s="3"/>
      <c r="G209" s="3"/>
      <c r="H209" s="3"/>
      <c r="I209" s="3"/>
      <c r="J209" s="3"/>
      <c r="K209" s="3"/>
      <c r="L209" s="3"/>
      <c r="M209" s="3"/>
      <c r="N209" s="3"/>
      <c r="O209" s="3"/>
      <c r="P209" s="3"/>
      <c r="Q209" s="3"/>
      <c r="R209" s="3"/>
      <c r="S209" s="3"/>
    </row>
    <row r="210" spans="5:19" x14ac:dyDescent="0.25">
      <c r="E210" s="3"/>
      <c r="F210" s="3"/>
      <c r="G210" s="3"/>
      <c r="H210" s="3"/>
      <c r="I210" s="3"/>
      <c r="J210" s="3"/>
      <c r="K210" s="3"/>
      <c r="L210" s="3"/>
      <c r="M210" s="3"/>
      <c r="N210" s="3"/>
      <c r="O210" s="3"/>
      <c r="P210" s="3"/>
      <c r="Q210" s="3"/>
      <c r="R210" s="3"/>
      <c r="S210" s="3"/>
    </row>
    <row r="211" spans="5:19" x14ac:dyDescent="0.25">
      <c r="E211" s="3"/>
      <c r="F211" s="3"/>
      <c r="G211" s="3"/>
      <c r="H211" s="3"/>
      <c r="I211" s="3"/>
      <c r="J211" s="3"/>
      <c r="K211" s="3"/>
      <c r="L211" s="3"/>
      <c r="M211" s="3"/>
      <c r="N211" s="3"/>
      <c r="O211" s="3"/>
      <c r="P211" s="3"/>
      <c r="Q211" s="3"/>
      <c r="R211" s="3"/>
      <c r="S211" s="3"/>
    </row>
    <row r="212" spans="5:19" x14ac:dyDescent="0.25">
      <c r="E212" s="3"/>
      <c r="F212" s="3"/>
      <c r="G212" s="3"/>
      <c r="H212" s="3"/>
      <c r="I212" s="3"/>
      <c r="J212" s="3"/>
      <c r="K212" s="3"/>
      <c r="L212" s="3"/>
      <c r="M212" s="3"/>
      <c r="N212" s="3"/>
      <c r="O212" s="3"/>
      <c r="P212" s="3"/>
      <c r="Q212" s="3"/>
      <c r="R212" s="3"/>
      <c r="S212" s="3"/>
    </row>
    <row r="213" spans="5:19" x14ac:dyDescent="0.25">
      <c r="E213" s="3"/>
      <c r="F213" s="3"/>
      <c r="G213" s="3"/>
      <c r="H213" s="3"/>
      <c r="I213" s="3"/>
      <c r="J213" s="3"/>
      <c r="K213" s="3"/>
      <c r="L213" s="3"/>
      <c r="M213" s="3"/>
      <c r="N213" s="3"/>
      <c r="O213" s="3"/>
      <c r="P213" s="3"/>
      <c r="Q213" s="3"/>
      <c r="R213" s="3"/>
      <c r="S213" s="3"/>
    </row>
    <row r="214" spans="5:19" x14ac:dyDescent="0.25">
      <c r="E214" s="3"/>
      <c r="F214" s="3"/>
      <c r="G214" s="3"/>
      <c r="H214" s="3"/>
      <c r="I214" s="3"/>
      <c r="J214" s="3"/>
      <c r="K214" s="3"/>
      <c r="L214" s="3"/>
      <c r="M214" s="3"/>
      <c r="N214" s="3"/>
      <c r="O214" s="3"/>
      <c r="P214" s="3"/>
      <c r="Q214" s="3"/>
      <c r="R214" s="3"/>
      <c r="S214" s="3"/>
    </row>
    <row r="215" spans="5:19" x14ac:dyDescent="0.25">
      <c r="E215" s="3"/>
      <c r="F215" s="3"/>
      <c r="G215" s="3"/>
      <c r="H215" s="3"/>
      <c r="I215" s="3"/>
      <c r="J215" s="3"/>
      <c r="K215" s="3"/>
      <c r="L215" s="3"/>
      <c r="M215" s="3"/>
      <c r="N215" s="3"/>
      <c r="O215" s="3"/>
      <c r="P215" s="3"/>
      <c r="Q215" s="3"/>
      <c r="R215" s="3"/>
      <c r="S215" s="3"/>
    </row>
    <row r="216" spans="5:19" x14ac:dyDescent="0.25">
      <c r="E216" s="3"/>
      <c r="F216" s="3"/>
      <c r="G216" s="3"/>
      <c r="H216" s="3"/>
      <c r="I216" s="3"/>
      <c r="J216" s="3"/>
      <c r="K216" s="3"/>
      <c r="L216" s="3"/>
      <c r="M216" s="3"/>
      <c r="N216" s="3"/>
      <c r="O216" s="3"/>
      <c r="P216" s="3"/>
      <c r="Q216" s="3"/>
      <c r="R216" s="3"/>
      <c r="S216" s="3"/>
    </row>
    <row r="217" spans="5:19" x14ac:dyDescent="0.25">
      <c r="E217" s="3"/>
      <c r="F217" s="3"/>
      <c r="G217" s="3"/>
      <c r="H217" s="3"/>
      <c r="I217" s="3"/>
      <c r="J217" s="3"/>
      <c r="K217" s="3"/>
      <c r="L217" s="3"/>
      <c r="M217" s="3"/>
      <c r="N217" s="3"/>
      <c r="O217" s="3"/>
      <c r="P217" s="3"/>
      <c r="Q217" s="3"/>
      <c r="R217" s="3"/>
      <c r="S217" s="3"/>
    </row>
    <row r="218" spans="5:19" x14ac:dyDescent="0.25">
      <c r="E218" s="3"/>
      <c r="F218" s="3"/>
      <c r="G218" s="3"/>
      <c r="H218" s="3"/>
      <c r="I218" s="3"/>
      <c r="J218" s="3"/>
      <c r="K218" s="3"/>
      <c r="L218" s="3"/>
      <c r="M218" s="3"/>
      <c r="N218" s="3"/>
      <c r="O218" s="3"/>
      <c r="P218" s="3"/>
      <c r="Q218" s="3"/>
      <c r="R218" s="3"/>
      <c r="S218" s="3"/>
    </row>
    <row r="219" spans="5:19" x14ac:dyDescent="0.25">
      <c r="E219" s="3"/>
      <c r="F219" s="3"/>
      <c r="G219" s="3"/>
      <c r="H219" s="3"/>
      <c r="I219" s="3"/>
      <c r="J219" s="3"/>
      <c r="K219" s="3"/>
      <c r="L219" s="3"/>
      <c r="M219" s="3"/>
      <c r="N219" s="3"/>
      <c r="O219" s="3"/>
      <c r="P219" s="3"/>
      <c r="Q219" s="3"/>
      <c r="R219" s="3"/>
      <c r="S219" s="3"/>
    </row>
    <row r="220" spans="5:19" x14ac:dyDescent="0.25">
      <c r="E220" s="3"/>
      <c r="F220" s="3"/>
      <c r="G220" s="3"/>
      <c r="H220" s="3"/>
      <c r="I220" s="3"/>
      <c r="J220" s="3"/>
      <c r="K220" s="3"/>
      <c r="L220" s="3"/>
      <c r="M220" s="3"/>
      <c r="N220" s="3"/>
      <c r="O220" s="3"/>
      <c r="P220" s="3"/>
      <c r="Q220" s="3"/>
      <c r="R220" s="3"/>
      <c r="S220" s="3"/>
    </row>
    <row r="221" spans="5:19" x14ac:dyDescent="0.25">
      <c r="E221" s="3"/>
      <c r="F221" s="3"/>
      <c r="G221" s="3"/>
      <c r="H221" s="3"/>
      <c r="I221" s="3"/>
      <c r="J221" s="3"/>
      <c r="K221" s="3"/>
      <c r="L221" s="3"/>
      <c r="M221" s="3"/>
      <c r="N221" s="3"/>
      <c r="O221" s="3"/>
      <c r="P221" s="3"/>
      <c r="Q221" s="3"/>
      <c r="R221" s="3"/>
      <c r="S221" s="3"/>
    </row>
    <row r="222" spans="5:19" x14ac:dyDescent="0.25">
      <c r="E222" s="3"/>
      <c r="F222" s="3"/>
      <c r="G222" s="3"/>
      <c r="H222" s="3"/>
      <c r="I222" s="3"/>
      <c r="J222" s="3"/>
      <c r="K222" s="3"/>
      <c r="L222" s="3"/>
      <c r="M222" s="3"/>
      <c r="N222" s="3"/>
      <c r="O222" s="3"/>
      <c r="P222" s="3"/>
      <c r="Q222" s="3"/>
      <c r="R222" s="3"/>
      <c r="S222" s="3"/>
    </row>
    <row r="223" spans="5:19" x14ac:dyDescent="0.25">
      <c r="E223" s="3"/>
      <c r="F223" s="3"/>
      <c r="G223" s="3"/>
      <c r="H223" s="3"/>
      <c r="I223" s="3"/>
      <c r="J223" s="3"/>
      <c r="K223" s="3"/>
      <c r="L223" s="3"/>
      <c r="M223" s="3"/>
      <c r="N223" s="3"/>
      <c r="O223" s="3"/>
      <c r="P223" s="3"/>
      <c r="Q223" s="3"/>
      <c r="R223" s="3"/>
      <c r="S223" s="3"/>
    </row>
    <row r="224" spans="5:19" x14ac:dyDescent="0.25">
      <c r="E224" s="3"/>
      <c r="F224" s="3"/>
      <c r="G224" s="3"/>
      <c r="H224" s="3"/>
      <c r="I224" s="3"/>
      <c r="J224" s="3"/>
      <c r="K224" s="3"/>
      <c r="L224" s="3"/>
      <c r="M224" s="3"/>
      <c r="N224" s="3"/>
      <c r="O224" s="3"/>
      <c r="P224" s="3"/>
      <c r="Q224" s="3"/>
      <c r="R224" s="3"/>
      <c r="S224" s="3"/>
    </row>
    <row r="225" spans="5:19" x14ac:dyDescent="0.25">
      <c r="E225" s="3"/>
      <c r="F225" s="3"/>
      <c r="G225" s="3"/>
      <c r="H225" s="3"/>
      <c r="I225" s="3"/>
      <c r="J225" s="3"/>
      <c r="K225" s="3"/>
      <c r="L225" s="3"/>
      <c r="M225" s="3"/>
      <c r="N225" s="3"/>
      <c r="O225" s="3"/>
      <c r="P225" s="3"/>
      <c r="Q225" s="3"/>
      <c r="R225" s="3"/>
      <c r="S225" s="3"/>
    </row>
    <row r="226" spans="5:19" x14ac:dyDescent="0.25">
      <c r="E226" s="3"/>
      <c r="F226" s="3"/>
      <c r="G226" s="3"/>
      <c r="H226" s="3"/>
      <c r="I226" s="3"/>
      <c r="J226" s="3"/>
      <c r="K226" s="3"/>
      <c r="L226" s="3"/>
      <c r="M226" s="3"/>
      <c r="N226" s="3"/>
      <c r="O226" s="3"/>
      <c r="P226" s="3"/>
      <c r="Q226" s="3"/>
      <c r="R226" s="3"/>
      <c r="S226" s="3"/>
    </row>
    <row r="227" spans="5:19" x14ac:dyDescent="0.25">
      <c r="E227" s="3"/>
      <c r="F227" s="3"/>
      <c r="G227" s="3"/>
      <c r="H227" s="3"/>
      <c r="I227" s="3"/>
      <c r="J227" s="3"/>
      <c r="K227" s="3"/>
      <c r="L227" s="3"/>
      <c r="M227" s="3"/>
      <c r="N227" s="3"/>
      <c r="O227" s="3"/>
      <c r="P227" s="3"/>
      <c r="Q227" s="3"/>
      <c r="R227" s="3"/>
      <c r="S227" s="3"/>
    </row>
    <row r="228" spans="5:19" x14ac:dyDescent="0.25">
      <c r="E228" s="3"/>
      <c r="F228" s="3"/>
      <c r="G228" s="3"/>
      <c r="H228" s="3"/>
      <c r="I228" s="3"/>
      <c r="J228" s="3"/>
      <c r="K228" s="3"/>
      <c r="L228" s="3"/>
      <c r="M228" s="3"/>
      <c r="N228" s="3"/>
      <c r="O228" s="3"/>
      <c r="P228" s="3"/>
      <c r="Q228" s="3"/>
      <c r="R228" s="3"/>
      <c r="S228" s="3"/>
    </row>
    <row r="229" spans="5:19" x14ac:dyDescent="0.25">
      <c r="E229" s="3"/>
      <c r="F229" s="3"/>
      <c r="G229" s="3"/>
      <c r="H229" s="3"/>
      <c r="I229" s="3"/>
      <c r="J229" s="3"/>
      <c r="K229" s="3"/>
      <c r="L229" s="3"/>
      <c r="M229" s="3"/>
      <c r="N229" s="3"/>
      <c r="O229" s="3"/>
      <c r="P229" s="3"/>
      <c r="Q229" s="3"/>
      <c r="R229" s="3"/>
      <c r="S229" s="3"/>
    </row>
    <row r="230" spans="5:19" x14ac:dyDescent="0.25">
      <c r="E230" s="3"/>
      <c r="F230" s="3"/>
      <c r="G230" s="3"/>
      <c r="H230" s="3"/>
      <c r="I230" s="3"/>
      <c r="J230" s="3"/>
      <c r="K230" s="3"/>
      <c r="L230" s="3"/>
      <c r="M230" s="3"/>
      <c r="N230" s="3"/>
      <c r="O230" s="3"/>
      <c r="P230" s="3"/>
      <c r="Q230" s="3"/>
      <c r="R230" s="3"/>
      <c r="S230" s="3"/>
    </row>
    <row r="231" spans="5:19" x14ac:dyDescent="0.25">
      <c r="E231" s="3"/>
      <c r="F231" s="3"/>
      <c r="G231" s="3"/>
      <c r="H231" s="3"/>
      <c r="I231" s="3"/>
      <c r="J231" s="3"/>
      <c r="K231" s="3"/>
      <c r="L231" s="3"/>
      <c r="M231" s="3"/>
      <c r="N231" s="3"/>
      <c r="O231" s="3"/>
      <c r="P231" s="3"/>
      <c r="Q231" s="3"/>
      <c r="R231" s="3"/>
      <c r="S231" s="3"/>
    </row>
    <row r="232" spans="5:19" x14ac:dyDescent="0.25">
      <c r="E232" s="3"/>
      <c r="F232" s="3"/>
      <c r="G232" s="3"/>
      <c r="H232" s="3"/>
      <c r="I232" s="3"/>
      <c r="J232" s="3"/>
      <c r="K232" s="3"/>
      <c r="L232" s="3"/>
      <c r="M232" s="3"/>
      <c r="N232" s="3"/>
      <c r="O232" s="3"/>
      <c r="P232" s="3"/>
      <c r="Q232" s="3"/>
      <c r="R232" s="3"/>
      <c r="S232" s="3"/>
    </row>
    <row r="233" spans="5:19" x14ac:dyDescent="0.25">
      <c r="E233" s="3"/>
      <c r="F233" s="3"/>
      <c r="G233" s="3"/>
      <c r="H233" s="3"/>
      <c r="I233" s="3"/>
      <c r="J233" s="3"/>
      <c r="K233" s="3"/>
      <c r="L233" s="3"/>
      <c r="M233" s="3"/>
      <c r="N233" s="3"/>
      <c r="O233" s="3"/>
      <c r="P233" s="3"/>
      <c r="Q233" s="3"/>
      <c r="R233" s="3"/>
      <c r="S233" s="3"/>
    </row>
    <row r="234" spans="5:19" x14ac:dyDescent="0.25">
      <c r="E234" s="3"/>
      <c r="F234" s="3"/>
      <c r="G234" s="3"/>
      <c r="H234" s="3"/>
      <c r="I234" s="3"/>
      <c r="J234" s="3"/>
      <c r="K234" s="3"/>
      <c r="L234" s="3"/>
      <c r="M234" s="3"/>
      <c r="N234" s="3"/>
      <c r="O234" s="3"/>
      <c r="P234" s="3"/>
      <c r="Q234" s="3"/>
      <c r="R234" s="3"/>
      <c r="S234" s="3"/>
    </row>
    <row r="235" spans="5:19" x14ac:dyDescent="0.25">
      <c r="E235" s="3"/>
      <c r="F235" s="3"/>
      <c r="G235" s="3"/>
      <c r="H235" s="3"/>
      <c r="I235" s="3"/>
      <c r="J235" s="3"/>
      <c r="K235" s="3"/>
      <c r="L235" s="3"/>
      <c r="M235" s="3"/>
      <c r="N235" s="3"/>
      <c r="O235" s="3"/>
      <c r="P235" s="3"/>
      <c r="Q235" s="3"/>
      <c r="R235" s="3"/>
      <c r="S235" s="3"/>
    </row>
    <row r="236" spans="5:19" x14ac:dyDescent="0.25">
      <c r="E236" s="3"/>
      <c r="F236" s="3"/>
      <c r="G236" s="3"/>
      <c r="H236" s="3"/>
      <c r="I236" s="3"/>
      <c r="J236" s="3"/>
      <c r="K236" s="3"/>
      <c r="L236" s="3"/>
      <c r="M236" s="3"/>
      <c r="N236" s="3"/>
      <c r="O236" s="3"/>
      <c r="P236" s="3"/>
      <c r="Q236" s="3"/>
      <c r="R236" s="3"/>
      <c r="S236" s="3"/>
    </row>
    <row r="237" spans="5:19" x14ac:dyDescent="0.25">
      <c r="E237" s="3"/>
      <c r="F237" s="3"/>
      <c r="G237" s="3"/>
      <c r="H237" s="3"/>
      <c r="I237" s="3"/>
      <c r="J237" s="3"/>
      <c r="K237" s="3"/>
      <c r="L237" s="3"/>
      <c r="M237" s="3"/>
      <c r="N237" s="3"/>
      <c r="O237" s="3"/>
      <c r="P237" s="3"/>
      <c r="Q237" s="3"/>
      <c r="R237" s="3"/>
      <c r="S237" s="3"/>
    </row>
    <row r="238" spans="5:19" x14ac:dyDescent="0.25">
      <c r="E238" s="3"/>
      <c r="F238" s="3"/>
      <c r="G238" s="3"/>
      <c r="H238" s="3"/>
      <c r="I238" s="3"/>
      <c r="J238" s="3"/>
      <c r="K238" s="3"/>
      <c r="L238" s="3"/>
      <c r="M238" s="3"/>
      <c r="N238" s="3"/>
      <c r="O238" s="3"/>
      <c r="P238" s="3"/>
      <c r="Q238" s="3"/>
      <c r="R238" s="3"/>
      <c r="S238" s="3"/>
    </row>
    <row r="239" spans="5:19" x14ac:dyDescent="0.25">
      <c r="E239" s="3"/>
      <c r="F239" s="3"/>
      <c r="G239" s="3"/>
      <c r="H239" s="3"/>
      <c r="I239" s="3"/>
      <c r="J239" s="3"/>
      <c r="K239" s="3"/>
      <c r="L239" s="3"/>
      <c r="M239" s="3"/>
      <c r="N239" s="3"/>
      <c r="O239" s="3"/>
      <c r="P239" s="3"/>
      <c r="Q239" s="3"/>
      <c r="R239" s="3"/>
      <c r="S239" s="3"/>
    </row>
    <row r="240" spans="5:19" x14ac:dyDescent="0.25">
      <c r="E240" s="3"/>
      <c r="F240" s="3"/>
      <c r="G240" s="3"/>
      <c r="H240" s="3"/>
      <c r="I240" s="3"/>
      <c r="J240" s="3"/>
      <c r="K240" s="3"/>
      <c r="L240" s="3"/>
      <c r="M240" s="3"/>
      <c r="N240" s="3"/>
      <c r="O240" s="3"/>
      <c r="P240" s="3"/>
      <c r="Q240" s="3"/>
      <c r="R240" s="3"/>
      <c r="S240" s="3"/>
    </row>
    <row r="241" spans="5:19" x14ac:dyDescent="0.25">
      <c r="E241" s="3"/>
      <c r="F241" s="3"/>
      <c r="G241" s="3"/>
      <c r="H241" s="3"/>
      <c r="I241" s="3"/>
      <c r="J241" s="3"/>
      <c r="K241" s="3"/>
      <c r="L241" s="3"/>
      <c r="M241" s="3"/>
      <c r="N241" s="3"/>
      <c r="O241" s="3"/>
      <c r="P241" s="3"/>
      <c r="Q241" s="3"/>
      <c r="R241" s="3"/>
      <c r="S241" s="3"/>
    </row>
    <row r="242" spans="5:19" x14ac:dyDescent="0.25">
      <c r="E242" s="3"/>
      <c r="F242" s="3"/>
      <c r="G242" s="3"/>
      <c r="H242" s="3"/>
      <c r="I242" s="3"/>
      <c r="J242" s="3"/>
      <c r="K242" s="3"/>
      <c r="L242" s="3"/>
      <c r="M242" s="3"/>
      <c r="N242" s="3"/>
      <c r="O242" s="3"/>
      <c r="P242" s="3"/>
      <c r="Q242" s="3"/>
      <c r="R242" s="3"/>
      <c r="S242" s="3"/>
    </row>
    <row r="243" spans="5:19" x14ac:dyDescent="0.25">
      <c r="E243" s="3"/>
      <c r="F243" s="3"/>
      <c r="G243" s="3"/>
      <c r="H243" s="3"/>
      <c r="I243" s="3"/>
      <c r="J243" s="3"/>
      <c r="K243" s="3"/>
      <c r="L243" s="3"/>
      <c r="M243" s="3"/>
      <c r="N243" s="3"/>
      <c r="O243" s="3"/>
      <c r="P243" s="3"/>
      <c r="Q243" s="3"/>
      <c r="R243" s="3"/>
      <c r="S243" s="3"/>
    </row>
    <row r="244" spans="5:19" x14ac:dyDescent="0.25">
      <c r="E244" s="3"/>
      <c r="F244" s="3"/>
      <c r="G244" s="3"/>
      <c r="H244" s="3"/>
      <c r="I244" s="3"/>
      <c r="J244" s="3"/>
      <c r="K244" s="3"/>
      <c r="L244" s="3"/>
      <c r="M244" s="3"/>
      <c r="N244" s="3"/>
      <c r="O244" s="3"/>
      <c r="P244" s="3"/>
      <c r="Q244" s="3"/>
      <c r="R244" s="3"/>
      <c r="S244" s="3"/>
    </row>
    <row r="245" spans="5:19" x14ac:dyDescent="0.25">
      <c r="E245" s="3"/>
      <c r="F245" s="3"/>
      <c r="G245" s="3"/>
      <c r="H245" s="3"/>
      <c r="I245" s="3"/>
      <c r="J245" s="3"/>
      <c r="K245" s="3"/>
      <c r="L245" s="3"/>
      <c r="M245" s="3"/>
      <c r="N245" s="3"/>
      <c r="O245" s="3"/>
      <c r="P245" s="3"/>
      <c r="Q245" s="3"/>
      <c r="R245" s="3"/>
      <c r="S245" s="3"/>
    </row>
    <row r="246" spans="5:19" x14ac:dyDescent="0.25">
      <c r="E246" s="3"/>
      <c r="F246" s="3"/>
      <c r="G246" s="3"/>
      <c r="H246" s="3"/>
      <c r="I246" s="3"/>
      <c r="J246" s="3"/>
      <c r="K246" s="3"/>
      <c r="L246" s="3"/>
      <c r="M246" s="3"/>
      <c r="N246" s="3"/>
      <c r="O246" s="3"/>
      <c r="P246" s="3"/>
      <c r="Q246" s="3"/>
      <c r="R246" s="3"/>
      <c r="S246" s="3"/>
    </row>
    <row r="247" spans="5:19" x14ac:dyDescent="0.25">
      <c r="E247" s="3"/>
      <c r="F247" s="3"/>
      <c r="G247" s="3"/>
      <c r="H247" s="3"/>
      <c r="I247" s="3"/>
      <c r="J247" s="3"/>
      <c r="K247" s="3"/>
      <c r="L247" s="3"/>
      <c r="M247" s="3"/>
      <c r="N247" s="3"/>
      <c r="O247" s="3"/>
      <c r="P247" s="3"/>
      <c r="Q247" s="3"/>
      <c r="R247" s="3"/>
      <c r="S247" s="3"/>
    </row>
    <row r="248" spans="5:19" x14ac:dyDescent="0.25">
      <c r="E248" s="3"/>
      <c r="F248" s="3"/>
      <c r="G248" s="3"/>
      <c r="H248" s="3"/>
      <c r="I248" s="3"/>
      <c r="J248" s="3"/>
      <c r="K248" s="3"/>
      <c r="L248" s="3"/>
      <c r="M248" s="3"/>
      <c r="N248" s="3"/>
      <c r="O248" s="3"/>
      <c r="P248" s="3"/>
      <c r="Q248" s="3"/>
      <c r="R248" s="3"/>
      <c r="S248" s="3"/>
    </row>
    <row r="249" spans="5:19" x14ac:dyDescent="0.25">
      <c r="E249" s="3"/>
      <c r="F249" s="3"/>
      <c r="G249" s="3"/>
      <c r="H249" s="3"/>
      <c r="I249" s="3"/>
      <c r="J249" s="3"/>
      <c r="K249" s="3"/>
      <c r="L249" s="3"/>
      <c r="M249" s="3"/>
      <c r="N249" s="3"/>
      <c r="O249" s="3"/>
      <c r="P249" s="3"/>
      <c r="Q249" s="3"/>
      <c r="R249" s="3"/>
      <c r="S249" s="3"/>
    </row>
    <row r="250" spans="5:19" x14ac:dyDescent="0.25">
      <c r="E250" s="3"/>
      <c r="F250" s="3"/>
      <c r="G250" s="3"/>
      <c r="H250" s="3"/>
      <c r="I250" s="3"/>
      <c r="J250" s="3"/>
      <c r="K250" s="3"/>
      <c r="L250" s="3"/>
      <c r="M250" s="3"/>
      <c r="N250" s="3"/>
      <c r="O250" s="3"/>
      <c r="P250" s="3"/>
      <c r="Q250" s="3"/>
      <c r="R250" s="3"/>
      <c r="S250" s="3"/>
    </row>
    <row r="251" spans="5:19" x14ac:dyDescent="0.25">
      <c r="E251" s="3"/>
      <c r="F251" s="3"/>
      <c r="G251" s="3"/>
      <c r="H251" s="3"/>
      <c r="I251" s="3"/>
      <c r="J251" s="3"/>
      <c r="K251" s="3"/>
      <c r="L251" s="3"/>
      <c r="M251" s="3"/>
      <c r="N251" s="3"/>
      <c r="O251" s="3"/>
      <c r="P251" s="3"/>
      <c r="Q251" s="3"/>
      <c r="R251" s="3"/>
      <c r="S251" s="3"/>
    </row>
    <row r="252" spans="5:19" x14ac:dyDescent="0.25">
      <c r="E252" s="3"/>
      <c r="F252" s="3"/>
      <c r="G252" s="3"/>
      <c r="H252" s="3"/>
      <c r="I252" s="3"/>
      <c r="J252" s="3"/>
      <c r="K252" s="3"/>
      <c r="L252" s="3"/>
      <c r="M252" s="3"/>
      <c r="N252" s="3"/>
      <c r="O252" s="3"/>
      <c r="P252" s="3"/>
      <c r="Q252" s="3"/>
      <c r="R252" s="3"/>
      <c r="S252" s="3"/>
    </row>
    <row r="253" spans="5:19" x14ac:dyDescent="0.25">
      <c r="E253" s="3"/>
      <c r="F253" s="3"/>
      <c r="G253" s="3"/>
      <c r="H253" s="3"/>
      <c r="I253" s="3"/>
      <c r="J253" s="3"/>
      <c r="K253" s="3"/>
      <c r="L253" s="3"/>
      <c r="M253" s="3"/>
      <c r="N253" s="3"/>
      <c r="O253" s="3"/>
      <c r="P253" s="3"/>
      <c r="Q253" s="3"/>
      <c r="R253" s="3"/>
      <c r="S253" s="3"/>
    </row>
    <row r="254" spans="5:19" x14ac:dyDescent="0.25">
      <c r="E254" s="3"/>
      <c r="F254" s="3"/>
      <c r="G254" s="3"/>
      <c r="H254" s="3"/>
      <c r="I254" s="3"/>
      <c r="J254" s="3"/>
      <c r="K254" s="3"/>
      <c r="L254" s="3"/>
      <c r="M254" s="3"/>
      <c r="N254" s="3"/>
      <c r="O254" s="3"/>
      <c r="P254" s="3"/>
      <c r="Q254" s="3"/>
      <c r="R254" s="3"/>
      <c r="S254" s="3"/>
    </row>
    <row r="255" spans="5:19" x14ac:dyDescent="0.25">
      <c r="E255" s="3"/>
      <c r="F255" s="3"/>
      <c r="G255" s="3"/>
      <c r="H255" s="3"/>
      <c r="I255" s="3"/>
      <c r="J255" s="3"/>
      <c r="K255" s="3"/>
      <c r="L255" s="3"/>
      <c r="M255" s="3"/>
      <c r="N255" s="3"/>
      <c r="O255" s="3"/>
      <c r="P255" s="3"/>
      <c r="Q255" s="3"/>
      <c r="R255" s="3"/>
      <c r="S255" s="3"/>
    </row>
    <row r="256" spans="5:19" x14ac:dyDescent="0.25">
      <c r="E256" s="3"/>
      <c r="F256" s="3"/>
      <c r="G256" s="3"/>
      <c r="H256" s="3"/>
      <c r="I256" s="3"/>
      <c r="J256" s="3"/>
      <c r="K256" s="3"/>
      <c r="L256" s="3"/>
      <c r="M256" s="3"/>
      <c r="N256" s="3"/>
      <c r="O256" s="3"/>
      <c r="P256" s="3"/>
      <c r="Q256" s="3"/>
      <c r="R256" s="3"/>
      <c r="S256" s="3"/>
    </row>
    <row r="257" spans="5:19" x14ac:dyDescent="0.25">
      <c r="E257" s="3"/>
      <c r="F257" s="3"/>
      <c r="G257" s="3"/>
      <c r="H257" s="3"/>
      <c r="I257" s="3"/>
      <c r="J257" s="3"/>
      <c r="K257" s="3"/>
      <c r="L257" s="3"/>
      <c r="M257" s="3"/>
      <c r="N257" s="3"/>
      <c r="O257" s="3"/>
      <c r="P257" s="3"/>
      <c r="Q257" s="3"/>
      <c r="R257" s="3"/>
      <c r="S257" s="3"/>
    </row>
    <row r="258" spans="5:19" x14ac:dyDescent="0.25">
      <c r="E258" s="3"/>
      <c r="F258" s="3"/>
      <c r="G258" s="3"/>
      <c r="H258" s="3"/>
      <c r="I258" s="3"/>
      <c r="J258" s="3"/>
      <c r="K258" s="3"/>
      <c r="L258" s="3"/>
      <c r="M258" s="3"/>
      <c r="N258" s="3"/>
      <c r="O258" s="3"/>
      <c r="P258" s="3"/>
      <c r="Q258" s="3"/>
      <c r="R258" s="3"/>
      <c r="S258" s="3"/>
    </row>
    <row r="259" spans="5:19" x14ac:dyDescent="0.25">
      <c r="E259" s="3"/>
      <c r="F259" s="3"/>
      <c r="G259" s="3"/>
      <c r="H259" s="3"/>
      <c r="I259" s="3"/>
      <c r="J259" s="3"/>
      <c r="K259" s="3"/>
      <c r="L259" s="3"/>
      <c r="M259" s="3"/>
      <c r="N259" s="3"/>
      <c r="O259" s="3"/>
      <c r="P259" s="3"/>
      <c r="Q259" s="3"/>
      <c r="R259" s="3"/>
      <c r="S259" s="3"/>
    </row>
    <row r="260" spans="5:19" x14ac:dyDescent="0.25">
      <c r="E260" s="3"/>
      <c r="F260" s="3"/>
      <c r="G260" s="3"/>
      <c r="H260" s="3"/>
      <c r="I260" s="3"/>
      <c r="J260" s="3"/>
      <c r="K260" s="3"/>
      <c r="L260" s="3"/>
      <c r="M260" s="3"/>
      <c r="N260" s="3"/>
      <c r="O260" s="3"/>
      <c r="P260" s="3"/>
      <c r="Q260" s="3"/>
      <c r="R260" s="3"/>
      <c r="S260" s="3"/>
    </row>
    <row r="261" spans="5:19" x14ac:dyDescent="0.25">
      <c r="E261" s="3"/>
      <c r="F261" s="3"/>
      <c r="G261" s="3"/>
      <c r="H261" s="3"/>
      <c r="I261" s="3"/>
      <c r="J261" s="3"/>
      <c r="K261" s="3"/>
      <c r="L261" s="3"/>
      <c r="M261" s="3"/>
      <c r="N261" s="3"/>
      <c r="O261" s="3"/>
      <c r="P261" s="3"/>
      <c r="Q261" s="3"/>
      <c r="R261" s="3"/>
      <c r="S261" s="3"/>
    </row>
    <row r="262" spans="5:19" x14ac:dyDescent="0.25">
      <c r="E262" s="3"/>
      <c r="F262" s="3"/>
      <c r="G262" s="3"/>
      <c r="H262" s="3"/>
      <c r="I262" s="3"/>
      <c r="J262" s="3"/>
      <c r="K262" s="3"/>
      <c r="L262" s="3"/>
      <c r="M262" s="3"/>
      <c r="N262" s="3"/>
      <c r="O262" s="3"/>
      <c r="P262" s="3"/>
      <c r="Q262" s="3"/>
      <c r="R262" s="3"/>
      <c r="S262" s="3"/>
    </row>
    <row r="263" spans="5:19" x14ac:dyDescent="0.25">
      <c r="E263" s="3"/>
      <c r="F263" s="3"/>
      <c r="G263" s="3"/>
      <c r="H263" s="3"/>
      <c r="I263" s="3"/>
      <c r="J263" s="3"/>
      <c r="K263" s="3"/>
      <c r="L263" s="3"/>
      <c r="M263" s="3"/>
      <c r="N263" s="3"/>
      <c r="O263" s="3"/>
      <c r="P263" s="3"/>
      <c r="Q263" s="3"/>
      <c r="R263" s="3"/>
    </row>
    <row r="264" spans="5:19" x14ac:dyDescent="0.25">
      <c r="E264" s="3"/>
      <c r="F264" s="3"/>
      <c r="G264" s="3"/>
      <c r="H264" s="3"/>
      <c r="I264" s="3"/>
      <c r="J264" s="3"/>
      <c r="K264" s="3"/>
      <c r="L264" s="3"/>
      <c r="M264" s="3"/>
      <c r="N264" s="3"/>
      <c r="O264" s="3"/>
      <c r="P264" s="3"/>
      <c r="Q264" s="3"/>
      <c r="R264" s="3"/>
    </row>
    <row r="265" spans="5:19" x14ac:dyDescent="0.25">
      <c r="E265" s="3"/>
      <c r="F265" s="3"/>
      <c r="G265" s="3"/>
      <c r="H265" s="3"/>
      <c r="I265" s="3"/>
      <c r="J265" s="3"/>
      <c r="K265" s="3"/>
      <c r="L265" s="3"/>
      <c r="M265" s="3"/>
      <c r="N265" s="3"/>
      <c r="O265" s="3"/>
      <c r="P265" s="3"/>
      <c r="Q265" s="3"/>
      <c r="R265" s="3"/>
    </row>
    <row r="266" spans="5:19" x14ac:dyDescent="0.25">
      <c r="E266" s="3"/>
      <c r="F266" s="3"/>
      <c r="G266" s="3"/>
      <c r="H266" s="3"/>
      <c r="I266" s="3"/>
      <c r="J266" s="3"/>
      <c r="K266" s="3"/>
      <c r="L266" s="3"/>
      <c r="M266" s="3"/>
      <c r="N266" s="3"/>
      <c r="O266" s="3"/>
      <c r="P266" s="3"/>
      <c r="Q266" s="3"/>
      <c r="R266" s="3"/>
    </row>
    <row r="267" spans="5:19" x14ac:dyDescent="0.25">
      <c r="E267" s="3"/>
      <c r="F267" s="3"/>
      <c r="G267" s="3"/>
      <c r="H267" s="3"/>
      <c r="I267" s="3"/>
      <c r="J267" s="3"/>
      <c r="K267" s="3"/>
      <c r="L267" s="3"/>
      <c r="M267" s="3"/>
      <c r="N267" s="3"/>
      <c r="O267" s="3"/>
      <c r="P267" s="3"/>
      <c r="Q267" s="3"/>
      <c r="R267" s="3"/>
    </row>
    <row r="268" spans="5:19" x14ac:dyDescent="0.25">
      <c r="E268" s="3"/>
      <c r="F268" s="3"/>
      <c r="G268" s="3"/>
      <c r="H268" s="3"/>
      <c r="I268" s="3"/>
      <c r="J268" s="3"/>
      <c r="K268" s="3"/>
      <c r="L268" s="3"/>
      <c r="M268" s="3"/>
      <c r="N268" s="3"/>
      <c r="O268" s="3"/>
      <c r="P268" s="3"/>
      <c r="Q268" s="3"/>
      <c r="R268" s="3"/>
    </row>
    <row r="269" spans="5:19" x14ac:dyDescent="0.25">
      <c r="E269" s="3"/>
      <c r="F269" s="3"/>
      <c r="G269" s="3"/>
      <c r="H269" s="3"/>
      <c r="I269" s="3"/>
      <c r="J269" s="3"/>
      <c r="K269" s="3"/>
      <c r="L269" s="3"/>
      <c r="M269" s="3"/>
      <c r="N269" s="3"/>
      <c r="O269" s="3"/>
      <c r="P269" s="3"/>
      <c r="Q269" s="3"/>
      <c r="R269" s="3"/>
    </row>
    <row r="270" spans="5:19" x14ac:dyDescent="0.25">
      <c r="E270" s="3"/>
      <c r="F270" s="3"/>
      <c r="G270" s="3"/>
      <c r="H270" s="3"/>
      <c r="I270" s="3"/>
      <c r="J270" s="3"/>
      <c r="K270" s="3"/>
      <c r="L270" s="3"/>
      <c r="M270" s="3"/>
      <c r="N270" s="3"/>
      <c r="O270" s="3"/>
      <c r="P270" s="3"/>
      <c r="Q270" s="3"/>
      <c r="R270" s="3"/>
    </row>
  </sheetData>
  <mergeCells count="1">
    <mergeCell ref="S80:AD80"/>
  </mergeCells>
  <printOptions horizontalCentered="1"/>
  <pageMargins left="0" right="0" top="0.5" bottom="0" header="0" footer="0"/>
  <pageSetup scale="45" fitToHeight="0" orientation="landscape" r:id="rId1"/>
  <headerFooter>
    <oddHeader>&amp;CBentley's Home Collection</oddHeader>
  </headerFooter>
  <rowBreaks count="3" manualBreakCount="3">
    <brk id="41" max="16383" man="1"/>
    <brk id="79" max="16383" man="1"/>
    <brk id="106" max="16383" man="1"/>
  </rowBreaks>
  <colBreaks count="1" manualBreakCount="1">
    <brk id="1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F222"/>
  <sheetViews>
    <sheetView view="pageBreakPreview" zoomScaleNormal="100" zoomScaleSheetLayoutView="100" workbookViewId="0">
      <selection activeCell="G140" sqref="G140"/>
    </sheetView>
  </sheetViews>
  <sheetFormatPr defaultRowHeight="12.75" x14ac:dyDescent="0.2"/>
  <cols>
    <col min="1" max="1" width="8" customWidth="1"/>
    <col min="2" max="2" width="33.140625" customWidth="1"/>
    <col min="3" max="3" width="5.140625" bestFit="1" customWidth="1"/>
    <col min="4" max="4" width="24.42578125" customWidth="1"/>
    <col min="5" max="5" width="14" bestFit="1" customWidth="1"/>
    <col min="6" max="6" width="14.42578125" bestFit="1" customWidth="1"/>
    <col min="7" max="7" width="14.42578125" customWidth="1"/>
    <col min="8" max="8" width="15.42578125" bestFit="1" customWidth="1"/>
    <col min="9" max="9" width="16.140625" bestFit="1" customWidth="1"/>
    <col min="10" max="11" width="8.42578125" bestFit="1" customWidth="1"/>
    <col min="12" max="12" width="2.42578125" customWidth="1"/>
    <col min="13" max="13" width="12.28515625" bestFit="1" customWidth="1"/>
    <col min="14" max="14" width="22.28515625" bestFit="1" customWidth="1"/>
    <col min="15" max="15" width="17.7109375" customWidth="1"/>
    <col min="16" max="16" width="26.85546875" customWidth="1"/>
    <col min="17" max="17" width="13.140625" bestFit="1" customWidth="1"/>
    <col min="18" max="18" width="17.28515625" bestFit="1" customWidth="1"/>
    <col min="19" max="19" width="11.5703125" bestFit="1" customWidth="1"/>
    <col min="20" max="20" width="10.5703125" bestFit="1" customWidth="1"/>
    <col min="21" max="21" width="27.140625" bestFit="1" customWidth="1"/>
    <col min="22" max="22" width="13.7109375" bestFit="1" customWidth="1"/>
    <col min="23" max="23" width="9.85546875" bestFit="1" customWidth="1"/>
    <col min="24" max="24" width="20.140625" customWidth="1"/>
    <col min="25" max="25" width="17.28515625" customWidth="1"/>
    <col min="26" max="26" width="14" bestFit="1" customWidth="1"/>
    <col min="27" max="27" width="17.28515625" bestFit="1" customWidth="1"/>
    <col min="28" max="28" width="12.28515625" bestFit="1" customWidth="1"/>
  </cols>
  <sheetData>
    <row r="1" spans="1:32" ht="29.25" thickBot="1" x14ac:dyDescent="0.5">
      <c r="A1" s="76" t="s">
        <v>63</v>
      </c>
      <c r="B1" s="77"/>
      <c r="C1" s="77"/>
      <c r="D1" s="169" t="s">
        <v>155</v>
      </c>
      <c r="E1" s="77"/>
      <c r="F1" s="77"/>
      <c r="G1" s="77"/>
      <c r="H1" s="77"/>
      <c r="I1" s="77"/>
      <c r="J1" s="77"/>
      <c r="K1" s="79"/>
      <c r="L1" s="77"/>
      <c r="M1" s="78"/>
      <c r="N1" s="79"/>
      <c r="O1" s="1"/>
      <c r="P1" s="1"/>
      <c r="Q1" s="1"/>
      <c r="R1" s="1"/>
      <c r="S1" s="1"/>
      <c r="T1" s="1"/>
      <c r="U1" s="1"/>
      <c r="V1" s="1"/>
      <c r="W1" s="1"/>
      <c r="X1" s="1"/>
      <c r="Y1" s="1"/>
      <c r="Z1" s="1"/>
      <c r="AA1" s="1"/>
      <c r="AB1" s="1"/>
      <c r="AC1" s="1"/>
      <c r="AD1" s="1"/>
      <c r="AE1" s="1"/>
      <c r="AF1" s="1"/>
    </row>
    <row r="2" spans="1:32" ht="21.75" thickBot="1" x14ac:dyDescent="0.4">
      <c r="A2" s="107"/>
      <c r="B2" s="108"/>
      <c r="C2" s="108"/>
      <c r="D2" s="108"/>
      <c r="E2" s="108">
        <v>2014</v>
      </c>
      <c r="F2" s="108">
        <v>2015</v>
      </c>
      <c r="G2" s="108">
        <v>2016</v>
      </c>
      <c r="H2" s="108">
        <v>2017</v>
      </c>
      <c r="I2" s="108">
        <v>2018</v>
      </c>
      <c r="J2" s="108">
        <v>2019</v>
      </c>
      <c r="K2" s="110">
        <v>2020</v>
      </c>
      <c r="L2" s="108"/>
      <c r="M2" s="109"/>
      <c r="N2" s="110"/>
      <c r="O2" s="1"/>
      <c r="P2" s="420" t="s">
        <v>202</v>
      </c>
      <c r="Q2" s="421"/>
      <c r="R2" s="421"/>
      <c r="S2" s="421"/>
      <c r="T2" s="421"/>
      <c r="U2" s="422"/>
      <c r="V2" s="1"/>
      <c r="W2" s="1"/>
      <c r="X2" s="1"/>
      <c r="Y2" s="1"/>
      <c r="Z2" s="1"/>
      <c r="AA2" s="1"/>
      <c r="AB2" s="1"/>
      <c r="AC2" s="1"/>
      <c r="AD2" s="1"/>
      <c r="AE2" s="1"/>
      <c r="AF2" s="1"/>
    </row>
    <row r="3" spans="1:32" ht="21" x14ac:dyDescent="0.35">
      <c r="A3" s="158" t="s">
        <v>130</v>
      </c>
      <c r="B3" s="159"/>
      <c r="C3" s="159"/>
      <c r="D3" s="159"/>
      <c r="E3" s="159"/>
      <c r="F3" s="159"/>
      <c r="G3" s="159"/>
      <c r="H3" s="159"/>
      <c r="I3" s="159"/>
      <c r="J3" s="159"/>
      <c r="K3" s="161"/>
      <c r="L3" s="159"/>
      <c r="M3" s="160"/>
      <c r="N3" s="161"/>
      <c r="O3" s="1"/>
      <c r="P3" s="379"/>
      <c r="Q3" s="112" t="s">
        <v>92</v>
      </c>
      <c r="R3" s="170">
        <f>0.045+0.15</f>
        <v>0.19500000000000001</v>
      </c>
      <c r="S3" s="112"/>
      <c r="T3" s="112"/>
      <c r="U3" s="113"/>
      <c r="AA3" s="1"/>
      <c r="AB3" s="1"/>
      <c r="AC3" s="1"/>
      <c r="AD3" s="1"/>
      <c r="AE3" s="1"/>
      <c r="AF3" s="1"/>
    </row>
    <row r="4" spans="1:32" ht="15.75" x14ac:dyDescent="0.25">
      <c r="A4" s="67" t="s">
        <v>64</v>
      </c>
      <c r="B4" s="68"/>
      <c r="C4" s="68"/>
      <c r="D4" s="68"/>
      <c r="E4" s="98">
        <v>4000</v>
      </c>
      <c r="F4" s="69">
        <f t="shared" ref="F4:I5" si="0">E4*(1+$M4)</f>
        <v>4000</v>
      </c>
      <c r="G4" s="69">
        <f t="shared" si="0"/>
        <v>4000</v>
      </c>
      <c r="H4" s="69">
        <f t="shared" si="0"/>
        <v>4000</v>
      </c>
      <c r="I4" s="69">
        <f t="shared" si="0"/>
        <v>4000</v>
      </c>
      <c r="J4" s="69">
        <v>0</v>
      </c>
      <c r="K4" s="283">
        <f>J4</f>
        <v>0</v>
      </c>
      <c r="L4" s="69"/>
      <c r="M4" s="95">
        <v>0</v>
      </c>
      <c r="N4" s="70" t="s">
        <v>47</v>
      </c>
      <c r="O4" s="1"/>
      <c r="P4" s="380"/>
      <c r="Q4" s="115"/>
      <c r="R4" s="116"/>
      <c r="S4" s="115"/>
      <c r="T4" s="115"/>
      <c r="U4" s="117"/>
      <c r="AA4" s="1"/>
      <c r="AB4" s="1"/>
      <c r="AC4" s="1"/>
      <c r="AD4" s="1"/>
      <c r="AE4" s="1"/>
      <c r="AF4" s="1"/>
    </row>
    <row r="5" spans="1:32" ht="15.75" x14ac:dyDescent="0.25">
      <c r="A5" s="67" t="s">
        <v>65</v>
      </c>
      <c r="B5" s="68"/>
      <c r="C5" s="68"/>
      <c r="D5" s="68"/>
      <c r="E5" s="99">
        <v>40</v>
      </c>
      <c r="F5" s="71">
        <f t="shared" si="0"/>
        <v>41.6</v>
      </c>
      <c r="G5" s="71">
        <f t="shared" si="0"/>
        <v>43.264000000000003</v>
      </c>
      <c r="H5" s="71">
        <f t="shared" si="0"/>
        <v>44.994560000000007</v>
      </c>
      <c r="I5" s="71">
        <f t="shared" si="0"/>
        <v>46.794342400000012</v>
      </c>
      <c r="J5" s="71">
        <v>0</v>
      </c>
      <c r="K5" s="284">
        <f>J5</f>
        <v>0</v>
      </c>
      <c r="L5" s="71"/>
      <c r="M5" s="95">
        <v>0.04</v>
      </c>
      <c r="N5" s="70" t="s">
        <v>47</v>
      </c>
      <c r="O5" s="1"/>
      <c r="P5" s="381"/>
      <c r="Q5" s="115" t="s">
        <v>93</v>
      </c>
      <c r="R5" s="119">
        <v>2.75E-2</v>
      </c>
      <c r="S5" s="115"/>
      <c r="T5" s="115"/>
      <c r="U5" s="117"/>
      <c r="AA5" s="1"/>
      <c r="AB5" s="1"/>
      <c r="AC5" s="1"/>
      <c r="AD5" s="1"/>
      <c r="AE5" s="1"/>
      <c r="AF5" s="1"/>
    </row>
    <row r="6" spans="1:32" ht="15.75" x14ac:dyDescent="0.25">
      <c r="A6" s="67" t="s">
        <v>66</v>
      </c>
      <c r="B6" s="68"/>
      <c r="C6" s="68"/>
      <c r="D6" s="68"/>
      <c r="E6" s="71">
        <f>$M$6*E5</f>
        <v>23.88</v>
      </c>
      <c r="F6" s="71">
        <f>$M$6*F5</f>
        <v>24.8352</v>
      </c>
      <c r="G6" s="71">
        <f>$M$6*G5</f>
        <v>25.828607999999999</v>
      </c>
      <c r="H6" s="71">
        <f>$M$6*H5</f>
        <v>26.861752320000004</v>
      </c>
      <c r="I6" s="71">
        <f>$M$6*I5</f>
        <v>27.936222412800007</v>
      </c>
      <c r="J6" s="71">
        <v>0</v>
      </c>
      <c r="K6" s="284">
        <f>$M$6*K5</f>
        <v>0</v>
      </c>
      <c r="L6" s="71"/>
      <c r="M6" s="95">
        <v>0.59699999999999998</v>
      </c>
      <c r="N6" s="70" t="s">
        <v>133</v>
      </c>
      <c r="O6" s="1"/>
      <c r="P6" s="381"/>
      <c r="Q6" s="115" t="s">
        <v>94</v>
      </c>
      <c r="R6" s="119">
        <v>7.0000000000000007E-2</v>
      </c>
      <c r="S6" s="115"/>
      <c r="T6" s="115"/>
      <c r="U6" s="117"/>
      <c r="AA6" s="1"/>
      <c r="AB6" s="1"/>
      <c r="AC6" s="1"/>
      <c r="AD6" s="1"/>
      <c r="AE6" s="1"/>
      <c r="AF6" s="1"/>
    </row>
    <row r="7" spans="1:32" ht="15.75" x14ac:dyDescent="0.25">
      <c r="A7" s="67"/>
      <c r="B7" s="68"/>
      <c r="C7" s="68"/>
      <c r="D7" s="68"/>
      <c r="E7" s="71"/>
      <c r="F7" s="71"/>
      <c r="G7" s="71"/>
      <c r="H7" s="71"/>
      <c r="I7" s="71"/>
      <c r="J7" s="71"/>
      <c r="K7" s="284"/>
      <c r="L7" s="71"/>
      <c r="M7" s="95"/>
      <c r="N7" s="70"/>
      <c r="O7" s="1"/>
      <c r="P7" s="382"/>
      <c r="Q7" s="115"/>
      <c r="R7" s="116"/>
      <c r="S7" s="115"/>
      <c r="T7" s="115"/>
      <c r="U7" s="117"/>
      <c r="AA7" s="1"/>
      <c r="AB7" s="1"/>
      <c r="AC7" s="1"/>
      <c r="AD7" s="1"/>
      <c r="AE7" s="1"/>
      <c r="AF7" s="1"/>
    </row>
    <row r="8" spans="1:32" ht="15.75" x14ac:dyDescent="0.25">
      <c r="A8" s="67" t="s">
        <v>67</v>
      </c>
      <c r="B8" s="68"/>
      <c r="C8" s="68"/>
      <c r="D8" s="68"/>
      <c r="E8" s="98">
        <v>750</v>
      </c>
      <c r="F8" s="69">
        <f t="shared" ref="F8:I9" si="1">E8*(1+$M8)</f>
        <v>750</v>
      </c>
      <c r="G8" s="69">
        <f t="shared" si="1"/>
        <v>750</v>
      </c>
      <c r="H8" s="69">
        <f t="shared" si="1"/>
        <v>750</v>
      </c>
      <c r="I8" s="69">
        <f t="shared" si="1"/>
        <v>750</v>
      </c>
      <c r="J8" s="69">
        <v>0</v>
      </c>
      <c r="K8" s="283">
        <f>J8</f>
        <v>0</v>
      </c>
      <c r="L8" s="69"/>
      <c r="M8" s="95">
        <v>0</v>
      </c>
      <c r="N8" s="70" t="s">
        <v>47</v>
      </c>
      <c r="O8" s="1"/>
      <c r="P8" s="381"/>
      <c r="Q8" s="115" t="s">
        <v>95</v>
      </c>
      <c r="R8" s="116">
        <v>0.99</v>
      </c>
      <c r="S8" s="115"/>
      <c r="T8" s="115"/>
      <c r="U8" s="117"/>
      <c r="AA8" s="1"/>
      <c r="AB8" s="1"/>
      <c r="AC8" s="1"/>
      <c r="AD8" s="1"/>
      <c r="AE8" s="1"/>
      <c r="AF8" s="1"/>
    </row>
    <row r="9" spans="1:32" ht="15.75" x14ac:dyDescent="0.25">
      <c r="A9" s="67" t="s">
        <v>68</v>
      </c>
      <c r="B9" s="68"/>
      <c r="C9" s="68"/>
      <c r="D9" s="68"/>
      <c r="E9" s="99">
        <v>30</v>
      </c>
      <c r="F9" s="71">
        <f t="shared" si="1"/>
        <v>31.200000000000003</v>
      </c>
      <c r="G9" s="71">
        <f t="shared" si="1"/>
        <v>32.448000000000008</v>
      </c>
      <c r="H9" s="71">
        <f t="shared" si="1"/>
        <v>33.745920000000012</v>
      </c>
      <c r="I9" s="71">
        <f t="shared" si="1"/>
        <v>35.095756800000011</v>
      </c>
      <c r="J9" s="71">
        <v>0</v>
      </c>
      <c r="K9" s="284">
        <f>J9</f>
        <v>0</v>
      </c>
      <c r="L9" s="71"/>
      <c r="M9" s="95">
        <v>0.04</v>
      </c>
      <c r="N9" s="70" t="s">
        <v>47</v>
      </c>
      <c r="O9" s="1"/>
      <c r="P9" s="382"/>
      <c r="Q9" s="115" t="s">
        <v>131</v>
      </c>
      <c r="R9" s="121">
        <v>0.378</v>
      </c>
      <c r="S9" s="115"/>
      <c r="T9" s="115"/>
      <c r="U9" s="117"/>
      <c r="AA9" s="1"/>
      <c r="AB9" s="1"/>
      <c r="AC9" s="1"/>
      <c r="AD9" s="1"/>
      <c r="AE9" s="1"/>
      <c r="AF9" s="1"/>
    </row>
    <row r="10" spans="1:32" ht="15.75" x14ac:dyDescent="0.25">
      <c r="A10" s="67" t="s">
        <v>69</v>
      </c>
      <c r="B10" s="68"/>
      <c r="C10" s="68"/>
      <c r="D10" s="68"/>
      <c r="E10" s="71">
        <f t="shared" ref="E10:K10" si="2">$M$10*E9</f>
        <v>17.099999999999998</v>
      </c>
      <c r="F10" s="71">
        <f t="shared" si="2"/>
        <v>17.783999999999999</v>
      </c>
      <c r="G10" s="71">
        <f t="shared" si="2"/>
        <v>18.495360000000002</v>
      </c>
      <c r="H10" s="71">
        <f t="shared" si="2"/>
        <v>19.235174400000005</v>
      </c>
      <c r="I10" s="71">
        <f t="shared" si="2"/>
        <v>20.004581376000004</v>
      </c>
      <c r="J10" s="71">
        <f t="shared" si="2"/>
        <v>0</v>
      </c>
      <c r="K10" s="284">
        <f t="shared" si="2"/>
        <v>0</v>
      </c>
      <c r="L10" s="71"/>
      <c r="M10" s="95">
        <v>0.56999999999999995</v>
      </c>
      <c r="N10" s="70" t="s">
        <v>133</v>
      </c>
      <c r="O10" s="1"/>
      <c r="P10" s="381"/>
      <c r="Q10" s="115" t="s">
        <v>132</v>
      </c>
      <c r="R10" s="121">
        <f>1-R9</f>
        <v>0.622</v>
      </c>
      <c r="S10" s="121">
        <f>R10+R9</f>
        <v>1</v>
      </c>
      <c r="T10" s="115"/>
      <c r="U10" s="117"/>
      <c r="AA10" s="1"/>
      <c r="AB10" s="1"/>
      <c r="AC10" s="1"/>
      <c r="AD10" s="1"/>
      <c r="AE10" s="1"/>
      <c r="AF10" s="1"/>
    </row>
    <row r="11" spans="1:32" ht="15.75" x14ac:dyDescent="0.25">
      <c r="A11" s="67"/>
      <c r="B11" s="68"/>
      <c r="C11" s="68"/>
      <c r="D11" s="68"/>
      <c r="E11" s="71"/>
      <c r="F11" s="71"/>
      <c r="G11" s="71"/>
      <c r="H11" s="71"/>
      <c r="I11" s="71"/>
      <c r="J11" s="71"/>
      <c r="K11" s="284"/>
      <c r="L11" s="71"/>
      <c r="M11" s="95"/>
      <c r="N11" s="70"/>
      <c r="O11" s="1"/>
      <c r="P11" s="381"/>
      <c r="Q11" s="115"/>
      <c r="R11" s="121"/>
      <c r="S11" s="121"/>
      <c r="T11" s="115"/>
      <c r="U11" s="117"/>
      <c r="AA11" s="1"/>
      <c r="AB11" s="1"/>
      <c r="AC11" s="1"/>
      <c r="AD11" s="1"/>
      <c r="AE11" s="1"/>
      <c r="AF11" s="1"/>
    </row>
    <row r="12" spans="1:32" ht="15.75" x14ac:dyDescent="0.25">
      <c r="A12" s="67" t="s">
        <v>70</v>
      </c>
      <c r="B12" s="68"/>
      <c r="C12" s="68"/>
      <c r="D12" s="68"/>
      <c r="E12" s="98">
        <v>6500</v>
      </c>
      <c r="F12" s="69">
        <f t="shared" ref="F12:I13" si="3">E12*(1+$M12)</f>
        <v>6500</v>
      </c>
      <c r="G12" s="69">
        <f t="shared" si="3"/>
        <v>6500</v>
      </c>
      <c r="H12" s="69">
        <f t="shared" si="3"/>
        <v>6500</v>
      </c>
      <c r="I12" s="69">
        <f t="shared" si="3"/>
        <v>6500</v>
      </c>
      <c r="J12" s="69">
        <v>0</v>
      </c>
      <c r="K12" s="283">
        <f>J12</f>
        <v>0</v>
      </c>
      <c r="L12" s="69"/>
      <c r="M12" s="95">
        <v>0</v>
      </c>
      <c r="N12" s="70" t="s">
        <v>47</v>
      </c>
      <c r="O12" s="1"/>
      <c r="P12" s="381"/>
      <c r="Q12" s="115"/>
      <c r="R12" s="121"/>
      <c r="S12" s="121"/>
      <c r="T12" s="115"/>
      <c r="U12" s="117"/>
      <c r="AA12" s="1"/>
      <c r="AB12" s="1"/>
      <c r="AC12" s="1"/>
      <c r="AD12" s="1"/>
      <c r="AE12" s="1"/>
      <c r="AF12" s="1"/>
    </row>
    <row r="13" spans="1:32" ht="15.75" x14ac:dyDescent="0.25">
      <c r="A13" s="67" t="s">
        <v>71</v>
      </c>
      <c r="B13" s="68"/>
      <c r="C13" s="68"/>
      <c r="D13" s="68"/>
      <c r="E13" s="99">
        <v>35</v>
      </c>
      <c r="F13" s="71">
        <f t="shared" si="3"/>
        <v>37.17</v>
      </c>
      <c r="G13" s="71">
        <f t="shared" si="3"/>
        <v>39.474540000000005</v>
      </c>
      <c r="H13" s="71">
        <f t="shared" si="3"/>
        <v>41.921961480000007</v>
      </c>
      <c r="I13" s="71">
        <f t="shared" si="3"/>
        <v>44.52112309176001</v>
      </c>
      <c r="J13" s="71">
        <v>0</v>
      </c>
      <c r="K13" s="284">
        <f>J13</f>
        <v>0</v>
      </c>
      <c r="L13" s="71"/>
      <c r="M13" s="95">
        <v>6.2E-2</v>
      </c>
      <c r="N13" s="70" t="s">
        <v>47</v>
      </c>
      <c r="O13" s="1"/>
      <c r="P13" s="381"/>
      <c r="Q13" s="115"/>
      <c r="R13" s="121"/>
      <c r="S13" s="121"/>
      <c r="T13" s="115"/>
      <c r="U13" s="117"/>
      <c r="AA13" s="1"/>
      <c r="AB13" s="1"/>
      <c r="AC13" s="1"/>
      <c r="AD13" s="1"/>
      <c r="AE13" s="1"/>
      <c r="AF13" s="1"/>
    </row>
    <row r="14" spans="1:32" ht="15.75" x14ac:dyDescent="0.25">
      <c r="A14" s="67" t="s">
        <v>72</v>
      </c>
      <c r="B14" s="68"/>
      <c r="C14" s="68"/>
      <c r="D14" s="68"/>
      <c r="E14" s="71">
        <f t="shared" ref="E14:K14" si="4">E13*$M$14</f>
        <v>21.49</v>
      </c>
      <c r="F14" s="71">
        <f t="shared" si="4"/>
        <v>22.822379999999999</v>
      </c>
      <c r="G14" s="71">
        <f t="shared" si="4"/>
        <v>24.237367560000003</v>
      </c>
      <c r="H14" s="71">
        <f t="shared" si="4"/>
        <v>25.740084348720004</v>
      </c>
      <c r="I14" s="71">
        <f t="shared" si="4"/>
        <v>27.335969578340645</v>
      </c>
      <c r="J14" s="71">
        <f t="shared" si="4"/>
        <v>0</v>
      </c>
      <c r="K14" s="284">
        <f t="shared" si="4"/>
        <v>0</v>
      </c>
      <c r="L14" s="71"/>
      <c r="M14" s="95">
        <v>0.61399999999999999</v>
      </c>
      <c r="N14" s="70" t="s">
        <v>133</v>
      </c>
      <c r="O14" s="1"/>
      <c r="P14" s="381"/>
      <c r="Q14" s="115"/>
      <c r="R14" s="121"/>
      <c r="S14" s="121"/>
      <c r="T14" s="115"/>
      <c r="U14" s="117"/>
      <c r="AA14" s="1"/>
      <c r="AB14" s="1"/>
      <c r="AC14" s="1"/>
      <c r="AD14" s="1"/>
      <c r="AE14" s="1"/>
      <c r="AF14" s="1"/>
    </row>
    <row r="15" spans="1:32" ht="15.75" x14ac:dyDescent="0.25">
      <c r="A15" s="67"/>
      <c r="B15" s="68"/>
      <c r="C15" s="68"/>
      <c r="D15" s="68"/>
      <c r="E15" s="71"/>
      <c r="F15" s="71"/>
      <c r="G15" s="71"/>
      <c r="H15" s="71"/>
      <c r="I15" s="71"/>
      <c r="J15" s="71"/>
      <c r="K15" s="284"/>
      <c r="L15" s="71"/>
      <c r="M15" s="95"/>
      <c r="N15" s="70"/>
      <c r="O15" s="1"/>
      <c r="P15" s="382"/>
      <c r="Q15" s="115" t="s">
        <v>96</v>
      </c>
      <c r="R15" s="122">
        <f>R8/(1+(1-R3)*(R9/R10))</f>
        <v>0.66478100810761198</v>
      </c>
      <c r="S15" s="115"/>
      <c r="T15" s="115"/>
      <c r="U15" s="117"/>
      <c r="AA15" s="1"/>
      <c r="AB15" s="1"/>
      <c r="AC15" s="1"/>
      <c r="AD15" s="1"/>
      <c r="AE15" s="1"/>
      <c r="AF15" s="1"/>
    </row>
    <row r="16" spans="1:32" ht="15.75" x14ac:dyDescent="0.25">
      <c r="A16" s="67" t="s">
        <v>73</v>
      </c>
      <c r="B16" s="68"/>
      <c r="C16" s="68"/>
      <c r="D16" s="68"/>
      <c r="E16" s="98">
        <v>800</v>
      </c>
      <c r="F16" s="69">
        <f t="shared" ref="F16:I17" si="5">E16*(1+$M16)</f>
        <v>800</v>
      </c>
      <c r="G16" s="69">
        <f t="shared" si="5"/>
        <v>800</v>
      </c>
      <c r="H16" s="69">
        <f t="shared" si="5"/>
        <v>800</v>
      </c>
      <c r="I16" s="69">
        <f t="shared" si="5"/>
        <v>800</v>
      </c>
      <c r="J16" s="69">
        <v>0</v>
      </c>
      <c r="K16" s="283">
        <f>J16</f>
        <v>0</v>
      </c>
      <c r="L16" s="69"/>
      <c r="M16" s="95">
        <v>0</v>
      </c>
      <c r="N16" s="70" t="s">
        <v>47</v>
      </c>
      <c r="O16" s="1"/>
      <c r="P16" s="381"/>
      <c r="Q16" s="115"/>
      <c r="R16" s="122"/>
      <c r="S16" s="115"/>
      <c r="T16" s="115"/>
      <c r="U16" s="117"/>
      <c r="AA16" s="1"/>
      <c r="AB16" s="1"/>
      <c r="AC16" s="1"/>
      <c r="AD16" s="1"/>
      <c r="AE16" s="1"/>
      <c r="AF16" s="1"/>
    </row>
    <row r="17" spans="1:32" ht="15.75" x14ac:dyDescent="0.25">
      <c r="A17" s="67" t="s">
        <v>74</v>
      </c>
      <c r="B17" s="68"/>
      <c r="C17" s="68"/>
      <c r="D17" s="68"/>
      <c r="E17" s="99">
        <v>60</v>
      </c>
      <c r="F17" s="71">
        <f t="shared" si="5"/>
        <v>63.059999999999995</v>
      </c>
      <c r="G17" s="71">
        <f t="shared" si="5"/>
        <v>66.276059999999987</v>
      </c>
      <c r="H17" s="71">
        <f t="shared" si="5"/>
        <v>69.656139059999987</v>
      </c>
      <c r="I17" s="71">
        <f t="shared" si="5"/>
        <v>73.208602152059981</v>
      </c>
      <c r="J17" s="71">
        <v>0</v>
      </c>
      <c r="K17" s="284">
        <f>J17</f>
        <v>0</v>
      </c>
      <c r="L17" s="71"/>
      <c r="M17" s="95">
        <v>5.0999999999999997E-2</v>
      </c>
      <c r="N17" s="70" t="s">
        <v>47</v>
      </c>
      <c r="O17" s="1"/>
      <c r="P17" s="380"/>
      <c r="Q17" s="115"/>
      <c r="R17" s="115"/>
      <c r="S17" s="115"/>
      <c r="T17" s="115"/>
      <c r="U17" s="117"/>
      <c r="AA17" s="1"/>
      <c r="AB17" s="1"/>
      <c r="AC17" s="1"/>
      <c r="AD17" s="1"/>
      <c r="AE17" s="1"/>
      <c r="AF17" s="1"/>
    </row>
    <row r="18" spans="1:32" ht="15.75" x14ac:dyDescent="0.25">
      <c r="A18" s="67" t="s">
        <v>75</v>
      </c>
      <c r="B18" s="68"/>
      <c r="C18" s="68"/>
      <c r="D18" s="68"/>
      <c r="E18" s="71">
        <f t="shared" ref="E18:K18" si="6">$M$18*E17</f>
        <v>40.68</v>
      </c>
      <c r="F18" s="71">
        <f t="shared" si="6"/>
        <v>42.75468</v>
      </c>
      <c r="G18" s="71">
        <f t="shared" si="6"/>
        <v>44.935168679999997</v>
      </c>
      <c r="H18" s="71">
        <f t="shared" si="6"/>
        <v>47.226862282679996</v>
      </c>
      <c r="I18" s="71">
        <f t="shared" si="6"/>
        <v>49.635432259096667</v>
      </c>
      <c r="J18" s="71">
        <f t="shared" si="6"/>
        <v>0</v>
      </c>
      <c r="K18" s="284">
        <f t="shared" si="6"/>
        <v>0</v>
      </c>
      <c r="L18" s="71"/>
      <c r="M18" s="95">
        <v>0.67800000000000005</v>
      </c>
      <c r="N18" s="70" t="s">
        <v>133</v>
      </c>
      <c r="O18" s="1"/>
      <c r="P18" s="380"/>
      <c r="Q18" s="115" t="s">
        <v>98</v>
      </c>
      <c r="R18" s="127">
        <f>R5+R8*(R6-R5)</f>
        <v>6.9575000000000012E-2</v>
      </c>
      <c r="S18" s="115"/>
      <c r="T18" s="115"/>
      <c r="U18" s="117"/>
      <c r="AA18" s="1"/>
      <c r="AB18" s="1"/>
      <c r="AC18" s="1"/>
      <c r="AD18" s="1"/>
      <c r="AE18" s="1"/>
      <c r="AF18" s="1"/>
    </row>
    <row r="19" spans="1:32" ht="15.75" x14ac:dyDescent="0.25">
      <c r="A19" s="67"/>
      <c r="B19" s="68"/>
      <c r="C19" s="68"/>
      <c r="D19" s="68"/>
      <c r="E19" s="71"/>
      <c r="F19" s="71"/>
      <c r="G19" s="71"/>
      <c r="H19" s="71"/>
      <c r="I19" s="71"/>
      <c r="J19" s="71"/>
      <c r="K19" s="284"/>
      <c r="L19" s="71"/>
      <c r="M19" s="95"/>
      <c r="N19" s="70"/>
      <c r="O19" s="1"/>
      <c r="P19" s="383"/>
      <c r="Q19" s="115"/>
      <c r="R19" s="127"/>
      <c r="S19" s="115"/>
      <c r="T19" s="115"/>
      <c r="U19" s="117"/>
      <c r="AA19" s="1"/>
      <c r="AB19" s="1"/>
      <c r="AC19" s="1"/>
      <c r="AD19" s="1"/>
      <c r="AE19" s="1"/>
      <c r="AF19" s="1"/>
    </row>
    <row r="20" spans="1:32" ht="15.75" x14ac:dyDescent="0.25">
      <c r="A20" s="67" t="s">
        <v>76</v>
      </c>
      <c r="B20" s="68"/>
      <c r="C20" s="68"/>
      <c r="D20" s="68"/>
      <c r="E20" s="98">
        <v>2600</v>
      </c>
      <c r="F20" s="69">
        <f t="shared" ref="F20:I21" si="7">E20*(1+$M20)</f>
        <v>2600</v>
      </c>
      <c r="G20" s="69">
        <f t="shared" si="7"/>
        <v>2600</v>
      </c>
      <c r="H20" s="69">
        <f t="shared" si="7"/>
        <v>2600</v>
      </c>
      <c r="I20" s="69">
        <f t="shared" si="7"/>
        <v>2600</v>
      </c>
      <c r="J20" s="69">
        <v>0</v>
      </c>
      <c r="K20" s="283">
        <f>J20</f>
        <v>0</v>
      </c>
      <c r="L20" s="69"/>
      <c r="M20" s="95">
        <v>0</v>
      </c>
      <c r="N20" s="70" t="s">
        <v>47</v>
      </c>
      <c r="O20" s="1"/>
      <c r="P20" s="381"/>
      <c r="Q20" s="115"/>
      <c r="R20" s="115"/>
      <c r="S20" s="115"/>
      <c r="T20" s="115"/>
      <c r="U20" s="117"/>
      <c r="AA20" s="1"/>
      <c r="AB20" s="1"/>
      <c r="AC20" s="1"/>
      <c r="AD20" s="1"/>
      <c r="AE20" s="1"/>
      <c r="AF20" s="1"/>
    </row>
    <row r="21" spans="1:32" ht="15.75" x14ac:dyDescent="0.25">
      <c r="A21" s="67" t="s">
        <v>77</v>
      </c>
      <c r="B21" s="68"/>
      <c r="C21" s="68"/>
      <c r="D21" s="68"/>
      <c r="E21" s="99">
        <v>40</v>
      </c>
      <c r="F21" s="71">
        <f t="shared" si="7"/>
        <v>41.64</v>
      </c>
      <c r="G21" s="71">
        <f t="shared" si="7"/>
        <v>43.347239999999999</v>
      </c>
      <c r="H21" s="71">
        <f t="shared" si="7"/>
        <v>45.124476839999993</v>
      </c>
      <c r="I21" s="71">
        <f t="shared" si="7"/>
        <v>46.974580390439989</v>
      </c>
      <c r="J21" s="71">
        <v>0</v>
      </c>
      <c r="K21" s="284">
        <f>J21</f>
        <v>0</v>
      </c>
      <c r="L21" s="71"/>
      <c r="M21" s="95">
        <v>4.1000000000000002E-2</v>
      </c>
      <c r="N21" s="70" t="s">
        <v>47</v>
      </c>
      <c r="O21" s="1"/>
      <c r="P21" s="380"/>
      <c r="Q21" s="115" t="s">
        <v>100</v>
      </c>
      <c r="R21" s="115" t="s">
        <v>101</v>
      </c>
      <c r="S21" s="115" t="s">
        <v>5</v>
      </c>
      <c r="T21" s="115" t="s">
        <v>102</v>
      </c>
      <c r="U21" s="117" t="s">
        <v>103</v>
      </c>
      <c r="AA21" s="1"/>
      <c r="AB21" s="1"/>
      <c r="AC21" s="1"/>
      <c r="AD21" s="1"/>
      <c r="AE21" s="1"/>
      <c r="AF21" s="1"/>
    </row>
    <row r="22" spans="1:32" ht="15.75" x14ac:dyDescent="0.25">
      <c r="A22" s="67" t="s">
        <v>78</v>
      </c>
      <c r="B22" s="68"/>
      <c r="C22" s="68"/>
      <c r="D22" s="68"/>
      <c r="E22" s="71">
        <f t="shared" ref="E22:K22" si="8">$M$22*E21</f>
        <v>22.12</v>
      </c>
      <c r="F22" s="71">
        <f t="shared" si="8"/>
        <v>23.02692</v>
      </c>
      <c r="G22" s="71">
        <f t="shared" si="8"/>
        <v>23.971023720000002</v>
      </c>
      <c r="H22" s="71">
        <f t="shared" si="8"/>
        <v>24.953835692519998</v>
      </c>
      <c r="I22" s="71">
        <f t="shared" si="8"/>
        <v>25.976942955913316</v>
      </c>
      <c r="J22" s="71">
        <f t="shared" si="8"/>
        <v>0</v>
      </c>
      <c r="K22" s="284">
        <f t="shared" si="8"/>
        <v>0</v>
      </c>
      <c r="L22" s="71"/>
      <c r="M22" s="95">
        <v>0.55300000000000005</v>
      </c>
      <c r="N22" s="70" t="s">
        <v>133</v>
      </c>
      <c r="O22" s="1"/>
      <c r="P22" s="384" t="s">
        <v>167</v>
      </c>
      <c r="Q22" s="131">
        <f>AVERAGE(E98:K98)</f>
        <v>71445.112050289652</v>
      </c>
      <c r="R22" s="127">
        <f>Q22/Q28</f>
        <v>0.21885536142003884</v>
      </c>
      <c r="S22" s="121">
        <f>M71</f>
        <v>0.05</v>
      </c>
      <c r="T22" s="127">
        <f>S22*(1-R3)</f>
        <v>4.0250000000000001E-2</v>
      </c>
      <c r="U22" s="203">
        <f>R22*T22</f>
        <v>8.8089282971565638E-3</v>
      </c>
      <c r="AA22" s="1"/>
      <c r="AB22" s="1"/>
      <c r="AC22" s="1"/>
      <c r="AD22" s="1"/>
      <c r="AE22" s="1"/>
      <c r="AF22" s="1"/>
    </row>
    <row r="23" spans="1:32" ht="15.75" x14ac:dyDescent="0.25">
      <c r="A23" s="67"/>
      <c r="B23" s="68"/>
      <c r="C23" s="68"/>
      <c r="D23" s="68"/>
      <c r="E23" s="68"/>
      <c r="F23" s="68"/>
      <c r="G23" s="68"/>
      <c r="H23" s="68"/>
      <c r="I23" s="68"/>
      <c r="J23" s="68"/>
      <c r="K23" s="70"/>
      <c r="L23" s="68"/>
      <c r="M23" s="93"/>
      <c r="N23" s="70"/>
      <c r="O23" s="1"/>
      <c r="P23" s="385" t="s">
        <v>51</v>
      </c>
      <c r="Q23" s="131">
        <f>AVERAGE(E99:K99)</f>
        <v>255003.87958838625</v>
      </c>
      <c r="R23" s="127">
        <f>Q23/Q28</f>
        <v>0.78114463857996108</v>
      </c>
      <c r="S23" s="121">
        <f>M72</f>
        <v>7.4999999999999997E-2</v>
      </c>
      <c r="T23" s="127">
        <f>S23*(1-R3)</f>
        <v>6.0374999999999991E-2</v>
      </c>
      <c r="U23" s="203">
        <f>R23*T23</f>
        <v>4.7161607554265142E-2</v>
      </c>
      <c r="AA23" s="1"/>
      <c r="AB23" s="1"/>
      <c r="AC23" s="1"/>
      <c r="AD23" s="1"/>
      <c r="AE23" s="1"/>
      <c r="AF23" s="1"/>
    </row>
    <row r="24" spans="1:32" ht="15.75" x14ac:dyDescent="0.25">
      <c r="A24" s="67" t="s">
        <v>27</v>
      </c>
      <c r="B24" s="68"/>
      <c r="C24" s="68"/>
      <c r="D24" s="68"/>
      <c r="E24" s="104">
        <v>45</v>
      </c>
      <c r="F24" s="105">
        <f>E24*(1+$M24)</f>
        <v>46.35</v>
      </c>
      <c r="G24" s="105">
        <f>F24*(1+$M24)</f>
        <v>47.740500000000004</v>
      </c>
      <c r="H24" s="105">
        <f>G24*(1+$M24)</f>
        <v>49.172715000000004</v>
      </c>
      <c r="I24" s="105">
        <f>H24*(1+$M24)</f>
        <v>50.647896450000005</v>
      </c>
      <c r="J24" s="105">
        <v>0</v>
      </c>
      <c r="K24" s="285">
        <f>J24</f>
        <v>0</v>
      </c>
      <c r="L24" s="69"/>
      <c r="M24" s="95">
        <v>0.03</v>
      </c>
      <c r="N24" s="70" t="s">
        <v>47</v>
      </c>
      <c r="O24" s="1"/>
      <c r="P24" s="385"/>
      <c r="Q24" s="131">
        <f>AVERAGE(E100:K100)</f>
        <v>0</v>
      </c>
      <c r="R24" s="127">
        <f>Q24/Q28</f>
        <v>0</v>
      </c>
      <c r="S24" s="121">
        <f>M73</f>
        <v>0</v>
      </c>
      <c r="T24" s="127">
        <f>S24*(1-R3)</f>
        <v>0</v>
      </c>
      <c r="U24" s="203">
        <f>R24*T24</f>
        <v>0</v>
      </c>
      <c r="AA24" s="1"/>
      <c r="AB24" s="1"/>
      <c r="AC24" s="1"/>
      <c r="AD24" s="1"/>
      <c r="AE24" s="1"/>
      <c r="AF24" s="1"/>
    </row>
    <row r="25" spans="1:32" ht="15.75" x14ac:dyDescent="0.25">
      <c r="A25" s="67" t="s">
        <v>48</v>
      </c>
      <c r="B25" s="68"/>
      <c r="C25" s="68"/>
      <c r="D25" s="68"/>
      <c r="E25" s="104">
        <v>60</v>
      </c>
      <c r="F25" s="105">
        <f>E25*(1+$M25)</f>
        <v>57</v>
      </c>
      <c r="G25" s="105">
        <f>F25*(1+$M25)</f>
        <v>54.15</v>
      </c>
      <c r="H25" s="105">
        <f>G25*(1+$M25)</f>
        <v>51.442499999999995</v>
      </c>
      <c r="I25" s="105">
        <v>50</v>
      </c>
      <c r="J25" s="105">
        <v>0</v>
      </c>
      <c r="K25" s="285">
        <f>J25</f>
        <v>0</v>
      </c>
      <c r="L25" s="69"/>
      <c r="M25" s="95">
        <v>-0.05</v>
      </c>
      <c r="N25" s="70" t="s">
        <v>47</v>
      </c>
      <c r="O25" s="1"/>
      <c r="P25" s="386"/>
      <c r="Q25" s="131"/>
      <c r="R25" s="127"/>
      <c r="S25" s="121"/>
      <c r="T25" s="127"/>
      <c r="U25" s="117"/>
      <c r="AA25" s="1"/>
      <c r="AB25" s="1"/>
      <c r="AC25" s="1"/>
      <c r="AD25" s="1"/>
      <c r="AE25" s="1"/>
      <c r="AF25" s="1"/>
    </row>
    <row r="26" spans="1:32" ht="15.75" x14ac:dyDescent="0.25">
      <c r="A26" s="67" t="s">
        <v>46</v>
      </c>
      <c r="B26" s="68"/>
      <c r="C26" s="68"/>
      <c r="D26" s="68"/>
      <c r="E26" s="102">
        <v>40</v>
      </c>
      <c r="F26" s="103">
        <f>E26*(1+$M$26)</f>
        <v>40</v>
      </c>
      <c r="G26" s="103">
        <f>F26*(1+$M$26)</f>
        <v>40</v>
      </c>
      <c r="H26" s="103">
        <f>G26*(1+$M$26)</f>
        <v>40</v>
      </c>
      <c r="I26" s="103">
        <f>H26*(1+$M$26)</f>
        <v>40</v>
      </c>
      <c r="J26" s="103">
        <v>0</v>
      </c>
      <c r="K26" s="286">
        <f>J26</f>
        <v>0</v>
      </c>
      <c r="L26" s="68"/>
      <c r="M26" s="394">
        <v>0</v>
      </c>
      <c r="N26" s="70" t="s">
        <v>47</v>
      </c>
      <c r="O26" s="1"/>
      <c r="P26" s="387" t="s">
        <v>201</v>
      </c>
      <c r="Q26" s="131">
        <f>AVERAGE(K102:K102)</f>
        <v>0</v>
      </c>
      <c r="R26" s="127">
        <f>(Q26+Q27)/Q28</f>
        <v>0</v>
      </c>
      <c r="S26" s="121">
        <f>R18</f>
        <v>6.9575000000000012E-2</v>
      </c>
      <c r="T26" s="127">
        <f>S26</f>
        <v>6.9575000000000012E-2</v>
      </c>
      <c r="U26" s="203">
        <f>R26*T26</f>
        <v>0</v>
      </c>
      <c r="AA26" s="1"/>
      <c r="AB26" s="1"/>
      <c r="AC26" s="1"/>
      <c r="AD26" s="1"/>
      <c r="AE26" s="1"/>
      <c r="AF26" s="1"/>
    </row>
    <row r="27" spans="1:32" ht="15.75" x14ac:dyDescent="0.25">
      <c r="A27" s="67"/>
      <c r="B27" s="68"/>
      <c r="C27" s="68"/>
      <c r="D27" s="68"/>
      <c r="E27" s="100"/>
      <c r="F27" s="68"/>
      <c r="G27" s="68"/>
      <c r="H27" s="68"/>
      <c r="I27" s="68"/>
      <c r="J27" s="68"/>
      <c r="K27" s="70"/>
      <c r="L27" s="68"/>
      <c r="M27" s="93"/>
      <c r="N27" s="70"/>
      <c r="O27" s="1"/>
      <c r="P27" s="387" t="s">
        <v>43</v>
      </c>
      <c r="Q27" s="131">
        <f>AVERAGE(K103:K103)</f>
        <v>0</v>
      </c>
      <c r="R27" s="127"/>
      <c r="S27" s="115"/>
      <c r="T27" s="115"/>
      <c r="U27" s="117"/>
      <c r="AA27" s="1"/>
      <c r="AB27" s="1"/>
      <c r="AC27" s="1"/>
      <c r="AD27" s="1"/>
      <c r="AE27" s="1"/>
      <c r="AF27" s="1"/>
    </row>
    <row r="28" spans="1:32" ht="16.5" thickBot="1" x14ac:dyDescent="0.3">
      <c r="A28" s="67" t="s">
        <v>120</v>
      </c>
      <c r="B28" s="68"/>
      <c r="C28" s="68"/>
      <c r="D28" s="68"/>
      <c r="E28" s="98"/>
      <c r="F28" s="69"/>
      <c r="G28" s="69"/>
      <c r="H28" s="69"/>
      <c r="I28" s="69"/>
      <c r="J28" s="69"/>
      <c r="K28" s="283"/>
      <c r="L28" s="69"/>
      <c r="M28" s="95"/>
      <c r="N28" s="70"/>
      <c r="O28" s="1"/>
      <c r="P28" s="388"/>
      <c r="Q28" s="137">
        <f>SUM(Q22:Q27)</f>
        <v>326448.99163867591</v>
      </c>
      <c r="R28" s="138">
        <f>SUM(R22:R27)</f>
        <v>0.99999999999999989</v>
      </c>
      <c r="S28" s="139"/>
      <c r="T28" s="165" t="s">
        <v>106</v>
      </c>
      <c r="U28" s="204">
        <f>SUM(U22:U27)</f>
        <v>5.5970535851421706E-2</v>
      </c>
      <c r="AA28" s="1"/>
      <c r="AB28" s="1"/>
      <c r="AC28" s="1"/>
      <c r="AD28" s="1"/>
      <c r="AE28" s="1"/>
      <c r="AF28" s="1"/>
    </row>
    <row r="29" spans="1:32" ht="15.75" x14ac:dyDescent="0.25">
      <c r="A29" s="67"/>
      <c r="B29" s="68" t="s">
        <v>121</v>
      </c>
      <c r="C29" s="68"/>
      <c r="D29" s="68"/>
      <c r="E29" s="98">
        <v>4</v>
      </c>
      <c r="F29" s="98">
        <v>4</v>
      </c>
      <c r="G29" s="98">
        <v>4</v>
      </c>
      <c r="H29" s="98">
        <v>4</v>
      </c>
      <c r="I29" s="98">
        <v>4</v>
      </c>
      <c r="J29" s="98">
        <v>0</v>
      </c>
      <c r="K29" s="287">
        <v>0</v>
      </c>
      <c r="L29" s="69"/>
      <c r="M29" s="95"/>
      <c r="N29" s="70"/>
      <c r="O29" s="1"/>
      <c r="P29" s="1"/>
      <c r="Q29" s="1"/>
      <c r="R29" s="1"/>
      <c r="S29" s="1"/>
      <c r="T29" s="1"/>
      <c r="U29" s="1"/>
      <c r="V29" s="1"/>
      <c r="W29" s="1"/>
      <c r="X29" s="1"/>
      <c r="Y29" s="1"/>
      <c r="Z29" s="1"/>
      <c r="AA29" s="1"/>
      <c r="AB29" s="1"/>
      <c r="AC29" s="1"/>
      <c r="AD29" s="1"/>
      <c r="AE29" s="1"/>
      <c r="AF29" s="1"/>
    </row>
    <row r="30" spans="1:32" ht="15.75" x14ac:dyDescent="0.25">
      <c r="A30" s="67"/>
      <c r="B30" s="68" t="s">
        <v>122</v>
      </c>
      <c r="C30" s="68"/>
      <c r="D30" s="68"/>
      <c r="E30" s="96">
        <v>7.25</v>
      </c>
      <c r="F30" s="69">
        <f>E30+$M$30</f>
        <v>7.5</v>
      </c>
      <c r="G30" s="69">
        <f>F30+$M$30</f>
        <v>7.75</v>
      </c>
      <c r="H30" s="69">
        <f>G30+$M$30</f>
        <v>8</v>
      </c>
      <c r="I30" s="69">
        <f>H30+$M$30</f>
        <v>8.25</v>
      </c>
      <c r="J30" s="69">
        <v>0</v>
      </c>
      <c r="K30" s="283">
        <v>0</v>
      </c>
      <c r="L30" s="69"/>
      <c r="M30" s="96">
        <v>0.25</v>
      </c>
      <c r="N30" s="70" t="s">
        <v>124</v>
      </c>
      <c r="O30" s="1"/>
      <c r="P30" s="1"/>
      <c r="Q30" s="1"/>
      <c r="R30" s="1"/>
      <c r="S30" s="1"/>
      <c r="T30" s="1"/>
      <c r="U30" s="1"/>
      <c r="V30" s="1"/>
      <c r="W30" s="1"/>
      <c r="X30" s="1"/>
      <c r="Y30" s="1"/>
      <c r="Z30" s="1"/>
      <c r="AA30" s="1"/>
      <c r="AB30" s="1"/>
      <c r="AC30" s="1"/>
      <c r="AD30" s="1"/>
      <c r="AE30" s="1"/>
      <c r="AF30" s="1"/>
    </row>
    <row r="31" spans="1:32" ht="15.75" x14ac:dyDescent="0.25">
      <c r="A31" s="67"/>
      <c r="B31" s="68" t="s">
        <v>123</v>
      </c>
      <c r="C31" s="68"/>
      <c r="D31" s="68"/>
      <c r="E31" s="101">
        <f>$M$31/2</f>
        <v>1469</v>
      </c>
      <c r="F31" s="101">
        <f>$M$31/2</f>
        <v>1469</v>
      </c>
      <c r="G31" s="101">
        <f>$M$31/2</f>
        <v>1469</v>
      </c>
      <c r="H31" s="101">
        <f>$M$31/2</f>
        <v>1469</v>
      </c>
      <c r="I31" s="101">
        <f>$M$31/2</f>
        <v>1469</v>
      </c>
      <c r="J31" s="101">
        <v>0</v>
      </c>
      <c r="K31" s="288">
        <v>0</v>
      </c>
      <c r="L31" s="69"/>
      <c r="M31" s="395">
        <v>2938</v>
      </c>
      <c r="N31" s="70" t="s">
        <v>134</v>
      </c>
      <c r="O31" s="1"/>
      <c r="P31" s="1"/>
      <c r="Q31" s="1"/>
      <c r="R31" s="1"/>
      <c r="S31" s="1"/>
      <c r="T31" s="1"/>
      <c r="U31" s="1"/>
      <c r="V31" s="1"/>
      <c r="W31" s="1"/>
      <c r="X31" s="1"/>
      <c r="Y31" s="1"/>
      <c r="Z31" s="1"/>
      <c r="AA31" s="1"/>
      <c r="AB31" s="1"/>
      <c r="AC31" s="1"/>
      <c r="AD31" s="1"/>
      <c r="AE31" s="1"/>
      <c r="AF31" s="1"/>
    </row>
    <row r="32" spans="1:32" ht="15.75" x14ac:dyDescent="0.25">
      <c r="A32" s="67"/>
      <c r="B32" s="68" t="s">
        <v>151</v>
      </c>
      <c r="C32" s="68"/>
      <c r="D32" s="68"/>
      <c r="E32" s="289">
        <v>150</v>
      </c>
      <c r="F32" s="101">
        <f>E32*(1+$M$32)</f>
        <v>210</v>
      </c>
      <c r="G32" s="101">
        <f>F32*(1+$M$32)</f>
        <v>294</v>
      </c>
      <c r="H32" s="101">
        <f>G32*(1+$M$32)</f>
        <v>411.59999999999997</v>
      </c>
      <c r="I32" s="101">
        <f>H32*(1+$M$32)</f>
        <v>576.2399999999999</v>
      </c>
      <c r="J32" s="101">
        <v>0</v>
      </c>
      <c r="K32" s="288">
        <f t="shared" ref="K32:K37" si="9">J32</f>
        <v>0</v>
      </c>
      <c r="L32" s="101"/>
      <c r="M32" s="397">
        <v>0.4</v>
      </c>
      <c r="N32" s="70" t="s">
        <v>47</v>
      </c>
      <c r="O32" s="1"/>
      <c r="P32" s="1"/>
      <c r="Q32" s="1"/>
      <c r="R32" s="1"/>
      <c r="S32" s="1"/>
      <c r="T32" s="1"/>
      <c r="U32" s="1"/>
      <c r="V32" s="1"/>
      <c r="W32" s="1"/>
      <c r="X32" s="1"/>
      <c r="Y32" s="1"/>
      <c r="Z32" s="1"/>
      <c r="AA32" s="1"/>
      <c r="AB32" s="1"/>
      <c r="AC32" s="1"/>
      <c r="AD32" s="1"/>
      <c r="AE32" s="1"/>
      <c r="AF32" s="1"/>
    </row>
    <row r="33" spans="1:32" ht="15.75" x14ac:dyDescent="0.25">
      <c r="A33" s="67"/>
      <c r="B33" s="68" t="s">
        <v>135</v>
      </c>
      <c r="C33" s="68"/>
      <c r="D33" s="68"/>
      <c r="E33" s="289">
        <v>60455</v>
      </c>
      <c r="F33" s="101">
        <f>E33*(1+$M$33)</f>
        <v>84637</v>
      </c>
      <c r="G33" s="101">
        <f>F33*(1+$M$33)</f>
        <v>118491.79999999999</v>
      </c>
      <c r="H33" s="101">
        <f>G33*(1+$M$33)</f>
        <v>165888.51999999996</v>
      </c>
      <c r="I33" s="101">
        <f>H33*(1+$M$33)</f>
        <v>232243.92799999993</v>
      </c>
      <c r="J33" s="101">
        <v>0</v>
      </c>
      <c r="K33" s="288">
        <f t="shared" si="9"/>
        <v>0</v>
      </c>
      <c r="L33" s="101"/>
      <c r="M33" s="397">
        <v>0.4</v>
      </c>
      <c r="N33" s="70" t="s">
        <v>47</v>
      </c>
      <c r="O33" s="1"/>
      <c r="P33" s="1"/>
      <c r="Q33" s="1"/>
      <c r="R33" s="1"/>
      <c r="S33" s="1"/>
      <c r="T33" s="1"/>
      <c r="U33" s="1"/>
      <c r="V33" s="1"/>
      <c r="W33" s="1"/>
      <c r="X33" s="1"/>
      <c r="Y33" s="1"/>
      <c r="Z33" s="1"/>
      <c r="AA33" s="1"/>
      <c r="AB33" s="1"/>
      <c r="AC33" s="1"/>
      <c r="AD33" s="1"/>
      <c r="AE33" s="1"/>
      <c r="AF33" s="1"/>
    </row>
    <row r="34" spans="1:32" ht="15.75" x14ac:dyDescent="0.25">
      <c r="A34" s="67"/>
      <c r="B34" s="68" t="s">
        <v>137</v>
      </c>
      <c r="C34" s="68"/>
      <c r="D34" s="68"/>
      <c r="E34" s="289">
        <f>175*12*0.25</f>
        <v>525</v>
      </c>
      <c r="F34" s="101">
        <f>E34*(1+ $M$34)</f>
        <v>735</v>
      </c>
      <c r="G34" s="101">
        <f>F34*(1+ $M$34)</f>
        <v>1029</v>
      </c>
      <c r="H34" s="101">
        <f>G34*(1+ $M$34)</f>
        <v>1440.6</v>
      </c>
      <c r="I34" s="101">
        <f>H34*(1+ $M$34)</f>
        <v>2016.8399999999997</v>
      </c>
      <c r="J34" s="101">
        <v>0</v>
      </c>
      <c r="K34" s="288">
        <f t="shared" si="9"/>
        <v>0</v>
      </c>
      <c r="L34" s="101"/>
      <c r="M34" s="397">
        <v>0.4</v>
      </c>
      <c r="N34" s="70" t="s">
        <v>47</v>
      </c>
      <c r="O34" s="1"/>
      <c r="P34" s="1"/>
      <c r="Q34" s="1"/>
      <c r="R34" s="1"/>
      <c r="S34" s="1"/>
      <c r="T34" s="1"/>
      <c r="U34" s="1"/>
      <c r="V34" s="1"/>
      <c r="W34" s="1"/>
      <c r="X34" s="1"/>
      <c r="Y34" s="1"/>
      <c r="Z34" s="1"/>
      <c r="AA34" s="1"/>
      <c r="AB34" s="1"/>
      <c r="AC34" s="1"/>
      <c r="AD34" s="1"/>
      <c r="AE34" s="1"/>
      <c r="AF34" s="1"/>
    </row>
    <row r="35" spans="1:32" ht="15.75" x14ac:dyDescent="0.25">
      <c r="A35" s="67"/>
      <c r="B35" s="68" t="s">
        <v>138</v>
      </c>
      <c r="C35" s="68"/>
      <c r="D35" s="68"/>
      <c r="E35" s="289">
        <f>175*12*0.75</f>
        <v>1575</v>
      </c>
      <c r="F35" s="101">
        <f>E35*(1+$M$35)</f>
        <v>2205</v>
      </c>
      <c r="G35" s="101">
        <f>F35*(1+$M$35)</f>
        <v>3087</v>
      </c>
      <c r="H35" s="101">
        <f>G35*(1+$M$35)</f>
        <v>4321.7999999999993</v>
      </c>
      <c r="I35" s="101">
        <f>H35*(1+$M$35)</f>
        <v>6050.5199999999986</v>
      </c>
      <c r="J35" s="101">
        <v>0</v>
      </c>
      <c r="K35" s="288">
        <f t="shared" si="9"/>
        <v>0</v>
      </c>
      <c r="L35" s="101"/>
      <c r="M35" s="397">
        <v>0.4</v>
      </c>
      <c r="N35" s="70" t="s">
        <v>47</v>
      </c>
      <c r="O35" s="1"/>
      <c r="P35" s="1"/>
      <c r="Q35" s="1"/>
      <c r="R35" s="1"/>
      <c r="S35" s="1"/>
      <c r="T35" s="1"/>
      <c r="U35" s="1"/>
      <c r="V35" s="1"/>
      <c r="W35" s="1"/>
      <c r="X35" s="1"/>
      <c r="Y35" s="1"/>
      <c r="Z35" s="1"/>
      <c r="AA35" s="1"/>
      <c r="AB35" s="1"/>
      <c r="AC35" s="1"/>
      <c r="AD35" s="1"/>
      <c r="AE35" s="1"/>
      <c r="AF35" s="1"/>
    </row>
    <row r="36" spans="1:32" ht="15.75" x14ac:dyDescent="0.25">
      <c r="A36" s="67"/>
      <c r="B36" s="68" t="s">
        <v>30</v>
      </c>
      <c r="C36" s="68"/>
      <c r="D36" s="68"/>
      <c r="E36" s="289">
        <f>36900/2</f>
        <v>18450</v>
      </c>
      <c r="F36" s="101">
        <f>E36*(1+$M$36)</f>
        <v>25830</v>
      </c>
      <c r="G36" s="101">
        <f>F36*(1+$M$36)</f>
        <v>36162</v>
      </c>
      <c r="H36" s="101">
        <f>G36*(1+$M$36)</f>
        <v>50626.799999999996</v>
      </c>
      <c r="I36" s="101">
        <f>H36*(1+$M$36)</f>
        <v>70877.51999999999</v>
      </c>
      <c r="J36" s="101">
        <v>0</v>
      </c>
      <c r="K36" s="288">
        <f t="shared" si="9"/>
        <v>0</v>
      </c>
      <c r="L36" s="101"/>
      <c r="M36" s="397">
        <v>0.4</v>
      </c>
      <c r="N36" s="70" t="s">
        <v>47</v>
      </c>
      <c r="O36" s="1"/>
      <c r="P36" s="1"/>
      <c r="Q36" s="1"/>
      <c r="R36" s="1"/>
      <c r="S36" s="1"/>
      <c r="T36" s="1"/>
      <c r="U36" s="1"/>
      <c r="V36" s="1"/>
      <c r="W36" s="1"/>
      <c r="X36" s="1"/>
      <c r="Y36" s="1"/>
      <c r="Z36" s="1"/>
      <c r="AA36" s="1"/>
      <c r="AB36" s="1"/>
      <c r="AC36" s="1"/>
      <c r="AD36" s="1"/>
      <c r="AE36" s="1"/>
      <c r="AF36" s="1"/>
    </row>
    <row r="37" spans="1:32" ht="15.75" x14ac:dyDescent="0.25">
      <c r="A37" s="67"/>
      <c r="B37" s="68" t="s">
        <v>139</v>
      </c>
      <c r="C37" s="68"/>
      <c r="D37" s="68"/>
      <c r="E37" s="289">
        <f>80*5</f>
        <v>400</v>
      </c>
      <c r="F37" s="101">
        <f>E37*(1+$M$37)</f>
        <v>560</v>
      </c>
      <c r="G37" s="101">
        <f>F37*(1+$M$37)</f>
        <v>784</v>
      </c>
      <c r="H37" s="101">
        <f>G37*(1+$M$37)</f>
        <v>1097.5999999999999</v>
      </c>
      <c r="I37" s="101">
        <f>H37*(1+$M$37)</f>
        <v>1536.6399999999999</v>
      </c>
      <c r="J37" s="101">
        <v>0</v>
      </c>
      <c r="K37" s="288">
        <f t="shared" si="9"/>
        <v>0</v>
      </c>
      <c r="L37" s="101"/>
      <c r="M37" s="397">
        <v>0.4</v>
      </c>
      <c r="N37" s="70" t="s">
        <v>47</v>
      </c>
      <c r="O37" s="1"/>
      <c r="P37" s="1"/>
      <c r="Q37" s="1"/>
      <c r="R37" s="1"/>
      <c r="S37" s="1"/>
      <c r="T37" s="1"/>
      <c r="U37" s="1"/>
      <c r="V37" s="1"/>
      <c r="W37" s="1"/>
      <c r="X37" s="1"/>
      <c r="Y37" s="1"/>
      <c r="Z37" s="1"/>
      <c r="AA37" s="1"/>
      <c r="AB37" s="1"/>
      <c r="AC37" s="1"/>
      <c r="AD37" s="1"/>
      <c r="AE37" s="1"/>
      <c r="AF37" s="1"/>
    </row>
    <row r="38" spans="1:32" ht="15.75" x14ac:dyDescent="0.25">
      <c r="A38" s="67"/>
      <c r="B38" s="68"/>
      <c r="C38" s="68"/>
      <c r="D38" s="68"/>
      <c r="E38" s="289"/>
      <c r="F38" s="101"/>
      <c r="G38" s="101"/>
      <c r="H38" s="101"/>
      <c r="I38" s="101"/>
      <c r="J38" s="101"/>
      <c r="K38" s="288"/>
      <c r="L38" s="101"/>
      <c r="M38" s="397"/>
      <c r="N38" s="70"/>
      <c r="O38" s="1"/>
      <c r="P38" s="1"/>
      <c r="Q38" s="1"/>
      <c r="R38" s="1"/>
      <c r="S38" s="1"/>
      <c r="T38" s="1"/>
      <c r="U38" s="1"/>
      <c r="V38" s="1"/>
      <c r="W38" s="1"/>
      <c r="X38" s="1"/>
      <c r="Y38" s="1"/>
      <c r="Z38" s="1"/>
      <c r="AA38" s="1"/>
      <c r="AB38" s="1"/>
      <c r="AC38" s="1"/>
      <c r="AD38" s="1"/>
      <c r="AE38" s="1"/>
      <c r="AF38" s="1"/>
    </row>
    <row r="39" spans="1:32" ht="15.75" x14ac:dyDescent="0.25">
      <c r="A39" s="67" t="s">
        <v>136</v>
      </c>
      <c r="B39" s="68"/>
      <c r="C39" s="68"/>
      <c r="D39" s="68"/>
      <c r="E39" s="289">
        <v>3000</v>
      </c>
      <c r="F39" s="289">
        <v>3000</v>
      </c>
      <c r="G39" s="289">
        <v>3000</v>
      </c>
      <c r="H39" s="289">
        <v>3000</v>
      </c>
      <c r="I39" s="289">
        <v>3000</v>
      </c>
      <c r="J39" s="289">
        <v>0</v>
      </c>
      <c r="K39" s="290">
        <v>0</v>
      </c>
      <c r="L39" s="289"/>
      <c r="M39" s="397"/>
      <c r="N39" s="70"/>
      <c r="O39" s="1"/>
      <c r="P39" s="1"/>
      <c r="Q39" s="1"/>
      <c r="R39" s="1"/>
      <c r="S39" s="1"/>
      <c r="T39" s="1"/>
      <c r="U39" s="1"/>
      <c r="V39" s="1"/>
      <c r="W39" s="1"/>
      <c r="X39" s="1"/>
      <c r="Y39" s="1"/>
      <c r="Z39" s="1"/>
      <c r="AA39" s="1"/>
      <c r="AB39" s="1"/>
      <c r="AC39" s="1"/>
      <c r="AD39" s="1"/>
      <c r="AE39" s="1"/>
      <c r="AF39" s="1"/>
    </row>
    <row r="40" spans="1:32" ht="15.75" x14ac:dyDescent="0.25">
      <c r="A40" s="67" t="s">
        <v>143</v>
      </c>
      <c r="B40" s="68"/>
      <c r="C40" s="68"/>
      <c r="D40" s="68"/>
      <c r="E40" s="289">
        <v>40000</v>
      </c>
      <c r="F40" s="289">
        <v>40000</v>
      </c>
      <c r="G40" s="289">
        <v>40000</v>
      </c>
      <c r="H40" s="289">
        <v>40000</v>
      </c>
      <c r="I40" s="289">
        <v>40000</v>
      </c>
      <c r="J40" s="289">
        <v>0</v>
      </c>
      <c r="K40" s="290">
        <v>0</v>
      </c>
      <c r="L40" s="289"/>
      <c r="M40" s="397"/>
      <c r="N40" s="70"/>
      <c r="O40" s="1"/>
      <c r="P40" s="1"/>
      <c r="Q40" s="1"/>
      <c r="R40" s="1"/>
      <c r="S40" s="1"/>
      <c r="T40" s="1"/>
      <c r="U40" s="1"/>
      <c r="V40" s="1"/>
      <c r="W40" s="1"/>
      <c r="X40" s="1"/>
      <c r="Y40" s="1"/>
      <c r="Z40" s="1"/>
      <c r="AA40" s="1"/>
      <c r="AB40" s="1"/>
      <c r="AC40" s="1"/>
      <c r="AD40" s="1"/>
      <c r="AE40" s="1"/>
      <c r="AF40" s="1"/>
    </row>
    <row r="41" spans="1:32" ht="16.5" thickBot="1" x14ac:dyDescent="0.3">
      <c r="A41" s="73"/>
      <c r="B41" s="74"/>
      <c r="C41" s="74"/>
      <c r="D41" s="74"/>
      <c r="E41" s="74"/>
      <c r="F41" s="74"/>
      <c r="G41" s="74"/>
      <c r="H41" s="74"/>
      <c r="I41" s="74"/>
      <c r="J41" s="74"/>
      <c r="K41" s="75"/>
      <c r="L41" s="74"/>
      <c r="M41" s="97"/>
      <c r="N41" s="75"/>
      <c r="O41" s="1"/>
      <c r="P41" s="1"/>
      <c r="Q41" s="1"/>
      <c r="R41" s="1"/>
      <c r="S41" s="1"/>
      <c r="T41" s="1"/>
      <c r="U41" s="1"/>
      <c r="V41" s="1"/>
      <c r="W41" s="1"/>
      <c r="X41" s="1"/>
      <c r="Y41" s="1"/>
      <c r="Z41" s="1"/>
      <c r="AA41" s="1"/>
      <c r="AB41" s="1"/>
      <c r="AC41" s="1"/>
      <c r="AD41" s="1"/>
      <c r="AE41" s="1"/>
      <c r="AF41" s="1"/>
    </row>
    <row r="42" spans="1:32" ht="21" x14ac:dyDescent="0.35">
      <c r="A42" s="86" t="s">
        <v>28</v>
      </c>
      <c r="B42" s="60"/>
      <c r="C42" s="60"/>
      <c r="D42" s="60"/>
      <c r="E42" s="60"/>
      <c r="F42" s="60"/>
      <c r="G42" s="60"/>
      <c r="H42" s="60"/>
      <c r="I42" s="60"/>
      <c r="J42" s="60"/>
      <c r="K42" s="66"/>
      <c r="L42" s="281"/>
      <c r="M42" s="80"/>
      <c r="N42" s="81"/>
      <c r="O42" s="1"/>
      <c r="P42" s="1"/>
      <c r="Q42" s="1"/>
      <c r="R42" s="1"/>
      <c r="S42" s="1"/>
      <c r="T42" s="1"/>
      <c r="U42" s="1"/>
      <c r="V42" s="1"/>
      <c r="W42" s="1"/>
      <c r="X42" s="1"/>
      <c r="Y42" s="1"/>
      <c r="Z42" s="1"/>
      <c r="AA42" s="1"/>
      <c r="AB42" s="1"/>
      <c r="AC42" s="1"/>
      <c r="AD42" s="1"/>
      <c r="AE42" s="1"/>
      <c r="AF42" s="1"/>
    </row>
    <row r="43" spans="1:32" ht="18.75" x14ac:dyDescent="0.3">
      <c r="A43" s="87" t="s">
        <v>55</v>
      </c>
      <c r="B43" s="47"/>
      <c r="C43" s="47"/>
      <c r="D43" s="47"/>
      <c r="E43" s="48"/>
      <c r="F43" s="48"/>
      <c r="G43" s="48"/>
      <c r="H43" s="48"/>
      <c r="I43" s="48"/>
      <c r="J43" s="48"/>
      <c r="K43" s="49"/>
      <c r="L43" s="282"/>
      <c r="M43" s="72"/>
      <c r="N43" s="70"/>
      <c r="O43" s="1"/>
      <c r="P43" s="1"/>
      <c r="Q43" s="1"/>
      <c r="R43" s="1"/>
      <c r="S43" s="1"/>
      <c r="T43" s="1"/>
      <c r="U43" s="1"/>
      <c r="V43" s="1"/>
      <c r="W43" s="1"/>
      <c r="X43" s="1"/>
      <c r="Y43" s="1"/>
      <c r="Z43" s="1"/>
      <c r="AA43" s="1"/>
      <c r="AB43" s="1"/>
      <c r="AC43" s="1"/>
      <c r="AD43" s="1"/>
      <c r="AE43" s="1"/>
      <c r="AF43" s="1"/>
    </row>
    <row r="44" spans="1:32" ht="15.75" x14ac:dyDescent="0.25">
      <c r="A44" s="50"/>
      <c r="B44" s="51" t="s">
        <v>56</v>
      </c>
      <c r="C44" s="51"/>
      <c r="D44" s="51"/>
      <c r="E44" s="52">
        <f t="shared" ref="E44:K44" si="10">E4*E5</f>
        <v>160000</v>
      </c>
      <c r="F44" s="52">
        <f t="shared" si="10"/>
        <v>166400</v>
      </c>
      <c r="G44" s="52">
        <f t="shared" si="10"/>
        <v>173056</v>
      </c>
      <c r="H44" s="52">
        <f t="shared" si="10"/>
        <v>179978.24000000002</v>
      </c>
      <c r="I44" s="52">
        <f t="shared" si="10"/>
        <v>187177.36960000003</v>
      </c>
      <c r="J44" s="52">
        <f t="shared" si="10"/>
        <v>0</v>
      </c>
      <c r="K44" s="53">
        <f t="shared" si="10"/>
        <v>0</v>
      </c>
      <c r="L44" s="282"/>
      <c r="M44" s="72"/>
      <c r="N44" s="70"/>
      <c r="O44" s="1"/>
      <c r="P44" s="1"/>
      <c r="Q44" s="1"/>
      <c r="R44" s="1"/>
      <c r="S44" s="1"/>
      <c r="AC44" s="1"/>
      <c r="AD44" s="1"/>
      <c r="AE44" s="1"/>
      <c r="AF44" s="1"/>
    </row>
    <row r="45" spans="1:32" ht="15.75" x14ac:dyDescent="0.25">
      <c r="A45" s="50"/>
      <c r="B45" s="51" t="s">
        <v>57</v>
      </c>
      <c r="C45" s="51"/>
      <c r="D45" s="51"/>
      <c r="E45" s="52">
        <f t="shared" ref="E45:K45" si="11">E8*E9</f>
        <v>22500</v>
      </c>
      <c r="F45" s="52">
        <f t="shared" si="11"/>
        <v>23400.000000000004</v>
      </c>
      <c r="G45" s="52">
        <f t="shared" si="11"/>
        <v>24336.000000000007</v>
      </c>
      <c r="H45" s="52">
        <f t="shared" si="11"/>
        <v>25309.44000000001</v>
      </c>
      <c r="I45" s="52">
        <f t="shared" si="11"/>
        <v>26321.817600000009</v>
      </c>
      <c r="J45" s="52">
        <f t="shared" si="11"/>
        <v>0</v>
      </c>
      <c r="K45" s="53">
        <f t="shared" si="11"/>
        <v>0</v>
      </c>
      <c r="L45" s="282"/>
      <c r="M45" s="72"/>
      <c r="N45" s="70"/>
      <c r="O45" s="1"/>
      <c r="P45" s="1"/>
      <c r="Q45" s="1"/>
      <c r="R45" s="1"/>
      <c r="S45" s="1"/>
      <c r="AC45" s="1"/>
      <c r="AD45" s="1"/>
      <c r="AE45" s="1"/>
      <c r="AF45" s="1"/>
    </row>
    <row r="46" spans="1:32" ht="15.75" x14ac:dyDescent="0.25">
      <c r="A46" s="50"/>
      <c r="B46" s="51" t="s">
        <v>58</v>
      </c>
      <c r="C46" s="51"/>
      <c r="D46" s="51"/>
      <c r="E46" s="52">
        <f t="shared" ref="E46:K46" si="12">E12*E13</f>
        <v>227500</v>
      </c>
      <c r="F46" s="52">
        <f t="shared" si="12"/>
        <v>241605</v>
      </c>
      <c r="G46" s="52">
        <f t="shared" si="12"/>
        <v>256584.51000000004</v>
      </c>
      <c r="H46" s="52">
        <f t="shared" si="12"/>
        <v>272492.74962000008</v>
      </c>
      <c r="I46" s="52">
        <f t="shared" si="12"/>
        <v>289387.30009644007</v>
      </c>
      <c r="J46" s="52">
        <f t="shared" si="12"/>
        <v>0</v>
      </c>
      <c r="K46" s="53">
        <f t="shared" si="12"/>
        <v>0</v>
      </c>
      <c r="L46" s="282"/>
      <c r="M46" s="72"/>
      <c r="N46" s="70"/>
      <c r="O46" s="1"/>
      <c r="P46" s="1"/>
      <c r="Q46" s="1"/>
      <c r="R46" s="1"/>
      <c r="S46" s="1"/>
      <c r="AC46" s="1"/>
      <c r="AD46" s="1"/>
      <c r="AE46" s="1"/>
      <c r="AF46" s="1"/>
    </row>
    <row r="47" spans="1:32" ht="15.75" x14ac:dyDescent="0.25">
      <c r="A47" s="50"/>
      <c r="B47" s="51" t="s">
        <v>59</v>
      </c>
      <c r="C47" s="51"/>
      <c r="D47" s="51"/>
      <c r="E47" s="52">
        <f t="shared" ref="E47:K47" si="13">E16*E17</f>
        <v>48000</v>
      </c>
      <c r="F47" s="52">
        <f t="shared" si="13"/>
        <v>50447.999999999993</v>
      </c>
      <c r="G47" s="52">
        <f t="shared" si="13"/>
        <v>53020.847999999991</v>
      </c>
      <c r="H47" s="52">
        <f t="shared" si="13"/>
        <v>55724.911247999989</v>
      </c>
      <c r="I47" s="52">
        <f t="shared" si="13"/>
        <v>58566.881721647987</v>
      </c>
      <c r="J47" s="52">
        <f t="shared" si="13"/>
        <v>0</v>
      </c>
      <c r="K47" s="53">
        <f t="shared" si="13"/>
        <v>0</v>
      </c>
      <c r="L47" s="282"/>
      <c r="M47" s="72"/>
      <c r="N47" s="70"/>
      <c r="O47" s="1"/>
      <c r="P47" s="1"/>
      <c r="Q47" s="1"/>
      <c r="R47" s="1"/>
      <c r="S47" s="1"/>
      <c r="AC47" s="1"/>
      <c r="AD47" s="1"/>
      <c r="AE47" s="1"/>
      <c r="AF47" s="1"/>
    </row>
    <row r="48" spans="1:32" ht="15.75" x14ac:dyDescent="0.25">
      <c r="A48" s="50"/>
      <c r="B48" s="51" t="s">
        <v>60</v>
      </c>
      <c r="C48" s="51"/>
      <c r="D48" s="51"/>
      <c r="E48" s="18">
        <f t="shared" ref="E48:K48" si="14">E20*E21</f>
        <v>104000</v>
      </c>
      <c r="F48" s="18">
        <f t="shared" si="14"/>
        <v>108264</v>
      </c>
      <c r="G48" s="18">
        <f t="shared" si="14"/>
        <v>112702.82399999999</v>
      </c>
      <c r="H48" s="18">
        <f t="shared" si="14"/>
        <v>117323.63978399998</v>
      </c>
      <c r="I48" s="18">
        <f t="shared" si="14"/>
        <v>122133.90901514397</v>
      </c>
      <c r="J48" s="18">
        <f t="shared" si="14"/>
        <v>0</v>
      </c>
      <c r="K48" s="54">
        <f t="shared" si="14"/>
        <v>0</v>
      </c>
      <c r="L48" s="282"/>
      <c r="M48" s="72"/>
      <c r="N48" s="70"/>
      <c r="O48" s="1"/>
      <c r="P48" s="1"/>
      <c r="Q48" s="1"/>
      <c r="R48" s="1"/>
      <c r="S48" s="1"/>
      <c r="AC48" s="1"/>
      <c r="AD48" s="1"/>
      <c r="AE48" s="1"/>
      <c r="AF48" s="1"/>
    </row>
    <row r="49" spans="1:32" ht="15.75" x14ac:dyDescent="0.25">
      <c r="A49" s="55"/>
      <c r="B49" s="56" t="s">
        <v>61</v>
      </c>
      <c r="C49" s="56"/>
      <c r="D49" s="56"/>
      <c r="E49" s="57">
        <f>SUM(E44:E48)</f>
        <v>562000</v>
      </c>
      <c r="F49" s="57">
        <f t="shared" ref="F49:K49" si="15">SUM(F44:F48)</f>
        <v>590117</v>
      </c>
      <c r="G49" s="57">
        <f t="shared" si="15"/>
        <v>619700.18200000003</v>
      </c>
      <c r="H49" s="57">
        <f t="shared" si="15"/>
        <v>650828.98065200006</v>
      </c>
      <c r="I49" s="57">
        <f t="shared" si="15"/>
        <v>683587.27803323208</v>
      </c>
      <c r="J49" s="57">
        <f t="shared" si="15"/>
        <v>0</v>
      </c>
      <c r="K49" s="58">
        <f t="shared" si="15"/>
        <v>0</v>
      </c>
      <c r="L49" s="282"/>
      <c r="M49" s="72"/>
      <c r="N49" s="70"/>
      <c r="O49" s="1"/>
      <c r="P49" s="1"/>
      <c r="Q49" s="1"/>
      <c r="R49" s="1"/>
      <c r="S49" s="1"/>
      <c r="AC49" s="1"/>
      <c r="AD49" s="1"/>
      <c r="AE49" s="1"/>
      <c r="AF49" s="1"/>
    </row>
    <row r="50" spans="1:32" ht="15.75" x14ac:dyDescent="0.25">
      <c r="A50" s="59"/>
      <c r="B50" s="51"/>
      <c r="C50" s="51"/>
      <c r="D50" s="51"/>
      <c r="E50" s="52"/>
      <c r="F50" s="52"/>
      <c r="G50" s="52"/>
      <c r="H50" s="52"/>
      <c r="I50" s="52"/>
      <c r="J50" s="52"/>
      <c r="K50" s="53"/>
      <c r="L50" s="282"/>
      <c r="M50" s="72"/>
      <c r="N50" s="70"/>
      <c r="O50" s="1"/>
      <c r="P50" s="1"/>
      <c r="Q50" s="1"/>
      <c r="R50" s="1"/>
      <c r="S50" s="1"/>
      <c r="AC50" s="1"/>
      <c r="AD50" s="1"/>
      <c r="AE50" s="1"/>
      <c r="AF50" s="1"/>
    </row>
    <row r="51" spans="1:32" ht="18.75" x14ac:dyDescent="0.3">
      <c r="A51" s="87" t="s">
        <v>54</v>
      </c>
      <c r="B51" s="47"/>
      <c r="C51" s="47"/>
      <c r="D51" s="47"/>
      <c r="E51" s="48"/>
      <c r="F51" s="48"/>
      <c r="G51" s="48"/>
      <c r="H51" s="48"/>
      <c r="I51" s="48"/>
      <c r="J51" s="48"/>
      <c r="K51" s="49"/>
      <c r="L51" s="282"/>
      <c r="M51" s="72"/>
      <c r="N51" s="70"/>
      <c r="O51" s="1"/>
      <c r="P51" s="1"/>
      <c r="Q51" s="1"/>
      <c r="R51" s="1"/>
      <c r="S51" s="1"/>
      <c r="AC51" s="1"/>
      <c r="AD51" s="1"/>
      <c r="AE51" s="1"/>
      <c r="AF51" s="1"/>
    </row>
    <row r="52" spans="1:32" ht="15.75" x14ac:dyDescent="0.25">
      <c r="A52" s="50"/>
      <c r="B52" s="51" t="s">
        <v>56</v>
      </c>
      <c r="C52" s="51"/>
      <c r="D52" s="51"/>
      <c r="E52" s="52">
        <f t="shared" ref="E52:K52" si="16">E4*E5</f>
        <v>160000</v>
      </c>
      <c r="F52" s="52">
        <f t="shared" si="16"/>
        <v>166400</v>
      </c>
      <c r="G52" s="52">
        <f t="shared" si="16"/>
        <v>173056</v>
      </c>
      <c r="H52" s="52">
        <f t="shared" si="16"/>
        <v>179978.24000000002</v>
      </c>
      <c r="I52" s="52">
        <f t="shared" si="16"/>
        <v>187177.36960000003</v>
      </c>
      <c r="J52" s="52">
        <f t="shared" si="16"/>
        <v>0</v>
      </c>
      <c r="K52" s="53">
        <f t="shared" si="16"/>
        <v>0</v>
      </c>
      <c r="L52" s="282"/>
      <c r="M52" s="72"/>
      <c r="N52" s="70"/>
      <c r="O52" s="1"/>
      <c r="P52" s="1"/>
      <c r="Q52" s="1"/>
      <c r="R52" s="1"/>
      <c r="S52" s="1"/>
      <c r="AC52" s="1"/>
      <c r="AD52" s="1"/>
      <c r="AE52" s="1"/>
      <c r="AF52" s="1"/>
    </row>
    <row r="53" spans="1:32" ht="15.75" x14ac:dyDescent="0.25">
      <c r="A53" s="50"/>
      <c r="B53" s="51" t="s">
        <v>57</v>
      </c>
      <c r="C53" s="51"/>
      <c r="D53" s="51"/>
      <c r="E53" s="52">
        <f t="shared" ref="E53:K53" si="17">E8*E10</f>
        <v>12824.999999999998</v>
      </c>
      <c r="F53" s="52">
        <f t="shared" si="17"/>
        <v>13338</v>
      </c>
      <c r="G53" s="52">
        <f t="shared" si="17"/>
        <v>13871.52</v>
      </c>
      <c r="H53" s="52">
        <f t="shared" si="17"/>
        <v>14426.380800000004</v>
      </c>
      <c r="I53" s="52">
        <f t="shared" si="17"/>
        <v>15003.436032000003</v>
      </c>
      <c r="J53" s="52">
        <f t="shared" si="17"/>
        <v>0</v>
      </c>
      <c r="K53" s="53">
        <f t="shared" si="17"/>
        <v>0</v>
      </c>
      <c r="L53" s="282"/>
      <c r="M53" s="72"/>
      <c r="N53" s="70"/>
      <c r="O53" s="1"/>
      <c r="P53" s="1"/>
      <c r="Q53" s="1"/>
      <c r="R53" s="1"/>
      <c r="S53" s="1"/>
      <c r="AC53" s="1"/>
      <c r="AD53" s="1"/>
      <c r="AE53" s="1"/>
      <c r="AF53" s="1"/>
    </row>
    <row r="54" spans="1:32" ht="15.75" x14ac:dyDescent="0.25">
      <c r="A54" s="50"/>
      <c r="B54" s="51" t="s">
        <v>58</v>
      </c>
      <c r="C54" s="51"/>
      <c r="D54" s="51"/>
      <c r="E54" s="52">
        <f t="shared" ref="E54:K54" si="18">E12*E14</f>
        <v>139685</v>
      </c>
      <c r="F54" s="52">
        <f t="shared" si="18"/>
        <v>148345.47</v>
      </c>
      <c r="G54" s="52">
        <f t="shared" si="18"/>
        <v>157542.88914000001</v>
      </c>
      <c r="H54" s="52">
        <f t="shared" si="18"/>
        <v>167310.54826668001</v>
      </c>
      <c r="I54" s="52">
        <f t="shared" si="18"/>
        <v>177683.80225921419</v>
      </c>
      <c r="J54" s="52">
        <f t="shared" si="18"/>
        <v>0</v>
      </c>
      <c r="K54" s="53">
        <f t="shared" si="18"/>
        <v>0</v>
      </c>
      <c r="L54" s="282"/>
      <c r="M54" s="72"/>
      <c r="N54" s="70"/>
      <c r="O54" s="1"/>
      <c r="P54" s="1"/>
      <c r="Q54" s="1"/>
      <c r="R54" s="1"/>
      <c r="S54" s="1"/>
      <c r="AC54" s="1"/>
      <c r="AD54" s="1"/>
      <c r="AE54" s="1"/>
      <c r="AF54" s="1"/>
    </row>
    <row r="55" spans="1:32" ht="15.75" x14ac:dyDescent="0.25">
      <c r="A55" s="50"/>
      <c r="B55" s="51" t="s">
        <v>59</v>
      </c>
      <c r="C55" s="51"/>
      <c r="D55" s="51"/>
      <c r="E55" s="52">
        <f t="shared" ref="E55:K55" si="19">E16*E18</f>
        <v>32544</v>
      </c>
      <c r="F55" s="52">
        <f t="shared" si="19"/>
        <v>34203.743999999999</v>
      </c>
      <c r="G55" s="52">
        <f t="shared" si="19"/>
        <v>35948.134943999998</v>
      </c>
      <c r="H55" s="52">
        <f t="shared" si="19"/>
        <v>37781.489826143996</v>
      </c>
      <c r="I55" s="52">
        <f t="shared" si="19"/>
        <v>39708.345807277336</v>
      </c>
      <c r="J55" s="52">
        <f t="shared" si="19"/>
        <v>0</v>
      </c>
      <c r="K55" s="53">
        <f t="shared" si="19"/>
        <v>0</v>
      </c>
      <c r="L55" s="282"/>
      <c r="M55" s="72"/>
      <c r="N55" s="70"/>
      <c r="O55" s="1"/>
      <c r="P55" s="1"/>
      <c r="Q55" s="1"/>
      <c r="R55" s="1"/>
      <c r="S55" s="1"/>
      <c r="AC55" s="1"/>
      <c r="AD55" s="1"/>
      <c r="AE55" s="1"/>
      <c r="AF55" s="1"/>
    </row>
    <row r="56" spans="1:32" ht="15.75" x14ac:dyDescent="0.25">
      <c r="A56" s="50"/>
      <c r="B56" s="51" t="s">
        <v>60</v>
      </c>
      <c r="C56" s="51"/>
      <c r="D56" s="51"/>
      <c r="E56" s="18">
        <f t="shared" ref="E56:K56" si="20">E20*E22</f>
        <v>57512</v>
      </c>
      <c r="F56" s="18">
        <f t="shared" si="20"/>
        <v>59869.991999999998</v>
      </c>
      <c r="G56" s="18">
        <f t="shared" si="20"/>
        <v>62324.661672000002</v>
      </c>
      <c r="H56" s="18">
        <f t="shared" si="20"/>
        <v>64879.972800551994</v>
      </c>
      <c r="I56" s="18">
        <f t="shared" si="20"/>
        <v>67540.051685374623</v>
      </c>
      <c r="J56" s="18">
        <f t="shared" si="20"/>
        <v>0</v>
      </c>
      <c r="K56" s="54">
        <f t="shared" si="20"/>
        <v>0</v>
      </c>
      <c r="L56" s="282"/>
      <c r="M56" s="72"/>
      <c r="N56" s="70"/>
      <c r="O56" s="1"/>
      <c r="P56" s="1"/>
      <c r="Q56" s="1"/>
      <c r="R56" s="1"/>
      <c r="S56" s="1"/>
      <c r="AC56" s="1"/>
      <c r="AD56" s="1"/>
      <c r="AE56" s="1"/>
      <c r="AF56" s="1"/>
    </row>
    <row r="57" spans="1:32" ht="15.75" x14ac:dyDescent="0.25">
      <c r="A57" s="55"/>
      <c r="B57" s="56" t="s">
        <v>62</v>
      </c>
      <c r="C57" s="56"/>
      <c r="D57" s="56"/>
      <c r="E57" s="57">
        <f>SUM(E52:E56)</f>
        <v>402566</v>
      </c>
      <c r="F57" s="57">
        <f t="shared" ref="F57:K57" si="21">SUM(F52:F56)</f>
        <v>422157.20600000001</v>
      </c>
      <c r="G57" s="57">
        <f t="shared" si="21"/>
        <v>442743.20575600001</v>
      </c>
      <c r="H57" s="57">
        <f t="shared" si="21"/>
        <v>464376.631693376</v>
      </c>
      <c r="I57" s="57">
        <f t="shared" si="21"/>
        <v>487113.0053838662</v>
      </c>
      <c r="J57" s="57">
        <f t="shared" si="21"/>
        <v>0</v>
      </c>
      <c r="K57" s="58">
        <f t="shared" si="21"/>
        <v>0</v>
      </c>
      <c r="L57" s="282"/>
      <c r="M57" s="72"/>
      <c r="N57" s="70"/>
      <c r="O57" s="1"/>
      <c r="P57" s="4"/>
      <c r="Q57" s="1"/>
      <c r="R57" s="1"/>
      <c r="S57" s="1"/>
      <c r="AC57" s="1"/>
      <c r="AD57" s="1"/>
      <c r="AE57" s="1"/>
      <c r="AF57" s="1"/>
    </row>
    <row r="58" spans="1:32" ht="15.75" x14ac:dyDescent="0.25">
      <c r="A58" s="59"/>
      <c r="B58" s="51"/>
      <c r="C58" s="51"/>
      <c r="D58" s="51"/>
      <c r="E58" s="52"/>
      <c r="F58" s="52"/>
      <c r="G58" s="52"/>
      <c r="H58" s="52"/>
      <c r="I58" s="52"/>
      <c r="J58" s="52"/>
      <c r="K58" s="53"/>
      <c r="L58" s="282"/>
      <c r="M58" s="72"/>
      <c r="N58" s="70"/>
      <c r="O58" s="1"/>
      <c r="P58" s="1"/>
      <c r="Q58" s="1"/>
      <c r="R58" s="1"/>
      <c r="S58" s="1"/>
      <c r="AC58" s="1"/>
      <c r="AD58" s="1"/>
      <c r="AE58" s="1"/>
      <c r="AF58" s="1"/>
    </row>
    <row r="59" spans="1:32" ht="18.75" x14ac:dyDescent="0.3">
      <c r="A59" s="87" t="s">
        <v>29</v>
      </c>
      <c r="B59" s="47"/>
      <c r="C59" s="47"/>
      <c r="D59" s="47"/>
      <c r="E59" s="48"/>
      <c r="F59" s="48"/>
      <c r="G59" s="48"/>
      <c r="H59" s="48"/>
      <c r="I59" s="48"/>
      <c r="J59" s="48"/>
      <c r="K59" s="49"/>
      <c r="L59" s="282"/>
      <c r="M59" s="72"/>
      <c r="N59" s="70"/>
      <c r="O59" s="1"/>
      <c r="P59" s="1"/>
      <c r="Q59" s="1"/>
      <c r="R59" s="1"/>
      <c r="S59" s="1"/>
      <c r="AC59" s="1"/>
      <c r="AD59" s="1"/>
      <c r="AE59" s="1"/>
      <c r="AF59" s="1"/>
    </row>
    <row r="60" spans="1:32" ht="15.75" x14ac:dyDescent="0.25">
      <c r="A60" s="59"/>
      <c r="B60" s="51" t="s">
        <v>79</v>
      </c>
      <c r="C60" s="51"/>
      <c r="D60" s="51"/>
      <c r="E60" s="52">
        <f>E29*E30*E31</f>
        <v>42601</v>
      </c>
      <c r="F60" s="52">
        <f t="shared" ref="F60:K60" si="22">F29*F30*F31</f>
        <v>44070</v>
      </c>
      <c r="G60" s="52">
        <f t="shared" si="22"/>
        <v>45539</v>
      </c>
      <c r="H60" s="52">
        <f t="shared" si="22"/>
        <v>47008</v>
      </c>
      <c r="I60" s="52">
        <f t="shared" si="22"/>
        <v>48477</v>
      </c>
      <c r="J60" s="52">
        <f t="shared" si="22"/>
        <v>0</v>
      </c>
      <c r="K60" s="53">
        <f t="shared" si="22"/>
        <v>0</v>
      </c>
      <c r="L60" s="282"/>
      <c r="M60" s="82"/>
      <c r="N60" s="70"/>
      <c r="O60" s="1"/>
      <c r="P60" s="1"/>
      <c r="Q60" s="1"/>
      <c r="R60" s="1"/>
      <c r="S60" s="1"/>
      <c r="AC60" s="1"/>
      <c r="AD60" s="1"/>
      <c r="AE60" s="1"/>
      <c r="AF60" s="1"/>
    </row>
    <row r="61" spans="1:32" ht="15.75" x14ac:dyDescent="0.25">
      <c r="A61" s="59"/>
      <c r="B61" s="51" t="s">
        <v>125</v>
      </c>
      <c r="C61" s="51"/>
      <c r="D61" s="51"/>
      <c r="E61" s="163">
        <f>E32*12</f>
        <v>1800</v>
      </c>
      <c r="F61" s="163">
        <f t="shared" ref="F61:K61" si="23">F32*12</f>
        <v>2520</v>
      </c>
      <c r="G61" s="163">
        <f t="shared" si="23"/>
        <v>3528</v>
      </c>
      <c r="H61" s="163">
        <f t="shared" si="23"/>
        <v>4939.2</v>
      </c>
      <c r="I61" s="163">
        <f t="shared" si="23"/>
        <v>6914.8799999999992</v>
      </c>
      <c r="J61" s="163">
        <f t="shared" si="23"/>
        <v>0</v>
      </c>
      <c r="K61" s="291">
        <f t="shared" si="23"/>
        <v>0</v>
      </c>
      <c r="L61" s="282"/>
      <c r="M61" s="92"/>
      <c r="N61" s="70"/>
      <c r="O61" s="1"/>
      <c r="P61" s="1"/>
      <c r="Q61" s="1"/>
      <c r="R61" s="1"/>
      <c r="S61" s="1"/>
      <c r="AC61" s="1"/>
      <c r="AD61" s="1"/>
      <c r="AE61" s="1"/>
      <c r="AF61" s="1"/>
    </row>
    <row r="62" spans="1:32" ht="15.75" x14ac:dyDescent="0.25">
      <c r="A62" s="59"/>
      <c r="B62" s="51" t="s">
        <v>52</v>
      </c>
      <c r="C62" s="51"/>
      <c r="D62" s="51"/>
      <c r="E62" s="163">
        <f>E33</f>
        <v>60455</v>
      </c>
      <c r="F62" s="163">
        <f t="shared" ref="F62:K66" si="24">F33</f>
        <v>84637</v>
      </c>
      <c r="G62" s="163">
        <f t="shared" si="24"/>
        <v>118491.79999999999</v>
      </c>
      <c r="H62" s="163">
        <f t="shared" si="24"/>
        <v>165888.51999999996</v>
      </c>
      <c r="I62" s="163">
        <f t="shared" si="24"/>
        <v>232243.92799999993</v>
      </c>
      <c r="J62" s="163">
        <f t="shared" si="24"/>
        <v>0</v>
      </c>
      <c r="K62" s="291">
        <f t="shared" si="24"/>
        <v>0</v>
      </c>
      <c r="L62" s="282"/>
      <c r="M62" s="92"/>
      <c r="N62" s="70"/>
      <c r="O62" s="1"/>
      <c r="P62" s="1"/>
      <c r="Q62" s="1"/>
      <c r="R62" s="1"/>
      <c r="S62" s="1"/>
      <c r="AC62" s="1"/>
      <c r="AD62" s="1"/>
      <c r="AE62" s="1"/>
      <c r="AF62" s="1"/>
    </row>
    <row r="63" spans="1:32" ht="15.75" x14ac:dyDescent="0.25">
      <c r="A63" s="59"/>
      <c r="B63" s="51" t="s">
        <v>137</v>
      </c>
      <c r="C63" s="51"/>
      <c r="D63" s="51"/>
      <c r="E63" s="163">
        <f>E34</f>
        <v>525</v>
      </c>
      <c r="F63" s="163">
        <f t="shared" si="24"/>
        <v>735</v>
      </c>
      <c r="G63" s="163">
        <f t="shared" si="24"/>
        <v>1029</v>
      </c>
      <c r="H63" s="163">
        <f t="shared" si="24"/>
        <v>1440.6</v>
      </c>
      <c r="I63" s="163">
        <f t="shared" si="24"/>
        <v>2016.8399999999997</v>
      </c>
      <c r="J63" s="163">
        <f t="shared" si="24"/>
        <v>0</v>
      </c>
      <c r="K63" s="291">
        <f t="shared" si="24"/>
        <v>0</v>
      </c>
      <c r="L63" s="282"/>
      <c r="M63" s="92"/>
      <c r="N63" s="70"/>
      <c r="O63" s="1"/>
      <c r="P63" s="1"/>
      <c r="Q63" s="1"/>
      <c r="R63" s="1"/>
      <c r="S63" s="1"/>
      <c r="AC63" s="1"/>
      <c r="AD63" s="1"/>
      <c r="AE63" s="1"/>
      <c r="AF63" s="1"/>
    </row>
    <row r="64" spans="1:32" ht="15.75" x14ac:dyDescent="0.25">
      <c r="A64" s="59"/>
      <c r="B64" s="51" t="s">
        <v>138</v>
      </c>
      <c r="C64" s="51"/>
      <c r="D64" s="51"/>
      <c r="E64" s="163">
        <f>E35</f>
        <v>1575</v>
      </c>
      <c r="F64" s="163">
        <f t="shared" si="24"/>
        <v>2205</v>
      </c>
      <c r="G64" s="163">
        <f t="shared" si="24"/>
        <v>3087</v>
      </c>
      <c r="H64" s="163">
        <f t="shared" si="24"/>
        <v>4321.7999999999993</v>
      </c>
      <c r="I64" s="163">
        <f t="shared" si="24"/>
        <v>6050.5199999999986</v>
      </c>
      <c r="J64" s="163">
        <f t="shared" si="24"/>
        <v>0</v>
      </c>
      <c r="K64" s="291">
        <f t="shared" si="24"/>
        <v>0</v>
      </c>
      <c r="L64" s="282"/>
      <c r="M64" s="92"/>
      <c r="N64" s="70"/>
      <c r="O64" s="1"/>
      <c r="P64" s="1"/>
      <c r="Q64" s="1"/>
      <c r="R64" s="1"/>
      <c r="S64" s="1"/>
      <c r="AC64" s="1"/>
      <c r="AD64" s="1"/>
      <c r="AE64" s="1"/>
      <c r="AF64" s="1"/>
    </row>
    <row r="65" spans="1:32" ht="15.75" x14ac:dyDescent="0.25">
      <c r="A65" s="59"/>
      <c r="B65" s="51" t="s">
        <v>30</v>
      </c>
      <c r="C65" s="51"/>
      <c r="D65" s="51"/>
      <c r="E65" s="163">
        <f t="shared" ref="E65" si="25">E36</f>
        <v>18450</v>
      </c>
      <c r="F65" s="163">
        <f t="shared" si="24"/>
        <v>25830</v>
      </c>
      <c r="G65" s="163">
        <f t="shared" si="24"/>
        <v>36162</v>
      </c>
      <c r="H65" s="163">
        <f t="shared" si="24"/>
        <v>50626.799999999996</v>
      </c>
      <c r="I65" s="163">
        <f t="shared" si="24"/>
        <v>70877.51999999999</v>
      </c>
      <c r="J65" s="163">
        <f t="shared" si="24"/>
        <v>0</v>
      </c>
      <c r="K65" s="291">
        <f t="shared" si="24"/>
        <v>0</v>
      </c>
      <c r="L65" s="282"/>
      <c r="M65" s="92"/>
      <c r="N65" s="70"/>
      <c r="O65" s="1"/>
      <c r="P65" s="1"/>
      <c r="Q65" s="1"/>
      <c r="R65" s="1"/>
      <c r="S65" s="1"/>
      <c r="AC65" s="1"/>
      <c r="AD65" s="1"/>
      <c r="AE65" s="1"/>
      <c r="AF65" s="1"/>
    </row>
    <row r="66" spans="1:32" ht="15.75" x14ac:dyDescent="0.25">
      <c r="A66" s="59"/>
      <c r="B66" s="51" t="s">
        <v>152</v>
      </c>
      <c r="C66" s="51"/>
      <c r="D66" s="51"/>
      <c r="E66" s="163">
        <f>E37</f>
        <v>400</v>
      </c>
      <c r="F66" s="163">
        <f t="shared" si="24"/>
        <v>560</v>
      </c>
      <c r="G66" s="163">
        <f t="shared" si="24"/>
        <v>784</v>
      </c>
      <c r="H66" s="163">
        <f t="shared" si="24"/>
        <v>1097.5999999999999</v>
      </c>
      <c r="I66" s="163">
        <f t="shared" si="24"/>
        <v>1536.6399999999999</v>
      </c>
      <c r="J66" s="163">
        <f t="shared" si="24"/>
        <v>0</v>
      </c>
      <c r="K66" s="291">
        <f t="shared" si="24"/>
        <v>0</v>
      </c>
      <c r="L66" s="282"/>
      <c r="M66" s="92"/>
      <c r="N66" s="70"/>
      <c r="O66" s="1"/>
      <c r="P66" s="1"/>
      <c r="Q66" s="1"/>
      <c r="R66" s="1"/>
      <c r="S66" s="1"/>
      <c r="AC66" s="1"/>
      <c r="AD66" s="1"/>
      <c r="AE66" s="1"/>
      <c r="AF66" s="1"/>
    </row>
    <row r="67" spans="1:32" ht="15.75" x14ac:dyDescent="0.25">
      <c r="A67" s="55"/>
      <c r="B67" s="56" t="s">
        <v>80</v>
      </c>
      <c r="C67" s="56"/>
      <c r="D67" s="56"/>
      <c r="E67" s="57">
        <f>SUM(E60:E66)</f>
        <v>125806</v>
      </c>
      <c r="F67" s="57">
        <f t="shared" ref="F67:K67" si="26">SUM(F60:F66)</f>
        <v>160557</v>
      </c>
      <c r="G67" s="57">
        <f t="shared" si="26"/>
        <v>208620.79999999999</v>
      </c>
      <c r="H67" s="57">
        <f t="shared" si="26"/>
        <v>275322.51999999996</v>
      </c>
      <c r="I67" s="57">
        <f t="shared" si="26"/>
        <v>368117.32799999998</v>
      </c>
      <c r="J67" s="57">
        <f t="shared" si="26"/>
        <v>0</v>
      </c>
      <c r="K67" s="58">
        <f t="shared" si="26"/>
        <v>0</v>
      </c>
      <c r="L67" s="282"/>
      <c r="M67" s="92"/>
      <c r="N67" s="70"/>
      <c r="O67" s="1"/>
      <c r="P67" s="1"/>
      <c r="Q67" s="1"/>
      <c r="R67" s="1"/>
      <c r="S67" s="1"/>
      <c r="AC67" s="1"/>
      <c r="AD67" s="1"/>
      <c r="AE67" s="1"/>
      <c r="AF67" s="1"/>
    </row>
    <row r="68" spans="1:32" ht="15.75" x14ac:dyDescent="0.25">
      <c r="A68" s="59"/>
      <c r="B68" s="51"/>
      <c r="C68" s="51"/>
      <c r="D68" s="51"/>
      <c r="E68" s="52"/>
      <c r="F68" s="52"/>
      <c r="G68" s="52"/>
      <c r="H68" s="52"/>
      <c r="I68" s="52"/>
      <c r="J68" s="52"/>
      <c r="K68" s="53"/>
      <c r="L68" s="282"/>
      <c r="M68" s="92"/>
      <c r="N68" s="70"/>
      <c r="O68" s="1"/>
      <c r="P68" s="1"/>
      <c r="Q68" s="1"/>
      <c r="R68" s="1"/>
      <c r="S68" s="1"/>
      <c r="AC68" s="1"/>
      <c r="AD68" s="1"/>
      <c r="AE68" s="1"/>
      <c r="AF68" s="1"/>
    </row>
    <row r="69" spans="1:32" ht="18.75" x14ac:dyDescent="0.3">
      <c r="A69" s="88" t="s">
        <v>81</v>
      </c>
      <c r="B69" s="56"/>
      <c r="C69" s="56"/>
      <c r="D69" s="56"/>
      <c r="E69" s="57">
        <f>E49-E57-E67</f>
        <v>33628</v>
      </c>
      <c r="F69" s="57">
        <f t="shared" ref="F69:K69" si="27">F49-F57-F67</f>
        <v>7402.7939999999944</v>
      </c>
      <c r="G69" s="57">
        <f t="shared" si="27"/>
        <v>-31663.823755999969</v>
      </c>
      <c r="H69" s="57">
        <f t="shared" si="27"/>
        <v>-88870.171041375899</v>
      </c>
      <c r="I69" s="57">
        <f t="shared" si="27"/>
        <v>-171643.05535063409</v>
      </c>
      <c r="J69" s="57">
        <f t="shared" si="27"/>
        <v>0</v>
      </c>
      <c r="K69" s="58">
        <f t="shared" si="27"/>
        <v>0</v>
      </c>
      <c r="L69" s="282"/>
      <c r="M69" s="92"/>
      <c r="N69" s="70"/>
      <c r="O69" s="1"/>
      <c r="P69" s="1"/>
      <c r="Q69" s="1"/>
      <c r="R69" s="1"/>
      <c r="S69" s="1"/>
      <c r="AC69" s="1"/>
      <c r="AD69" s="1"/>
      <c r="AE69" s="1"/>
      <c r="AF69" s="1"/>
    </row>
    <row r="70" spans="1:32" ht="15.75" x14ac:dyDescent="0.25">
      <c r="A70" s="59"/>
      <c r="B70" s="51"/>
      <c r="C70" s="51"/>
      <c r="D70" s="51"/>
      <c r="E70" s="52"/>
      <c r="F70" s="52"/>
      <c r="G70" s="52"/>
      <c r="H70" s="52"/>
      <c r="I70" s="52"/>
      <c r="J70" s="52"/>
      <c r="K70" s="53"/>
      <c r="L70" s="282"/>
      <c r="M70" s="92"/>
      <c r="N70" s="70"/>
      <c r="O70" s="1"/>
      <c r="P70" s="1"/>
      <c r="Q70" s="1"/>
      <c r="R70" s="1"/>
      <c r="S70" s="1"/>
      <c r="AC70" s="1"/>
      <c r="AD70" s="1"/>
      <c r="AE70" s="1"/>
      <c r="AF70" s="1"/>
    </row>
    <row r="71" spans="1:32" ht="15.75" x14ac:dyDescent="0.25">
      <c r="A71" s="59" t="s">
        <v>53</v>
      </c>
      <c r="B71" s="51"/>
      <c r="C71" s="51"/>
      <c r="D71" s="51"/>
      <c r="E71" s="52">
        <f>[1]Mortgage!D14</f>
        <v>5214.8188371070974</v>
      </c>
      <c r="F71" s="52">
        <f>[1]Mortgage!D28</f>
        <v>5135.5622214015166</v>
      </c>
      <c r="G71" s="52">
        <f>[1]Mortgage!D42</f>
        <v>5052.2506868167575</v>
      </c>
      <c r="H71" s="52">
        <f>[1]Mortgage!D56</f>
        <v>4964.676776007198</v>
      </c>
      <c r="I71" s="52">
        <f>[1]Mortgage!D70</f>
        <v>4872.6224177156992</v>
      </c>
      <c r="J71" s="52">
        <v>0</v>
      </c>
      <c r="K71" s="53">
        <v>0</v>
      </c>
      <c r="L71" s="282"/>
      <c r="M71" s="92">
        <v>0.05</v>
      </c>
      <c r="N71" s="70" t="s">
        <v>127</v>
      </c>
      <c r="O71" s="1"/>
      <c r="P71" s="1"/>
      <c r="Q71" s="1"/>
      <c r="R71" s="1"/>
      <c r="S71" s="1"/>
      <c r="AC71" s="1"/>
      <c r="AD71" s="1"/>
      <c r="AE71" s="1"/>
      <c r="AF71" s="1"/>
    </row>
    <row r="72" spans="1:32" ht="15.75" x14ac:dyDescent="0.25">
      <c r="A72" s="59" t="s">
        <v>126</v>
      </c>
      <c r="B72" s="51"/>
      <c r="C72" s="51"/>
      <c r="D72" s="51"/>
      <c r="E72" s="52">
        <f t="shared" ref="E72:K72" si="28">$M$72*E99</f>
        <v>15201.246052032464</v>
      </c>
      <c r="F72" s="52">
        <f t="shared" si="28"/>
        <v>16801.911563340909</v>
      </c>
      <c r="G72" s="52">
        <f t="shared" si="28"/>
        <v>21573.445102921214</v>
      </c>
      <c r="H72" s="52">
        <f t="shared" si="28"/>
        <v>31402.650706218275</v>
      </c>
      <c r="I72" s="52">
        <f t="shared" si="28"/>
        <v>48897.783359389912</v>
      </c>
      <c r="J72" s="52">
        <f t="shared" si="28"/>
        <v>0</v>
      </c>
      <c r="K72" s="53">
        <f t="shared" si="28"/>
        <v>0</v>
      </c>
      <c r="L72" s="282"/>
      <c r="M72" s="92">
        <v>7.4999999999999997E-2</v>
      </c>
      <c r="N72" s="70" t="s">
        <v>127</v>
      </c>
      <c r="O72" s="1"/>
      <c r="P72" s="1"/>
      <c r="Q72" s="1"/>
      <c r="R72" s="1"/>
      <c r="S72" s="1"/>
      <c r="AC72" s="1"/>
      <c r="AD72" s="1"/>
      <c r="AE72" s="1"/>
      <c r="AF72" s="1"/>
    </row>
    <row r="73" spans="1:32" ht="15.75" x14ac:dyDescent="0.25">
      <c r="A73" s="59"/>
      <c r="B73" s="51"/>
      <c r="C73" s="51"/>
      <c r="D73" s="51"/>
      <c r="E73" s="52"/>
      <c r="F73" s="52"/>
      <c r="G73" s="52"/>
      <c r="H73" s="52"/>
      <c r="I73" s="52"/>
      <c r="J73" s="52"/>
      <c r="K73" s="53"/>
      <c r="L73" s="282"/>
      <c r="M73" s="92"/>
      <c r="N73" s="70"/>
      <c r="O73" s="1"/>
      <c r="P73" s="1"/>
      <c r="Q73" s="1"/>
      <c r="R73" s="1"/>
      <c r="S73" s="1"/>
      <c r="AC73" s="1"/>
      <c r="AD73" s="1"/>
      <c r="AE73" s="1"/>
      <c r="AF73" s="1"/>
    </row>
    <row r="74" spans="1:32" ht="15.75" x14ac:dyDescent="0.25">
      <c r="A74" s="59"/>
      <c r="B74" s="51"/>
      <c r="C74" s="51"/>
      <c r="D74" s="51"/>
      <c r="E74" s="52"/>
      <c r="F74" s="52"/>
      <c r="G74" s="52"/>
      <c r="H74" s="52"/>
      <c r="I74" s="52"/>
      <c r="J74" s="52"/>
      <c r="K74" s="53"/>
      <c r="L74" s="282"/>
      <c r="M74" s="92"/>
      <c r="N74" s="70"/>
      <c r="O74" s="1"/>
      <c r="P74" s="1"/>
      <c r="Q74" s="1"/>
      <c r="R74" s="1"/>
      <c r="S74" s="1"/>
      <c r="AC74" s="1"/>
      <c r="AD74" s="1"/>
      <c r="AE74" s="1"/>
      <c r="AF74" s="1"/>
    </row>
    <row r="75" spans="1:32" ht="15.75" x14ac:dyDescent="0.25">
      <c r="A75" s="59" t="s">
        <v>150</v>
      </c>
      <c r="B75" s="51"/>
      <c r="C75" s="51"/>
      <c r="D75" s="51"/>
      <c r="E75" s="292">
        <f>E89/30</f>
        <v>3333.3333333333335</v>
      </c>
      <c r="F75" s="292">
        <f t="shared" ref="F75:I75" si="29">F89/30</f>
        <v>3333.3333333333335</v>
      </c>
      <c r="G75" s="292">
        <f t="shared" si="29"/>
        <v>3333.3333333333335</v>
      </c>
      <c r="H75" s="292">
        <f t="shared" si="29"/>
        <v>3333.3333333333335</v>
      </c>
      <c r="I75" s="292">
        <f t="shared" si="29"/>
        <v>3333.3333333333335</v>
      </c>
      <c r="J75" s="292">
        <v>0</v>
      </c>
      <c r="K75" s="293">
        <v>0</v>
      </c>
      <c r="L75" s="282"/>
      <c r="M75" s="92"/>
      <c r="N75" s="70"/>
      <c r="O75" s="1"/>
      <c r="P75" s="1"/>
      <c r="Q75" s="1"/>
      <c r="R75" s="1"/>
      <c r="S75" s="1"/>
      <c r="AC75" s="1"/>
      <c r="AD75" s="1"/>
      <c r="AE75" s="1"/>
      <c r="AF75" s="1"/>
    </row>
    <row r="76" spans="1:32" ht="15.75" x14ac:dyDescent="0.25">
      <c r="A76" s="59"/>
      <c r="B76" s="51"/>
      <c r="C76" s="51"/>
      <c r="D76" s="51"/>
      <c r="E76" s="52"/>
      <c r="F76" s="52"/>
      <c r="G76" s="52"/>
      <c r="H76" s="52"/>
      <c r="I76" s="52"/>
      <c r="J76" s="52"/>
      <c r="K76" s="53"/>
      <c r="L76" s="282"/>
      <c r="M76" s="93"/>
      <c r="N76" s="70"/>
      <c r="O76" s="1"/>
      <c r="P76" s="1"/>
      <c r="Q76" s="1"/>
      <c r="R76" s="1"/>
      <c r="S76" s="1"/>
      <c r="AC76" s="1"/>
      <c r="AD76" s="1"/>
      <c r="AE76" s="1"/>
      <c r="AF76" s="1"/>
    </row>
    <row r="77" spans="1:32" ht="15.75" x14ac:dyDescent="0.25">
      <c r="A77" s="59" t="s">
        <v>31</v>
      </c>
      <c r="B77" s="51"/>
      <c r="C77" s="51"/>
      <c r="D77" s="51"/>
      <c r="E77" s="52">
        <f>E69-E71-E72-E73-E75</f>
        <v>9878.6017775271048</v>
      </c>
      <c r="F77" s="52">
        <f t="shared" ref="F77:K77" si="30">F69-F71-F72-F73-F75</f>
        <v>-17868.013118075763</v>
      </c>
      <c r="G77" s="52">
        <f t="shared" si="30"/>
        <v>-61622.852879071273</v>
      </c>
      <c r="H77" s="52">
        <f t="shared" si="30"/>
        <v>-128570.8318569347</v>
      </c>
      <c r="I77" s="52">
        <f t="shared" si="30"/>
        <v>-228746.79446107303</v>
      </c>
      <c r="J77" s="52">
        <f t="shared" si="30"/>
        <v>0</v>
      </c>
      <c r="K77" s="53">
        <f t="shared" si="30"/>
        <v>0</v>
      </c>
      <c r="L77" s="282"/>
      <c r="M77" s="94"/>
      <c r="N77" s="83"/>
      <c r="O77" s="12"/>
      <c r="P77" s="12"/>
      <c r="Q77" s="12"/>
      <c r="R77" s="12"/>
      <c r="S77" s="1"/>
      <c r="AC77" s="1"/>
      <c r="AD77" s="1"/>
      <c r="AE77" s="1"/>
      <c r="AF77" s="1"/>
    </row>
    <row r="78" spans="1:32" ht="16.5" thickBot="1" x14ac:dyDescent="0.3">
      <c r="A78" s="59" t="s">
        <v>32</v>
      </c>
      <c r="B78" s="51"/>
      <c r="C78" s="51"/>
      <c r="D78" s="51"/>
      <c r="E78" s="52">
        <f t="shared" ref="E78:K78" si="31">IF(E77&lt;0,0,E77*$M$78)</f>
        <v>1926.3273466177855</v>
      </c>
      <c r="F78" s="52">
        <f t="shared" si="31"/>
        <v>0</v>
      </c>
      <c r="G78" s="52">
        <f t="shared" si="31"/>
        <v>0</v>
      </c>
      <c r="H78" s="52">
        <f t="shared" si="31"/>
        <v>0</v>
      </c>
      <c r="I78" s="52">
        <f t="shared" si="31"/>
        <v>0</v>
      </c>
      <c r="J78" s="52">
        <f t="shared" si="31"/>
        <v>0</v>
      </c>
      <c r="K78" s="53">
        <f t="shared" si="31"/>
        <v>0</v>
      </c>
      <c r="L78" s="404"/>
      <c r="M78" s="402">
        <f>R3</f>
        <v>0.19500000000000001</v>
      </c>
      <c r="N78" s="403"/>
      <c r="O78" s="11"/>
      <c r="P78" s="12"/>
      <c r="Q78" s="12"/>
      <c r="R78" s="12"/>
      <c r="S78" s="1"/>
      <c r="AC78" s="1"/>
      <c r="AD78" s="1"/>
      <c r="AE78" s="1"/>
      <c r="AF78" s="1"/>
    </row>
    <row r="79" spans="1:32" ht="18.75" x14ac:dyDescent="0.3">
      <c r="A79" s="87" t="s">
        <v>33</v>
      </c>
      <c r="B79" s="84"/>
      <c r="C79" s="84"/>
      <c r="D79" s="84"/>
      <c r="E79" s="85">
        <f>E77-E78</f>
        <v>7952.2744309093196</v>
      </c>
      <c r="F79" s="85">
        <f t="shared" ref="F79:K79" si="32">F77-F78</f>
        <v>-17868.013118075763</v>
      </c>
      <c r="G79" s="85">
        <f t="shared" si="32"/>
        <v>-61622.852879071273</v>
      </c>
      <c r="H79" s="85">
        <f t="shared" si="32"/>
        <v>-128570.8318569347</v>
      </c>
      <c r="I79" s="85">
        <f t="shared" si="32"/>
        <v>-228746.79446107303</v>
      </c>
      <c r="J79" s="85">
        <f t="shared" si="32"/>
        <v>0</v>
      </c>
      <c r="K79" s="294">
        <f t="shared" si="32"/>
        <v>0</v>
      </c>
      <c r="L79" s="389"/>
      <c r="S79" s="1"/>
      <c r="AC79" s="1"/>
      <c r="AD79" s="1"/>
      <c r="AE79" s="1"/>
      <c r="AF79" s="1"/>
    </row>
    <row r="80" spans="1:32" ht="15.75" x14ac:dyDescent="0.25">
      <c r="A80" s="59"/>
      <c r="B80" s="51"/>
      <c r="C80" s="51"/>
      <c r="D80" s="51"/>
      <c r="E80" s="52"/>
      <c r="F80" s="52"/>
      <c r="G80" s="52"/>
      <c r="H80" s="52"/>
      <c r="I80" s="52"/>
      <c r="J80" s="52"/>
      <c r="K80" s="53"/>
      <c r="L80" s="389"/>
      <c r="S80" s="1"/>
      <c r="AC80" s="1"/>
      <c r="AD80" s="1"/>
      <c r="AE80" s="1"/>
      <c r="AF80" s="1"/>
    </row>
    <row r="81" spans="1:32" ht="21" x14ac:dyDescent="0.35">
      <c r="A81" s="86" t="s">
        <v>34</v>
      </c>
      <c r="B81" s="60"/>
      <c r="C81" s="60"/>
      <c r="D81" s="60"/>
      <c r="E81" s="61"/>
      <c r="F81" s="61"/>
      <c r="G81" s="61"/>
      <c r="H81" s="61"/>
      <c r="I81" s="61"/>
      <c r="J81" s="61"/>
      <c r="K81" s="295"/>
      <c r="L81" s="389"/>
      <c r="S81" s="1"/>
      <c r="AC81" s="1"/>
      <c r="AD81" s="1"/>
      <c r="AE81" s="1"/>
      <c r="AF81" s="1"/>
    </row>
    <row r="82" spans="1:32" ht="18.75" x14ac:dyDescent="0.3">
      <c r="A82" s="87" t="s">
        <v>35</v>
      </c>
      <c r="B82" s="47"/>
      <c r="C82" s="47"/>
      <c r="D82" s="47"/>
      <c r="E82" s="48"/>
      <c r="F82" s="48"/>
      <c r="G82" s="48"/>
      <c r="H82" s="48"/>
      <c r="I82" s="48"/>
      <c r="J82" s="48"/>
      <c r="K82" s="49"/>
      <c r="L82" s="389"/>
      <c r="S82" s="1"/>
      <c r="AC82" s="1"/>
      <c r="AD82" s="1"/>
      <c r="AE82" s="1"/>
      <c r="AF82" s="1"/>
    </row>
    <row r="83" spans="1:32" ht="15.75" x14ac:dyDescent="0.25">
      <c r="A83" s="59" t="s">
        <v>50</v>
      </c>
      <c r="B83" s="51"/>
      <c r="C83" s="51"/>
      <c r="D83" s="51"/>
      <c r="E83" s="163">
        <f>E39</f>
        <v>3000</v>
      </c>
      <c r="F83" s="163">
        <f t="shared" ref="F83:K83" si="33">F39</f>
        <v>3000</v>
      </c>
      <c r="G83" s="163">
        <f t="shared" si="33"/>
        <v>3000</v>
      </c>
      <c r="H83" s="163">
        <f t="shared" si="33"/>
        <v>3000</v>
      </c>
      <c r="I83" s="163">
        <f t="shared" si="33"/>
        <v>3000</v>
      </c>
      <c r="J83" s="163">
        <f t="shared" si="33"/>
        <v>0</v>
      </c>
      <c r="K83" s="291">
        <f t="shared" si="33"/>
        <v>0</v>
      </c>
      <c r="L83" s="389"/>
      <c r="S83" s="1"/>
      <c r="AC83" s="1"/>
      <c r="AD83" s="1"/>
      <c r="AE83" s="1"/>
      <c r="AF83" s="1"/>
    </row>
    <row r="84" spans="1:32" ht="15.75" x14ac:dyDescent="0.25">
      <c r="A84" s="59" t="s">
        <v>49</v>
      </c>
      <c r="B84" s="51"/>
      <c r="C84" s="51"/>
      <c r="D84" s="51"/>
      <c r="E84" s="52">
        <v>0</v>
      </c>
      <c r="F84" s="52">
        <v>0</v>
      </c>
      <c r="G84" s="52">
        <v>0</v>
      </c>
      <c r="H84" s="52">
        <v>0</v>
      </c>
      <c r="I84" s="52">
        <v>0</v>
      </c>
      <c r="J84" s="52">
        <v>0</v>
      </c>
      <c r="K84" s="53">
        <v>0</v>
      </c>
      <c r="L84" s="389"/>
      <c r="S84" s="1"/>
      <c r="AC84" s="1"/>
      <c r="AD84" s="1"/>
      <c r="AE84" s="1"/>
      <c r="AF84" s="1"/>
    </row>
    <row r="85" spans="1:32" ht="15.75" x14ac:dyDescent="0.25">
      <c r="A85" s="59" t="s">
        <v>36</v>
      </c>
      <c r="B85" s="51"/>
      <c r="C85" s="51"/>
      <c r="D85" s="51"/>
      <c r="E85" s="52">
        <f t="shared" ref="E85:K85" si="34">E49/365*E24</f>
        <v>69287.671232876703</v>
      </c>
      <c r="F85" s="52">
        <f t="shared" si="34"/>
        <v>74936.775205479455</v>
      </c>
      <c r="G85" s="52">
        <f t="shared" si="34"/>
        <v>81054.237092523297</v>
      </c>
      <c r="H85" s="52">
        <f t="shared" si="34"/>
        <v>87679.528710524144</v>
      </c>
      <c r="I85" s="52">
        <f t="shared" si="34"/>
        <v>94855.500472231506</v>
      </c>
      <c r="J85" s="52">
        <f t="shared" si="34"/>
        <v>0</v>
      </c>
      <c r="K85" s="53">
        <f t="shared" si="34"/>
        <v>0</v>
      </c>
      <c r="L85" s="389"/>
      <c r="S85" s="1"/>
      <c r="AC85" s="1"/>
      <c r="AD85" s="1"/>
      <c r="AE85" s="1"/>
      <c r="AF85" s="1"/>
    </row>
    <row r="86" spans="1:32" ht="15.75" x14ac:dyDescent="0.25">
      <c r="A86" s="59" t="s">
        <v>37</v>
      </c>
      <c r="B86" s="51"/>
      <c r="C86" s="51"/>
      <c r="D86" s="51"/>
      <c r="E86" s="52">
        <f t="shared" ref="E86:K86" si="35">E57/365*E25</f>
        <v>66175.232876712325</v>
      </c>
      <c r="F86" s="52">
        <f t="shared" si="35"/>
        <v>65925.919841095892</v>
      </c>
      <c r="G86" s="52">
        <f t="shared" si="35"/>
        <v>65683.683812842195</v>
      </c>
      <c r="H86" s="52">
        <f t="shared" si="35"/>
        <v>65448.479112017783</v>
      </c>
      <c r="I86" s="52">
        <f t="shared" si="35"/>
        <v>66727.808956694003</v>
      </c>
      <c r="J86" s="52">
        <f t="shared" si="35"/>
        <v>0</v>
      </c>
      <c r="K86" s="53">
        <f t="shared" si="35"/>
        <v>0</v>
      </c>
      <c r="L86" s="389"/>
      <c r="S86" s="1"/>
      <c r="AC86" s="1"/>
      <c r="AD86" s="1"/>
      <c r="AE86" s="1"/>
      <c r="AF86" s="1"/>
    </row>
    <row r="87" spans="1:32" ht="15.75" x14ac:dyDescent="0.25">
      <c r="A87" s="59"/>
      <c r="B87" s="51"/>
      <c r="C87" s="51"/>
      <c r="D87" s="51"/>
      <c r="E87" s="52"/>
      <c r="F87" s="52"/>
      <c r="G87" s="52"/>
      <c r="H87" s="52"/>
      <c r="I87" s="52"/>
      <c r="J87" s="52"/>
      <c r="K87" s="53"/>
      <c r="L87" s="389"/>
      <c r="S87" s="1"/>
      <c r="AC87" s="1"/>
      <c r="AD87" s="1"/>
      <c r="AE87" s="1"/>
      <c r="AF87" s="1"/>
    </row>
    <row r="88" spans="1:32" ht="15.75" x14ac:dyDescent="0.25">
      <c r="A88" s="59" t="s">
        <v>140</v>
      </c>
      <c r="B88" s="51"/>
      <c r="C88" s="51"/>
      <c r="D88" s="51"/>
      <c r="E88" s="52">
        <f>[1]Mortgage!L2-100000</f>
        <v>50000</v>
      </c>
      <c r="F88" s="52">
        <v>50000</v>
      </c>
      <c r="G88" s="52">
        <v>50000</v>
      </c>
      <c r="H88" s="52">
        <v>50000</v>
      </c>
      <c r="I88" s="52">
        <v>50000</v>
      </c>
      <c r="J88" s="52">
        <v>0</v>
      </c>
      <c r="K88" s="53">
        <v>0</v>
      </c>
      <c r="L88" s="389"/>
      <c r="S88" s="1"/>
      <c r="AC88" s="1"/>
      <c r="AD88" s="1"/>
      <c r="AE88" s="1"/>
      <c r="AF88" s="1"/>
    </row>
    <row r="89" spans="1:32" ht="15.75" x14ac:dyDescent="0.25">
      <c r="A89" s="59" t="s">
        <v>141</v>
      </c>
      <c r="B89" s="51"/>
      <c r="C89" s="51"/>
      <c r="D89" s="51"/>
      <c r="E89" s="52">
        <v>100000</v>
      </c>
      <c r="F89" s="52">
        <v>100000</v>
      </c>
      <c r="G89" s="52">
        <v>100000</v>
      </c>
      <c r="H89" s="52">
        <v>100000</v>
      </c>
      <c r="I89" s="52">
        <v>100000</v>
      </c>
      <c r="J89" s="52">
        <v>0</v>
      </c>
      <c r="K89" s="53">
        <v>0</v>
      </c>
      <c r="L89" s="389"/>
      <c r="S89" s="1"/>
      <c r="AC89" s="1"/>
      <c r="AD89" s="1"/>
      <c r="AE89" s="1"/>
      <c r="AF89" s="1"/>
    </row>
    <row r="90" spans="1:32" ht="15.75" x14ac:dyDescent="0.25">
      <c r="A90" s="59" t="s">
        <v>142</v>
      </c>
      <c r="B90" s="51"/>
      <c r="C90" s="51"/>
      <c r="D90" s="51"/>
      <c r="E90" s="52">
        <f>D90+E75</f>
        <v>3333.3333333333335</v>
      </c>
      <c r="F90" s="52">
        <f t="shared" ref="F90:I90" si="36">E90+F75</f>
        <v>6666.666666666667</v>
      </c>
      <c r="G90" s="52">
        <f t="shared" si="36"/>
        <v>10000</v>
      </c>
      <c r="H90" s="52">
        <f t="shared" si="36"/>
        <v>13333.333333333334</v>
      </c>
      <c r="I90" s="52">
        <f t="shared" si="36"/>
        <v>16666.666666666668</v>
      </c>
      <c r="J90" s="52">
        <v>0</v>
      </c>
      <c r="K90" s="53">
        <f>J90</f>
        <v>0</v>
      </c>
      <c r="L90" s="389"/>
      <c r="S90" s="1"/>
      <c r="AC90" s="1"/>
      <c r="AD90" s="1"/>
      <c r="AE90" s="1"/>
      <c r="AF90" s="1"/>
    </row>
    <row r="91" spans="1:32" ht="15.75" x14ac:dyDescent="0.25">
      <c r="A91" s="59"/>
      <c r="B91" s="51"/>
      <c r="C91" s="51"/>
      <c r="D91" s="51"/>
      <c r="E91" s="52"/>
      <c r="F91" s="52"/>
      <c r="G91" s="52"/>
      <c r="H91" s="52"/>
      <c r="I91" s="52"/>
      <c r="J91" s="52"/>
      <c r="K91" s="53"/>
      <c r="L91" s="389"/>
      <c r="S91" s="1"/>
      <c r="AC91" s="1"/>
      <c r="AD91" s="1"/>
      <c r="AE91" s="1"/>
      <c r="AF91" s="1"/>
    </row>
    <row r="92" spans="1:32" ht="15.75" x14ac:dyDescent="0.25">
      <c r="A92" s="62" t="s">
        <v>39</v>
      </c>
      <c r="B92" s="56"/>
      <c r="C92" s="56"/>
      <c r="D92" s="56"/>
      <c r="E92" s="57">
        <f>SUM(E83:E89)-E90</f>
        <v>285129.57077625574</v>
      </c>
      <c r="F92" s="57">
        <f t="shared" ref="F92:K92" si="37">SUM(F83:F89)-F90</f>
        <v>287196.02837990865</v>
      </c>
      <c r="G92" s="57">
        <f t="shared" si="37"/>
        <v>289737.92090536549</v>
      </c>
      <c r="H92" s="57">
        <f t="shared" si="37"/>
        <v>292794.67448920861</v>
      </c>
      <c r="I92" s="57">
        <f t="shared" si="37"/>
        <v>297916.64276225882</v>
      </c>
      <c r="J92" s="57">
        <f t="shared" si="37"/>
        <v>0</v>
      </c>
      <c r="K92" s="58">
        <f t="shared" si="37"/>
        <v>0</v>
      </c>
      <c r="L92" s="389"/>
      <c r="S92" s="1"/>
      <c r="AA92" s="1"/>
      <c r="AB92" s="1"/>
      <c r="AC92" s="1"/>
      <c r="AD92" s="1"/>
      <c r="AE92" s="1"/>
      <c r="AF92" s="1"/>
    </row>
    <row r="93" spans="1:32" ht="15.75" x14ac:dyDescent="0.25">
      <c r="A93" s="59"/>
      <c r="B93" s="51"/>
      <c r="C93" s="51"/>
      <c r="D93" s="51"/>
      <c r="E93" s="52"/>
      <c r="F93" s="52"/>
      <c r="G93" s="52"/>
      <c r="H93" s="52"/>
      <c r="I93" s="52"/>
      <c r="J93" s="52"/>
      <c r="K93" s="53"/>
      <c r="L93" s="389"/>
      <c r="S93" s="1"/>
      <c r="AA93" s="1"/>
      <c r="AB93" s="1"/>
      <c r="AC93" s="1"/>
      <c r="AD93" s="1"/>
      <c r="AE93" s="1"/>
      <c r="AF93" s="1"/>
    </row>
    <row r="94" spans="1:32" ht="18.75" x14ac:dyDescent="0.3">
      <c r="A94" s="87" t="s">
        <v>38</v>
      </c>
      <c r="B94" s="47"/>
      <c r="C94" s="47"/>
      <c r="D94" s="47"/>
      <c r="E94" s="48"/>
      <c r="F94" s="48"/>
      <c r="G94" s="48"/>
      <c r="H94" s="48"/>
      <c r="I94" s="48"/>
      <c r="J94" s="48"/>
      <c r="K94" s="49"/>
      <c r="L94" s="389"/>
      <c r="S94" s="1"/>
      <c r="AA94" s="1"/>
      <c r="AB94" s="1"/>
      <c r="AC94" s="1"/>
      <c r="AD94" s="1"/>
      <c r="AE94" s="1"/>
      <c r="AF94" s="1"/>
    </row>
    <row r="95" spans="1:32" ht="15.75" x14ac:dyDescent="0.25">
      <c r="A95" s="59" t="s">
        <v>40</v>
      </c>
      <c r="B95" s="51"/>
      <c r="C95" s="51"/>
      <c r="D95" s="51"/>
      <c r="E95" s="52">
        <f>E78</f>
        <v>1926.3273466177855</v>
      </c>
      <c r="F95" s="52">
        <f t="shared" ref="F95:K95" si="38">F78</f>
        <v>0</v>
      </c>
      <c r="G95" s="52">
        <f t="shared" si="38"/>
        <v>0</v>
      </c>
      <c r="H95" s="52">
        <f t="shared" si="38"/>
        <v>0</v>
      </c>
      <c r="I95" s="52">
        <f t="shared" si="38"/>
        <v>0</v>
      </c>
      <c r="J95" s="52">
        <f t="shared" si="38"/>
        <v>0</v>
      </c>
      <c r="K95" s="53">
        <f t="shared" si="38"/>
        <v>0</v>
      </c>
      <c r="L95" s="389"/>
      <c r="S95" s="1"/>
      <c r="AA95" s="1"/>
      <c r="AB95" s="1"/>
      <c r="AC95" s="1"/>
      <c r="AD95" s="1"/>
      <c r="AE95" s="1"/>
      <c r="AF95" s="1"/>
    </row>
    <row r="96" spans="1:32" ht="15.75" x14ac:dyDescent="0.25">
      <c r="A96" s="59" t="s">
        <v>41</v>
      </c>
      <c r="B96" s="51"/>
      <c r="C96" s="51"/>
      <c r="D96" s="51"/>
      <c r="E96" s="296">
        <f>E57/365*E26</f>
        <v>44116.821917808222</v>
      </c>
      <c r="F96" s="296">
        <f t="shared" ref="F96:K96" si="39">F57/365*F26</f>
        <v>46263.803397260272</v>
      </c>
      <c r="G96" s="296">
        <f t="shared" si="39"/>
        <v>48519.803370520545</v>
      </c>
      <c r="H96" s="296">
        <f t="shared" si="39"/>
        <v>50890.589774616543</v>
      </c>
      <c r="I96" s="296">
        <f t="shared" si="39"/>
        <v>53382.247165355206</v>
      </c>
      <c r="J96" s="296">
        <f t="shared" si="39"/>
        <v>0</v>
      </c>
      <c r="K96" s="297">
        <f t="shared" si="39"/>
        <v>0</v>
      </c>
      <c r="L96" s="389"/>
      <c r="S96" s="1"/>
      <c r="AA96" s="1"/>
      <c r="AB96" s="1"/>
      <c r="AC96" s="1"/>
      <c r="AD96" s="1"/>
      <c r="AE96" s="1"/>
      <c r="AF96" s="1"/>
    </row>
    <row r="97" spans="1:32" ht="15.75" x14ac:dyDescent="0.25">
      <c r="A97" s="59"/>
      <c r="B97" s="51"/>
      <c r="C97" s="51"/>
      <c r="D97" s="51"/>
      <c r="E97" s="52"/>
      <c r="F97" s="52"/>
      <c r="G97" s="52"/>
      <c r="H97" s="52"/>
      <c r="I97" s="52"/>
      <c r="J97" s="52"/>
      <c r="K97" s="53"/>
      <c r="L97" s="389"/>
      <c r="S97" s="1"/>
      <c r="AA97" s="1"/>
      <c r="AB97" s="1"/>
      <c r="AC97" s="1"/>
      <c r="AD97" s="1"/>
      <c r="AE97" s="1"/>
      <c r="AF97" s="1"/>
    </row>
    <row r="98" spans="1:32" ht="15.75" x14ac:dyDescent="0.25">
      <c r="A98" s="59" t="s">
        <v>42</v>
      </c>
      <c r="B98" s="51"/>
      <c r="C98" s="51"/>
      <c r="D98" s="51"/>
      <c r="E98" s="52">
        <f>[1]Mortgage!F13</f>
        <v>103450.86638715412</v>
      </c>
      <c r="F98" s="52">
        <f>[1]Mortgage!F27</f>
        <v>101822.4761586027</v>
      </c>
      <c r="G98" s="52">
        <f>[1]Mortgage!F41</f>
        <v>100110.77439546649</v>
      </c>
      <c r="H98" s="52">
        <f>[1]Mortgage!F55</f>
        <v>98311.498721520722</v>
      </c>
      <c r="I98" s="52">
        <f>[1]Mortgage!F69</f>
        <v>96420.168689283484</v>
      </c>
      <c r="J98" s="52">
        <v>0</v>
      </c>
      <c r="K98" s="53">
        <v>0</v>
      </c>
      <c r="L98" s="389"/>
      <c r="S98" s="1"/>
      <c r="AA98" s="1"/>
      <c r="AB98" s="1"/>
      <c r="AC98" s="1"/>
      <c r="AD98" s="1"/>
      <c r="AE98" s="1"/>
      <c r="AF98" s="1"/>
    </row>
    <row r="99" spans="1:32" ht="15.75" x14ac:dyDescent="0.25">
      <c r="A99" s="59" t="s">
        <v>51</v>
      </c>
      <c r="B99" s="51"/>
      <c r="C99" s="51"/>
      <c r="D99" s="51"/>
      <c r="E99" s="52">
        <v>202683.2806937662</v>
      </c>
      <c r="F99" s="52">
        <v>224025.48751121215</v>
      </c>
      <c r="G99" s="52">
        <v>287645.93470561621</v>
      </c>
      <c r="H99" s="52">
        <v>418702.0094162437</v>
      </c>
      <c r="I99" s="52">
        <v>651970.44479186554</v>
      </c>
      <c r="J99" s="52">
        <v>0</v>
      </c>
      <c r="K99" s="53">
        <v>0</v>
      </c>
      <c r="L99" s="389"/>
      <c r="S99" s="1"/>
      <c r="AA99" s="1"/>
      <c r="AB99" s="1"/>
      <c r="AC99" s="1"/>
      <c r="AD99" s="1"/>
      <c r="AE99" s="1"/>
      <c r="AF99" s="1"/>
    </row>
    <row r="100" spans="1:32" ht="15.75" x14ac:dyDescent="0.25">
      <c r="A100" s="59"/>
      <c r="B100" s="51"/>
      <c r="C100" s="51"/>
      <c r="D100" s="51"/>
      <c r="E100" s="106">
        <v>0</v>
      </c>
      <c r="F100" s="106">
        <v>0</v>
      </c>
      <c r="G100" s="106">
        <v>0</v>
      </c>
      <c r="H100" s="106">
        <v>0</v>
      </c>
      <c r="I100" s="106">
        <v>0</v>
      </c>
      <c r="J100" s="106">
        <v>0</v>
      </c>
      <c r="K100" s="298">
        <v>0</v>
      </c>
      <c r="L100" s="389"/>
      <c r="S100" s="1"/>
      <c r="AA100" s="1"/>
      <c r="AB100" s="1"/>
      <c r="AC100" s="1"/>
      <c r="AD100" s="1"/>
      <c r="AE100" s="1"/>
      <c r="AF100" s="1"/>
    </row>
    <row r="101" spans="1:32" ht="15.75" x14ac:dyDescent="0.25">
      <c r="A101" s="59"/>
      <c r="B101" s="51"/>
      <c r="C101" s="51"/>
      <c r="D101" s="51"/>
      <c r="E101" s="52"/>
      <c r="F101" s="52"/>
      <c r="G101" s="52"/>
      <c r="H101" s="52"/>
      <c r="I101" s="52"/>
      <c r="J101" s="52"/>
      <c r="K101" s="53"/>
      <c r="L101" s="389"/>
      <c r="S101" s="1"/>
      <c r="AA101" s="1"/>
      <c r="AB101" s="1"/>
      <c r="AC101" s="1"/>
      <c r="AD101" s="1"/>
      <c r="AE101" s="1"/>
      <c r="AF101" s="1"/>
    </row>
    <row r="102" spans="1:32" ht="15.75" x14ac:dyDescent="0.25">
      <c r="A102" s="59" t="s">
        <v>43</v>
      </c>
      <c r="B102" s="51"/>
      <c r="C102" s="51"/>
      <c r="D102" s="51"/>
      <c r="E102" s="52">
        <f>D102+E79</f>
        <v>7952.2744309093196</v>
      </c>
      <c r="F102" s="52">
        <f t="shared" ref="F102:I102" si="40">E102+F79</f>
        <v>-9915.7386871664439</v>
      </c>
      <c r="G102" s="52">
        <f t="shared" si="40"/>
        <v>-71538.591566237723</v>
      </c>
      <c r="H102" s="52">
        <f t="shared" si="40"/>
        <v>-200109.42342317244</v>
      </c>
      <c r="I102" s="52">
        <f t="shared" si="40"/>
        <v>-428856.21788424545</v>
      </c>
      <c r="J102" s="52">
        <v>0</v>
      </c>
      <c r="K102" s="53">
        <v>0</v>
      </c>
      <c r="L102" s="389"/>
      <c r="S102" s="1"/>
      <c r="AA102" s="1"/>
      <c r="AB102" s="1"/>
      <c r="AC102" s="1"/>
      <c r="AD102" s="1"/>
      <c r="AE102" s="1"/>
      <c r="AF102" s="1"/>
    </row>
    <row r="103" spans="1:32" ht="15.75" x14ac:dyDescent="0.25">
      <c r="A103" s="59" t="s">
        <v>149</v>
      </c>
      <c r="B103" s="51"/>
      <c r="C103" s="51"/>
      <c r="D103" s="51"/>
      <c r="E103" s="163">
        <v>75000</v>
      </c>
      <c r="F103" s="163">
        <v>75000</v>
      </c>
      <c r="G103" s="163">
        <v>75000</v>
      </c>
      <c r="H103" s="163">
        <v>75000</v>
      </c>
      <c r="I103" s="163">
        <v>75000</v>
      </c>
      <c r="J103" s="163">
        <v>0</v>
      </c>
      <c r="K103" s="291">
        <v>0</v>
      </c>
      <c r="L103" s="389"/>
      <c r="S103" s="1"/>
      <c r="AA103" s="1"/>
      <c r="AB103" s="1"/>
      <c r="AC103" s="1"/>
      <c r="AD103" s="1"/>
      <c r="AE103" s="1"/>
      <c r="AF103" s="1"/>
    </row>
    <row r="104" spans="1:32" ht="15.75" x14ac:dyDescent="0.25">
      <c r="A104" s="59"/>
      <c r="B104" s="51"/>
      <c r="C104" s="51"/>
      <c r="D104" s="51"/>
      <c r="E104" s="52"/>
      <c r="F104" s="52"/>
      <c r="G104" s="52"/>
      <c r="H104" s="52"/>
      <c r="I104" s="52"/>
      <c r="J104" s="52"/>
      <c r="K104" s="53"/>
      <c r="L104" s="389"/>
      <c r="S104" s="1"/>
      <c r="AA104" s="1"/>
      <c r="AB104" s="1"/>
      <c r="AC104" s="1"/>
      <c r="AD104" s="1"/>
      <c r="AE104" s="1"/>
      <c r="AF104" s="1"/>
    </row>
    <row r="105" spans="1:32" ht="15.75" x14ac:dyDescent="0.25">
      <c r="A105" s="62" t="s">
        <v>44</v>
      </c>
      <c r="B105" s="56"/>
      <c r="C105" s="56"/>
      <c r="D105" s="56"/>
      <c r="E105" s="57">
        <f t="shared" ref="E105:K105" si="41">SUM(E95:E102)-E103</f>
        <v>285129.57077625563</v>
      </c>
      <c r="F105" s="57">
        <f t="shared" si="41"/>
        <v>287196.0283799087</v>
      </c>
      <c r="G105" s="57">
        <f t="shared" si="41"/>
        <v>289737.92090536549</v>
      </c>
      <c r="H105" s="57">
        <f t="shared" si="41"/>
        <v>292794.6744892085</v>
      </c>
      <c r="I105" s="57">
        <f t="shared" si="41"/>
        <v>297916.64276225877</v>
      </c>
      <c r="J105" s="57">
        <f t="shared" si="41"/>
        <v>0</v>
      </c>
      <c r="K105" s="58">
        <f t="shared" si="41"/>
        <v>0</v>
      </c>
      <c r="L105" s="3"/>
      <c r="M105" s="14"/>
      <c r="N105" s="9"/>
      <c r="O105" s="10"/>
      <c r="P105" s="11"/>
      <c r="Q105" s="10"/>
      <c r="R105" s="12"/>
      <c r="S105" s="1"/>
      <c r="T105" s="1"/>
      <c r="U105" s="1"/>
      <c r="V105" s="1"/>
      <c r="W105" s="1"/>
      <c r="X105" s="1"/>
      <c r="Y105" s="1"/>
      <c r="Z105" s="1"/>
      <c r="AA105" s="1"/>
      <c r="AB105" s="1"/>
      <c r="AC105" s="1"/>
      <c r="AD105" s="1"/>
      <c r="AE105" s="1"/>
      <c r="AF105" s="1"/>
    </row>
    <row r="106" spans="1:32" ht="15.75" x14ac:dyDescent="0.25">
      <c r="A106" s="59"/>
      <c r="B106" s="51"/>
      <c r="C106" s="51"/>
      <c r="D106" s="51"/>
      <c r="E106" s="52"/>
      <c r="F106" s="52"/>
      <c r="G106" s="52"/>
      <c r="H106" s="52"/>
      <c r="I106" s="52"/>
      <c r="J106" s="52"/>
      <c r="K106" s="53"/>
      <c r="L106" s="3"/>
      <c r="M106" s="8"/>
      <c r="N106" s="9"/>
      <c r="O106" s="10"/>
      <c r="P106" s="11"/>
      <c r="Q106" s="10"/>
      <c r="R106" s="11"/>
      <c r="S106" s="1"/>
      <c r="T106" s="1"/>
      <c r="U106" s="1"/>
      <c r="V106" s="1"/>
      <c r="W106" s="1"/>
      <c r="X106" s="1"/>
      <c r="Y106" s="1"/>
      <c r="Z106" s="1"/>
      <c r="AA106" s="1"/>
      <c r="AB106" s="1"/>
      <c r="AC106" s="1"/>
      <c r="AD106" s="1"/>
      <c r="AE106" s="1"/>
      <c r="AF106" s="1"/>
    </row>
    <row r="107" spans="1:32" ht="19.5" thickBot="1" x14ac:dyDescent="0.35">
      <c r="A107" s="89" t="s">
        <v>45</v>
      </c>
      <c r="B107" s="63"/>
      <c r="C107" s="63"/>
      <c r="D107" s="63"/>
      <c r="E107" s="64">
        <f t="shared" ref="E107:K107" si="42">E92-E105</f>
        <v>0</v>
      </c>
      <c r="F107" s="64">
        <f t="shared" si="42"/>
        <v>0</v>
      </c>
      <c r="G107" s="64">
        <f t="shared" si="42"/>
        <v>0</v>
      </c>
      <c r="H107" s="64">
        <f t="shared" si="42"/>
        <v>0</v>
      </c>
      <c r="I107" s="64">
        <f t="shared" si="42"/>
        <v>0</v>
      </c>
      <c r="J107" s="64">
        <f t="shared" si="42"/>
        <v>0</v>
      </c>
      <c r="K107" s="65">
        <f t="shared" si="42"/>
        <v>0</v>
      </c>
      <c r="L107" s="3"/>
      <c r="M107" s="8"/>
      <c r="N107" s="9"/>
      <c r="O107" s="10"/>
      <c r="P107" s="12"/>
      <c r="Q107" s="12"/>
      <c r="R107" s="12"/>
      <c r="S107" s="1"/>
      <c r="T107" s="1"/>
      <c r="U107" s="1"/>
      <c r="V107" s="1"/>
      <c r="W107" s="1"/>
      <c r="X107" s="1"/>
      <c r="Y107" s="1"/>
      <c r="Z107" s="1"/>
      <c r="AA107" s="1"/>
      <c r="AB107" s="1"/>
      <c r="AC107" s="1"/>
      <c r="AD107" s="1"/>
      <c r="AE107" s="1"/>
      <c r="AF107" s="1"/>
    </row>
    <row r="108" spans="1:32" ht="21" thickBot="1" x14ac:dyDescent="0.35">
      <c r="A108" s="90" t="s">
        <v>107</v>
      </c>
      <c r="B108" s="24"/>
      <c r="C108" s="24"/>
      <c r="D108" s="25"/>
      <c r="E108" s="24"/>
      <c r="F108" s="24"/>
      <c r="G108" s="24"/>
      <c r="H108" s="24"/>
      <c r="I108" s="24"/>
      <c r="J108" s="35"/>
      <c r="K108" s="39"/>
      <c r="L108" s="3"/>
      <c r="M108" s="14"/>
      <c r="N108" s="15"/>
      <c r="O108" s="423" t="s">
        <v>198</v>
      </c>
      <c r="P108" s="424"/>
      <c r="Q108" s="424"/>
      <c r="R108" s="424"/>
      <c r="S108" s="424"/>
      <c r="T108" s="424"/>
      <c r="U108" s="424"/>
      <c r="V108" s="424"/>
      <c r="W108" s="425"/>
      <c r="X108" s="1"/>
      <c r="Y108" s="1"/>
      <c r="Z108" s="1"/>
      <c r="AA108" s="1"/>
      <c r="AB108" s="1"/>
      <c r="AC108" s="1"/>
      <c r="AD108" s="1"/>
      <c r="AE108" s="1"/>
      <c r="AF108" s="1"/>
    </row>
    <row r="109" spans="1:32" ht="18" x14ac:dyDescent="0.25">
      <c r="A109" s="91" t="s">
        <v>108</v>
      </c>
      <c r="B109" s="20"/>
      <c r="C109" s="20"/>
      <c r="D109" s="21"/>
      <c r="E109" s="20"/>
      <c r="F109" s="20"/>
      <c r="G109" s="20"/>
      <c r="H109" s="20"/>
      <c r="I109" s="20"/>
      <c r="J109" s="20"/>
      <c r="K109" s="40"/>
      <c r="L109" s="3"/>
      <c r="M109" s="3"/>
      <c r="N109" s="3"/>
      <c r="O109" s="354" t="s">
        <v>197</v>
      </c>
      <c r="P109" s="346"/>
      <c r="Q109" s="341" t="s">
        <v>156</v>
      </c>
      <c r="R109" s="342" t="s">
        <v>157</v>
      </c>
      <c r="S109" s="342" t="s">
        <v>158</v>
      </c>
      <c r="T109" s="171"/>
      <c r="U109" s="171"/>
      <c r="V109" s="171"/>
      <c r="W109" s="172"/>
      <c r="X109" s="1"/>
      <c r="Y109" s="1"/>
      <c r="Z109" s="1"/>
      <c r="AA109" s="1"/>
      <c r="AB109" s="1"/>
      <c r="AC109" s="1"/>
      <c r="AD109" s="1"/>
      <c r="AE109" s="1"/>
      <c r="AF109" s="1"/>
    </row>
    <row r="110" spans="1:32" ht="15.75" x14ac:dyDescent="0.25">
      <c r="A110" s="141"/>
      <c r="B110" s="142" t="s">
        <v>81</v>
      </c>
      <c r="C110" s="142"/>
      <c r="D110" s="143"/>
      <c r="E110" s="144">
        <f t="shared" ref="E110:K110" si="43">E69</f>
        <v>33628</v>
      </c>
      <c r="F110" s="144">
        <f t="shared" si="43"/>
        <v>7402.7939999999944</v>
      </c>
      <c r="G110" s="144">
        <f t="shared" si="43"/>
        <v>-31663.823755999969</v>
      </c>
      <c r="H110" s="144">
        <f t="shared" si="43"/>
        <v>-88870.171041375899</v>
      </c>
      <c r="I110" s="144">
        <f t="shared" si="43"/>
        <v>-171643.05535063409</v>
      </c>
      <c r="J110" s="144">
        <f t="shared" si="43"/>
        <v>0</v>
      </c>
      <c r="K110" s="145">
        <f t="shared" si="43"/>
        <v>0</v>
      </c>
      <c r="L110" s="3"/>
      <c r="M110" s="3"/>
      <c r="N110" s="3"/>
      <c r="O110" s="177" t="s">
        <v>50</v>
      </c>
      <c r="P110" s="347">
        <v>3000</v>
      </c>
      <c r="Q110" s="173">
        <v>1</v>
      </c>
      <c r="R110" s="174"/>
      <c r="S110" s="175">
        <f>Q110*I83</f>
        <v>3000</v>
      </c>
      <c r="T110" s="174"/>
      <c r="U110" s="174"/>
      <c r="V110" s="174"/>
      <c r="W110" s="176"/>
      <c r="X110" s="1"/>
      <c r="Y110" s="1"/>
      <c r="Z110" s="1"/>
      <c r="AA110" s="1"/>
      <c r="AB110" s="1"/>
      <c r="AC110" s="1"/>
      <c r="AD110" s="1"/>
      <c r="AE110" s="1"/>
      <c r="AF110" s="1"/>
    </row>
    <row r="111" spans="1:32" ht="15.75" x14ac:dyDescent="0.25">
      <c r="A111" s="141"/>
      <c r="B111" s="142" t="s">
        <v>109</v>
      </c>
      <c r="C111" s="142"/>
      <c r="D111" s="143"/>
      <c r="E111" s="144">
        <f>E75</f>
        <v>3333.3333333333335</v>
      </c>
      <c r="F111" s="144">
        <f t="shared" ref="F111:K111" si="44">F75</f>
        <v>3333.3333333333335</v>
      </c>
      <c r="G111" s="144">
        <f t="shared" si="44"/>
        <v>3333.3333333333335</v>
      </c>
      <c r="H111" s="144">
        <f t="shared" si="44"/>
        <v>3333.3333333333335</v>
      </c>
      <c r="I111" s="144">
        <f t="shared" si="44"/>
        <v>3333.3333333333335</v>
      </c>
      <c r="J111" s="144">
        <f t="shared" si="44"/>
        <v>0</v>
      </c>
      <c r="K111" s="145">
        <f t="shared" si="44"/>
        <v>0</v>
      </c>
      <c r="L111" s="3"/>
      <c r="M111" s="3"/>
      <c r="N111" s="3"/>
      <c r="O111" s="177" t="s">
        <v>49</v>
      </c>
      <c r="P111" s="347">
        <v>0</v>
      </c>
      <c r="Q111" s="177"/>
      <c r="R111" s="174"/>
      <c r="S111" s="174"/>
      <c r="T111" s="174"/>
      <c r="U111" s="174"/>
      <c r="V111" s="174"/>
      <c r="W111" s="176"/>
      <c r="X111" s="1"/>
      <c r="Y111" s="1"/>
      <c r="Z111" s="1"/>
      <c r="AA111" s="1"/>
      <c r="AB111" s="1"/>
      <c r="AC111" s="1"/>
      <c r="AD111" s="1"/>
      <c r="AE111" s="1"/>
      <c r="AF111" s="1"/>
    </row>
    <row r="112" spans="1:32" ht="15.75" x14ac:dyDescent="0.25">
      <c r="A112" s="141"/>
      <c r="B112" s="142" t="s">
        <v>110</v>
      </c>
      <c r="C112" s="142"/>
      <c r="D112" s="143"/>
      <c r="E112" s="144">
        <f>E110-E111</f>
        <v>30294.666666666668</v>
      </c>
      <c r="F112" s="144">
        <f t="shared" ref="F112:K112" si="45">F110-F111</f>
        <v>4069.4606666666609</v>
      </c>
      <c r="G112" s="144">
        <f t="shared" si="45"/>
        <v>-34997.157089333305</v>
      </c>
      <c r="H112" s="144">
        <f t="shared" si="45"/>
        <v>-92203.504374709228</v>
      </c>
      <c r="I112" s="144">
        <f t="shared" si="45"/>
        <v>-174976.38868396744</v>
      </c>
      <c r="J112" s="144">
        <f t="shared" si="45"/>
        <v>0</v>
      </c>
      <c r="K112" s="145">
        <f t="shared" si="45"/>
        <v>0</v>
      </c>
      <c r="L112" s="3"/>
      <c r="M112" s="3"/>
      <c r="N112" s="3"/>
      <c r="O112" s="177" t="s">
        <v>36</v>
      </c>
      <c r="P112" s="347">
        <v>94855.500472231506</v>
      </c>
      <c r="Q112" s="173">
        <v>0.7</v>
      </c>
      <c r="R112" s="174"/>
      <c r="S112" s="178">
        <f>Q112*I85</f>
        <v>66398.850330562054</v>
      </c>
      <c r="T112" s="174"/>
      <c r="U112" s="174"/>
      <c r="V112" s="174"/>
      <c r="W112" s="176"/>
      <c r="X112" s="1"/>
      <c r="Y112" s="1"/>
      <c r="Z112" s="1"/>
      <c r="AA112" s="1"/>
      <c r="AB112" s="1"/>
      <c r="AC112" s="1"/>
      <c r="AD112" s="1"/>
      <c r="AE112" s="1"/>
      <c r="AF112" s="1"/>
    </row>
    <row r="113" spans="1:32" ht="15.75" x14ac:dyDescent="0.25">
      <c r="A113" s="141"/>
      <c r="B113" s="142" t="s">
        <v>111</v>
      </c>
      <c r="C113" s="142"/>
      <c r="D113" s="143"/>
      <c r="E113" s="144">
        <f t="shared" ref="E113:K113" si="46">E95</f>
        <v>1926.3273466177855</v>
      </c>
      <c r="F113" s="144">
        <f t="shared" si="46"/>
        <v>0</v>
      </c>
      <c r="G113" s="144">
        <f t="shared" si="46"/>
        <v>0</v>
      </c>
      <c r="H113" s="144">
        <f t="shared" si="46"/>
        <v>0</v>
      </c>
      <c r="I113" s="144">
        <f t="shared" si="46"/>
        <v>0</v>
      </c>
      <c r="J113" s="144">
        <f t="shared" si="46"/>
        <v>0</v>
      </c>
      <c r="K113" s="145">
        <f t="shared" si="46"/>
        <v>0</v>
      </c>
      <c r="L113" s="3"/>
      <c r="M113" s="3"/>
      <c r="N113" s="3"/>
      <c r="O113" s="177" t="s">
        <v>37</v>
      </c>
      <c r="P113" s="347">
        <v>66727.808956694003</v>
      </c>
      <c r="Q113" s="173">
        <v>0.5</v>
      </c>
      <c r="R113" s="174"/>
      <c r="S113" s="178">
        <f>Q113*I86</f>
        <v>33363.904478347002</v>
      </c>
      <c r="T113" s="174"/>
      <c r="U113" s="174"/>
      <c r="V113" s="174"/>
      <c r="W113" s="176"/>
      <c r="X113" s="1"/>
      <c r="Y113" s="1"/>
      <c r="Z113" s="1"/>
      <c r="AA113" s="1"/>
      <c r="AB113" s="1"/>
      <c r="AC113" s="1"/>
      <c r="AD113" s="1"/>
      <c r="AE113" s="1"/>
      <c r="AF113" s="1"/>
    </row>
    <row r="114" spans="1:32" ht="15.75" x14ac:dyDescent="0.25">
      <c r="A114" s="141"/>
      <c r="B114" s="142" t="s">
        <v>112</v>
      </c>
      <c r="C114" s="142"/>
      <c r="D114" s="143"/>
      <c r="E114" s="144">
        <f>E110-E113</f>
        <v>31701.672653382215</v>
      </c>
      <c r="F114" s="144">
        <f t="shared" ref="F114:K114" si="47">F110-F113</f>
        <v>7402.7939999999944</v>
      </c>
      <c r="G114" s="144">
        <f t="shared" si="47"/>
        <v>-31663.823755999969</v>
      </c>
      <c r="H114" s="144">
        <f t="shared" si="47"/>
        <v>-88870.171041375899</v>
      </c>
      <c r="I114" s="144">
        <f t="shared" si="47"/>
        <v>-171643.05535063409</v>
      </c>
      <c r="J114" s="144">
        <f t="shared" si="47"/>
        <v>0</v>
      </c>
      <c r="K114" s="145">
        <f t="shared" si="47"/>
        <v>0</v>
      </c>
      <c r="L114" s="3"/>
      <c r="M114" s="3"/>
      <c r="N114" s="3"/>
      <c r="O114" s="177"/>
      <c r="P114" s="347"/>
      <c r="Q114" s="177"/>
      <c r="R114" s="174"/>
      <c r="S114" s="174"/>
      <c r="T114" s="174"/>
      <c r="U114" s="174"/>
      <c r="V114" s="174"/>
      <c r="W114" s="176"/>
      <c r="X114" s="1"/>
      <c r="Y114" s="1"/>
      <c r="Z114" s="1"/>
      <c r="AA114" s="1"/>
      <c r="AB114" s="1"/>
      <c r="AC114" s="1"/>
      <c r="AD114" s="1"/>
      <c r="AE114" s="1"/>
      <c r="AF114" s="1"/>
    </row>
    <row r="115" spans="1:32" ht="15.75" x14ac:dyDescent="0.25">
      <c r="A115" s="141"/>
      <c r="B115" s="142"/>
      <c r="C115" s="142"/>
      <c r="D115" s="143"/>
      <c r="E115" s="142"/>
      <c r="F115" s="142"/>
      <c r="G115" s="142"/>
      <c r="H115" s="142"/>
      <c r="I115" s="142"/>
      <c r="J115" s="142"/>
      <c r="K115" s="149"/>
      <c r="L115" s="3"/>
      <c r="M115" s="3"/>
      <c r="N115" s="3"/>
      <c r="O115" s="177" t="s">
        <v>140</v>
      </c>
      <c r="P115" s="347">
        <v>50000</v>
      </c>
      <c r="Q115" s="173">
        <v>0.8</v>
      </c>
      <c r="R115" s="175">
        <f>Q115*I88</f>
        <v>40000</v>
      </c>
      <c r="S115" s="174"/>
      <c r="T115" s="174"/>
      <c r="U115" s="174"/>
      <c r="V115" s="174"/>
      <c r="W115" s="176"/>
      <c r="X115" s="1"/>
      <c r="Y115" s="1"/>
      <c r="Z115" s="1"/>
      <c r="AA115" s="1"/>
      <c r="AB115" s="1"/>
      <c r="AC115" s="1"/>
      <c r="AD115" s="1"/>
      <c r="AE115" s="1"/>
      <c r="AF115" s="1"/>
    </row>
    <row r="116" spans="1:32" ht="18" x14ac:dyDescent="0.25">
      <c r="A116" s="91" t="s">
        <v>113</v>
      </c>
      <c r="B116" s="20"/>
      <c r="C116" s="20"/>
      <c r="D116" s="21"/>
      <c r="E116" s="20"/>
      <c r="F116" s="20"/>
      <c r="G116" s="20"/>
      <c r="H116" s="20"/>
      <c r="I116" s="20"/>
      <c r="J116" s="20"/>
      <c r="K116" s="40"/>
      <c r="L116" s="3"/>
      <c r="M116" s="3"/>
      <c r="N116" s="3"/>
      <c r="O116" s="177" t="s">
        <v>141</v>
      </c>
      <c r="P116" s="347">
        <v>100000</v>
      </c>
      <c r="Q116" s="173">
        <v>0.5</v>
      </c>
      <c r="R116" s="175">
        <f>Q116*I89</f>
        <v>50000</v>
      </c>
      <c r="S116" s="174"/>
      <c r="T116" s="174"/>
      <c r="U116" s="174"/>
      <c r="V116" s="174"/>
      <c r="W116" s="176"/>
      <c r="X116" s="1"/>
      <c r="Y116" s="1"/>
      <c r="Z116" s="1"/>
      <c r="AA116" s="1"/>
      <c r="AB116" s="1"/>
      <c r="AC116" s="1"/>
      <c r="AD116" s="1"/>
      <c r="AE116" s="1"/>
      <c r="AF116" s="1"/>
    </row>
    <row r="117" spans="1:32" ht="15.75" x14ac:dyDescent="0.25">
      <c r="A117" s="141"/>
      <c r="B117" s="142" t="s">
        <v>114</v>
      </c>
      <c r="C117" s="142"/>
      <c r="D117" s="146">
        <f t="shared" ref="D117:J117" si="48">-(E83-D83)</f>
        <v>-3000</v>
      </c>
      <c r="E117" s="146">
        <f t="shared" si="48"/>
        <v>0</v>
      </c>
      <c r="F117" s="146">
        <f t="shared" si="48"/>
        <v>0</v>
      </c>
      <c r="G117" s="146">
        <f t="shared" si="48"/>
        <v>0</v>
      </c>
      <c r="H117" s="146">
        <f t="shared" si="48"/>
        <v>0</v>
      </c>
      <c r="I117" s="146">
        <f t="shared" si="48"/>
        <v>3000</v>
      </c>
      <c r="J117" s="146">
        <f t="shared" si="48"/>
        <v>0</v>
      </c>
      <c r="K117" s="299">
        <f>-(L83-K83)</f>
        <v>0</v>
      </c>
      <c r="L117" s="3"/>
      <c r="M117" s="3"/>
      <c r="N117" s="3"/>
      <c r="O117" s="177" t="s">
        <v>142</v>
      </c>
      <c r="P117" s="347">
        <v>16666.666666666668</v>
      </c>
      <c r="Q117" s="177"/>
      <c r="R117" s="174"/>
      <c r="S117" s="174"/>
      <c r="T117" s="174"/>
      <c r="U117" s="174"/>
      <c r="V117" s="174"/>
      <c r="W117" s="176"/>
      <c r="X117" s="1"/>
      <c r="Y117" s="1"/>
      <c r="Z117" s="1"/>
      <c r="AA117" s="1"/>
      <c r="AB117" s="1"/>
      <c r="AC117" s="1"/>
      <c r="AD117" s="1"/>
      <c r="AE117" s="1"/>
      <c r="AF117" s="1"/>
    </row>
    <row r="118" spans="1:32" ht="15.75" x14ac:dyDescent="0.25">
      <c r="A118" s="141"/>
      <c r="B118" s="142" t="s">
        <v>36</v>
      </c>
      <c r="C118" s="142"/>
      <c r="D118" s="146">
        <f t="shared" ref="D118:J119" si="49">-(E85-D85)</f>
        <v>-69287.671232876703</v>
      </c>
      <c r="E118" s="146">
        <f t="shared" si="49"/>
        <v>-5649.103972602752</v>
      </c>
      <c r="F118" s="146">
        <f t="shared" si="49"/>
        <v>-6117.4618870438426</v>
      </c>
      <c r="G118" s="146">
        <f t="shared" si="49"/>
        <v>-6625.2916180008469</v>
      </c>
      <c r="H118" s="146">
        <f t="shared" si="49"/>
        <v>-7175.971761707362</v>
      </c>
      <c r="I118" s="146">
        <f t="shared" si="49"/>
        <v>94855.500472231506</v>
      </c>
      <c r="J118" s="146">
        <f t="shared" si="49"/>
        <v>0</v>
      </c>
      <c r="K118" s="299">
        <f>-(L85-K85)</f>
        <v>0</v>
      </c>
      <c r="L118" s="3"/>
      <c r="M118" s="3"/>
      <c r="N118" s="3"/>
      <c r="O118" s="177"/>
      <c r="P118" s="347"/>
      <c r="Q118" s="177"/>
      <c r="R118" s="174"/>
      <c r="S118" s="174"/>
      <c r="T118" s="174"/>
      <c r="U118" s="174"/>
      <c r="V118" s="174"/>
      <c r="W118" s="176"/>
      <c r="X118" s="1"/>
      <c r="Y118" s="1"/>
      <c r="Z118" s="1"/>
      <c r="AA118" s="1"/>
      <c r="AB118" s="1"/>
      <c r="AC118" s="1"/>
      <c r="AD118" s="1"/>
      <c r="AE118" s="1"/>
      <c r="AF118" s="1"/>
    </row>
    <row r="119" spans="1:32" ht="15.75" x14ac:dyDescent="0.25">
      <c r="A119" s="141"/>
      <c r="B119" s="142" t="s">
        <v>37</v>
      </c>
      <c r="C119" s="142"/>
      <c r="D119" s="146">
        <f t="shared" si="49"/>
        <v>-66175.232876712325</v>
      </c>
      <c r="E119" s="146">
        <f t="shared" si="49"/>
        <v>249.3130356164329</v>
      </c>
      <c r="F119" s="146">
        <f t="shared" si="49"/>
        <v>242.23602825369744</v>
      </c>
      <c r="G119" s="146">
        <f t="shared" si="49"/>
        <v>235.2047008244117</v>
      </c>
      <c r="H119" s="146">
        <f t="shared" si="49"/>
        <v>-1279.3298446762201</v>
      </c>
      <c r="I119" s="146">
        <f t="shared" si="49"/>
        <v>66727.808956694003</v>
      </c>
      <c r="J119" s="146">
        <f t="shared" si="49"/>
        <v>0</v>
      </c>
      <c r="K119" s="299">
        <f>-(L86-K86)</f>
        <v>0</v>
      </c>
      <c r="L119" s="3"/>
      <c r="M119" s="3"/>
      <c r="N119" s="3"/>
      <c r="O119" s="343" t="s">
        <v>39</v>
      </c>
      <c r="P119" s="347">
        <v>297916.64276225882</v>
      </c>
      <c r="Q119" s="177"/>
      <c r="R119" s="174"/>
      <c r="S119" s="174"/>
      <c r="T119" s="174"/>
      <c r="U119" s="174"/>
      <c r="V119" s="174"/>
      <c r="W119" s="176"/>
      <c r="X119" s="1"/>
      <c r="Y119" s="1"/>
      <c r="Z119" s="1"/>
      <c r="AA119" s="1"/>
      <c r="AB119" s="1"/>
      <c r="AC119" s="1"/>
      <c r="AD119" s="1"/>
      <c r="AE119" s="1"/>
      <c r="AF119" s="1"/>
    </row>
    <row r="120" spans="1:32" ht="15.75" x14ac:dyDescent="0.25">
      <c r="A120" s="141"/>
      <c r="B120" s="142"/>
      <c r="C120" s="142"/>
      <c r="D120" s="146"/>
      <c r="E120" s="146"/>
      <c r="F120" s="146"/>
      <c r="G120" s="146"/>
      <c r="H120" s="146"/>
      <c r="I120" s="146"/>
      <c r="J120" s="146"/>
      <c r="K120" s="299"/>
      <c r="L120" s="3"/>
      <c r="M120" s="3"/>
      <c r="N120" s="3"/>
      <c r="O120" s="177"/>
      <c r="P120" s="347"/>
      <c r="Q120" s="177"/>
      <c r="R120" s="174"/>
      <c r="S120" s="174"/>
      <c r="T120" s="174"/>
      <c r="U120" s="174"/>
      <c r="V120" s="174"/>
      <c r="W120" s="176"/>
      <c r="X120" s="1"/>
      <c r="Y120" s="1"/>
      <c r="Z120" s="1"/>
      <c r="AA120" s="1"/>
      <c r="AB120" s="1"/>
      <c r="AC120" s="1"/>
      <c r="AD120" s="1"/>
      <c r="AE120" s="1"/>
      <c r="AF120" s="1"/>
    </row>
    <row r="121" spans="1:32" ht="18.75" x14ac:dyDescent="0.3">
      <c r="A121" s="141"/>
      <c r="B121" s="142" t="s">
        <v>140</v>
      </c>
      <c r="C121" s="142"/>
      <c r="D121" s="146">
        <f>-(E88-D88)</f>
        <v>-50000</v>
      </c>
      <c r="E121" s="146">
        <f t="shared" ref="E121:J121" si="50">-(F88-E88)</f>
        <v>0</v>
      </c>
      <c r="F121" s="146">
        <f t="shared" si="50"/>
        <v>0</v>
      </c>
      <c r="G121" s="146">
        <f t="shared" si="50"/>
        <v>0</v>
      </c>
      <c r="H121" s="146">
        <f t="shared" si="50"/>
        <v>0</v>
      </c>
      <c r="I121" s="146">
        <f t="shared" si="50"/>
        <v>50000</v>
      </c>
      <c r="J121" s="146">
        <f t="shared" si="50"/>
        <v>0</v>
      </c>
      <c r="K121" s="299">
        <f>-(L88-K88)</f>
        <v>0</v>
      </c>
      <c r="L121" s="3"/>
      <c r="M121" s="3"/>
      <c r="N121" s="3"/>
      <c r="O121" s="345" t="s">
        <v>38</v>
      </c>
      <c r="P121" s="347"/>
      <c r="Q121" s="177"/>
      <c r="R121" s="174"/>
      <c r="S121" s="174"/>
      <c r="T121" s="174"/>
      <c r="U121" s="174"/>
      <c r="V121" s="174"/>
      <c r="W121" s="176"/>
      <c r="X121" s="1"/>
      <c r="Y121" s="1"/>
      <c r="Z121" s="1"/>
      <c r="AA121" s="1"/>
      <c r="AB121" s="1"/>
      <c r="AC121" s="1"/>
      <c r="AD121" s="1"/>
      <c r="AE121" s="1"/>
      <c r="AF121" s="1"/>
    </row>
    <row r="122" spans="1:32" ht="15.75" x14ac:dyDescent="0.25">
      <c r="A122" s="141"/>
      <c r="B122" s="142" t="s">
        <v>146</v>
      </c>
      <c r="C122" s="142"/>
      <c r="D122" s="146"/>
      <c r="E122" s="146"/>
      <c r="F122" s="146"/>
      <c r="G122" s="146"/>
      <c r="H122" s="146"/>
      <c r="I122" s="146"/>
      <c r="J122" s="146"/>
      <c r="K122" s="299">
        <f>K121*0.07</f>
        <v>0</v>
      </c>
      <c r="L122" s="3"/>
      <c r="M122" s="3"/>
      <c r="N122" s="3"/>
      <c r="O122" s="177" t="s">
        <v>40</v>
      </c>
      <c r="P122" s="347">
        <v>0</v>
      </c>
      <c r="Q122" s="177"/>
      <c r="R122" s="174"/>
      <c r="S122" s="174"/>
      <c r="T122" s="174"/>
      <c r="U122" s="174"/>
      <c r="V122" s="174"/>
      <c r="W122" s="176"/>
      <c r="X122" s="1"/>
      <c r="Y122" s="1"/>
      <c r="Z122" s="1"/>
      <c r="AA122" s="1"/>
      <c r="AB122" s="1"/>
      <c r="AC122" s="1"/>
      <c r="AD122" s="1"/>
      <c r="AE122" s="1"/>
      <c r="AF122" s="1"/>
    </row>
    <row r="123" spans="1:32" ht="15.75" x14ac:dyDescent="0.25">
      <c r="A123" s="141"/>
      <c r="B123" s="142" t="s">
        <v>147</v>
      </c>
      <c r="C123" s="142"/>
      <c r="D123" s="146"/>
      <c r="E123" s="146"/>
      <c r="F123" s="146"/>
      <c r="G123" s="146"/>
      <c r="H123" s="146"/>
      <c r="I123" s="146"/>
      <c r="J123" s="146"/>
      <c r="K123" s="299">
        <f>-N122*R3</f>
        <v>0</v>
      </c>
      <c r="L123" s="3"/>
      <c r="M123" s="3"/>
      <c r="N123" s="3"/>
      <c r="O123" s="177" t="s">
        <v>41</v>
      </c>
      <c r="P123" s="347">
        <v>53382.247165355206</v>
      </c>
      <c r="Q123" s="173">
        <v>-1</v>
      </c>
      <c r="R123" s="179"/>
      <c r="S123" s="180">
        <f>I96*Q123</f>
        <v>-53382.247165355206</v>
      </c>
      <c r="T123" s="174"/>
      <c r="U123" s="174"/>
      <c r="V123" s="174"/>
      <c r="W123" s="176"/>
      <c r="X123" s="1"/>
      <c r="Y123" s="1"/>
      <c r="Z123" s="1"/>
      <c r="AA123" s="1"/>
      <c r="AB123" s="1"/>
      <c r="AC123" s="1"/>
      <c r="AD123" s="1"/>
      <c r="AE123" s="1"/>
      <c r="AF123" s="1"/>
    </row>
    <row r="124" spans="1:32" ht="15.75" x14ac:dyDescent="0.25">
      <c r="A124" s="141"/>
      <c r="B124" s="142"/>
      <c r="C124" s="142"/>
      <c r="D124" s="146"/>
      <c r="E124" s="146"/>
      <c r="F124" s="146"/>
      <c r="G124" s="146"/>
      <c r="H124" s="146"/>
      <c r="I124" s="146"/>
      <c r="J124" s="146"/>
      <c r="K124" s="299"/>
      <c r="L124" s="3"/>
      <c r="M124" s="3"/>
      <c r="N124" s="3"/>
      <c r="O124" s="348"/>
      <c r="P124" s="349"/>
      <c r="Q124" s="343" t="s">
        <v>80</v>
      </c>
      <c r="R124" s="179">
        <f>SUM(R110:R123)</f>
        <v>90000</v>
      </c>
      <c r="S124" s="179">
        <f>SUM(S110:S123)</f>
        <v>49380.50764355385</v>
      </c>
      <c r="T124" s="174"/>
      <c r="U124" s="174"/>
      <c r="V124" s="174"/>
      <c r="W124" s="176"/>
      <c r="X124" s="1"/>
      <c r="Y124" s="1"/>
      <c r="Z124" s="1"/>
      <c r="AA124" s="1"/>
      <c r="AB124" s="1"/>
      <c r="AC124" s="1"/>
      <c r="AD124" s="1"/>
      <c r="AE124" s="1"/>
      <c r="AF124" s="1"/>
    </row>
    <row r="125" spans="1:32" ht="15.75" x14ac:dyDescent="0.25">
      <c r="A125" s="141"/>
      <c r="B125" s="142" t="s">
        <v>148</v>
      </c>
      <c r="C125" s="142"/>
      <c r="D125" s="146">
        <f>-(E89-D89)</f>
        <v>-100000</v>
      </c>
      <c r="E125" s="146">
        <f t="shared" ref="E125:J125" si="51">-(F89-E89)</f>
        <v>0</v>
      </c>
      <c r="F125" s="146">
        <f t="shared" si="51"/>
        <v>0</v>
      </c>
      <c r="G125" s="146">
        <f t="shared" si="51"/>
        <v>0</v>
      </c>
      <c r="H125" s="146">
        <f t="shared" si="51"/>
        <v>0</v>
      </c>
      <c r="I125" s="146">
        <f t="shared" si="51"/>
        <v>100000</v>
      </c>
      <c r="J125" s="146">
        <f t="shared" si="51"/>
        <v>0</v>
      </c>
      <c r="K125" s="299">
        <f>-(L89-K89)</f>
        <v>0</v>
      </c>
      <c r="L125" s="3"/>
      <c r="M125" s="3"/>
      <c r="N125" s="3"/>
      <c r="O125" s="348"/>
      <c r="P125" s="350"/>
      <c r="Q125" s="343" t="s">
        <v>159</v>
      </c>
      <c r="R125" s="179"/>
      <c r="S125" s="179">
        <v>0</v>
      </c>
      <c r="T125" s="174"/>
      <c r="U125" s="174"/>
      <c r="V125" s="174"/>
      <c r="W125" s="176"/>
      <c r="X125" s="1"/>
      <c r="Y125" s="1"/>
      <c r="Z125" s="1"/>
      <c r="AA125" s="1"/>
      <c r="AB125" s="1"/>
      <c r="AC125" s="1"/>
      <c r="AD125" s="1"/>
      <c r="AE125" s="1"/>
      <c r="AF125" s="1"/>
    </row>
    <row r="126" spans="1:32" ht="15.75" x14ac:dyDescent="0.25">
      <c r="A126" s="141"/>
      <c r="B126" s="142" t="s">
        <v>146</v>
      </c>
      <c r="C126" s="142"/>
      <c r="D126" s="146"/>
      <c r="E126" s="146"/>
      <c r="F126" s="146"/>
      <c r="G126" s="146"/>
      <c r="H126" s="146"/>
      <c r="I126" s="146"/>
      <c r="J126" s="146"/>
      <c r="K126" s="299">
        <f>K125*0.07</f>
        <v>0</v>
      </c>
      <c r="L126" s="3"/>
      <c r="M126" s="3"/>
      <c r="N126" s="3"/>
      <c r="O126" s="348"/>
      <c r="P126" s="350"/>
      <c r="Q126" s="343" t="s">
        <v>160</v>
      </c>
      <c r="R126" s="179"/>
      <c r="S126" s="179">
        <v>10000</v>
      </c>
      <c r="T126" s="174"/>
      <c r="U126" s="174"/>
      <c r="V126" s="174"/>
      <c r="W126" s="176"/>
      <c r="X126" s="1"/>
      <c r="Y126" s="1"/>
      <c r="Z126" s="1"/>
      <c r="AA126" s="1"/>
      <c r="AB126" s="1"/>
      <c r="AC126" s="1"/>
      <c r="AD126" s="1"/>
      <c r="AE126" s="1"/>
      <c r="AF126" s="1"/>
    </row>
    <row r="127" spans="1:32" ht="15.75" x14ac:dyDescent="0.25">
      <c r="A127" s="141"/>
      <c r="B127" s="142" t="s">
        <v>147</v>
      </c>
      <c r="C127" s="142"/>
      <c r="D127" s="146"/>
      <c r="E127" s="146"/>
      <c r="F127" s="146"/>
      <c r="G127" s="146"/>
      <c r="H127" s="146"/>
      <c r="I127" s="146"/>
      <c r="J127" s="146"/>
      <c r="K127" s="299">
        <f>-N126*R3</f>
        <v>0</v>
      </c>
      <c r="L127" s="3"/>
      <c r="M127" s="3"/>
      <c r="N127" s="3"/>
      <c r="O127" s="348"/>
      <c r="P127" s="350"/>
      <c r="Q127" s="343" t="s">
        <v>161</v>
      </c>
      <c r="R127" s="179">
        <f>R124</f>
        <v>90000</v>
      </c>
      <c r="S127" s="179">
        <f>S124+S125-S126</f>
        <v>39380.50764355385</v>
      </c>
      <c r="T127" s="174"/>
      <c r="U127" s="174"/>
      <c r="V127" s="174"/>
      <c r="W127" s="176"/>
      <c r="X127" s="1"/>
      <c r="Y127" s="1"/>
      <c r="Z127" s="1"/>
      <c r="AA127" s="1"/>
      <c r="AB127" s="1"/>
      <c r="AC127" s="1"/>
      <c r="AD127" s="1"/>
      <c r="AE127" s="1"/>
      <c r="AF127" s="1"/>
    </row>
    <row r="128" spans="1:32" ht="15.75" x14ac:dyDescent="0.25">
      <c r="A128" s="141"/>
      <c r="B128" s="142"/>
      <c r="C128" s="142"/>
      <c r="D128" s="144"/>
      <c r="E128" s="144"/>
      <c r="F128" s="146"/>
      <c r="G128" s="146"/>
      <c r="H128" s="146"/>
      <c r="I128" s="146"/>
      <c r="J128" s="144"/>
      <c r="K128" s="149"/>
      <c r="L128" s="3"/>
      <c r="M128" s="3"/>
      <c r="N128" s="3"/>
      <c r="O128" s="348"/>
      <c r="P128" s="350"/>
      <c r="Q128" s="343"/>
      <c r="R128" s="174"/>
      <c r="S128" s="174"/>
      <c r="T128" s="174"/>
      <c r="U128" s="174"/>
      <c r="V128" s="174"/>
      <c r="W128" s="176"/>
      <c r="X128" s="1"/>
      <c r="Y128" s="1"/>
      <c r="Z128" s="1"/>
      <c r="AA128" s="1"/>
      <c r="AB128" s="1"/>
      <c r="AC128" s="1"/>
      <c r="AD128" s="1"/>
      <c r="AE128" s="1"/>
      <c r="AF128" s="1"/>
    </row>
    <row r="129" spans="1:32" ht="15.75" x14ac:dyDescent="0.25">
      <c r="A129" s="141"/>
      <c r="B129" s="142" t="s">
        <v>41</v>
      </c>
      <c r="C129" s="142"/>
      <c r="D129" s="146">
        <f t="shared" ref="D129:J129" si="52">(E96-D96)</f>
        <v>44116.821917808222</v>
      </c>
      <c r="E129" s="146">
        <f t="shared" si="52"/>
        <v>2146.9814794520498</v>
      </c>
      <c r="F129" s="146">
        <f t="shared" si="52"/>
        <v>2255.9999732602737</v>
      </c>
      <c r="G129" s="146">
        <f t="shared" si="52"/>
        <v>2370.7864040959976</v>
      </c>
      <c r="H129" s="146">
        <f t="shared" si="52"/>
        <v>2491.6573907386628</v>
      </c>
      <c r="I129" s="146">
        <f t="shared" si="52"/>
        <v>-53382.247165355206</v>
      </c>
      <c r="J129" s="146">
        <f t="shared" si="52"/>
        <v>0</v>
      </c>
      <c r="K129" s="299">
        <f>(L96-K96)</f>
        <v>0</v>
      </c>
      <c r="L129" s="3"/>
      <c r="M129" s="3"/>
      <c r="N129" s="3"/>
      <c r="O129" s="348"/>
      <c r="P129" s="350"/>
      <c r="Q129" s="343"/>
      <c r="R129" s="337" t="s">
        <v>162</v>
      </c>
      <c r="S129" s="337" t="s">
        <v>163</v>
      </c>
      <c r="T129" s="338" t="s">
        <v>164</v>
      </c>
      <c r="U129" s="338" t="s">
        <v>165</v>
      </c>
      <c r="V129" s="339" t="s">
        <v>80</v>
      </c>
      <c r="W129" s="340" t="s">
        <v>166</v>
      </c>
      <c r="X129" s="1"/>
      <c r="Y129" s="1"/>
      <c r="Z129" s="1"/>
      <c r="AA129" s="1"/>
      <c r="AB129" s="1"/>
      <c r="AC129" s="1"/>
      <c r="AD129" s="1"/>
      <c r="AE129" s="1"/>
      <c r="AF129" s="1"/>
    </row>
    <row r="130" spans="1:32" ht="15.75" x14ac:dyDescent="0.25">
      <c r="A130" s="141"/>
      <c r="B130" s="142" t="s">
        <v>115</v>
      </c>
      <c r="C130" s="142"/>
      <c r="D130" s="146">
        <f t="shared" ref="D130:J130" si="53">(E113-D113)</f>
        <v>1926.3273466177855</v>
      </c>
      <c r="E130" s="146">
        <f t="shared" si="53"/>
        <v>-1926.3273466177855</v>
      </c>
      <c r="F130" s="146">
        <f t="shared" si="53"/>
        <v>0</v>
      </c>
      <c r="G130" s="146">
        <f t="shared" si="53"/>
        <v>0</v>
      </c>
      <c r="H130" s="146">
        <f t="shared" si="53"/>
        <v>0</v>
      </c>
      <c r="I130" s="146">
        <f t="shared" si="53"/>
        <v>0</v>
      </c>
      <c r="J130" s="146">
        <f t="shared" si="53"/>
        <v>0</v>
      </c>
      <c r="K130" s="299">
        <f>(L113-K113)</f>
        <v>0</v>
      </c>
      <c r="L130" s="3"/>
      <c r="M130" s="3"/>
      <c r="N130" s="3"/>
      <c r="O130" s="351" t="s">
        <v>42</v>
      </c>
      <c r="P130" s="347">
        <v>96420.168689283484</v>
      </c>
      <c r="Q130" s="343" t="s">
        <v>167</v>
      </c>
      <c r="R130" s="179">
        <f>R127</f>
        <v>90000</v>
      </c>
      <c r="S130" s="179">
        <f>I98-R130</f>
        <v>6420.1686892834841</v>
      </c>
      <c r="T130" s="181">
        <f>S130/S132</f>
        <v>9.7513065311452922E-3</v>
      </c>
      <c r="U130" s="182">
        <f>T130*S127</f>
        <v>384.01140138440377</v>
      </c>
      <c r="V130" s="183">
        <f>R130+U130</f>
        <v>90384.0114013844</v>
      </c>
      <c r="W130" s="184">
        <f>V130/I98</f>
        <v>0.93739735814660563</v>
      </c>
      <c r="X130" s="1"/>
      <c r="Y130" s="1"/>
      <c r="Z130" s="1"/>
      <c r="AA130" s="1"/>
      <c r="AB130" s="1"/>
      <c r="AC130" s="1"/>
      <c r="AD130" s="1"/>
      <c r="AE130" s="1"/>
      <c r="AF130" s="1"/>
    </row>
    <row r="131" spans="1:32" ht="15.75" x14ac:dyDescent="0.25">
      <c r="A131" s="141"/>
      <c r="B131" s="142"/>
      <c r="C131" s="142"/>
      <c r="D131" s="144"/>
      <c r="E131" s="144"/>
      <c r="F131" s="146"/>
      <c r="G131" s="146"/>
      <c r="H131" s="146"/>
      <c r="I131" s="146"/>
      <c r="J131" s="144"/>
      <c r="K131" s="149"/>
      <c r="L131" s="3"/>
      <c r="M131" s="3"/>
      <c r="N131" s="3"/>
      <c r="O131" s="351" t="s">
        <v>51</v>
      </c>
      <c r="P131" s="347">
        <v>651970.44479186554</v>
      </c>
      <c r="Q131" s="343" t="s">
        <v>168</v>
      </c>
      <c r="R131" s="179">
        <v>0</v>
      </c>
      <c r="S131" s="185">
        <f>I99-R131</f>
        <v>651970.44479186554</v>
      </c>
      <c r="T131" s="181">
        <f>S131/S132</f>
        <v>0.99024869346885458</v>
      </c>
      <c r="U131" s="179">
        <f>T131*S127</f>
        <v>38996.496242169444</v>
      </c>
      <c r="V131" s="183">
        <f>R131+U131</f>
        <v>38996.496242169444</v>
      </c>
      <c r="W131" s="186">
        <f>V131/I99</f>
        <v>5.9813288399320999E-2</v>
      </c>
      <c r="X131" s="1"/>
      <c r="Y131" s="1"/>
      <c r="Z131" s="1"/>
      <c r="AA131" s="1"/>
      <c r="AB131" s="1"/>
      <c r="AC131" s="1"/>
      <c r="AD131" s="1"/>
      <c r="AE131" s="1"/>
      <c r="AF131" s="1"/>
    </row>
    <row r="132" spans="1:32" ht="19.5" thickBot="1" x14ac:dyDescent="0.35">
      <c r="A132" s="26" t="s">
        <v>116</v>
      </c>
      <c r="B132" s="20"/>
      <c r="C132" s="20"/>
      <c r="D132" s="153">
        <f>SUM(D114:D130)</f>
        <v>-242419.75484516306</v>
      </c>
      <c r="E132" s="153">
        <f t="shared" ref="E132:K132" si="54">SUM(E114:E130)</f>
        <v>26522.53584923016</v>
      </c>
      <c r="F132" s="153">
        <f t="shared" si="54"/>
        <v>3783.568114470123</v>
      </c>
      <c r="G132" s="153">
        <f t="shared" si="54"/>
        <v>-35683.124269080407</v>
      </c>
      <c r="H132" s="153">
        <f t="shared" si="54"/>
        <v>-94833.815257020819</v>
      </c>
      <c r="I132" s="153">
        <f t="shared" si="54"/>
        <v>89558.006912936209</v>
      </c>
      <c r="J132" s="153">
        <f t="shared" si="54"/>
        <v>0</v>
      </c>
      <c r="K132" s="154">
        <f t="shared" si="54"/>
        <v>0</v>
      </c>
      <c r="L132" s="3"/>
      <c r="M132" s="3"/>
      <c r="N132" s="3"/>
      <c r="O132" s="352"/>
      <c r="P132" s="353"/>
      <c r="Q132" s="344"/>
      <c r="R132" s="187"/>
      <c r="S132" s="188">
        <f>SUM(S130:S131)</f>
        <v>658390.61348114908</v>
      </c>
      <c r="T132" s="189"/>
      <c r="U132" s="190"/>
      <c r="V132" s="191"/>
      <c r="W132" s="192"/>
      <c r="X132" s="1"/>
      <c r="Y132" s="1"/>
      <c r="Z132" s="1"/>
      <c r="AA132" s="1"/>
      <c r="AB132" s="1"/>
      <c r="AC132" s="1"/>
      <c r="AD132" s="1"/>
      <c r="AE132" s="1"/>
      <c r="AF132" s="1"/>
    </row>
    <row r="133" spans="1:32" ht="18.75" thickBot="1" x14ac:dyDescent="0.3">
      <c r="A133" s="27" t="s">
        <v>117</v>
      </c>
      <c r="B133" s="28"/>
      <c r="C133" s="28"/>
      <c r="D133" s="29">
        <f>IRR(D132:K132)</f>
        <v>-0.38119363212397817</v>
      </c>
      <c r="E133" s="22"/>
      <c r="F133" s="22"/>
      <c r="G133" s="22"/>
      <c r="H133" s="22"/>
      <c r="I133" s="22"/>
      <c r="J133" s="22"/>
      <c r="K133" s="41"/>
      <c r="L133" s="3"/>
      <c r="M133" s="3"/>
      <c r="N133" s="3"/>
      <c r="O133" s="1"/>
      <c r="P133" s="1"/>
      <c r="Q133" s="1"/>
      <c r="R133" s="1"/>
      <c r="S133" s="1"/>
      <c r="T133" s="1"/>
      <c r="U133" s="1"/>
      <c r="V133" s="1"/>
      <c r="W133" s="1"/>
      <c r="X133" s="1"/>
      <c r="Y133" s="1"/>
      <c r="Z133" s="1"/>
      <c r="AA133" s="1"/>
      <c r="AB133" s="1"/>
      <c r="AC133" s="1"/>
      <c r="AD133" s="1"/>
      <c r="AE133" s="1"/>
      <c r="AF133" s="1"/>
    </row>
    <row r="134" spans="1:32" ht="18" x14ac:dyDescent="0.25">
      <c r="A134" s="27"/>
      <c r="B134" s="28"/>
      <c r="C134" s="28"/>
      <c r="D134" s="30"/>
      <c r="E134" s="22"/>
      <c r="F134" s="22"/>
      <c r="G134" s="22"/>
      <c r="H134" s="22"/>
      <c r="I134" s="22"/>
      <c r="J134" s="22"/>
      <c r="K134" s="41"/>
      <c r="L134" s="3"/>
      <c r="M134" s="3"/>
      <c r="N134" s="3"/>
      <c r="O134" s="266" t="s">
        <v>169</v>
      </c>
      <c r="P134" s="267"/>
      <c r="Q134" s="267"/>
      <c r="R134" s="171"/>
      <c r="S134" s="193"/>
      <c r="T134" s="193"/>
      <c r="U134" s="193"/>
      <c r="V134" s="193"/>
      <c r="W134" s="194"/>
      <c r="X134" s="1"/>
      <c r="Y134" s="1"/>
      <c r="Z134" s="1"/>
      <c r="AA134" s="1"/>
      <c r="AB134" s="1"/>
      <c r="AC134" s="1"/>
      <c r="AD134" s="1"/>
      <c r="AE134" s="1"/>
      <c r="AF134" s="1"/>
    </row>
    <row r="135" spans="1:32" ht="18" x14ac:dyDescent="0.25">
      <c r="A135" s="27" t="s">
        <v>118</v>
      </c>
      <c r="B135" s="28"/>
      <c r="C135" s="28"/>
      <c r="D135" s="29">
        <f>U28</f>
        <v>5.5970535851421706E-2</v>
      </c>
      <c r="E135" s="22"/>
      <c r="F135" s="22"/>
      <c r="G135" s="22"/>
      <c r="H135" s="22"/>
      <c r="I135" s="22"/>
      <c r="J135" s="22"/>
      <c r="K135" s="41"/>
      <c r="L135" s="3"/>
      <c r="M135" s="3"/>
      <c r="N135" s="3"/>
      <c r="O135" s="268" t="s">
        <v>170</v>
      </c>
      <c r="P135" s="269"/>
      <c r="Q135" s="270">
        <v>0.05</v>
      </c>
      <c r="R135" s="174"/>
      <c r="S135" s="195"/>
      <c r="T135" s="195"/>
      <c r="U135" s="195"/>
      <c r="V135" s="195"/>
      <c r="W135" s="196"/>
      <c r="X135" s="1"/>
      <c r="Y135" s="1"/>
      <c r="Z135" s="1"/>
      <c r="AA135" s="1"/>
      <c r="AB135" s="1"/>
      <c r="AC135" s="1"/>
      <c r="AD135" s="1"/>
      <c r="AE135" s="1"/>
      <c r="AF135" s="1"/>
    </row>
    <row r="136" spans="1:32" ht="19.5" thickBot="1" x14ac:dyDescent="0.35">
      <c r="A136" s="333" t="s">
        <v>119</v>
      </c>
      <c r="B136" s="334"/>
      <c r="C136" s="334"/>
      <c r="D136" s="335">
        <f>NPV(D135,E132:K132)</f>
        <v>-9855.4884815084642</v>
      </c>
      <c r="E136" s="336"/>
      <c r="F136" s="336"/>
      <c r="G136" s="336"/>
      <c r="H136" s="336"/>
      <c r="I136" s="336"/>
      <c r="J136" s="336"/>
      <c r="K136" s="46"/>
      <c r="L136" s="3"/>
      <c r="M136" s="3"/>
      <c r="N136" s="3"/>
      <c r="O136" s="268"/>
      <c r="P136" s="269"/>
      <c r="Q136" s="269"/>
      <c r="R136" s="174"/>
      <c r="S136" s="195"/>
      <c r="T136" s="195"/>
      <c r="U136" s="195"/>
      <c r="V136" s="195"/>
      <c r="W136" s="196"/>
      <c r="X136" s="1"/>
      <c r="Y136" s="1"/>
      <c r="Z136" s="1"/>
      <c r="AA136" s="1"/>
      <c r="AB136" s="1"/>
      <c r="AC136" s="1"/>
      <c r="AD136" s="1"/>
      <c r="AE136" s="1"/>
      <c r="AF136" s="1"/>
    </row>
    <row r="137" spans="1:32" ht="15.75" x14ac:dyDescent="0.25">
      <c r="J137" s="3"/>
      <c r="K137" s="3"/>
      <c r="L137" s="3"/>
      <c r="M137" s="3"/>
      <c r="N137" s="3"/>
      <c r="O137" s="271" t="s">
        <v>171</v>
      </c>
      <c r="P137" s="269"/>
      <c r="Q137" s="269"/>
      <c r="R137" s="174"/>
      <c r="S137" s="195"/>
      <c r="T137" s="195"/>
      <c r="U137" s="195"/>
      <c r="V137" s="195"/>
      <c r="W137" s="196"/>
      <c r="X137" s="1"/>
      <c r="Y137" s="1"/>
      <c r="Z137" s="1"/>
      <c r="AA137" s="1"/>
      <c r="AB137" s="1"/>
      <c r="AC137" s="1"/>
      <c r="AD137" s="1"/>
      <c r="AE137" s="1"/>
      <c r="AF137" s="1"/>
    </row>
    <row r="138" spans="1:32" ht="15.75" x14ac:dyDescent="0.25">
      <c r="J138" s="3"/>
      <c r="K138" s="3"/>
      <c r="L138" s="3"/>
      <c r="M138" s="3"/>
      <c r="N138" s="3"/>
      <c r="O138" s="268"/>
      <c r="P138" s="269" t="s">
        <v>172</v>
      </c>
      <c r="Q138" s="272"/>
      <c r="R138" s="273">
        <f>-(E98-D98)</f>
        <v>-103450.86638715412</v>
      </c>
      <c r="S138" s="273">
        <f>-(F98-E98)</f>
        <v>1628.3902285514196</v>
      </c>
      <c r="T138" s="273">
        <f>-(G98-F98)</f>
        <v>1711.7017631362105</v>
      </c>
      <c r="U138" s="273">
        <f>-(H98-G98)</f>
        <v>1799.2756739457691</v>
      </c>
      <c r="V138" s="273">
        <f>-(I98-H98)</f>
        <v>1891.3300322372379</v>
      </c>
      <c r="W138" s="274"/>
      <c r="X138" s="1"/>
      <c r="Y138" s="1"/>
      <c r="Z138" s="1"/>
      <c r="AA138" s="1"/>
      <c r="AB138" s="1"/>
      <c r="AC138" s="1"/>
      <c r="AD138" s="1"/>
      <c r="AE138" s="1"/>
      <c r="AF138" s="1"/>
    </row>
    <row r="139" spans="1:32" ht="15.75" x14ac:dyDescent="0.25">
      <c r="J139" s="3"/>
      <c r="K139" s="3"/>
      <c r="L139" s="3"/>
      <c r="M139" s="3"/>
      <c r="N139" s="3"/>
      <c r="O139" s="268"/>
      <c r="P139" s="269" t="s">
        <v>173</v>
      </c>
      <c r="Q139" s="269"/>
      <c r="R139" s="273">
        <f t="shared" ref="R139:W139" si="55">D71</f>
        <v>0</v>
      </c>
      <c r="S139" s="273">
        <f t="shared" si="55"/>
        <v>5214.8188371070974</v>
      </c>
      <c r="T139" s="273">
        <f t="shared" si="55"/>
        <v>5135.5622214015166</v>
      </c>
      <c r="U139" s="273">
        <f t="shared" si="55"/>
        <v>5052.2506868167575</v>
      </c>
      <c r="V139" s="273">
        <f t="shared" si="55"/>
        <v>4964.676776007198</v>
      </c>
      <c r="W139" s="274">
        <f t="shared" si="55"/>
        <v>4872.6224177156992</v>
      </c>
      <c r="X139" s="1"/>
      <c r="Y139" s="1"/>
      <c r="Z139" s="1"/>
      <c r="AA139" s="1"/>
      <c r="AB139" s="1"/>
      <c r="AC139" s="1"/>
      <c r="AD139" s="1"/>
      <c r="AE139" s="1"/>
      <c r="AF139" s="1"/>
    </row>
    <row r="140" spans="1:32" ht="15.75" x14ac:dyDescent="0.25">
      <c r="J140" s="3"/>
      <c r="K140" s="3"/>
      <c r="L140" s="3"/>
      <c r="M140" s="3"/>
      <c r="N140" s="3"/>
      <c r="O140" s="268"/>
      <c r="P140" s="269" t="s">
        <v>174</v>
      </c>
      <c r="Q140" s="269"/>
      <c r="R140" s="273"/>
      <c r="S140" s="273"/>
      <c r="T140" s="273"/>
      <c r="U140" s="273"/>
      <c r="V140" s="273"/>
      <c r="W140" s="274">
        <f>V130</f>
        <v>90384.0114013844</v>
      </c>
      <c r="X140" s="1"/>
      <c r="Y140" s="1"/>
      <c r="Z140" s="1"/>
      <c r="AA140" s="1"/>
      <c r="AB140" s="1"/>
      <c r="AC140" s="1"/>
      <c r="AD140" s="1"/>
      <c r="AE140" s="1"/>
      <c r="AF140" s="1"/>
    </row>
    <row r="141" spans="1:32" ht="15.75" x14ac:dyDescent="0.25">
      <c r="J141" s="197"/>
      <c r="K141" s="197"/>
      <c r="L141" s="3"/>
      <c r="M141" s="3"/>
      <c r="N141" s="3"/>
      <c r="O141" s="268"/>
      <c r="P141" s="269" t="s">
        <v>80</v>
      </c>
      <c r="Q141" s="272"/>
      <c r="R141" s="273">
        <f>SUM(R138:R140)</f>
        <v>-103450.86638715412</v>
      </c>
      <c r="S141" s="273">
        <f t="shared" ref="S141:W141" si="56">SUM(S138:S140)</f>
        <v>6843.2090656585169</v>
      </c>
      <c r="T141" s="273">
        <f t="shared" si="56"/>
        <v>6847.2639845377271</v>
      </c>
      <c r="U141" s="273">
        <f t="shared" si="56"/>
        <v>6851.5263607625266</v>
      </c>
      <c r="V141" s="273">
        <f t="shared" si="56"/>
        <v>6856.0068082444359</v>
      </c>
      <c r="W141" s="274">
        <f t="shared" si="56"/>
        <v>95256.633819100098</v>
      </c>
      <c r="X141" s="1"/>
      <c r="Y141" s="1"/>
      <c r="Z141" s="1"/>
      <c r="AA141" s="1"/>
      <c r="AB141" s="1"/>
      <c r="AC141" s="1"/>
      <c r="AD141" s="1"/>
      <c r="AE141" s="1"/>
      <c r="AF141" s="1"/>
    </row>
    <row r="142" spans="1:32" ht="15.75" x14ac:dyDescent="0.25">
      <c r="J142" s="197"/>
      <c r="K142" s="197"/>
      <c r="L142" s="3"/>
      <c r="M142" s="3"/>
      <c r="N142" s="3"/>
      <c r="O142" s="268"/>
      <c r="P142" s="269" t="s">
        <v>117</v>
      </c>
      <c r="Q142" s="275"/>
      <c r="R142" s="198">
        <f>IRR(R141:W141,0.04)</f>
        <v>3.9323960647141387E-2</v>
      </c>
      <c r="S142" s="195"/>
      <c r="T142" s="195"/>
      <c r="U142" s="195"/>
      <c r="V142" s="195"/>
      <c r="W142" s="196"/>
      <c r="X142" s="1"/>
      <c r="Y142" s="1"/>
      <c r="Z142" s="1"/>
      <c r="AA142" s="1"/>
      <c r="AB142" s="1"/>
      <c r="AC142" s="1"/>
      <c r="AD142" s="1"/>
      <c r="AE142" s="1"/>
      <c r="AF142" s="1"/>
    </row>
    <row r="143" spans="1:32" ht="15.75" x14ac:dyDescent="0.25">
      <c r="J143" s="197"/>
      <c r="K143" s="197"/>
      <c r="L143" s="3"/>
      <c r="M143" s="3"/>
      <c r="N143" s="3"/>
      <c r="O143" s="268"/>
      <c r="P143" s="269" t="s">
        <v>175</v>
      </c>
      <c r="Q143" s="275"/>
      <c r="R143" s="199">
        <f>Q135</f>
        <v>0.05</v>
      </c>
      <c r="S143" s="195"/>
      <c r="T143" s="195"/>
      <c r="U143" s="195"/>
      <c r="V143" s="195"/>
      <c r="W143" s="196"/>
      <c r="X143" s="1"/>
      <c r="Y143" s="1"/>
      <c r="Z143" s="1"/>
      <c r="AA143" s="1"/>
      <c r="AB143" s="1"/>
      <c r="AC143" s="1"/>
      <c r="AD143" s="1"/>
      <c r="AE143" s="1"/>
      <c r="AF143" s="1"/>
    </row>
    <row r="144" spans="1:32" ht="15.75" x14ac:dyDescent="0.25">
      <c r="J144" s="197"/>
      <c r="K144" s="197"/>
      <c r="L144" s="3"/>
      <c r="M144" s="3"/>
      <c r="N144" s="3"/>
      <c r="O144" s="268"/>
      <c r="P144" s="269" t="s">
        <v>176</v>
      </c>
      <c r="Q144" s="275"/>
      <c r="R144" s="198">
        <f>[1]Mortgage!I1</f>
        <v>0.05</v>
      </c>
      <c r="S144" s="195"/>
      <c r="T144" s="195"/>
      <c r="U144" s="195"/>
      <c r="V144" s="195"/>
      <c r="W144" s="196"/>
      <c r="X144" s="1"/>
      <c r="Y144" s="1"/>
      <c r="Z144" s="1"/>
      <c r="AA144" s="1"/>
      <c r="AB144" s="1"/>
      <c r="AC144" s="1"/>
      <c r="AD144" s="1"/>
      <c r="AE144" s="1"/>
      <c r="AF144" s="1"/>
    </row>
    <row r="145" spans="1:32" ht="15.75" x14ac:dyDescent="0.25">
      <c r="J145" s="3"/>
      <c r="K145" s="3"/>
      <c r="L145" s="3"/>
      <c r="M145" s="3"/>
      <c r="N145" s="3"/>
      <c r="O145" s="271"/>
      <c r="P145" s="276" t="s">
        <v>177</v>
      </c>
      <c r="Q145" s="277"/>
      <c r="R145" s="198">
        <f>R142*R143+R144*(1-R143)</f>
        <v>4.9466198032357071E-2</v>
      </c>
      <c r="S145" s="195"/>
      <c r="T145" s="195"/>
      <c r="U145" s="195"/>
      <c r="V145" s="195"/>
      <c r="W145" s="196"/>
      <c r="X145" s="1"/>
      <c r="Y145" s="1"/>
      <c r="Z145" s="1"/>
      <c r="AA145" s="1"/>
      <c r="AB145" s="1"/>
      <c r="AC145" s="1"/>
      <c r="AD145" s="1"/>
      <c r="AE145" s="1"/>
      <c r="AF145" s="1"/>
    </row>
    <row r="146" spans="1:32" ht="15.75" x14ac:dyDescent="0.25">
      <c r="J146" s="3"/>
      <c r="K146" s="3"/>
      <c r="L146" s="3"/>
      <c r="M146" s="3"/>
      <c r="N146" s="3"/>
      <c r="O146" s="268"/>
      <c r="P146" s="269"/>
      <c r="Q146" s="275"/>
      <c r="R146" s="174"/>
      <c r="S146" s="195"/>
      <c r="T146" s="195"/>
      <c r="U146" s="195"/>
      <c r="V146" s="195"/>
      <c r="W146" s="196"/>
      <c r="X146" s="1"/>
      <c r="Y146" s="1"/>
      <c r="Z146" s="1"/>
      <c r="AA146" s="1"/>
      <c r="AB146" s="1"/>
      <c r="AC146" s="1"/>
      <c r="AD146" s="1"/>
      <c r="AE146" s="1"/>
      <c r="AF146" s="1"/>
    </row>
    <row r="147" spans="1:32" ht="15.75" x14ac:dyDescent="0.25">
      <c r="J147" s="3"/>
      <c r="K147" s="3"/>
      <c r="L147" s="3"/>
      <c r="M147" s="3"/>
      <c r="N147" s="3"/>
      <c r="O147" s="271" t="s">
        <v>51</v>
      </c>
      <c r="P147" s="269"/>
      <c r="Q147" s="275"/>
      <c r="R147" s="174"/>
      <c r="S147" s="195"/>
      <c r="T147" s="195"/>
      <c r="U147" s="195"/>
      <c r="V147" s="195"/>
      <c r="W147" s="196"/>
      <c r="X147" s="1"/>
      <c r="Y147" s="1"/>
      <c r="Z147" s="1"/>
      <c r="AA147" s="1"/>
      <c r="AB147" s="1"/>
      <c r="AC147" s="1"/>
      <c r="AD147" s="1"/>
      <c r="AE147" s="1"/>
      <c r="AF147" s="1"/>
    </row>
    <row r="148" spans="1:32" ht="15.75" x14ac:dyDescent="0.25">
      <c r="J148" s="3"/>
      <c r="K148" s="3"/>
      <c r="L148" s="3"/>
      <c r="M148" s="3"/>
      <c r="N148" s="3"/>
      <c r="O148" s="268"/>
      <c r="P148" s="269" t="s">
        <v>172</v>
      </c>
      <c r="Q148" s="272"/>
      <c r="R148" s="273">
        <f>-(E99-D99)</f>
        <v>-202683.2806937662</v>
      </c>
      <c r="S148" s="273">
        <f>-(F99-E99)</f>
        <v>-21342.206817445956</v>
      </c>
      <c r="T148" s="273">
        <f>-(G99-F99)</f>
        <v>-63620.447194404056</v>
      </c>
      <c r="U148" s="273">
        <f>-(H99-G99)</f>
        <v>-131056.07471062749</v>
      </c>
      <c r="V148" s="273">
        <f>-(I99-H99)</f>
        <v>-233268.43537562183</v>
      </c>
      <c r="W148" s="274"/>
      <c r="X148" s="1"/>
      <c r="Y148" s="1"/>
      <c r="Z148" s="1"/>
      <c r="AA148" s="1"/>
      <c r="AB148" s="1"/>
      <c r="AC148" s="1"/>
      <c r="AD148" s="1"/>
      <c r="AE148" s="1"/>
      <c r="AF148" s="1"/>
    </row>
    <row r="149" spans="1:32" ht="15.75" x14ac:dyDescent="0.25">
      <c r="J149" s="3"/>
      <c r="K149" s="3"/>
      <c r="L149" s="3"/>
      <c r="M149" s="3"/>
      <c r="N149" s="3"/>
      <c r="O149" s="268"/>
      <c r="P149" s="269" t="s">
        <v>173</v>
      </c>
      <c r="Q149" s="275"/>
      <c r="R149" s="273">
        <f t="shared" ref="R149:W149" si="57">D72</f>
        <v>0</v>
      </c>
      <c r="S149" s="273">
        <f t="shared" si="57"/>
        <v>15201.246052032464</v>
      </c>
      <c r="T149" s="273">
        <f t="shared" si="57"/>
        <v>16801.911563340909</v>
      </c>
      <c r="U149" s="273">
        <f t="shared" si="57"/>
        <v>21573.445102921214</v>
      </c>
      <c r="V149" s="273">
        <f t="shared" si="57"/>
        <v>31402.650706218275</v>
      </c>
      <c r="W149" s="274">
        <f t="shared" si="57"/>
        <v>48897.783359389912</v>
      </c>
      <c r="X149" s="1"/>
      <c r="Y149" s="1"/>
      <c r="Z149" s="1"/>
      <c r="AA149" s="1"/>
      <c r="AB149" s="1"/>
      <c r="AC149" s="1"/>
      <c r="AD149" s="1"/>
      <c r="AE149" s="1"/>
      <c r="AF149" s="1"/>
    </row>
    <row r="150" spans="1:32" ht="15.75" x14ac:dyDescent="0.25">
      <c r="J150" s="3"/>
      <c r="K150" s="3"/>
      <c r="L150" s="3"/>
      <c r="M150" s="3"/>
      <c r="N150" s="3"/>
      <c r="O150" s="268"/>
      <c r="P150" s="269" t="s">
        <v>174</v>
      </c>
      <c r="Q150" s="275"/>
      <c r="R150" s="273"/>
      <c r="S150" s="273"/>
      <c r="T150" s="273"/>
      <c r="U150" s="273"/>
      <c r="V150" s="273"/>
      <c r="W150" s="274">
        <f>V131</f>
        <v>38996.496242169444</v>
      </c>
      <c r="X150" s="1"/>
      <c r="Y150" s="1"/>
      <c r="Z150" s="1"/>
      <c r="AA150" s="1"/>
      <c r="AB150" s="1"/>
      <c r="AC150" s="1"/>
      <c r="AD150" s="1"/>
      <c r="AE150" s="1"/>
      <c r="AF150" s="1"/>
    </row>
    <row r="151" spans="1:32" ht="15.75" x14ac:dyDescent="0.25">
      <c r="J151" s="197"/>
      <c r="K151" s="197"/>
      <c r="L151" s="3"/>
      <c r="M151" s="3"/>
      <c r="N151" s="3"/>
      <c r="O151" s="268"/>
      <c r="P151" s="269" t="s">
        <v>80</v>
      </c>
      <c r="Q151" s="272"/>
      <c r="R151" s="273">
        <f>SUM(R148:R150)</f>
        <v>-202683.2806937662</v>
      </c>
      <c r="S151" s="273">
        <f t="shared" ref="S151:W151" si="58">SUM(S148:S150)</f>
        <v>-6140.9607654134925</v>
      </c>
      <c r="T151" s="273">
        <f t="shared" si="58"/>
        <v>-46818.535631063147</v>
      </c>
      <c r="U151" s="273">
        <f t="shared" si="58"/>
        <v>-109482.62960770627</v>
      </c>
      <c r="V151" s="273">
        <f t="shared" si="58"/>
        <v>-201865.78466940357</v>
      </c>
      <c r="W151" s="274">
        <f t="shared" si="58"/>
        <v>87894.279601559363</v>
      </c>
      <c r="X151" s="1"/>
      <c r="Y151" s="1"/>
      <c r="Z151" s="1"/>
      <c r="AA151" s="1"/>
      <c r="AB151" s="1"/>
      <c r="AC151" s="1"/>
      <c r="AD151" s="1"/>
      <c r="AE151" s="1"/>
      <c r="AF151" s="1"/>
    </row>
    <row r="152" spans="1:32" ht="15.75" x14ac:dyDescent="0.25">
      <c r="J152" s="197"/>
      <c r="K152" s="197"/>
      <c r="L152" s="3"/>
      <c r="M152" s="3"/>
      <c r="N152" s="3"/>
      <c r="O152" s="268"/>
      <c r="P152" s="269" t="s">
        <v>117</v>
      </c>
      <c r="Q152" s="275"/>
      <c r="R152" s="198">
        <f>IRR(R151:W151,-90%)</f>
        <v>-0.64787009325182165</v>
      </c>
      <c r="S152" s="195"/>
      <c r="T152" s="195"/>
      <c r="U152" s="195"/>
      <c r="V152" s="195"/>
      <c r="W152" s="196"/>
      <c r="X152" s="1"/>
      <c r="Y152" s="1"/>
      <c r="Z152" s="1"/>
      <c r="AA152" s="1"/>
      <c r="AB152" s="1"/>
      <c r="AC152" s="1"/>
      <c r="AD152" s="1"/>
      <c r="AE152" s="1"/>
      <c r="AF152" s="1"/>
    </row>
    <row r="153" spans="1:32" ht="15.75" x14ac:dyDescent="0.25">
      <c r="J153" s="197"/>
      <c r="K153" s="197"/>
      <c r="L153" s="3"/>
      <c r="M153" s="3"/>
      <c r="N153" s="3"/>
      <c r="O153" s="268"/>
      <c r="P153" s="269" t="s">
        <v>178</v>
      </c>
      <c r="Q153" s="275"/>
      <c r="R153" s="199">
        <f>Q135</f>
        <v>0.05</v>
      </c>
      <c r="S153" s="195"/>
      <c r="T153" s="195"/>
      <c r="U153" s="195"/>
      <c r="V153" s="195"/>
      <c r="W153" s="196"/>
      <c r="X153" s="1"/>
      <c r="Y153" s="1"/>
      <c r="Z153" s="1"/>
      <c r="AA153" s="1"/>
      <c r="AB153" s="1"/>
      <c r="AC153" s="1"/>
      <c r="AD153" s="1"/>
      <c r="AE153" s="1"/>
      <c r="AF153" s="1"/>
    </row>
    <row r="154" spans="1:32" ht="15.75" x14ac:dyDescent="0.25">
      <c r="J154" s="197"/>
      <c r="K154" s="197"/>
      <c r="L154" s="3"/>
      <c r="M154" s="3"/>
      <c r="N154" s="3"/>
      <c r="O154" s="268"/>
      <c r="P154" s="269" t="s">
        <v>176</v>
      </c>
      <c r="Q154" s="275"/>
      <c r="R154" s="198">
        <f>M72</f>
        <v>7.4999999999999997E-2</v>
      </c>
      <c r="S154" s="195"/>
      <c r="T154" s="195"/>
      <c r="U154" s="195"/>
      <c r="V154" s="195"/>
      <c r="W154" s="196"/>
      <c r="X154" s="1"/>
      <c r="Y154" s="1"/>
      <c r="Z154" s="1"/>
      <c r="AA154" s="1"/>
      <c r="AB154" s="1"/>
      <c r="AC154" s="1"/>
      <c r="AD154" s="1"/>
      <c r="AE154" s="1"/>
      <c r="AF154" s="1"/>
    </row>
    <row r="155" spans="1:32" ht="16.5" thickBot="1" x14ac:dyDescent="0.3">
      <c r="J155" s="3"/>
      <c r="K155" s="3"/>
      <c r="L155" s="3"/>
      <c r="M155" s="3"/>
      <c r="N155" s="3"/>
      <c r="O155" s="278"/>
      <c r="P155" s="279" t="s">
        <v>177</v>
      </c>
      <c r="Q155" s="280"/>
      <c r="R155" s="200">
        <f>R152*R153+R154*(1-R153)</f>
        <v>3.8856495337408911E-2</v>
      </c>
      <c r="S155" s="201"/>
      <c r="T155" s="201"/>
      <c r="U155" s="201"/>
      <c r="V155" s="201"/>
      <c r="W155" s="202"/>
      <c r="X155" s="1"/>
      <c r="Y155" s="1"/>
      <c r="Z155" s="1"/>
      <c r="AA155" s="1"/>
      <c r="AB155" s="1"/>
      <c r="AC155" s="1"/>
      <c r="AD155" s="1"/>
      <c r="AE155" s="1"/>
      <c r="AF155" s="1"/>
    </row>
    <row r="156" spans="1:32" ht="15.75" x14ac:dyDescent="0.25">
      <c r="J156" s="3"/>
      <c r="K156" s="3"/>
      <c r="L156" s="3"/>
      <c r="M156" s="3"/>
      <c r="N156" s="3"/>
      <c r="O156" s="3"/>
      <c r="P156" s="1"/>
      <c r="Q156" s="1"/>
      <c r="R156" s="1"/>
      <c r="S156" s="1"/>
      <c r="T156" s="1"/>
      <c r="U156" s="1"/>
      <c r="V156" s="1"/>
      <c r="W156" s="1"/>
      <c r="X156" s="1"/>
      <c r="Y156" s="1"/>
      <c r="Z156" s="1"/>
      <c r="AA156" s="1"/>
      <c r="AB156" s="1"/>
      <c r="AC156" s="1"/>
      <c r="AD156" s="1"/>
      <c r="AE156" s="1"/>
      <c r="AF156" s="1"/>
    </row>
    <row r="157" spans="1:32" ht="15.75" x14ac:dyDescent="0.25">
      <c r="J157" s="3"/>
      <c r="K157" s="3"/>
      <c r="L157" s="3"/>
      <c r="M157" s="3"/>
      <c r="N157" s="3"/>
      <c r="O157" s="3"/>
      <c r="P157" s="1"/>
      <c r="Q157" s="1"/>
      <c r="R157" s="1"/>
      <c r="S157" s="1"/>
      <c r="T157" s="1"/>
      <c r="U157" s="1"/>
      <c r="V157" s="1"/>
      <c r="W157" s="1"/>
      <c r="X157" s="1"/>
      <c r="Y157" s="1"/>
      <c r="Z157" s="1"/>
      <c r="AA157" s="1"/>
      <c r="AB157" s="1"/>
      <c r="AC157" s="1"/>
      <c r="AD157" s="1"/>
      <c r="AE157" s="1"/>
      <c r="AF157" s="1"/>
    </row>
    <row r="158" spans="1:32" ht="15.75" x14ac:dyDescent="0.25">
      <c r="J158" s="3"/>
      <c r="K158" s="3"/>
      <c r="L158" s="3"/>
      <c r="M158" s="3"/>
      <c r="N158" s="3"/>
      <c r="O158" s="3"/>
      <c r="P158" s="1"/>
      <c r="Q158" s="1"/>
      <c r="R158" s="1"/>
      <c r="S158" s="1"/>
      <c r="T158" s="1"/>
      <c r="U158" s="1"/>
      <c r="V158" s="1"/>
      <c r="W158" s="1"/>
      <c r="X158" s="1"/>
      <c r="Y158" s="1"/>
      <c r="Z158" s="1"/>
      <c r="AA158" s="1"/>
      <c r="AB158" s="1"/>
      <c r="AC158" s="1"/>
      <c r="AD158" s="1"/>
      <c r="AE158" s="1"/>
      <c r="AF158" s="1"/>
    </row>
    <row r="159" spans="1:32" ht="15.75" x14ac:dyDescent="0.25">
      <c r="A159" s="1"/>
      <c r="B159" s="1"/>
      <c r="C159" s="1"/>
      <c r="D159" s="1"/>
      <c r="E159" s="3"/>
      <c r="F159" s="3"/>
      <c r="G159" s="3"/>
      <c r="H159" s="3"/>
      <c r="I159" s="3"/>
      <c r="J159" s="3"/>
      <c r="K159" s="3"/>
      <c r="L159" s="3"/>
      <c r="M159" s="3"/>
      <c r="N159" s="3"/>
      <c r="O159" s="3"/>
      <c r="P159" s="1"/>
      <c r="Q159" s="1"/>
      <c r="R159" s="1"/>
      <c r="S159" s="1"/>
      <c r="T159" s="1"/>
      <c r="U159" s="1"/>
      <c r="V159" s="1"/>
      <c r="W159" s="1"/>
      <c r="X159" s="1"/>
      <c r="Y159" s="1"/>
      <c r="Z159" s="1"/>
      <c r="AA159" s="1"/>
      <c r="AB159" s="1"/>
      <c r="AC159" s="1"/>
      <c r="AD159" s="1"/>
      <c r="AE159" s="1"/>
      <c r="AF159" s="1"/>
    </row>
    <row r="160" spans="1:32" ht="15.75" x14ac:dyDescent="0.25">
      <c r="A160" s="1"/>
      <c r="B160" s="1"/>
      <c r="C160" s="1"/>
      <c r="D160" s="1"/>
      <c r="E160" s="3"/>
      <c r="F160" s="3"/>
      <c r="G160" s="3"/>
      <c r="H160" s="3"/>
      <c r="I160" s="3"/>
      <c r="J160" s="3"/>
      <c r="K160" s="3"/>
      <c r="L160" s="3"/>
      <c r="M160" s="3"/>
      <c r="N160" s="3"/>
      <c r="O160" s="3"/>
      <c r="P160" s="1"/>
      <c r="Q160" s="1"/>
      <c r="R160" s="1"/>
      <c r="S160" s="1"/>
      <c r="T160" s="1"/>
      <c r="U160" s="1"/>
      <c r="V160" s="1"/>
      <c r="W160" s="1"/>
      <c r="X160" s="1"/>
      <c r="Y160" s="1"/>
      <c r="Z160" s="1"/>
      <c r="AA160" s="1"/>
      <c r="AB160" s="1"/>
      <c r="AC160" s="1"/>
      <c r="AD160" s="1"/>
      <c r="AE160" s="1"/>
      <c r="AF160" s="1"/>
    </row>
    <row r="161" spans="1:32" ht="15.75" x14ac:dyDescent="0.25">
      <c r="A161" s="1"/>
      <c r="B161" s="1"/>
      <c r="C161" s="1"/>
      <c r="D161" s="1"/>
      <c r="E161" s="3"/>
      <c r="F161" s="3"/>
      <c r="G161" s="3"/>
      <c r="H161" s="3"/>
      <c r="I161" s="3"/>
      <c r="J161" s="3"/>
      <c r="K161" s="3"/>
      <c r="L161" s="3"/>
      <c r="M161" s="3"/>
      <c r="N161" s="3"/>
      <c r="O161" s="3"/>
      <c r="P161" s="1"/>
      <c r="Q161" s="1"/>
      <c r="R161" s="1"/>
      <c r="S161" s="1"/>
      <c r="T161" s="1"/>
      <c r="U161" s="1"/>
      <c r="V161" s="1"/>
      <c r="W161" s="1"/>
      <c r="X161" s="1"/>
      <c r="Y161" s="1"/>
      <c r="Z161" s="1"/>
      <c r="AA161" s="1"/>
      <c r="AB161" s="1"/>
      <c r="AC161" s="1"/>
      <c r="AD161" s="1"/>
      <c r="AE161" s="1"/>
      <c r="AF161" s="1"/>
    </row>
    <row r="162" spans="1:32" ht="15.75" x14ac:dyDescent="0.25">
      <c r="A162" s="1"/>
      <c r="B162" s="1"/>
      <c r="C162" s="1"/>
      <c r="D162" s="1"/>
      <c r="E162" s="3"/>
      <c r="F162" s="3"/>
      <c r="G162" s="3"/>
      <c r="H162" s="3"/>
      <c r="I162" s="3"/>
      <c r="J162" s="3"/>
      <c r="K162" s="3"/>
      <c r="L162" s="3"/>
      <c r="M162" s="3"/>
      <c r="N162" s="3"/>
      <c r="O162" s="3"/>
      <c r="P162" s="1"/>
      <c r="Q162" s="1"/>
      <c r="R162" s="1"/>
      <c r="S162" s="1"/>
      <c r="T162" s="1"/>
      <c r="U162" s="1"/>
      <c r="V162" s="1"/>
      <c r="W162" s="1"/>
      <c r="X162" s="1"/>
      <c r="Y162" s="1"/>
      <c r="Z162" s="1"/>
      <c r="AA162" s="1"/>
      <c r="AB162" s="1"/>
      <c r="AC162" s="1"/>
      <c r="AD162" s="1"/>
      <c r="AE162" s="1"/>
      <c r="AF162" s="1"/>
    </row>
    <row r="163" spans="1:32" ht="15.75" x14ac:dyDescent="0.25">
      <c r="A163" s="1"/>
      <c r="B163" s="1"/>
      <c r="C163" s="1"/>
      <c r="D163" s="1"/>
      <c r="E163" s="3"/>
      <c r="F163" s="3"/>
      <c r="G163" s="3"/>
      <c r="H163" s="3"/>
      <c r="I163" s="3"/>
      <c r="J163" s="3"/>
      <c r="K163" s="3"/>
      <c r="L163" s="3"/>
      <c r="M163" s="3"/>
      <c r="N163" s="3"/>
      <c r="O163" s="3"/>
      <c r="P163" s="1"/>
      <c r="Q163" s="1"/>
      <c r="R163" s="1"/>
      <c r="S163" s="1"/>
      <c r="T163" s="1"/>
      <c r="U163" s="1"/>
      <c r="V163" s="1"/>
      <c r="W163" s="1"/>
      <c r="X163" s="1"/>
      <c r="Y163" s="1"/>
      <c r="Z163" s="1"/>
      <c r="AA163" s="1"/>
      <c r="AB163" s="1"/>
      <c r="AC163" s="1"/>
      <c r="AD163" s="1"/>
      <c r="AE163" s="1"/>
      <c r="AF163" s="1"/>
    </row>
    <row r="164" spans="1:32" ht="15.75" x14ac:dyDescent="0.25">
      <c r="A164" s="1"/>
      <c r="B164" s="1"/>
      <c r="C164" s="1"/>
      <c r="D164" s="1"/>
      <c r="E164" s="3"/>
      <c r="F164" s="3"/>
      <c r="G164" s="3"/>
      <c r="H164" s="3"/>
      <c r="I164" s="3"/>
      <c r="J164" s="3"/>
      <c r="K164" s="3"/>
      <c r="L164" s="3"/>
      <c r="M164" s="3"/>
      <c r="N164" s="3"/>
      <c r="O164" s="3"/>
      <c r="P164" s="1"/>
      <c r="Q164" s="1"/>
      <c r="R164" s="1"/>
      <c r="S164" s="1"/>
      <c r="T164" s="1"/>
      <c r="U164" s="1"/>
      <c r="V164" s="1"/>
      <c r="W164" s="1"/>
      <c r="X164" s="1"/>
      <c r="Y164" s="1"/>
      <c r="Z164" s="1"/>
      <c r="AA164" s="1"/>
      <c r="AB164" s="1"/>
      <c r="AC164" s="1"/>
      <c r="AD164" s="1"/>
      <c r="AE164" s="1"/>
      <c r="AF164" s="1"/>
    </row>
    <row r="165" spans="1:32" ht="15.75" x14ac:dyDescent="0.25">
      <c r="A165" s="1"/>
      <c r="B165" s="1"/>
      <c r="C165" s="1"/>
      <c r="D165" s="1"/>
      <c r="E165" s="3"/>
      <c r="F165" s="3"/>
      <c r="G165" s="3"/>
      <c r="H165" s="3"/>
      <c r="I165" s="3"/>
      <c r="J165" s="3"/>
      <c r="K165" s="3"/>
      <c r="L165" s="3"/>
      <c r="M165" s="3"/>
      <c r="N165" s="3"/>
      <c r="O165" s="3"/>
      <c r="P165" s="1"/>
      <c r="Q165" s="1"/>
      <c r="R165" s="1"/>
      <c r="S165" s="1"/>
      <c r="T165" s="1"/>
      <c r="U165" s="1"/>
      <c r="V165" s="1"/>
      <c r="W165" s="1"/>
      <c r="X165" s="1"/>
      <c r="Y165" s="1"/>
      <c r="Z165" s="1"/>
      <c r="AA165" s="1"/>
      <c r="AB165" s="1"/>
      <c r="AC165" s="1"/>
      <c r="AD165" s="1"/>
      <c r="AE165" s="1"/>
      <c r="AF165" s="1"/>
    </row>
    <row r="166" spans="1:32" ht="15.75" x14ac:dyDescent="0.25">
      <c r="A166" s="1"/>
      <c r="B166" s="1"/>
      <c r="C166" s="1"/>
      <c r="D166" s="1"/>
      <c r="E166" s="3"/>
      <c r="F166" s="3"/>
      <c r="G166" s="3"/>
      <c r="H166" s="3"/>
      <c r="I166" s="3"/>
      <c r="J166" s="3"/>
      <c r="K166" s="3"/>
      <c r="L166" s="3"/>
      <c r="M166" s="3"/>
      <c r="N166" s="3"/>
      <c r="O166" s="3"/>
      <c r="P166" s="1"/>
      <c r="Q166" s="1"/>
      <c r="R166" s="1"/>
      <c r="S166" s="1"/>
      <c r="T166" s="1"/>
      <c r="U166" s="1"/>
      <c r="V166" s="1"/>
      <c r="W166" s="1"/>
      <c r="X166" s="1"/>
      <c r="Y166" s="1"/>
      <c r="Z166" s="1"/>
      <c r="AA166" s="1"/>
      <c r="AB166" s="1"/>
      <c r="AC166" s="1"/>
      <c r="AD166" s="1"/>
      <c r="AE166" s="1"/>
      <c r="AF166" s="1"/>
    </row>
    <row r="167" spans="1:32" ht="15.75" x14ac:dyDescent="0.25">
      <c r="A167" s="1"/>
      <c r="B167" s="1"/>
      <c r="C167" s="1"/>
      <c r="D167" s="1"/>
      <c r="E167" s="3"/>
      <c r="F167" s="3"/>
      <c r="G167" s="3"/>
      <c r="H167" s="3"/>
      <c r="I167" s="3"/>
      <c r="J167" s="3"/>
      <c r="K167" s="3"/>
      <c r="L167" s="3"/>
      <c r="M167" s="3"/>
      <c r="N167" s="3"/>
      <c r="O167" s="3"/>
      <c r="P167" s="1"/>
      <c r="Q167" s="1"/>
      <c r="R167" s="1"/>
      <c r="S167" s="1"/>
      <c r="T167" s="1"/>
      <c r="U167" s="1"/>
      <c r="V167" s="1"/>
      <c r="W167" s="1"/>
      <c r="X167" s="1"/>
      <c r="Y167" s="1"/>
      <c r="Z167" s="1"/>
      <c r="AA167" s="1"/>
      <c r="AB167" s="1"/>
      <c r="AC167" s="1"/>
      <c r="AD167" s="1"/>
      <c r="AE167" s="1"/>
      <c r="AF167" s="1"/>
    </row>
    <row r="168" spans="1:32" ht="15.75" x14ac:dyDescent="0.25">
      <c r="A168" s="1"/>
      <c r="B168" s="1"/>
      <c r="C168" s="1"/>
      <c r="D168" s="1"/>
      <c r="E168" s="3"/>
      <c r="F168" s="3"/>
      <c r="G168" s="3"/>
      <c r="H168" s="3"/>
      <c r="I168" s="3"/>
      <c r="J168" s="3"/>
      <c r="K168" s="3"/>
      <c r="L168" s="3"/>
      <c r="M168" s="3"/>
      <c r="N168" s="3"/>
      <c r="O168" s="3"/>
      <c r="P168" s="1"/>
      <c r="Q168" s="1"/>
      <c r="R168" s="1"/>
      <c r="S168" s="1"/>
      <c r="T168" s="1"/>
      <c r="U168" s="1"/>
      <c r="V168" s="1"/>
      <c r="W168" s="1"/>
      <c r="X168" s="1"/>
      <c r="Y168" s="1"/>
      <c r="Z168" s="1"/>
      <c r="AA168" s="1"/>
      <c r="AB168" s="1"/>
      <c r="AC168" s="1"/>
      <c r="AD168" s="1"/>
      <c r="AE168" s="1"/>
      <c r="AF168" s="1"/>
    </row>
    <row r="169" spans="1:32" ht="15.75" x14ac:dyDescent="0.25">
      <c r="A169" s="1"/>
      <c r="B169" s="1"/>
      <c r="C169" s="1"/>
      <c r="D169" s="1"/>
      <c r="E169" s="3"/>
      <c r="F169" s="3"/>
      <c r="G169" s="3"/>
      <c r="H169" s="3"/>
      <c r="I169" s="3"/>
      <c r="J169" s="3"/>
      <c r="K169" s="3"/>
      <c r="L169" s="3"/>
      <c r="M169" s="3"/>
      <c r="N169" s="3"/>
      <c r="O169" s="3"/>
      <c r="P169" s="1"/>
      <c r="Q169" s="1"/>
      <c r="R169" s="1"/>
      <c r="S169" s="1"/>
      <c r="T169" s="1"/>
      <c r="U169" s="1"/>
      <c r="V169" s="1"/>
      <c r="W169" s="1"/>
      <c r="X169" s="1"/>
      <c r="Y169" s="1"/>
      <c r="Z169" s="1"/>
      <c r="AA169" s="1"/>
      <c r="AB169" s="1"/>
      <c r="AC169" s="1"/>
      <c r="AD169" s="1"/>
      <c r="AE169" s="1"/>
      <c r="AF169" s="1"/>
    </row>
    <row r="170" spans="1:32" ht="15.75" x14ac:dyDescent="0.25">
      <c r="A170" s="1"/>
      <c r="B170" s="1"/>
      <c r="C170" s="1"/>
      <c r="D170" s="1"/>
      <c r="E170" s="3"/>
      <c r="F170" s="3"/>
      <c r="G170" s="3"/>
      <c r="H170" s="3"/>
      <c r="I170" s="3"/>
      <c r="J170" s="3"/>
      <c r="K170" s="3"/>
      <c r="L170" s="3"/>
      <c r="M170" s="3"/>
      <c r="N170" s="3"/>
      <c r="O170" s="3"/>
      <c r="P170" s="1"/>
      <c r="Q170" s="1"/>
      <c r="R170" s="1"/>
      <c r="S170" s="1"/>
      <c r="T170" s="1"/>
      <c r="U170" s="1"/>
      <c r="V170" s="1"/>
      <c r="W170" s="1"/>
      <c r="X170" s="1"/>
      <c r="Y170" s="1"/>
      <c r="Z170" s="1"/>
      <c r="AA170" s="1"/>
      <c r="AB170" s="1"/>
      <c r="AC170" s="1"/>
      <c r="AD170" s="1"/>
      <c r="AE170" s="1"/>
      <c r="AF170" s="1"/>
    </row>
    <row r="171" spans="1:32" ht="15.75" x14ac:dyDescent="0.25">
      <c r="A171" s="1"/>
      <c r="B171" s="1"/>
      <c r="C171" s="1"/>
      <c r="D171" s="1"/>
      <c r="E171" s="3"/>
      <c r="F171" s="3"/>
      <c r="G171" s="3"/>
      <c r="H171" s="3"/>
      <c r="I171" s="3"/>
      <c r="J171" s="3"/>
      <c r="K171" s="3"/>
      <c r="L171" s="3"/>
      <c r="M171" s="3"/>
      <c r="N171" s="3"/>
      <c r="O171" s="3"/>
      <c r="P171" s="1"/>
      <c r="Q171" s="1"/>
      <c r="R171" s="1"/>
      <c r="S171" s="1"/>
      <c r="T171" s="1"/>
      <c r="U171" s="1"/>
      <c r="V171" s="1"/>
      <c r="W171" s="1"/>
      <c r="X171" s="1"/>
      <c r="Y171" s="1"/>
      <c r="Z171" s="1"/>
      <c r="AA171" s="1"/>
      <c r="AB171" s="1"/>
      <c r="AC171" s="1"/>
      <c r="AD171" s="1"/>
      <c r="AE171" s="1"/>
      <c r="AF171" s="1"/>
    </row>
    <row r="172" spans="1:32" ht="15.75" x14ac:dyDescent="0.25">
      <c r="A172" s="1"/>
      <c r="B172" s="1"/>
      <c r="C172" s="1"/>
      <c r="D172" s="1"/>
      <c r="E172" s="3"/>
      <c r="F172" s="3"/>
      <c r="G172" s="3"/>
      <c r="H172" s="3"/>
      <c r="I172" s="3"/>
      <c r="J172" s="3"/>
      <c r="K172" s="3"/>
      <c r="L172" s="3"/>
      <c r="M172" s="3"/>
      <c r="N172" s="3"/>
      <c r="O172" s="3"/>
      <c r="P172" s="1"/>
      <c r="Q172" s="1"/>
      <c r="R172" s="1"/>
      <c r="S172" s="1"/>
      <c r="T172" s="1"/>
      <c r="U172" s="1"/>
      <c r="V172" s="1"/>
      <c r="W172" s="1"/>
      <c r="X172" s="1"/>
      <c r="Y172" s="1"/>
      <c r="Z172" s="1"/>
      <c r="AA172" s="1"/>
      <c r="AB172" s="1"/>
      <c r="AC172" s="1"/>
      <c r="AD172" s="1"/>
      <c r="AE172" s="1"/>
      <c r="AF172" s="1"/>
    </row>
    <row r="173" spans="1:32" ht="15.75" x14ac:dyDescent="0.25">
      <c r="A173" s="1"/>
      <c r="B173" s="1"/>
      <c r="C173" s="1"/>
      <c r="D173" s="1"/>
      <c r="E173" s="3"/>
      <c r="F173" s="3"/>
      <c r="G173" s="3"/>
      <c r="H173" s="3"/>
      <c r="I173" s="3"/>
      <c r="J173" s="3"/>
      <c r="K173" s="3"/>
      <c r="L173" s="3"/>
      <c r="M173" s="3"/>
      <c r="N173" s="3"/>
      <c r="O173" s="3"/>
      <c r="P173" s="1"/>
      <c r="Q173" s="1"/>
      <c r="R173" s="1"/>
      <c r="S173" s="1"/>
      <c r="T173" s="1"/>
      <c r="U173" s="1"/>
      <c r="V173" s="1"/>
      <c r="W173" s="1"/>
      <c r="X173" s="1"/>
      <c r="Y173" s="1"/>
      <c r="Z173" s="1"/>
      <c r="AA173" s="1"/>
      <c r="AB173" s="1"/>
      <c r="AC173" s="1"/>
      <c r="AD173" s="1"/>
      <c r="AE173" s="1"/>
      <c r="AF173" s="1"/>
    </row>
    <row r="174" spans="1:32" ht="15.75" x14ac:dyDescent="0.25">
      <c r="A174" s="1"/>
      <c r="B174" s="1"/>
      <c r="C174" s="1"/>
      <c r="D174" s="1"/>
      <c r="E174" s="3"/>
      <c r="F174" s="3"/>
      <c r="G174" s="3"/>
      <c r="H174" s="3"/>
      <c r="I174" s="3"/>
      <c r="J174" s="3"/>
      <c r="K174" s="3"/>
      <c r="L174" s="3"/>
      <c r="M174" s="3"/>
      <c r="N174" s="3"/>
      <c r="O174" s="3"/>
      <c r="P174" s="1"/>
      <c r="Q174" s="1"/>
      <c r="R174" s="1"/>
      <c r="S174" s="1"/>
      <c r="T174" s="1"/>
      <c r="U174" s="1"/>
      <c r="V174" s="1"/>
      <c r="W174" s="1"/>
      <c r="X174" s="1"/>
      <c r="Y174" s="1"/>
      <c r="Z174" s="1"/>
      <c r="AA174" s="1"/>
      <c r="AB174" s="1"/>
      <c r="AC174" s="1"/>
      <c r="AD174" s="1"/>
      <c r="AE174" s="1"/>
      <c r="AF174" s="1"/>
    </row>
    <row r="175" spans="1:32" ht="15.75" x14ac:dyDescent="0.25">
      <c r="A175" s="1"/>
      <c r="B175" s="1"/>
      <c r="C175" s="1"/>
      <c r="D175" s="1"/>
      <c r="E175" s="3"/>
      <c r="F175" s="3"/>
      <c r="G175" s="3"/>
      <c r="H175" s="3"/>
      <c r="I175" s="3"/>
      <c r="J175" s="3"/>
      <c r="K175" s="3"/>
      <c r="L175" s="3"/>
      <c r="M175" s="3"/>
      <c r="N175" s="3"/>
      <c r="O175" s="3"/>
      <c r="P175" s="1"/>
      <c r="Q175" s="1"/>
      <c r="R175" s="1"/>
      <c r="S175" s="1"/>
      <c r="T175" s="1"/>
      <c r="U175" s="1"/>
      <c r="V175" s="1"/>
      <c r="W175" s="1"/>
      <c r="X175" s="1"/>
      <c r="Y175" s="1"/>
      <c r="Z175" s="1"/>
      <c r="AA175" s="1"/>
      <c r="AB175" s="1"/>
      <c r="AC175" s="1"/>
      <c r="AD175" s="1"/>
      <c r="AE175" s="1"/>
      <c r="AF175" s="1"/>
    </row>
    <row r="176" spans="1:32" ht="15.75" x14ac:dyDescent="0.25">
      <c r="A176" s="1"/>
      <c r="B176" s="1"/>
      <c r="C176" s="1"/>
      <c r="D176" s="1"/>
      <c r="E176" s="3"/>
      <c r="F176" s="3"/>
      <c r="G176" s="3"/>
      <c r="H176" s="3"/>
      <c r="I176" s="3"/>
      <c r="J176" s="3"/>
      <c r="K176" s="3"/>
      <c r="L176" s="3"/>
      <c r="M176" s="3"/>
      <c r="N176" s="3"/>
      <c r="O176" s="3"/>
      <c r="P176" s="1"/>
      <c r="Q176" s="1"/>
      <c r="R176" s="1"/>
      <c r="S176" s="1"/>
      <c r="T176" s="1"/>
      <c r="U176" s="1"/>
      <c r="V176" s="1"/>
      <c r="W176" s="1"/>
      <c r="X176" s="1"/>
      <c r="Y176" s="1"/>
      <c r="Z176" s="1"/>
      <c r="AA176" s="1"/>
      <c r="AB176" s="1"/>
      <c r="AC176" s="1"/>
      <c r="AD176" s="1"/>
      <c r="AE176" s="1"/>
      <c r="AF176" s="1"/>
    </row>
    <row r="177" spans="1:32" ht="15.75" x14ac:dyDescent="0.25">
      <c r="A177" s="1"/>
      <c r="B177" s="1"/>
      <c r="C177" s="1"/>
      <c r="D177" s="1"/>
      <c r="E177" s="3"/>
      <c r="F177" s="3"/>
      <c r="G177" s="3"/>
      <c r="H177" s="3"/>
      <c r="I177" s="3"/>
      <c r="J177" s="3"/>
      <c r="K177" s="3"/>
      <c r="L177" s="3"/>
      <c r="M177" s="3"/>
      <c r="N177" s="3"/>
      <c r="O177" s="3"/>
      <c r="P177" s="1"/>
      <c r="Q177" s="1"/>
      <c r="R177" s="1"/>
      <c r="S177" s="1"/>
      <c r="T177" s="1"/>
      <c r="U177" s="1"/>
      <c r="V177" s="1"/>
      <c r="W177" s="1"/>
      <c r="X177" s="1"/>
      <c r="Y177" s="1"/>
      <c r="Z177" s="1"/>
      <c r="AA177" s="1"/>
      <c r="AB177" s="1"/>
      <c r="AC177" s="1"/>
      <c r="AD177" s="1"/>
      <c r="AE177" s="1"/>
      <c r="AF177" s="1"/>
    </row>
    <row r="178" spans="1:32" ht="15.75" x14ac:dyDescent="0.25">
      <c r="A178" s="1"/>
      <c r="B178" s="1"/>
      <c r="C178" s="1"/>
      <c r="D178" s="1"/>
      <c r="E178" s="3"/>
      <c r="F178" s="3"/>
      <c r="G178" s="3"/>
      <c r="H178" s="3"/>
      <c r="I178" s="3"/>
      <c r="J178" s="3"/>
      <c r="K178" s="3"/>
      <c r="L178" s="3"/>
      <c r="M178" s="3"/>
      <c r="N178" s="3"/>
      <c r="O178" s="3"/>
      <c r="P178" s="1"/>
      <c r="Q178" s="1"/>
      <c r="R178" s="1"/>
      <c r="S178" s="1"/>
      <c r="T178" s="1"/>
      <c r="U178" s="1"/>
      <c r="V178" s="1"/>
      <c r="W178" s="1"/>
      <c r="X178" s="1"/>
      <c r="Y178" s="1"/>
      <c r="Z178" s="1"/>
      <c r="AA178" s="1"/>
      <c r="AB178" s="1"/>
      <c r="AC178" s="1"/>
      <c r="AD178" s="1"/>
      <c r="AE178" s="1"/>
      <c r="AF178" s="1"/>
    </row>
    <row r="179" spans="1:32" ht="15.75" x14ac:dyDescent="0.25">
      <c r="A179" s="1"/>
      <c r="B179" s="1"/>
      <c r="C179" s="1"/>
      <c r="D179" s="1"/>
      <c r="E179" s="3"/>
      <c r="F179" s="3"/>
      <c r="G179" s="3"/>
      <c r="H179" s="3"/>
      <c r="I179" s="3"/>
      <c r="J179" s="3"/>
      <c r="K179" s="3"/>
      <c r="L179" s="3"/>
      <c r="M179" s="3"/>
      <c r="N179" s="3"/>
      <c r="O179" s="3"/>
      <c r="P179" s="1"/>
      <c r="Q179" s="1"/>
      <c r="R179" s="1"/>
      <c r="S179" s="1"/>
      <c r="T179" s="1"/>
      <c r="U179" s="1"/>
      <c r="V179" s="1"/>
      <c r="W179" s="1"/>
      <c r="X179" s="1"/>
      <c r="Y179" s="1"/>
      <c r="Z179" s="1"/>
      <c r="AA179" s="1"/>
      <c r="AB179" s="1"/>
      <c r="AC179" s="1"/>
      <c r="AD179" s="1"/>
      <c r="AE179" s="1"/>
      <c r="AF179" s="1"/>
    </row>
    <row r="180" spans="1:32" ht="15.75" x14ac:dyDescent="0.25">
      <c r="A180" s="1"/>
      <c r="B180" s="1"/>
      <c r="C180" s="1"/>
      <c r="D180" s="1"/>
      <c r="E180" s="3"/>
      <c r="F180" s="3"/>
      <c r="G180" s="3"/>
      <c r="H180" s="3"/>
      <c r="I180" s="3"/>
      <c r="J180" s="3"/>
      <c r="K180" s="3"/>
      <c r="L180" s="3"/>
      <c r="M180" s="3"/>
      <c r="N180" s="3"/>
      <c r="O180" s="3"/>
      <c r="P180" s="1"/>
      <c r="Q180" s="1"/>
      <c r="R180" s="1"/>
      <c r="S180" s="1"/>
      <c r="T180" s="1"/>
      <c r="U180" s="1"/>
      <c r="V180" s="1"/>
      <c r="W180" s="1"/>
      <c r="X180" s="1"/>
      <c r="Y180" s="1"/>
      <c r="Z180" s="1"/>
      <c r="AA180" s="1"/>
      <c r="AB180" s="1"/>
      <c r="AC180" s="1"/>
      <c r="AD180" s="1"/>
      <c r="AE180" s="1"/>
      <c r="AF180" s="1"/>
    </row>
    <row r="181" spans="1:32" ht="15.75" x14ac:dyDescent="0.25">
      <c r="A181" s="1"/>
      <c r="B181" s="1"/>
      <c r="C181" s="1"/>
      <c r="D181" s="1"/>
      <c r="E181" s="3"/>
      <c r="F181" s="3"/>
      <c r="G181" s="3"/>
      <c r="H181" s="3"/>
      <c r="I181" s="3"/>
      <c r="J181" s="3"/>
      <c r="K181" s="3"/>
      <c r="L181" s="3"/>
      <c r="M181" s="3"/>
      <c r="N181" s="3"/>
      <c r="O181" s="3"/>
      <c r="P181" s="1"/>
      <c r="Q181" s="1"/>
      <c r="R181" s="1"/>
      <c r="S181" s="1"/>
      <c r="T181" s="1"/>
      <c r="U181" s="1"/>
      <c r="V181" s="1"/>
      <c r="W181" s="1"/>
      <c r="X181" s="1"/>
      <c r="Y181" s="1"/>
      <c r="Z181" s="1"/>
      <c r="AA181" s="1"/>
      <c r="AB181" s="1"/>
      <c r="AC181" s="1"/>
      <c r="AD181" s="1"/>
      <c r="AE181" s="1"/>
      <c r="AF181" s="1"/>
    </row>
    <row r="182" spans="1:32" ht="15.75" x14ac:dyDescent="0.25">
      <c r="A182" s="1"/>
      <c r="B182" s="1"/>
      <c r="C182" s="1"/>
      <c r="D182" s="1"/>
      <c r="E182" s="3"/>
      <c r="F182" s="3"/>
      <c r="G182" s="3"/>
      <c r="H182" s="3"/>
      <c r="I182" s="3"/>
      <c r="J182" s="3"/>
      <c r="K182" s="3"/>
      <c r="L182" s="3"/>
      <c r="M182" s="3"/>
      <c r="N182" s="3"/>
      <c r="O182" s="3"/>
      <c r="P182" s="1"/>
      <c r="Q182" s="1"/>
      <c r="R182" s="1"/>
      <c r="S182" s="1"/>
      <c r="T182" s="1"/>
      <c r="U182" s="1"/>
      <c r="V182" s="1"/>
      <c r="W182" s="1"/>
      <c r="X182" s="1"/>
      <c r="Y182" s="1"/>
      <c r="Z182" s="1"/>
      <c r="AA182" s="1"/>
      <c r="AB182" s="1"/>
      <c r="AC182" s="1"/>
      <c r="AD182" s="1"/>
      <c r="AE182" s="1"/>
      <c r="AF182" s="1"/>
    </row>
    <row r="183" spans="1:32" ht="15.75" x14ac:dyDescent="0.25">
      <c r="A183" s="1"/>
      <c r="B183" s="1"/>
      <c r="C183" s="1"/>
      <c r="D183" s="1"/>
      <c r="E183" s="3"/>
      <c r="F183" s="3"/>
      <c r="G183" s="3"/>
      <c r="H183" s="3"/>
      <c r="I183" s="3"/>
      <c r="J183" s="3"/>
      <c r="K183" s="3"/>
      <c r="L183" s="3"/>
      <c r="M183" s="3"/>
      <c r="N183" s="3"/>
      <c r="O183" s="3"/>
      <c r="P183" s="1"/>
      <c r="Q183" s="1"/>
      <c r="R183" s="1"/>
      <c r="S183" s="1"/>
      <c r="T183" s="1"/>
      <c r="U183" s="1"/>
      <c r="V183" s="1"/>
      <c r="W183" s="1"/>
      <c r="X183" s="1"/>
      <c r="Y183" s="1"/>
      <c r="Z183" s="1"/>
      <c r="AA183" s="1"/>
      <c r="AB183" s="1"/>
      <c r="AC183" s="1"/>
      <c r="AD183" s="1"/>
      <c r="AE183" s="1"/>
      <c r="AF183" s="1"/>
    </row>
    <row r="184" spans="1:32" ht="15.75" x14ac:dyDescent="0.25">
      <c r="A184" s="1"/>
      <c r="B184" s="1"/>
      <c r="C184" s="1"/>
      <c r="D184" s="1"/>
      <c r="E184" s="3"/>
      <c r="F184" s="3"/>
      <c r="G184" s="3"/>
      <c r="H184" s="3"/>
      <c r="I184" s="3"/>
      <c r="J184" s="3"/>
      <c r="K184" s="3"/>
      <c r="L184" s="3"/>
      <c r="M184" s="3"/>
      <c r="N184" s="3"/>
      <c r="O184" s="3"/>
      <c r="P184" s="1"/>
      <c r="Q184" s="1"/>
      <c r="R184" s="1"/>
      <c r="S184" s="1"/>
      <c r="T184" s="1"/>
      <c r="U184" s="1"/>
      <c r="V184" s="1"/>
      <c r="W184" s="1"/>
      <c r="X184" s="1"/>
      <c r="Y184" s="1"/>
      <c r="Z184" s="1"/>
      <c r="AA184" s="1"/>
      <c r="AB184" s="1"/>
      <c r="AC184" s="1"/>
      <c r="AD184" s="1"/>
      <c r="AE184" s="1"/>
      <c r="AF184" s="1"/>
    </row>
    <row r="185" spans="1:32" ht="15.75" x14ac:dyDescent="0.25">
      <c r="A185" s="1"/>
      <c r="B185" s="1"/>
      <c r="C185" s="1"/>
      <c r="D185" s="1"/>
      <c r="E185" s="3"/>
      <c r="F185" s="3"/>
      <c r="G185" s="3"/>
      <c r="H185" s="3"/>
      <c r="I185" s="3"/>
      <c r="J185" s="3"/>
      <c r="K185" s="3"/>
      <c r="L185" s="3"/>
      <c r="M185" s="3"/>
      <c r="N185" s="3"/>
      <c r="O185" s="3"/>
      <c r="P185" s="1"/>
      <c r="Q185" s="1"/>
      <c r="R185" s="1"/>
      <c r="S185" s="1"/>
      <c r="T185" s="1"/>
      <c r="U185" s="1"/>
      <c r="V185" s="1"/>
      <c r="W185" s="1"/>
      <c r="X185" s="1"/>
      <c r="Y185" s="1"/>
      <c r="Z185" s="1"/>
      <c r="AA185" s="1"/>
      <c r="AB185" s="1"/>
      <c r="AC185" s="1"/>
      <c r="AD185" s="1"/>
      <c r="AE185" s="1"/>
      <c r="AF185" s="1"/>
    </row>
    <row r="186" spans="1:32" ht="15.75" x14ac:dyDescent="0.25">
      <c r="A186" s="1"/>
      <c r="B186" s="1"/>
      <c r="C186" s="1"/>
      <c r="D186" s="1"/>
      <c r="E186" s="3"/>
      <c r="F186" s="3"/>
      <c r="G186" s="3"/>
      <c r="H186" s="3"/>
      <c r="I186" s="3"/>
      <c r="J186" s="3"/>
      <c r="K186" s="3"/>
      <c r="L186" s="3"/>
      <c r="M186" s="3"/>
      <c r="N186" s="3"/>
      <c r="O186" s="3"/>
      <c r="P186" s="1"/>
      <c r="Q186" s="1"/>
      <c r="R186" s="1"/>
      <c r="S186" s="1"/>
      <c r="T186" s="1"/>
      <c r="U186" s="1"/>
      <c r="V186" s="1"/>
      <c r="W186" s="1"/>
      <c r="X186" s="1"/>
      <c r="Y186" s="1"/>
      <c r="Z186" s="1"/>
      <c r="AA186" s="1"/>
      <c r="AB186" s="1"/>
      <c r="AC186" s="1"/>
      <c r="AD186" s="1"/>
      <c r="AE186" s="1"/>
      <c r="AF186" s="1"/>
    </row>
    <row r="187" spans="1:32" ht="15.75" x14ac:dyDescent="0.25">
      <c r="A187" s="1"/>
      <c r="B187" s="1"/>
      <c r="C187" s="1"/>
      <c r="D187" s="1"/>
      <c r="E187" s="3"/>
      <c r="F187" s="3"/>
      <c r="G187" s="3"/>
      <c r="H187" s="3"/>
      <c r="I187" s="3"/>
      <c r="J187" s="3"/>
      <c r="K187" s="3"/>
      <c r="L187" s="3"/>
      <c r="M187" s="3"/>
      <c r="N187" s="3"/>
      <c r="O187" s="3"/>
      <c r="P187" s="1"/>
      <c r="Q187" s="1"/>
      <c r="R187" s="1"/>
      <c r="S187" s="1"/>
      <c r="T187" s="1"/>
      <c r="U187" s="1"/>
      <c r="V187" s="1"/>
      <c r="W187" s="1"/>
      <c r="X187" s="1"/>
      <c r="Y187" s="1"/>
      <c r="Z187" s="1"/>
      <c r="AA187" s="1"/>
      <c r="AB187" s="1"/>
      <c r="AC187" s="1"/>
      <c r="AD187" s="1"/>
      <c r="AE187" s="1"/>
      <c r="AF187" s="1"/>
    </row>
    <row r="188" spans="1:32" ht="15.75" x14ac:dyDescent="0.25">
      <c r="A188" s="1"/>
      <c r="B188" s="1"/>
      <c r="C188" s="1"/>
      <c r="D188" s="1"/>
      <c r="E188" s="3"/>
      <c r="F188" s="3"/>
      <c r="G188" s="3"/>
      <c r="H188" s="3"/>
      <c r="I188" s="3"/>
      <c r="J188" s="3"/>
      <c r="K188" s="3"/>
      <c r="L188" s="3"/>
      <c r="M188" s="3"/>
      <c r="N188" s="3"/>
      <c r="O188" s="3"/>
      <c r="P188" s="1"/>
      <c r="Q188" s="1"/>
      <c r="R188" s="1"/>
      <c r="S188" s="1"/>
      <c r="T188" s="1"/>
      <c r="U188" s="1"/>
      <c r="V188" s="1"/>
      <c r="W188" s="1"/>
      <c r="X188" s="1"/>
      <c r="Y188" s="1"/>
      <c r="Z188" s="1"/>
      <c r="AA188" s="1"/>
      <c r="AB188" s="1"/>
      <c r="AC188" s="1"/>
      <c r="AD188" s="1"/>
      <c r="AE188" s="1"/>
      <c r="AF188" s="1"/>
    </row>
    <row r="189" spans="1:32" ht="15.75" x14ac:dyDescent="0.25">
      <c r="A189" s="1"/>
      <c r="B189" s="1"/>
      <c r="C189" s="1"/>
      <c r="D189" s="1"/>
      <c r="E189" s="3"/>
      <c r="F189" s="3"/>
      <c r="G189" s="3"/>
      <c r="H189" s="3"/>
      <c r="I189" s="3"/>
      <c r="J189" s="3"/>
      <c r="K189" s="3"/>
      <c r="L189" s="3"/>
      <c r="M189" s="3"/>
      <c r="N189" s="3"/>
      <c r="O189" s="3"/>
      <c r="P189" s="1"/>
      <c r="Q189" s="1"/>
      <c r="R189" s="1"/>
      <c r="S189" s="1"/>
      <c r="T189" s="1"/>
      <c r="U189" s="1"/>
      <c r="V189" s="1"/>
      <c r="W189" s="1"/>
      <c r="X189" s="1"/>
      <c r="Y189" s="1"/>
      <c r="Z189" s="1"/>
      <c r="AA189" s="1"/>
      <c r="AB189" s="1"/>
      <c r="AC189" s="1"/>
      <c r="AD189" s="1"/>
      <c r="AE189" s="1"/>
      <c r="AF189" s="1"/>
    </row>
    <row r="190" spans="1:32" ht="15.75" x14ac:dyDescent="0.25">
      <c r="A190" s="1"/>
      <c r="B190" s="1"/>
      <c r="C190" s="1"/>
      <c r="D190" s="1"/>
      <c r="E190" s="3"/>
      <c r="F190" s="3"/>
      <c r="G190" s="3"/>
      <c r="H190" s="3"/>
      <c r="I190" s="3"/>
      <c r="J190" s="3"/>
      <c r="K190" s="3"/>
      <c r="L190" s="3"/>
      <c r="M190" s="3"/>
      <c r="N190" s="3"/>
      <c r="O190" s="3"/>
      <c r="P190" s="1"/>
      <c r="Q190" s="1"/>
      <c r="R190" s="1"/>
      <c r="S190" s="1"/>
      <c r="T190" s="1"/>
      <c r="U190" s="1"/>
      <c r="V190" s="1"/>
      <c r="W190" s="1"/>
      <c r="X190" s="1"/>
      <c r="Y190" s="1"/>
      <c r="Z190" s="1"/>
      <c r="AA190" s="1"/>
      <c r="AB190" s="1"/>
      <c r="AC190" s="1"/>
      <c r="AD190" s="1"/>
      <c r="AE190" s="1"/>
      <c r="AF190" s="1"/>
    </row>
    <row r="191" spans="1:32" ht="15.75" x14ac:dyDescent="0.25">
      <c r="A191" s="1"/>
      <c r="B191" s="1"/>
      <c r="C191" s="1"/>
      <c r="D191" s="1"/>
      <c r="E191" s="3"/>
      <c r="F191" s="3"/>
      <c r="G191" s="3"/>
      <c r="H191" s="3"/>
      <c r="I191" s="3"/>
      <c r="J191" s="3"/>
      <c r="K191" s="3"/>
      <c r="L191" s="3"/>
      <c r="M191" s="3"/>
      <c r="N191" s="3"/>
      <c r="O191" s="3"/>
      <c r="P191" s="1"/>
      <c r="Q191" s="1"/>
      <c r="R191" s="1"/>
      <c r="S191" s="1"/>
      <c r="T191" s="1"/>
      <c r="U191" s="1"/>
      <c r="V191" s="1"/>
      <c r="W191" s="1"/>
      <c r="X191" s="1"/>
      <c r="Y191" s="1"/>
      <c r="Z191" s="1"/>
      <c r="AA191" s="1"/>
      <c r="AB191" s="1"/>
      <c r="AC191" s="1"/>
      <c r="AD191" s="1"/>
      <c r="AE191" s="1"/>
      <c r="AF191" s="1"/>
    </row>
    <row r="192" spans="1:32" ht="15.75" x14ac:dyDescent="0.25">
      <c r="A192" s="1"/>
      <c r="B192" s="1"/>
      <c r="C192" s="1"/>
      <c r="D192" s="1"/>
      <c r="E192" s="3"/>
      <c r="F192" s="3"/>
      <c r="G192" s="3"/>
      <c r="H192" s="3"/>
      <c r="I192" s="3"/>
      <c r="J192" s="3"/>
      <c r="K192" s="3"/>
      <c r="L192" s="3"/>
      <c r="M192" s="3"/>
      <c r="N192" s="3"/>
      <c r="O192" s="3"/>
      <c r="P192" s="1"/>
      <c r="Q192" s="1"/>
      <c r="R192" s="1"/>
      <c r="S192" s="1"/>
      <c r="T192" s="1"/>
      <c r="U192" s="1"/>
      <c r="V192" s="1"/>
      <c r="W192" s="1"/>
      <c r="X192" s="1"/>
      <c r="Y192" s="1"/>
      <c r="Z192" s="1"/>
      <c r="AA192" s="1"/>
      <c r="AB192" s="1"/>
      <c r="AC192" s="1"/>
      <c r="AD192" s="1"/>
      <c r="AE192" s="1"/>
      <c r="AF192" s="1"/>
    </row>
    <row r="193" spans="1:32" ht="15.75" x14ac:dyDescent="0.25">
      <c r="A193" s="1"/>
      <c r="B193" s="1"/>
      <c r="C193" s="1"/>
      <c r="D193" s="1"/>
      <c r="E193" s="3"/>
      <c r="F193" s="3"/>
      <c r="G193" s="3"/>
      <c r="H193" s="3"/>
      <c r="I193" s="3"/>
      <c r="J193" s="3"/>
      <c r="K193" s="3"/>
      <c r="L193" s="3"/>
      <c r="M193" s="3"/>
      <c r="N193" s="3"/>
      <c r="O193" s="3"/>
      <c r="P193" s="1"/>
      <c r="Q193" s="1"/>
      <c r="R193" s="1"/>
      <c r="S193" s="1"/>
      <c r="T193" s="1"/>
      <c r="U193" s="1"/>
      <c r="V193" s="1"/>
      <c r="W193" s="1"/>
      <c r="X193" s="1"/>
      <c r="Y193" s="1"/>
      <c r="Z193" s="1"/>
      <c r="AA193" s="1"/>
      <c r="AB193" s="1"/>
      <c r="AC193" s="1"/>
      <c r="AD193" s="1"/>
      <c r="AE193" s="1"/>
      <c r="AF193" s="1"/>
    </row>
    <row r="194" spans="1:32" ht="15.75" x14ac:dyDescent="0.25">
      <c r="A194" s="1"/>
      <c r="B194" s="1"/>
      <c r="C194" s="1"/>
      <c r="D194" s="1"/>
      <c r="E194" s="3"/>
      <c r="F194" s="3"/>
      <c r="G194" s="3"/>
      <c r="H194" s="3"/>
      <c r="I194" s="3"/>
      <c r="J194" s="3"/>
      <c r="K194" s="3"/>
      <c r="L194" s="3"/>
      <c r="M194" s="3"/>
      <c r="N194" s="3"/>
      <c r="O194" s="3"/>
      <c r="P194" s="1"/>
      <c r="Q194" s="1"/>
      <c r="R194" s="1"/>
      <c r="S194" s="1"/>
      <c r="T194" s="1"/>
      <c r="U194" s="1"/>
      <c r="V194" s="1"/>
      <c r="W194" s="1"/>
      <c r="X194" s="1"/>
      <c r="Y194" s="1"/>
      <c r="Z194" s="1"/>
      <c r="AA194" s="1"/>
      <c r="AB194" s="1"/>
      <c r="AC194" s="1"/>
      <c r="AD194" s="1"/>
      <c r="AE194" s="1"/>
      <c r="AF194" s="1"/>
    </row>
    <row r="195" spans="1:32" ht="15.75" x14ac:dyDescent="0.25">
      <c r="A195" s="1"/>
      <c r="B195" s="1"/>
      <c r="C195" s="1"/>
      <c r="D195" s="1"/>
      <c r="E195" s="3"/>
      <c r="F195" s="3"/>
      <c r="G195" s="3"/>
      <c r="H195" s="3"/>
      <c r="I195" s="3"/>
      <c r="J195" s="3"/>
      <c r="K195" s="3"/>
      <c r="L195" s="3"/>
      <c r="M195" s="3"/>
      <c r="N195" s="3"/>
      <c r="O195" s="3"/>
      <c r="P195" s="1"/>
      <c r="Q195" s="1"/>
      <c r="R195" s="1"/>
      <c r="S195" s="1"/>
      <c r="T195" s="1"/>
      <c r="U195" s="1"/>
      <c r="V195" s="1"/>
      <c r="W195" s="1"/>
      <c r="X195" s="1"/>
      <c r="Y195" s="1"/>
      <c r="Z195" s="1"/>
      <c r="AA195" s="1"/>
      <c r="AB195" s="1"/>
      <c r="AC195" s="1"/>
      <c r="AD195" s="1"/>
      <c r="AE195" s="1"/>
      <c r="AF195" s="1"/>
    </row>
    <row r="196" spans="1:32" ht="15.75" x14ac:dyDescent="0.25">
      <c r="A196" s="1"/>
      <c r="B196" s="1"/>
      <c r="C196" s="1"/>
      <c r="D196" s="1"/>
      <c r="E196" s="3"/>
      <c r="F196" s="3"/>
      <c r="G196" s="3"/>
      <c r="H196" s="3"/>
      <c r="I196" s="3"/>
      <c r="J196" s="3"/>
      <c r="K196" s="3"/>
      <c r="L196" s="3"/>
      <c r="M196" s="3"/>
      <c r="N196" s="3"/>
      <c r="O196" s="3"/>
      <c r="P196" s="1"/>
      <c r="Q196" s="1"/>
      <c r="R196" s="1"/>
      <c r="S196" s="1"/>
      <c r="T196" s="1"/>
      <c r="U196" s="1"/>
      <c r="V196" s="1"/>
      <c r="W196" s="1"/>
      <c r="X196" s="1"/>
      <c r="Y196" s="1"/>
      <c r="Z196" s="1"/>
      <c r="AA196" s="1"/>
      <c r="AB196" s="1"/>
      <c r="AC196" s="1"/>
      <c r="AD196" s="1"/>
      <c r="AE196" s="1"/>
      <c r="AF196" s="1"/>
    </row>
    <row r="197" spans="1:32" ht="15.75" x14ac:dyDescent="0.25">
      <c r="A197" s="1"/>
      <c r="B197" s="1"/>
      <c r="C197" s="1"/>
      <c r="D197" s="1"/>
      <c r="E197" s="3"/>
      <c r="F197" s="3"/>
      <c r="G197" s="3"/>
      <c r="H197" s="3"/>
      <c r="I197" s="3"/>
      <c r="J197" s="3"/>
      <c r="K197" s="3"/>
      <c r="L197" s="3"/>
      <c r="M197" s="3"/>
      <c r="N197" s="3"/>
      <c r="O197" s="3"/>
      <c r="P197" s="1"/>
      <c r="Q197" s="1"/>
      <c r="R197" s="1"/>
      <c r="S197" s="1"/>
      <c r="T197" s="1"/>
      <c r="U197" s="1"/>
      <c r="V197" s="1"/>
      <c r="W197" s="1"/>
      <c r="X197" s="1"/>
      <c r="Y197" s="1"/>
      <c r="Z197" s="1"/>
      <c r="AA197" s="1"/>
      <c r="AB197" s="1"/>
      <c r="AC197" s="1"/>
      <c r="AD197" s="1"/>
      <c r="AE197" s="1"/>
      <c r="AF197" s="1"/>
    </row>
    <row r="198" spans="1:32" ht="15.75" x14ac:dyDescent="0.25">
      <c r="A198" s="1"/>
      <c r="B198" s="1"/>
      <c r="C198" s="1"/>
      <c r="D198" s="1"/>
      <c r="E198" s="3"/>
      <c r="F198" s="3"/>
      <c r="G198" s="3"/>
      <c r="H198" s="3"/>
      <c r="I198" s="3"/>
      <c r="J198" s="3"/>
      <c r="K198" s="3"/>
      <c r="L198" s="3"/>
      <c r="M198" s="3"/>
      <c r="N198" s="3"/>
      <c r="O198" s="3"/>
      <c r="P198" s="1"/>
      <c r="Q198" s="1"/>
      <c r="R198" s="1"/>
      <c r="S198" s="1"/>
      <c r="T198" s="1"/>
      <c r="U198" s="1"/>
      <c r="V198" s="1"/>
      <c r="W198" s="1"/>
      <c r="X198" s="1"/>
      <c r="Y198" s="1"/>
      <c r="Z198" s="1"/>
      <c r="AA198" s="1"/>
      <c r="AB198" s="1"/>
      <c r="AC198" s="1"/>
      <c r="AD198" s="1"/>
      <c r="AE198" s="1"/>
      <c r="AF198" s="1"/>
    </row>
    <row r="199" spans="1:32" ht="15.75" x14ac:dyDescent="0.25">
      <c r="A199" s="1"/>
      <c r="B199" s="1"/>
      <c r="C199" s="1"/>
      <c r="D199" s="1"/>
      <c r="E199" s="3"/>
      <c r="F199" s="3"/>
      <c r="G199" s="3"/>
      <c r="H199" s="3"/>
      <c r="I199" s="3"/>
      <c r="J199" s="3"/>
      <c r="K199" s="3"/>
      <c r="L199" s="3"/>
      <c r="M199" s="3"/>
      <c r="N199" s="3"/>
      <c r="O199" s="3"/>
      <c r="P199" s="1"/>
      <c r="Q199" s="1"/>
      <c r="R199" s="1"/>
      <c r="S199" s="1"/>
      <c r="T199" s="1"/>
      <c r="U199" s="1"/>
      <c r="V199" s="1"/>
      <c r="W199" s="1"/>
      <c r="X199" s="1"/>
      <c r="Y199" s="1"/>
      <c r="Z199" s="1"/>
      <c r="AA199" s="1"/>
      <c r="AB199" s="1"/>
      <c r="AC199" s="1"/>
      <c r="AD199" s="1"/>
      <c r="AE199" s="1"/>
      <c r="AF199" s="1"/>
    </row>
    <row r="200" spans="1:32" ht="15.75" x14ac:dyDescent="0.25">
      <c r="A200" s="1"/>
      <c r="B200" s="1"/>
      <c r="C200" s="1"/>
      <c r="D200" s="1"/>
      <c r="E200" s="3"/>
      <c r="F200" s="3"/>
      <c r="G200" s="3"/>
      <c r="H200" s="3"/>
      <c r="I200" s="3"/>
      <c r="J200" s="3"/>
      <c r="K200" s="3"/>
      <c r="L200" s="3"/>
      <c r="M200" s="3"/>
      <c r="N200" s="3"/>
      <c r="O200" s="3"/>
      <c r="P200" s="1"/>
      <c r="Q200" s="1"/>
      <c r="R200" s="1"/>
      <c r="S200" s="1"/>
      <c r="T200" s="1"/>
      <c r="U200" s="1"/>
      <c r="V200" s="1"/>
      <c r="W200" s="1"/>
      <c r="X200" s="1"/>
      <c r="Y200" s="1"/>
      <c r="Z200" s="1"/>
      <c r="AA200" s="1"/>
      <c r="AB200" s="1"/>
      <c r="AC200" s="1"/>
      <c r="AD200" s="1"/>
      <c r="AE200" s="1"/>
      <c r="AF200" s="1"/>
    </row>
    <row r="201" spans="1:32" ht="15.75" x14ac:dyDescent="0.25">
      <c r="A201" s="1"/>
      <c r="B201" s="1"/>
      <c r="C201" s="1"/>
      <c r="D201" s="1"/>
      <c r="E201" s="3"/>
      <c r="F201" s="3"/>
      <c r="G201" s="3"/>
      <c r="H201" s="3"/>
      <c r="I201" s="3"/>
      <c r="J201" s="3"/>
      <c r="K201" s="3"/>
      <c r="L201" s="3"/>
      <c r="M201" s="3"/>
      <c r="N201" s="3"/>
      <c r="O201" s="3"/>
      <c r="P201" s="1"/>
      <c r="Q201" s="1"/>
      <c r="R201" s="1"/>
      <c r="S201" s="1"/>
      <c r="T201" s="1"/>
      <c r="U201" s="1"/>
      <c r="V201" s="1"/>
      <c r="W201" s="1"/>
      <c r="X201" s="1"/>
      <c r="Y201" s="1"/>
      <c r="Z201" s="1"/>
      <c r="AA201" s="1"/>
      <c r="AB201" s="1"/>
      <c r="AC201" s="1"/>
      <c r="AD201" s="1"/>
      <c r="AE201" s="1"/>
      <c r="AF201" s="1"/>
    </row>
    <row r="202" spans="1:32" ht="15.75" x14ac:dyDescent="0.25">
      <c r="A202" s="1"/>
      <c r="B202" s="1"/>
      <c r="C202" s="1"/>
      <c r="D202" s="1"/>
      <c r="E202" s="3"/>
      <c r="F202" s="3"/>
      <c r="G202" s="3"/>
      <c r="H202" s="3"/>
      <c r="I202" s="3"/>
      <c r="J202" s="3"/>
      <c r="K202" s="3"/>
      <c r="L202" s="3"/>
      <c r="M202" s="3"/>
      <c r="N202" s="3"/>
      <c r="O202" s="3"/>
      <c r="P202" s="1"/>
      <c r="Q202" s="1"/>
      <c r="R202" s="1"/>
      <c r="S202" s="1"/>
      <c r="T202" s="1"/>
      <c r="U202" s="1"/>
      <c r="V202" s="1"/>
      <c r="W202" s="1"/>
      <c r="X202" s="1"/>
      <c r="Y202" s="1"/>
      <c r="Z202" s="1"/>
      <c r="AA202" s="1"/>
      <c r="AB202" s="1"/>
      <c r="AC202" s="1"/>
      <c r="AD202" s="1"/>
      <c r="AE202" s="1"/>
      <c r="AF202" s="1"/>
    </row>
    <row r="203" spans="1:32" ht="15.75" x14ac:dyDescent="0.25">
      <c r="A203" s="1"/>
      <c r="B203" s="1"/>
      <c r="C203" s="1"/>
      <c r="D203" s="1"/>
      <c r="E203" s="3"/>
      <c r="F203" s="3"/>
      <c r="G203" s="3"/>
      <c r="H203" s="3"/>
      <c r="I203" s="3"/>
      <c r="J203" s="3"/>
      <c r="K203" s="3"/>
      <c r="L203" s="3"/>
      <c r="M203" s="3"/>
      <c r="N203" s="3"/>
      <c r="O203" s="3"/>
      <c r="P203" s="1"/>
      <c r="Q203" s="1"/>
      <c r="R203" s="1"/>
      <c r="S203" s="1"/>
      <c r="T203" s="1"/>
      <c r="U203" s="1"/>
      <c r="V203" s="1"/>
      <c r="W203" s="1"/>
      <c r="X203" s="1"/>
      <c r="Y203" s="1"/>
      <c r="Z203" s="1"/>
      <c r="AA203" s="1"/>
      <c r="AB203" s="1"/>
      <c r="AC203" s="1"/>
      <c r="AD203" s="1"/>
      <c r="AE203" s="1"/>
      <c r="AF203" s="1"/>
    </row>
    <row r="204" spans="1:32" ht="15.75" x14ac:dyDescent="0.25">
      <c r="A204" s="1"/>
      <c r="B204" s="1"/>
      <c r="C204" s="1"/>
      <c r="D204" s="1"/>
      <c r="E204" s="3"/>
      <c r="F204" s="3"/>
      <c r="G204" s="3"/>
      <c r="H204" s="3"/>
      <c r="I204" s="3"/>
      <c r="J204" s="3"/>
      <c r="K204" s="3"/>
      <c r="L204" s="3"/>
      <c r="M204" s="3"/>
      <c r="N204" s="3"/>
      <c r="O204" s="3"/>
      <c r="P204" s="1"/>
      <c r="Q204" s="1"/>
      <c r="R204" s="1"/>
      <c r="S204" s="1"/>
      <c r="T204" s="1"/>
      <c r="U204" s="1"/>
      <c r="V204" s="1"/>
      <c r="W204" s="1"/>
      <c r="X204" s="1"/>
      <c r="Y204" s="1"/>
      <c r="Z204" s="1"/>
      <c r="AA204" s="1"/>
      <c r="AB204" s="1"/>
      <c r="AC204" s="1"/>
      <c r="AD204" s="1"/>
      <c r="AE204" s="1"/>
      <c r="AF204" s="1"/>
    </row>
    <row r="205" spans="1:32" ht="15.75" x14ac:dyDescent="0.25">
      <c r="A205" s="1"/>
      <c r="B205" s="1"/>
      <c r="C205" s="1"/>
      <c r="D205" s="1"/>
      <c r="E205" s="3"/>
      <c r="F205" s="3"/>
      <c r="G205" s="3"/>
      <c r="H205" s="3"/>
      <c r="I205" s="3"/>
      <c r="J205" s="3"/>
      <c r="K205" s="3"/>
      <c r="L205" s="3"/>
      <c r="M205" s="3"/>
      <c r="N205" s="3"/>
      <c r="O205" s="3"/>
      <c r="P205" s="1"/>
      <c r="Q205" s="1"/>
      <c r="R205" s="1"/>
      <c r="S205" s="1"/>
      <c r="T205" s="1"/>
      <c r="U205" s="1"/>
      <c r="V205" s="1"/>
      <c r="W205" s="1"/>
      <c r="X205" s="1"/>
      <c r="Y205" s="1"/>
      <c r="Z205" s="1"/>
      <c r="AA205" s="1"/>
      <c r="AB205" s="1"/>
      <c r="AC205" s="1"/>
      <c r="AD205" s="1"/>
      <c r="AE205" s="1"/>
      <c r="AF205" s="1"/>
    </row>
    <row r="206" spans="1:32" ht="15.75" x14ac:dyDescent="0.25">
      <c r="A206" s="1"/>
      <c r="B206" s="1"/>
      <c r="C206" s="1"/>
      <c r="D206" s="1"/>
      <c r="E206" s="3"/>
      <c r="F206" s="3"/>
      <c r="G206" s="3"/>
      <c r="H206" s="3"/>
      <c r="I206" s="3"/>
      <c r="J206" s="3"/>
      <c r="K206" s="3"/>
      <c r="L206" s="3"/>
      <c r="M206" s="3"/>
      <c r="N206" s="3"/>
      <c r="O206" s="3"/>
      <c r="P206" s="1"/>
      <c r="Q206" s="1"/>
      <c r="R206" s="1"/>
      <c r="S206" s="1"/>
      <c r="T206" s="1"/>
      <c r="U206" s="1"/>
      <c r="V206" s="1"/>
      <c r="W206" s="1"/>
      <c r="X206" s="1"/>
      <c r="Y206" s="1"/>
      <c r="Z206" s="1"/>
      <c r="AA206" s="1"/>
      <c r="AB206" s="1"/>
      <c r="AC206" s="1"/>
      <c r="AD206" s="1"/>
      <c r="AE206" s="1"/>
      <c r="AF206" s="1"/>
    </row>
    <row r="207" spans="1:32" ht="15.75" x14ac:dyDescent="0.25">
      <c r="A207" s="1"/>
      <c r="B207" s="1"/>
      <c r="C207" s="1"/>
      <c r="D207" s="1"/>
      <c r="E207" s="3"/>
      <c r="F207" s="3"/>
      <c r="G207" s="3"/>
      <c r="H207" s="3"/>
      <c r="I207" s="3"/>
      <c r="J207" s="3"/>
      <c r="K207" s="3"/>
      <c r="L207" s="3"/>
      <c r="M207" s="3"/>
      <c r="N207" s="3"/>
      <c r="O207" s="3"/>
      <c r="P207" s="1"/>
      <c r="Q207" s="1"/>
      <c r="R207" s="1"/>
      <c r="S207" s="1"/>
      <c r="T207" s="1"/>
      <c r="U207" s="1"/>
      <c r="V207" s="1"/>
      <c r="W207" s="1"/>
      <c r="X207" s="1"/>
      <c r="Y207" s="1"/>
      <c r="Z207" s="1"/>
      <c r="AA207" s="1"/>
      <c r="AB207" s="1"/>
      <c r="AC207" s="1"/>
      <c r="AD207" s="1"/>
      <c r="AE207" s="1"/>
      <c r="AF207" s="1"/>
    </row>
    <row r="208" spans="1:32" ht="15.75" x14ac:dyDescent="0.25">
      <c r="A208" s="1"/>
      <c r="B208" s="1"/>
      <c r="C208" s="1"/>
      <c r="D208" s="1"/>
      <c r="E208" s="3"/>
      <c r="F208" s="3"/>
      <c r="G208" s="3"/>
      <c r="H208" s="3"/>
      <c r="I208" s="3"/>
      <c r="J208" s="3"/>
      <c r="K208" s="3"/>
      <c r="L208" s="3"/>
      <c r="M208" s="3"/>
      <c r="N208" s="3"/>
      <c r="O208" s="3"/>
      <c r="P208" s="1"/>
      <c r="Q208" s="1"/>
      <c r="R208" s="1"/>
      <c r="S208" s="1"/>
      <c r="T208" s="1"/>
      <c r="U208" s="1"/>
      <c r="V208" s="1"/>
      <c r="W208" s="1"/>
      <c r="X208" s="1"/>
      <c r="Y208" s="1"/>
      <c r="Z208" s="1"/>
      <c r="AA208" s="1"/>
      <c r="AB208" s="1"/>
      <c r="AC208" s="1"/>
      <c r="AD208" s="1"/>
      <c r="AE208" s="1"/>
      <c r="AF208" s="1"/>
    </row>
    <row r="209" spans="1:32" ht="15.75" x14ac:dyDescent="0.25">
      <c r="A209" s="1"/>
      <c r="B209" s="1"/>
      <c r="C209" s="1"/>
      <c r="D209" s="1"/>
      <c r="E209" s="3"/>
      <c r="F209" s="3"/>
      <c r="G209" s="3"/>
      <c r="H209" s="3"/>
      <c r="I209" s="3"/>
      <c r="J209" s="3"/>
      <c r="K209" s="3"/>
      <c r="L209" s="3"/>
      <c r="M209" s="3"/>
      <c r="N209" s="3"/>
      <c r="O209" s="3"/>
      <c r="P209" s="1"/>
      <c r="Q209" s="1"/>
      <c r="R209" s="1"/>
      <c r="S209" s="1"/>
      <c r="T209" s="1"/>
      <c r="U209" s="1"/>
      <c r="V209" s="1"/>
      <c r="W209" s="1"/>
      <c r="X209" s="1"/>
      <c r="Y209" s="1"/>
      <c r="Z209" s="1"/>
      <c r="AA209" s="1"/>
      <c r="AB209" s="1"/>
      <c r="AC209" s="1"/>
      <c r="AD209" s="1"/>
      <c r="AE209" s="1"/>
      <c r="AF209" s="1"/>
    </row>
    <row r="210" spans="1:32" ht="15.75" x14ac:dyDescent="0.25">
      <c r="A210" s="1"/>
      <c r="B210" s="1"/>
      <c r="C210" s="1"/>
      <c r="D210" s="1"/>
      <c r="E210" s="3"/>
      <c r="F210" s="3"/>
      <c r="G210" s="3"/>
      <c r="H210" s="3"/>
      <c r="I210" s="3"/>
      <c r="J210" s="3"/>
      <c r="K210" s="3"/>
      <c r="L210" s="3"/>
      <c r="M210" s="3"/>
      <c r="N210" s="3"/>
      <c r="O210" s="3"/>
      <c r="P210" s="1"/>
      <c r="Q210" s="1"/>
      <c r="R210" s="1"/>
      <c r="S210" s="1"/>
      <c r="T210" s="1"/>
      <c r="U210" s="1"/>
      <c r="V210" s="1"/>
      <c r="W210" s="1"/>
      <c r="X210" s="1"/>
      <c r="Y210" s="1"/>
      <c r="Z210" s="1"/>
      <c r="AA210" s="1"/>
      <c r="AB210" s="1"/>
      <c r="AC210" s="1"/>
      <c r="AD210" s="1"/>
      <c r="AE210" s="1"/>
      <c r="AF210" s="1"/>
    </row>
    <row r="211" spans="1:32" ht="15.75" x14ac:dyDescent="0.25">
      <c r="A211" s="1"/>
      <c r="B211" s="1"/>
      <c r="C211" s="1"/>
      <c r="D211" s="1"/>
      <c r="E211" s="3"/>
      <c r="F211" s="3"/>
      <c r="G211" s="3"/>
      <c r="H211" s="3"/>
      <c r="I211" s="3"/>
      <c r="J211" s="3"/>
      <c r="K211" s="3"/>
      <c r="L211" s="3"/>
      <c r="M211" s="3"/>
      <c r="N211" s="3"/>
      <c r="O211" s="3"/>
      <c r="P211" s="1"/>
      <c r="Q211" s="1"/>
      <c r="R211" s="1"/>
      <c r="S211" s="1"/>
      <c r="T211" s="1"/>
      <c r="U211" s="1"/>
      <c r="V211" s="1"/>
      <c r="W211" s="1"/>
      <c r="X211" s="1"/>
      <c r="Y211" s="1"/>
      <c r="Z211" s="1"/>
      <c r="AA211" s="1"/>
      <c r="AB211" s="1"/>
      <c r="AC211" s="1"/>
      <c r="AD211" s="1"/>
      <c r="AE211" s="1"/>
      <c r="AF211" s="1"/>
    </row>
    <row r="212" spans="1:32" ht="15.75" x14ac:dyDescent="0.25">
      <c r="A212" s="1"/>
      <c r="B212" s="1"/>
      <c r="C212" s="1"/>
      <c r="D212" s="1"/>
      <c r="E212" s="3"/>
      <c r="F212" s="3"/>
      <c r="G212" s="3"/>
      <c r="H212" s="3"/>
      <c r="I212" s="3"/>
      <c r="J212" s="3"/>
      <c r="K212" s="3"/>
      <c r="L212" s="3"/>
      <c r="M212" s="3"/>
      <c r="N212" s="3"/>
      <c r="O212" s="3"/>
      <c r="P212" s="1"/>
      <c r="Q212" s="1"/>
      <c r="R212" s="1"/>
      <c r="S212" s="1"/>
      <c r="T212" s="1"/>
      <c r="U212" s="1"/>
      <c r="V212" s="1"/>
      <c r="W212" s="1"/>
      <c r="X212" s="1"/>
      <c r="Y212" s="1"/>
      <c r="Z212" s="1"/>
      <c r="AA212" s="1"/>
      <c r="AB212" s="1"/>
      <c r="AC212" s="1"/>
      <c r="AD212" s="1"/>
      <c r="AE212" s="1"/>
      <c r="AF212" s="1"/>
    </row>
    <row r="213" spans="1:32" ht="15.75" x14ac:dyDescent="0.25">
      <c r="A213" s="1"/>
      <c r="B213" s="1"/>
      <c r="C213" s="1"/>
      <c r="D213" s="1"/>
      <c r="E213" s="3"/>
      <c r="F213" s="3"/>
      <c r="G213" s="3"/>
      <c r="H213" s="3"/>
      <c r="I213" s="3"/>
      <c r="J213" s="3"/>
      <c r="K213" s="3"/>
      <c r="L213" s="3"/>
      <c r="M213" s="3"/>
      <c r="N213" s="3"/>
      <c r="O213" s="3"/>
      <c r="P213" s="1"/>
      <c r="Q213" s="1"/>
      <c r="R213" s="1"/>
      <c r="S213" s="1"/>
      <c r="T213" s="1"/>
      <c r="U213" s="1"/>
      <c r="V213" s="1"/>
      <c r="W213" s="1"/>
      <c r="X213" s="1"/>
      <c r="Y213" s="1"/>
      <c r="Z213" s="1"/>
      <c r="AA213" s="1"/>
      <c r="AB213" s="1"/>
      <c r="AC213" s="1"/>
      <c r="AD213" s="1"/>
      <c r="AE213" s="1"/>
      <c r="AF213" s="1"/>
    </row>
    <row r="214" spans="1:32" ht="15.75" x14ac:dyDescent="0.25">
      <c r="A214" s="1"/>
      <c r="B214" s="1"/>
      <c r="C214" s="1"/>
      <c r="D214" s="1"/>
      <c r="E214" s="3"/>
      <c r="F214" s="3"/>
      <c r="G214" s="3"/>
      <c r="H214" s="3"/>
      <c r="I214" s="3"/>
      <c r="J214" s="3"/>
      <c r="K214" s="3"/>
      <c r="L214" s="3"/>
      <c r="M214" s="3"/>
      <c r="N214" s="3"/>
      <c r="O214" s="3"/>
      <c r="P214" s="1"/>
      <c r="Q214" s="1"/>
      <c r="R214" s="1"/>
      <c r="S214" s="1"/>
      <c r="T214" s="1"/>
      <c r="U214" s="1"/>
      <c r="V214" s="1"/>
      <c r="W214" s="1"/>
      <c r="X214" s="1"/>
      <c r="Y214" s="1"/>
      <c r="Z214" s="1"/>
      <c r="AA214" s="1"/>
      <c r="AB214" s="1"/>
      <c r="AC214" s="1"/>
      <c r="AD214" s="1"/>
      <c r="AE214" s="1"/>
      <c r="AF214" s="1"/>
    </row>
    <row r="215" spans="1:32" ht="15.75" x14ac:dyDescent="0.25">
      <c r="A215" s="1"/>
      <c r="B215" s="1"/>
      <c r="C215" s="1"/>
      <c r="D215" s="1"/>
      <c r="E215" s="3"/>
      <c r="F215" s="3"/>
      <c r="G215" s="3"/>
      <c r="H215" s="3"/>
      <c r="I215" s="3"/>
      <c r="J215" s="3"/>
      <c r="K215" s="3"/>
      <c r="L215" s="3"/>
      <c r="M215" s="3"/>
      <c r="N215" s="3"/>
      <c r="O215" s="3"/>
      <c r="P215" s="1"/>
      <c r="Q215" s="1"/>
      <c r="R215" s="1"/>
      <c r="S215" s="1"/>
      <c r="T215" s="1"/>
      <c r="U215" s="1"/>
      <c r="V215" s="1"/>
      <c r="W215" s="1"/>
      <c r="X215" s="1"/>
      <c r="Y215" s="1"/>
      <c r="Z215" s="1"/>
      <c r="AA215" s="1"/>
      <c r="AB215" s="1"/>
      <c r="AC215" s="1"/>
      <c r="AD215" s="1"/>
      <c r="AE215" s="1"/>
      <c r="AF215" s="1"/>
    </row>
    <row r="216" spans="1:32" ht="15.75" x14ac:dyDescent="0.25">
      <c r="A216" s="1"/>
      <c r="B216" s="1"/>
      <c r="C216" s="1"/>
      <c r="D216" s="1"/>
      <c r="E216" s="3"/>
      <c r="F216" s="3"/>
      <c r="G216" s="3"/>
      <c r="H216" s="3"/>
      <c r="I216" s="3"/>
      <c r="J216" s="3"/>
      <c r="K216" s="3"/>
      <c r="L216" s="3"/>
      <c r="M216" s="3"/>
      <c r="N216" s="3"/>
      <c r="O216" s="3"/>
      <c r="P216" s="1"/>
      <c r="Q216" s="1"/>
      <c r="R216" s="1"/>
      <c r="S216" s="1"/>
      <c r="T216" s="1"/>
      <c r="U216" s="1"/>
      <c r="V216" s="1"/>
      <c r="W216" s="1"/>
      <c r="X216" s="1"/>
      <c r="Y216" s="1"/>
      <c r="Z216" s="1"/>
      <c r="AA216" s="1"/>
      <c r="AB216" s="1"/>
      <c r="AC216" s="1"/>
      <c r="AD216" s="1"/>
      <c r="AE216" s="1"/>
      <c r="AF216" s="1"/>
    </row>
    <row r="217" spans="1:32" ht="15.75" x14ac:dyDescent="0.25">
      <c r="A217" s="1"/>
      <c r="B217" s="1"/>
      <c r="C217" s="1"/>
      <c r="D217" s="1"/>
      <c r="E217" s="3"/>
      <c r="F217" s="3"/>
      <c r="G217" s="3"/>
      <c r="H217" s="3"/>
      <c r="I217" s="3"/>
      <c r="J217" s="3"/>
      <c r="K217" s="3"/>
      <c r="L217" s="3"/>
      <c r="M217" s="3"/>
      <c r="N217" s="3"/>
      <c r="O217" s="3"/>
      <c r="P217" s="1"/>
      <c r="Q217" s="1"/>
      <c r="R217" s="1"/>
      <c r="S217" s="1"/>
      <c r="T217" s="1"/>
      <c r="U217" s="1"/>
      <c r="V217" s="1"/>
      <c r="W217" s="1"/>
      <c r="X217" s="1"/>
      <c r="Y217" s="1"/>
      <c r="Z217" s="1"/>
      <c r="AA217" s="1"/>
      <c r="AB217" s="1"/>
      <c r="AC217" s="1"/>
      <c r="AD217" s="1"/>
      <c r="AE217" s="1"/>
      <c r="AF217" s="1"/>
    </row>
    <row r="218" spans="1:32" ht="15.75" x14ac:dyDescent="0.25">
      <c r="A218" s="1"/>
      <c r="B218" s="1"/>
      <c r="C218" s="1"/>
      <c r="D218" s="1"/>
      <c r="E218" s="3"/>
      <c r="F218" s="3"/>
      <c r="G218" s="3"/>
      <c r="H218" s="3"/>
      <c r="I218" s="3"/>
      <c r="J218" s="3"/>
      <c r="K218" s="3"/>
      <c r="L218" s="3"/>
      <c r="M218" s="3"/>
      <c r="N218" s="3"/>
      <c r="O218" s="3"/>
      <c r="P218" s="1"/>
      <c r="Q218" s="1"/>
      <c r="R218" s="1"/>
      <c r="S218" s="1"/>
      <c r="T218" s="1"/>
      <c r="U218" s="1"/>
      <c r="V218" s="1"/>
      <c r="W218" s="1"/>
      <c r="X218" s="1"/>
      <c r="Y218" s="1"/>
      <c r="Z218" s="1"/>
      <c r="AA218" s="1"/>
      <c r="AB218" s="1"/>
      <c r="AC218" s="1"/>
      <c r="AD218" s="1"/>
      <c r="AE218" s="1"/>
      <c r="AF218" s="1"/>
    </row>
    <row r="219" spans="1:32" ht="15.75" x14ac:dyDescent="0.25">
      <c r="A219" s="1"/>
      <c r="B219" s="1"/>
      <c r="C219" s="1"/>
      <c r="D219" s="1"/>
      <c r="E219" s="3"/>
      <c r="F219" s="3"/>
      <c r="G219" s="3"/>
      <c r="H219" s="3"/>
      <c r="I219" s="3"/>
      <c r="J219" s="3"/>
      <c r="K219" s="3"/>
      <c r="L219" s="3"/>
      <c r="M219" s="3"/>
      <c r="N219" s="3"/>
      <c r="O219" s="3"/>
      <c r="P219" s="1"/>
      <c r="Q219" s="1"/>
      <c r="R219" s="1"/>
      <c r="S219" s="1"/>
      <c r="T219" s="1"/>
      <c r="U219" s="1"/>
      <c r="V219" s="1"/>
      <c r="W219" s="1"/>
      <c r="X219" s="1"/>
      <c r="Y219" s="1"/>
      <c r="Z219" s="1"/>
      <c r="AA219" s="1"/>
      <c r="AB219" s="1"/>
      <c r="AC219" s="1"/>
      <c r="AD219" s="1"/>
      <c r="AE219" s="1"/>
      <c r="AF219" s="1"/>
    </row>
    <row r="220" spans="1:32" ht="15.75" x14ac:dyDescent="0.25">
      <c r="A220" s="1"/>
      <c r="B220" s="1"/>
      <c r="C220" s="1"/>
      <c r="D220" s="1"/>
      <c r="E220" s="3"/>
      <c r="F220" s="3"/>
      <c r="G220" s="3"/>
      <c r="H220" s="3"/>
      <c r="I220" s="3"/>
      <c r="J220" s="3"/>
      <c r="K220" s="3"/>
      <c r="L220" s="3"/>
      <c r="M220" s="3"/>
      <c r="N220" s="3"/>
      <c r="O220" s="3"/>
      <c r="P220" s="1"/>
      <c r="Q220" s="1"/>
      <c r="R220" s="1"/>
      <c r="S220" s="1"/>
      <c r="T220" s="1"/>
      <c r="U220" s="1"/>
      <c r="V220" s="1"/>
      <c r="W220" s="1"/>
      <c r="X220" s="1"/>
      <c r="Y220" s="1"/>
      <c r="Z220" s="1"/>
      <c r="AA220" s="1"/>
      <c r="AB220" s="1"/>
      <c r="AC220" s="1"/>
      <c r="AD220" s="1"/>
      <c r="AE220" s="1"/>
      <c r="AF220" s="1"/>
    </row>
    <row r="221" spans="1:32" ht="15.75" x14ac:dyDescent="0.25">
      <c r="A221" s="1"/>
      <c r="B221" s="1"/>
      <c r="C221" s="1"/>
      <c r="D221" s="1"/>
      <c r="E221" s="3"/>
      <c r="F221" s="3"/>
      <c r="G221" s="3"/>
      <c r="H221" s="3"/>
      <c r="I221" s="3"/>
      <c r="J221" s="3"/>
      <c r="K221" s="3"/>
      <c r="L221" s="3"/>
      <c r="M221" s="3"/>
      <c r="N221" s="3"/>
      <c r="O221" s="3"/>
      <c r="P221" s="1"/>
      <c r="Q221" s="1"/>
      <c r="R221" s="1"/>
      <c r="S221" s="1"/>
      <c r="T221" s="1"/>
      <c r="U221" s="1"/>
      <c r="V221" s="1"/>
      <c r="W221" s="1"/>
      <c r="X221" s="1"/>
      <c r="Y221" s="1"/>
      <c r="Z221" s="1"/>
      <c r="AA221" s="1"/>
      <c r="AB221" s="1"/>
      <c r="AC221" s="1"/>
      <c r="AD221" s="1"/>
      <c r="AE221" s="1"/>
      <c r="AF221" s="1"/>
    </row>
    <row r="222" spans="1:32" ht="15.75" x14ac:dyDescent="0.25">
      <c r="A222" s="1"/>
      <c r="B222" s="1"/>
      <c r="C222" s="1"/>
      <c r="D222" s="1"/>
      <c r="E222" s="3"/>
      <c r="F222" s="3"/>
      <c r="G222" s="3"/>
      <c r="H222" s="3"/>
      <c r="I222" s="3"/>
      <c r="J222" s="3"/>
      <c r="K222" s="3"/>
      <c r="L222" s="3"/>
      <c r="M222" s="3"/>
      <c r="N222" s="3"/>
      <c r="O222" s="3"/>
      <c r="P222" s="1"/>
      <c r="Q222" s="1"/>
      <c r="R222" s="1"/>
      <c r="S222" s="1"/>
      <c r="AC222" s="1"/>
      <c r="AD222" s="1"/>
      <c r="AE222" s="1"/>
      <c r="AF222" s="1"/>
    </row>
  </sheetData>
  <mergeCells count="2">
    <mergeCell ref="O108:W108"/>
    <mergeCell ref="P2:U2"/>
  </mergeCells>
  <printOptions horizontalCentered="1"/>
  <pageMargins left="0" right="0" top="0.5" bottom="0" header="0" footer="0"/>
  <pageSetup scale="66" orientation="landscape" r:id="rId1"/>
  <headerFooter>
    <oddHeader>&amp;CBentley's Home Collection</oddHeader>
  </headerFooter>
  <rowBreaks count="3" manualBreakCount="3">
    <brk id="41" max="16383" man="1"/>
    <brk id="79" max="16383" man="1"/>
    <brk id="107" max="16383" man="1"/>
  </rowBreaks>
  <colBreaks count="1" manualBreakCount="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W42"/>
  <sheetViews>
    <sheetView view="pageBreakPreview" zoomScaleNormal="100" zoomScaleSheetLayoutView="100" workbookViewId="0">
      <selection activeCell="I18" sqref="I18"/>
    </sheetView>
  </sheetViews>
  <sheetFormatPr defaultRowHeight="12.75" x14ac:dyDescent="0.2"/>
  <cols>
    <col min="2" max="2" width="24" customWidth="1"/>
    <col min="3" max="3" width="22.28515625" customWidth="1"/>
    <col min="4" max="4" width="20" bestFit="1" customWidth="1"/>
    <col min="5" max="5" width="12.7109375" bestFit="1" customWidth="1"/>
    <col min="6" max="6" width="12.5703125" bestFit="1" customWidth="1"/>
    <col min="7" max="7" width="17.42578125" bestFit="1" customWidth="1"/>
    <col min="8" max="8" width="15.85546875" customWidth="1"/>
    <col min="9" max="9" width="22.28515625" bestFit="1" customWidth="1"/>
    <col min="10" max="10" width="15.42578125" customWidth="1"/>
    <col min="11" max="11" width="14.140625" bestFit="1" customWidth="1"/>
    <col min="12" max="12" width="14.28515625" bestFit="1" customWidth="1"/>
    <col min="13" max="13" width="17.140625" customWidth="1"/>
    <col min="14" max="14" width="22.28515625" bestFit="1" customWidth="1"/>
    <col min="15" max="15" width="16.140625" customWidth="1"/>
    <col min="16" max="16" width="9.28515625" bestFit="1" customWidth="1"/>
    <col min="18" max="18" width="18.5703125" customWidth="1"/>
    <col min="19" max="19" width="15.7109375" customWidth="1"/>
    <col min="20" max="20" width="9.7109375" customWidth="1"/>
    <col min="21" max="21" width="12.28515625" customWidth="1"/>
    <col min="22" max="22" width="10.5703125" customWidth="1"/>
    <col min="23" max="23" width="17.42578125" customWidth="1"/>
  </cols>
  <sheetData>
    <row r="1" spans="1:23" ht="29.25" thickBot="1" x14ac:dyDescent="0.5">
      <c r="A1" s="76" t="s">
        <v>63</v>
      </c>
      <c r="B1" s="77"/>
      <c r="C1" s="77"/>
      <c r="D1" s="169" t="s">
        <v>185</v>
      </c>
      <c r="E1" s="77"/>
      <c r="F1" s="77"/>
      <c r="G1" s="77" t="s">
        <v>186</v>
      </c>
      <c r="H1" s="77"/>
      <c r="I1" s="210">
        <f>C5*D17+C33*D42+C19*D31</f>
        <v>-42.068705810672327</v>
      </c>
      <c r="J1" s="77"/>
      <c r="K1" s="77" t="s">
        <v>190</v>
      </c>
      <c r="L1" s="77"/>
      <c r="M1" s="77"/>
      <c r="N1" s="409">
        <f>I1*(C5+10%)</f>
        <v>-8.4137411621344658</v>
      </c>
      <c r="O1" s="77"/>
      <c r="P1" s="79"/>
      <c r="Q1" s="215"/>
      <c r="R1" s="216"/>
    </row>
    <row r="2" spans="1:23" ht="21" x14ac:dyDescent="0.35">
      <c r="A2" s="322" t="s">
        <v>188</v>
      </c>
      <c r="B2" s="323"/>
      <c r="C2" s="324"/>
      <c r="D2" s="205"/>
      <c r="E2" s="205"/>
      <c r="F2" s="205"/>
      <c r="G2" s="205"/>
      <c r="H2" s="205"/>
      <c r="I2" s="205"/>
      <c r="J2" s="205"/>
      <c r="K2" s="205"/>
      <c r="L2" s="205"/>
      <c r="M2" s="205"/>
      <c r="N2" s="205"/>
      <c r="O2" s="205"/>
      <c r="P2" s="206"/>
      <c r="Q2" s="213"/>
      <c r="R2" s="214"/>
    </row>
    <row r="3" spans="1:23" ht="21" x14ac:dyDescent="0.35">
      <c r="A3" s="325" t="s">
        <v>196</v>
      </c>
      <c r="B3" s="326"/>
      <c r="C3" s="327"/>
      <c r="D3" s="205"/>
      <c r="E3" s="205"/>
      <c r="F3" s="205"/>
      <c r="G3" s="205"/>
      <c r="H3" s="205"/>
      <c r="I3" s="205"/>
      <c r="J3" s="205"/>
      <c r="K3" s="205"/>
      <c r="L3" s="205"/>
      <c r="M3" s="205"/>
      <c r="N3" s="205"/>
      <c r="O3" s="205"/>
      <c r="P3" s="206"/>
      <c r="Q3" s="213"/>
      <c r="R3" s="214"/>
    </row>
    <row r="4" spans="1:23" ht="21.75" thickBot="1" x14ac:dyDescent="0.4">
      <c r="A4" s="328" t="s">
        <v>189</v>
      </c>
      <c r="B4" s="329"/>
      <c r="C4" s="330"/>
      <c r="D4" s="205">
        <v>0</v>
      </c>
      <c r="E4" s="205">
        <v>2014</v>
      </c>
      <c r="F4" s="205">
        <v>2015</v>
      </c>
      <c r="G4" s="205">
        <v>2016</v>
      </c>
      <c r="H4" s="205">
        <v>2017</v>
      </c>
      <c r="I4" s="205">
        <v>2018</v>
      </c>
      <c r="J4" s="205">
        <v>2019</v>
      </c>
      <c r="K4" s="205">
        <v>2020</v>
      </c>
      <c r="L4" s="205">
        <v>2021</v>
      </c>
      <c r="M4" s="205">
        <v>2022</v>
      </c>
      <c r="N4" s="205">
        <v>2023</v>
      </c>
      <c r="O4" s="205">
        <v>2024</v>
      </c>
      <c r="P4" s="206"/>
      <c r="Q4" s="213"/>
      <c r="R4" s="214"/>
    </row>
    <row r="5" spans="1:23" ht="23.25" x14ac:dyDescent="0.35">
      <c r="A5" s="217" t="s">
        <v>179</v>
      </c>
      <c r="B5" s="218"/>
      <c r="C5" s="219">
        <v>0.1</v>
      </c>
      <c r="D5" s="218"/>
      <c r="E5" s="218"/>
      <c r="F5" s="218"/>
      <c r="G5" s="218"/>
      <c r="H5" s="218"/>
      <c r="I5" s="218"/>
      <c r="J5" s="218"/>
      <c r="K5" s="218"/>
      <c r="L5" s="218"/>
      <c r="M5" s="218"/>
      <c r="N5" s="218"/>
      <c r="O5" s="218"/>
      <c r="P5" s="220"/>
    </row>
    <row r="6" spans="1:23" ht="15.75" x14ac:dyDescent="0.25">
      <c r="A6" s="243" t="s">
        <v>181</v>
      </c>
      <c r="B6" s="244"/>
      <c r="C6" s="244"/>
      <c r="D6" s="249">
        <f>'IRR and WACC'!D113</f>
        <v>0</v>
      </c>
      <c r="E6" s="249">
        <v>30500</v>
      </c>
      <c r="F6" s="249">
        <f t="shared" ref="F6:O6" si="0">E6*(1+$P$6)</f>
        <v>36600</v>
      </c>
      <c r="G6" s="249">
        <f t="shared" si="0"/>
        <v>43920</v>
      </c>
      <c r="H6" s="249">
        <f t="shared" si="0"/>
        <v>52704</v>
      </c>
      <c r="I6" s="249">
        <f t="shared" si="0"/>
        <v>63244.799999999996</v>
      </c>
      <c r="J6" s="249">
        <f t="shared" si="0"/>
        <v>75893.759999999995</v>
      </c>
      <c r="K6" s="249">
        <f t="shared" si="0"/>
        <v>91072.511999999988</v>
      </c>
      <c r="L6" s="249">
        <f t="shared" si="0"/>
        <v>109287.01439999999</v>
      </c>
      <c r="M6" s="249">
        <f t="shared" si="0"/>
        <v>131144.41727999997</v>
      </c>
      <c r="N6" s="249">
        <f t="shared" si="0"/>
        <v>157373.30073599995</v>
      </c>
      <c r="O6" s="249">
        <f t="shared" si="0"/>
        <v>188847.96088319994</v>
      </c>
      <c r="P6" s="245">
        <v>0.2</v>
      </c>
      <c r="R6" s="250"/>
      <c r="S6" s="250"/>
      <c r="T6" s="250"/>
      <c r="U6" s="250"/>
      <c r="V6" s="250"/>
      <c r="W6" s="250"/>
    </row>
    <row r="7" spans="1:23" ht="15.75" x14ac:dyDescent="0.25">
      <c r="A7" s="243"/>
      <c r="B7" s="244" t="s">
        <v>187</v>
      </c>
      <c r="C7" s="244"/>
      <c r="D7" s="249"/>
      <c r="E7" s="249"/>
      <c r="F7" s="249"/>
      <c r="G7" s="249"/>
      <c r="H7" s="249"/>
      <c r="I7" s="249"/>
      <c r="J7" s="249">
        <v>0</v>
      </c>
      <c r="K7" s="249">
        <f>K20-10000</f>
        <v>28607.369753277155</v>
      </c>
      <c r="L7" s="249">
        <f t="shared" ref="L7:O7" si="1">L20-10000</f>
        <v>35356.085071035515</v>
      </c>
      <c r="M7" s="249">
        <f t="shared" si="1"/>
        <v>42587.926717058523</v>
      </c>
      <c r="N7" s="249">
        <f t="shared" si="1"/>
        <v>50327.880297020231</v>
      </c>
      <c r="O7" s="249">
        <f t="shared" si="1"/>
        <v>58602.118636449683</v>
      </c>
      <c r="P7" s="246"/>
      <c r="R7" s="251"/>
      <c r="S7" s="251"/>
      <c r="T7" s="251"/>
      <c r="U7" s="251"/>
      <c r="V7" s="251"/>
      <c r="W7" s="14"/>
    </row>
    <row r="8" spans="1:23" ht="15.75" x14ac:dyDescent="0.25">
      <c r="A8" s="243" t="s">
        <v>182</v>
      </c>
      <c r="B8" s="244"/>
      <c r="C8" s="244"/>
      <c r="D8" s="249">
        <f>SUM('IRR and WACC'!D116:D132)-SUM('IRR and WACC'!D121:D122,'IRR and WACC'!D125:D126)</f>
        <v>-300297.75342465751</v>
      </c>
      <c r="E8" s="249">
        <f>SUM('IRR and WACC'!E116:E132)-SUM('IRR and WACC'!E121:E122,'IRR and WACC'!E125:E126)</f>
        <v>-3339.1750774794491</v>
      </c>
      <c r="F8" s="249">
        <f>E8*(1+$P$8)</f>
        <v>-3806.6595883265722</v>
      </c>
      <c r="G8" s="249">
        <f t="shared" ref="G8:N8" si="2">F8*(1+$P$8)</f>
        <v>-4339.5919306922924</v>
      </c>
      <c r="H8" s="249">
        <f t="shared" si="2"/>
        <v>-4947.1348009892135</v>
      </c>
      <c r="I8" s="249">
        <f t="shared" si="2"/>
        <v>-5639.7336731277037</v>
      </c>
      <c r="J8" s="249">
        <f t="shared" si="2"/>
        <v>-6429.2963873655826</v>
      </c>
      <c r="K8" s="249">
        <f t="shared" si="2"/>
        <v>-7329.3978815967648</v>
      </c>
      <c r="L8" s="249">
        <f t="shared" si="2"/>
        <v>-8355.5135850203133</v>
      </c>
      <c r="M8" s="249">
        <f t="shared" si="2"/>
        <v>-9525.2854869231578</v>
      </c>
      <c r="N8" s="249">
        <f t="shared" si="2"/>
        <v>-10858.825455092401</v>
      </c>
      <c r="O8" s="249">
        <v>0</v>
      </c>
      <c r="P8" s="245">
        <v>0.14000000000000001</v>
      </c>
      <c r="R8" s="252"/>
      <c r="S8" s="252"/>
      <c r="T8" s="251"/>
      <c r="U8" s="253"/>
      <c r="V8" s="254"/>
      <c r="W8" s="255"/>
    </row>
    <row r="9" spans="1:23" ht="15.75" x14ac:dyDescent="0.25">
      <c r="A9" s="243"/>
      <c r="B9" s="244" t="s">
        <v>187</v>
      </c>
      <c r="C9" s="244"/>
      <c r="D9" s="249"/>
      <c r="E9" s="249"/>
      <c r="F9" s="249"/>
      <c r="G9" s="249"/>
      <c r="H9" s="249"/>
      <c r="I9" s="249"/>
      <c r="J9" s="249">
        <f>-300000</f>
        <v>-300000</v>
      </c>
      <c r="K9" s="249">
        <f>K7*$P$9</f>
        <v>-5587.1111413425988</v>
      </c>
      <c r="L9" s="249">
        <f t="shared" ref="L9:N9" si="3">L7*$P$9</f>
        <v>-6905.1569060105558</v>
      </c>
      <c r="M9" s="249">
        <f t="shared" si="3"/>
        <v>-8317.55879340504</v>
      </c>
      <c r="N9" s="249">
        <f t="shared" si="3"/>
        <v>-9829.196572517003</v>
      </c>
      <c r="O9" s="249">
        <v>0</v>
      </c>
      <c r="P9" s="247">
        <f>K22/K20</f>
        <v>-0.19530320996052283</v>
      </c>
      <c r="R9" s="251"/>
      <c r="S9" s="251"/>
      <c r="T9" s="251"/>
      <c r="U9" s="251"/>
      <c r="V9" s="251"/>
      <c r="W9" s="251"/>
    </row>
    <row r="10" spans="1:23" ht="15.75" x14ac:dyDescent="0.25">
      <c r="A10" s="243" t="s">
        <v>183</v>
      </c>
      <c r="B10" s="244"/>
      <c r="C10" s="244"/>
      <c r="D10" s="249">
        <f>SUM('IRR and WACC'!D121:D122,'IRR and WACC'!D125:D126)</f>
        <v>0</v>
      </c>
      <c r="E10" s="249">
        <f>SUM('IRR and WACC'!E121:E122,'IRR and WACC'!E125:E126)</f>
        <v>0</v>
      </c>
      <c r="F10" s="249">
        <f>SUM('IRR and WACC'!F121:F122,'IRR and WACC'!F125:F126)</f>
        <v>0</v>
      </c>
      <c r="G10" s="249">
        <f>SUM('IRR and WACC'!G121:G122,'IRR and WACC'!G125:G126)</f>
        <v>0</v>
      </c>
      <c r="H10" s="249">
        <f>SUM('IRR and WACC'!H121:H122,'IRR and WACC'!H125:H126)</f>
        <v>0</v>
      </c>
      <c r="I10" s="249">
        <f>SUM('IRR and WACC'!I121:I122,'IRR and WACC'!I125:I126)</f>
        <v>0</v>
      </c>
      <c r="J10" s="249">
        <f>SUM('IRR and WACC'!J121:J122,'IRR and WACC'!J125:J126)</f>
        <v>0</v>
      </c>
      <c r="K10" s="249">
        <f>SUM('IRR and WACC'!K121:K122,'IRR and WACC'!K125:K126)</f>
        <v>0</v>
      </c>
      <c r="L10" s="249">
        <f>SUM('IRR and WACC'!L121:L122,'IRR and WACC'!L125:L126)</f>
        <v>0</v>
      </c>
      <c r="M10" s="249">
        <f>SUM('IRR and WACC'!M121:M122,'IRR and WACC'!M125:M126)</f>
        <v>0</v>
      </c>
      <c r="N10" s="249">
        <f>SUM('IRR and WACC'!N121:N122,'IRR and WACC'!N125:N126)</f>
        <v>0</v>
      </c>
      <c r="O10" s="249">
        <v>366000</v>
      </c>
      <c r="P10" s="246"/>
      <c r="R10" s="251"/>
      <c r="S10" s="251"/>
      <c r="T10" s="251"/>
      <c r="U10" s="251"/>
      <c r="V10" s="251"/>
      <c r="W10" s="251"/>
    </row>
    <row r="11" spans="1:23" ht="15.75" x14ac:dyDescent="0.25">
      <c r="A11" s="243"/>
      <c r="B11" s="244" t="s">
        <v>187</v>
      </c>
      <c r="C11" s="244"/>
      <c r="D11" s="249"/>
      <c r="E11" s="249"/>
      <c r="F11" s="249"/>
      <c r="G11" s="249"/>
      <c r="H11" s="249"/>
      <c r="I11" s="249"/>
      <c r="J11" s="249"/>
      <c r="K11" s="249"/>
      <c r="L11" s="249"/>
      <c r="M11" s="249"/>
      <c r="N11" s="249"/>
      <c r="O11" s="249">
        <v>350000</v>
      </c>
      <c r="P11" s="246"/>
      <c r="R11" s="251"/>
      <c r="S11" s="251"/>
      <c r="T11" s="251"/>
      <c r="U11" s="251"/>
      <c r="V11" s="251"/>
      <c r="W11" s="251"/>
    </row>
    <row r="12" spans="1:23" ht="15.75" x14ac:dyDescent="0.25">
      <c r="A12" s="248"/>
      <c r="B12" s="244"/>
      <c r="C12" s="244"/>
      <c r="D12" s="249"/>
      <c r="E12" s="249"/>
      <c r="F12" s="249"/>
      <c r="G12" s="249"/>
      <c r="H12" s="249"/>
      <c r="I12" s="249"/>
      <c r="J12" s="249"/>
      <c r="K12" s="249"/>
      <c r="L12" s="249"/>
      <c r="M12" s="249"/>
      <c r="N12" s="249"/>
      <c r="O12" s="249"/>
      <c r="P12" s="246"/>
      <c r="R12" s="251"/>
      <c r="S12" s="256"/>
      <c r="T12" s="251"/>
      <c r="U12" s="251"/>
      <c r="V12" s="251"/>
      <c r="W12" s="251"/>
    </row>
    <row r="13" spans="1:23" ht="15.75" x14ac:dyDescent="0.25">
      <c r="A13" s="248" t="s">
        <v>116</v>
      </c>
      <c r="B13" s="244"/>
      <c r="C13" s="244"/>
      <c r="D13" s="249">
        <f>SUM(D6:D11)</f>
        <v>-300297.75342465751</v>
      </c>
      <c r="E13" s="249">
        <f t="shared" ref="E13:O13" si="4">SUM(E6:E11)</f>
        <v>27160.824922520551</v>
      </c>
      <c r="F13" s="249">
        <f t="shared" si="4"/>
        <v>32793.340411673431</v>
      </c>
      <c r="G13" s="249">
        <f t="shared" si="4"/>
        <v>39580.408069307705</v>
      </c>
      <c r="H13" s="249">
        <f t="shared" si="4"/>
        <v>47756.86519901079</v>
      </c>
      <c r="I13" s="249">
        <f t="shared" si="4"/>
        <v>57605.066326872293</v>
      </c>
      <c r="J13" s="249">
        <f t="shared" si="4"/>
        <v>-230535.5363873656</v>
      </c>
      <c r="K13" s="249">
        <f t="shared" si="4"/>
        <v>106763.37273033778</v>
      </c>
      <c r="L13" s="249">
        <f t="shared" si="4"/>
        <v>129382.42898000462</v>
      </c>
      <c r="M13" s="249">
        <f t="shared" si="4"/>
        <v>155889.49971673029</v>
      </c>
      <c r="N13" s="249">
        <f t="shared" si="4"/>
        <v>187013.15900541077</v>
      </c>
      <c r="O13" s="249">
        <f t="shared" si="4"/>
        <v>963450.07951964962</v>
      </c>
      <c r="P13" s="246"/>
      <c r="R13" s="251"/>
      <c r="S13" s="251"/>
      <c r="T13" s="251"/>
      <c r="U13" s="251"/>
      <c r="V13" s="251"/>
      <c r="W13" s="251"/>
    </row>
    <row r="14" spans="1:23" ht="18" customHeight="1" x14ac:dyDescent="0.25">
      <c r="A14" s="234" t="s">
        <v>117</v>
      </c>
      <c r="B14" s="309"/>
      <c r="C14" s="309"/>
      <c r="D14" s="310">
        <f>IRR(D13:O13)</f>
        <v>0.19348458859016704</v>
      </c>
      <c r="E14" s="426" t="s">
        <v>203</v>
      </c>
      <c r="F14" s="426"/>
      <c r="G14" s="426"/>
      <c r="H14" s="426"/>
      <c r="I14" s="426"/>
      <c r="J14" s="426"/>
      <c r="K14" s="426"/>
      <c r="L14" s="426"/>
      <c r="M14" s="426"/>
      <c r="N14" s="426"/>
      <c r="O14" s="426"/>
      <c r="P14" s="427"/>
      <c r="R14" s="251"/>
      <c r="S14" s="257"/>
      <c r="T14" s="251"/>
      <c r="U14" s="251"/>
      <c r="V14" s="251"/>
      <c r="W14" s="251"/>
    </row>
    <row r="15" spans="1:23" ht="21" customHeight="1" x14ac:dyDescent="0.25">
      <c r="A15" s="234"/>
      <c r="B15" s="309"/>
      <c r="C15" s="309"/>
      <c r="D15" s="311"/>
      <c r="E15" s="426"/>
      <c r="F15" s="426"/>
      <c r="G15" s="426"/>
      <c r="H15" s="426"/>
      <c r="I15" s="426"/>
      <c r="J15" s="426"/>
      <c r="K15" s="426"/>
      <c r="L15" s="426"/>
      <c r="M15" s="426"/>
      <c r="N15" s="426"/>
      <c r="O15" s="426"/>
      <c r="P15" s="427"/>
    </row>
    <row r="16" spans="1:23" ht="18" x14ac:dyDescent="0.25">
      <c r="A16" s="234" t="s">
        <v>118</v>
      </c>
      <c r="B16" s="309"/>
      <c r="C16" s="309"/>
      <c r="D16" s="310">
        <v>7.4999999999999997E-2</v>
      </c>
      <c r="E16" s="426"/>
      <c r="F16" s="426"/>
      <c r="G16" s="426"/>
      <c r="H16" s="426"/>
      <c r="I16" s="426"/>
      <c r="J16" s="426"/>
      <c r="K16" s="426"/>
      <c r="L16" s="426"/>
      <c r="M16" s="426"/>
      <c r="N16" s="426"/>
      <c r="O16" s="426"/>
      <c r="P16" s="427"/>
    </row>
    <row r="17" spans="1:16" ht="21" customHeight="1" x14ac:dyDescent="0.3">
      <c r="A17" s="234" t="s">
        <v>184</v>
      </c>
      <c r="B17" s="309"/>
      <c r="C17" s="309"/>
      <c r="D17" s="312">
        <f>NPV(D16,E13:O13)+D13</f>
        <v>455504.29133098805</v>
      </c>
      <c r="E17" s="426"/>
      <c r="F17" s="426"/>
      <c r="G17" s="426"/>
      <c r="H17" s="426"/>
      <c r="I17" s="426"/>
      <c r="J17" s="426"/>
      <c r="K17" s="426"/>
      <c r="L17" s="426"/>
      <c r="M17" s="426"/>
      <c r="N17" s="426"/>
      <c r="O17" s="426"/>
      <c r="P17" s="427"/>
    </row>
    <row r="18" spans="1:16" x14ac:dyDescent="0.2">
      <c r="A18" s="212"/>
      <c r="B18" s="209"/>
      <c r="C18" s="209"/>
      <c r="D18" s="209"/>
      <c r="E18" s="209"/>
      <c r="F18" s="209"/>
      <c r="G18" s="209"/>
      <c r="H18" s="209"/>
      <c r="I18" s="209"/>
      <c r="J18" s="209"/>
      <c r="K18" s="209"/>
      <c r="L18" s="209"/>
      <c r="M18" s="209"/>
      <c r="N18" s="209"/>
      <c r="O18" s="22"/>
      <c r="P18" s="236"/>
    </row>
    <row r="19" spans="1:16" ht="23.25" x14ac:dyDescent="0.35">
      <c r="A19" s="221" t="s">
        <v>195</v>
      </c>
      <c r="B19" s="222"/>
      <c r="C19" s="223">
        <v>0.7</v>
      </c>
      <c r="D19" s="222"/>
      <c r="E19" s="222"/>
      <c r="F19" s="237"/>
      <c r="G19" s="237"/>
      <c r="H19" s="222"/>
      <c r="I19" s="222"/>
      <c r="J19" s="222"/>
      <c r="K19" s="224"/>
      <c r="L19" s="224"/>
      <c r="M19" s="224"/>
      <c r="N19" s="224"/>
      <c r="O19" s="224"/>
      <c r="P19" s="225"/>
    </row>
    <row r="20" spans="1:16" ht="15.75" x14ac:dyDescent="0.25">
      <c r="A20" s="258" t="s">
        <v>181</v>
      </c>
      <c r="B20" s="259"/>
      <c r="C20" s="259"/>
      <c r="D20" s="261">
        <f>'IRR and WACC'!D113</f>
        <v>0</v>
      </c>
      <c r="E20" s="261">
        <f>'IRR and WACC'!E113</f>
        <v>2635</v>
      </c>
      <c r="F20" s="261">
        <f>'IRR and WACC'!F113</f>
        <v>7684.1211599999515</v>
      </c>
      <c r="G20" s="261">
        <f>'IRR and WACC'!G113</f>
        <v>13233.76312110154</v>
      </c>
      <c r="H20" s="261">
        <f>'IRR and WACC'!H113</f>
        <v>19318.824612132943</v>
      </c>
      <c r="I20" s="261">
        <f>'IRR and WACC'!I113</f>
        <v>25976.603191232105</v>
      </c>
      <c r="J20" s="261">
        <f>'IRR and WACC'!J113</f>
        <v>32317.932752783334</v>
      </c>
      <c r="K20" s="261">
        <f>'IRR and WACC'!K113</f>
        <v>38607.369753277155</v>
      </c>
      <c r="L20" s="261">
        <f>'IRR and WACC'!L113</f>
        <v>45356.085071035515</v>
      </c>
      <c r="M20" s="261">
        <f>'IRR and WACC'!M113</f>
        <v>52587.926717058523</v>
      </c>
      <c r="N20" s="261">
        <f>'IRR and WACC'!N113</f>
        <v>60327.880297020231</v>
      </c>
      <c r="O20" s="261">
        <f>'IRR and WACC'!O113</f>
        <v>68602.118636449683</v>
      </c>
      <c r="P20" s="320"/>
    </row>
    <row r="21" spans="1:16" ht="15.75" x14ac:dyDescent="0.25">
      <c r="A21" s="258"/>
      <c r="B21" s="259" t="s">
        <v>187</v>
      </c>
      <c r="C21" s="259"/>
      <c r="D21" s="261"/>
      <c r="E21" s="261"/>
      <c r="F21" s="261"/>
      <c r="G21" s="261"/>
      <c r="H21" s="261"/>
      <c r="I21" s="261"/>
      <c r="J21" s="261"/>
      <c r="K21" s="261"/>
      <c r="L21" s="261"/>
      <c r="M21" s="261"/>
      <c r="N21" s="261"/>
      <c r="O21" s="261"/>
      <c r="P21" s="320"/>
    </row>
    <row r="22" spans="1:16" ht="15.75" x14ac:dyDescent="0.25">
      <c r="A22" s="258" t="s">
        <v>182</v>
      </c>
      <c r="B22" s="259"/>
      <c r="C22" s="259"/>
      <c r="D22" s="261">
        <f>SUM('IRR and WACC'!D116:D132)-SUM('IRR and WACC'!D121:D122,'IRR and WACC'!D125:D126)</f>
        <v>-300297.75342465751</v>
      </c>
      <c r="E22" s="261">
        <f>SUM('IRR and WACC'!E116:E132)-SUM('IRR and WACC'!E121:E122,'IRR and WACC'!E125:E126)</f>
        <v>-3339.1750774794491</v>
      </c>
      <c r="F22" s="261">
        <f>SUM('IRR and WACC'!F116:F132)-SUM('IRR and WACC'!F121:F122,'IRR and WACC'!F125:F126)</f>
        <v>-3694.927757170386</v>
      </c>
      <c r="G22" s="261">
        <f>SUM('IRR and WACC'!G116:G132)-SUM('IRR and WACC'!G121:G122,'IRR and WACC'!G125:G126)</f>
        <v>-4087.8753170159762</v>
      </c>
      <c r="H22" s="261">
        <f>SUM('IRR and WACC'!H116:H132)-SUM('IRR and WACC'!H121:H122,'IRR and WACC'!H125:H126)</f>
        <v>-5757.6316613880117</v>
      </c>
      <c r="I22" s="261">
        <f>SUM('IRR and WACC'!I116:I132)-SUM('IRR and WACC'!I121:I122,'IRR and WACC'!I125:I126)</f>
        <v>-6978.1217527553044</v>
      </c>
      <c r="J22" s="261">
        <f>SUM('IRR and WACC'!J116:J132)-SUM('IRR and WACC'!J121:J122,'IRR and WACC'!J125:J126)</f>
        <v>-6992.627954973058</v>
      </c>
      <c r="K22" s="261">
        <f>SUM('IRR and WACC'!K116:K132)-SUM('IRR and WACC'!K121:K122,'IRR and WACC'!K125:K126)</f>
        <v>-7540.1432409478266</v>
      </c>
      <c r="L22" s="261">
        <f>SUM('IRR and WACC'!L116:L132)-SUM('IRR and WACC'!L121:L122,'IRR and WACC'!L125:L126)</f>
        <v>-8136.6191993960083</v>
      </c>
      <c r="M22" s="261">
        <f>SUM('IRR and WACC'!M116:M132)-SUM('IRR and WACC'!M121:M122,'IRR and WACC'!M125:M126)</f>
        <v>-8786.8699496661156</v>
      </c>
      <c r="N22" s="261">
        <f>SUM('IRR and WACC'!N116:N132)-SUM('IRR and WACC'!N121:N122,'IRR and WACC'!N125:N126)</f>
        <v>-9496.2067370858749</v>
      </c>
      <c r="O22" s="261">
        <v>0</v>
      </c>
      <c r="P22" s="320"/>
    </row>
    <row r="23" spans="1:16" ht="15.75" x14ac:dyDescent="0.25">
      <c r="A23" s="258"/>
      <c r="B23" s="259" t="s">
        <v>187</v>
      </c>
      <c r="C23" s="259"/>
      <c r="D23" s="261"/>
      <c r="E23" s="261"/>
      <c r="F23" s="261"/>
      <c r="G23" s="261"/>
      <c r="H23" s="261"/>
      <c r="I23" s="261"/>
      <c r="J23" s="261"/>
      <c r="K23" s="261"/>
      <c r="L23" s="261"/>
      <c r="M23" s="261"/>
      <c r="N23" s="261"/>
      <c r="O23" s="261"/>
      <c r="P23" s="320"/>
    </row>
    <row r="24" spans="1:16" ht="15.75" x14ac:dyDescent="0.25">
      <c r="A24" s="258" t="s">
        <v>183</v>
      </c>
      <c r="B24" s="259"/>
      <c r="C24" s="259"/>
      <c r="D24" s="261">
        <f>SUM('IRR and WACC'!D121:D122,'IRR and WACC'!D125:D126)</f>
        <v>0</v>
      </c>
      <c r="E24" s="261">
        <f>SUM('IRR and WACC'!E121:E122,'IRR and WACC'!E125:E126)</f>
        <v>0</v>
      </c>
      <c r="F24" s="261">
        <f>SUM('IRR and WACC'!F121:F122,'IRR and WACC'!F125:F126)</f>
        <v>0</v>
      </c>
      <c r="G24" s="261">
        <f>SUM('IRR and WACC'!G121:G122,'IRR and WACC'!G125:G126)</f>
        <v>0</v>
      </c>
      <c r="H24" s="261">
        <f>SUM('IRR and WACC'!H121:H122,'IRR and WACC'!H125:H126)</f>
        <v>0</v>
      </c>
      <c r="I24" s="261">
        <f>SUM('IRR and WACC'!I121:I122,'IRR and WACC'!I125:I126)</f>
        <v>0</v>
      </c>
      <c r="J24" s="261">
        <f>SUM('IRR and WACC'!J121:J122,'IRR and WACC'!J125:J126)</f>
        <v>0</v>
      </c>
      <c r="K24" s="261">
        <f>SUM('IRR and WACC'!K121:K122,'IRR and WACC'!K125:K126)</f>
        <v>0</v>
      </c>
      <c r="L24" s="261">
        <f>SUM('IRR and WACC'!L121:L122,'IRR and WACC'!L125:L126)</f>
        <v>0</v>
      </c>
      <c r="M24" s="261">
        <f>SUM('IRR and WACC'!M121:M122,'IRR and WACC'!M125:M126)</f>
        <v>0</v>
      </c>
      <c r="N24" s="261">
        <f>SUM('IRR and WACC'!N121:N122,'IRR and WACC'!N125:N126)</f>
        <v>0</v>
      </c>
      <c r="O24" s="261">
        <f>SUM('IRR and WACC'!O116:O129)</f>
        <v>291410.45207253558</v>
      </c>
      <c r="P24" s="320"/>
    </row>
    <row r="25" spans="1:16" ht="15.75" x14ac:dyDescent="0.25">
      <c r="A25" s="258"/>
      <c r="B25" s="259" t="s">
        <v>187</v>
      </c>
      <c r="C25" s="259"/>
      <c r="D25" s="261"/>
      <c r="E25" s="261"/>
      <c r="F25" s="261"/>
      <c r="G25" s="261"/>
      <c r="H25" s="261"/>
      <c r="I25" s="261"/>
      <c r="J25" s="261"/>
      <c r="K25" s="261"/>
      <c r="L25" s="261"/>
      <c r="M25" s="261"/>
      <c r="N25" s="261"/>
      <c r="O25" s="261"/>
      <c r="P25" s="320"/>
    </row>
    <row r="26" spans="1:16" ht="15.75" x14ac:dyDescent="0.25">
      <c r="A26" s="260"/>
      <c r="B26" s="259"/>
      <c r="C26" s="259"/>
      <c r="D26" s="261"/>
      <c r="E26" s="261"/>
      <c r="F26" s="261"/>
      <c r="G26" s="261"/>
      <c r="H26" s="261"/>
      <c r="I26" s="261"/>
      <c r="J26" s="261"/>
      <c r="K26" s="261"/>
      <c r="L26" s="261"/>
      <c r="M26" s="261"/>
      <c r="N26" s="261"/>
      <c r="O26" s="261"/>
      <c r="P26" s="320"/>
    </row>
    <row r="27" spans="1:16" ht="15.75" x14ac:dyDescent="0.25">
      <c r="A27" s="260" t="s">
        <v>116</v>
      </c>
      <c r="B27" s="259"/>
      <c r="C27" s="259"/>
      <c r="D27" s="261">
        <f>SUM(D20:D24)</f>
        <v>-300297.75342465751</v>
      </c>
      <c r="E27" s="261">
        <f t="shared" ref="E27:N27" si="5">SUM(E20:E24)</f>
        <v>-704.1750774794491</v>
      </c>
      <c r="F27" s="261">
        <f t="shared" si="5"/>
        <v>3989.1934028295655</v>
      </c>
      <c r="G27" s="261">
        <f t="shared" si="5"/>
        <v>9145.8878040855634</v>
      </c>
      <c r="H27" s="261">
        <f t="shared" si="5"/>
        <v>13561.192950744931</v>
      </c>
      <c r="I27" s="261">
        <f t="shared" si="5"/>
        <v>18998.4814384768</v>
      </c>
      <c r="J27" s="261">
        <f t="shared" si="5"/>
        <v>25325.304797810277</v>
      </c>
      <c r="K27" s="261">
        <f t="shared" si="5"/>
        <v>31067.226512329329</v>
      </c>
      <c r="L27" s="261">
        <f t="shared" si="5"/>
        <v>37219.465871639506</v>
      </c>
      <c r="M27" s="261">
        <f t="shared" si="5"/>
        <v>43801.056767392409</v>
      </c>
      <c r="N27" s="261">
        <f t="shared" si="5"/>
        <v>50831.673559934352</v>
      </c>
      <c r="O27" s="261">
        <f>SUM(O20:O25)</f>
        <v>360012.57070898527</v>
      </c>
      <c r="P27" s="320"/>
    </row>
    <row r="28" spans="1:16" ht="18" x14ac:dyDescent="0.25">
      <c r="A28" s="238" t="s">
        <v>117</v>
      </c>
      <c r="B28" s="239"/>
      <c r="C28" s="239"/>
      <c r="D28" s="240">
        <f>IRR(D27:O27)</f>
        <v>7.471048905912836E-2</v>
      </c>
      <c r="E28" s="226"/>
      <c r="F28" s="226"/>
      <c r="G28" s="226"/>
      <c r="H28" s="226"/>
      <c r="I28" s="226"/>
      <c r="J28" s="226"/>
      <c r="K28" s="226"/>
      <c r="L28" s="226"/>
      <c r="M28" s="228"/>
      <c r="N28" s="228"/>
      <c r="O28" s="228"/>
      <c r="P28" s="227"/>
    </row>
    <row r="29" spans="1:16" ht="18" x14ac:dyDescent="0.25">
      <c r="A29" s="238"/>
      <c r="B29" s="239"/>
      <c r="C29" s="239"/>
      <c r="D29" s="241"/>
      <c r="E29" s="226"/>
      <c r="F29" s="226"/>
      <c r="G29" s="226"/>
      <c r="H29" s="226"/>
      <c r="I29" s="226"/>
      <c r="J29" s="226"/>
      <c r="K29" s="226"/>
      <c r="L29" s="226"/>
      <c r="M29" s="228"/>
      <c r="N29" s="228"/>
      <c r="O29" s="228"/>
      <c r="P29" s="227"/>
    </row>
    <row r="30" spans="1:16" ht="18" x14ac:dyDescent="0.25">
      <c r="A30" s="238" t="s">
        <v>118</v>
      </c>
      <c r="B30" s="239"/>
      <c r="C30" s="239"/>
      <c r="D30" s="240">
        <f>'IRR and WACC'!D136</f>
        <v>7.2059690482456473E-2</v>
      </c>
      <c r="E30" s="226"/>
      <c r="F30" s="226"/>
      <c r="G30" s="226"/>
      <c r="H30" s="226"/>
      <c r="I30" s="226"/>
      <c r="J30" s="226"/>
      <c r="K30" s="226"/>
      <c r="L30" s="226"/>
      <c r="M30" s="228"/>
      <c r="N30" s="228"/>
      <c r="O30" s="228"/>
      <c r="P30" s="227"/>
    </row>
    <row r="31" spans="1:16" ht="18.75" x14ac:dyDescent="0.3">
      <c r="A31" s="238" t="s">
        <v>184</v>
      </c>
      <c r="B31" s="239"/>
      <c r="C31" s="239"/>
      <c r="D31" s="242">
        <f>NPV(D30,E27:O27)+D27</f>
        <v>6946.5011806068942</v>
      </c>
      <c r="E31" s="226"/>
      <c r="F31" s="226"/>
      <c r="G31" s="226"/>
      <c r="H31" s="226"/>
      <c r="I31" s="226"/>
      <c r="J31" s="226"/>
      <c r="K31" s="226"/>
      <c r="L31" s="226"/>
      <c r="M31" s="228"/>
      <c r="N31" s="228"/>
      <c r="O31" s="228"/>
      <c r="P31" s="227"/>
    </row>
    <row r="32" spans="1:16" x14ac:dyDescent="0.2">
      <c r="A32" s="212"/>
      <c r="B32" s="209"/>
      <c r="C32" s="209"/>
      <c r="D32" s="209"/>
      <c r="E32" s="209"/>
      <c r="F32" s="209"/>
      <c r="G32" s="209"/>
      <c r="H32" s="209"/>
      <c r="I32" s="209"/>
      <c r="J32" s="209"/>
      <c r="K32" s="209"/>
      <c r="L32" s="209"/>
      <c r="M32" s="209"/>
      <c r="N32" s="209"/>
      <c r="O32" s="22"/>
      <c r="P32" s="236"/>
    </row>
    <row r="33" spans="1:16" ht="23.25" x14ac:dyDescent="0.35">
      <c r="A33" s="211" t="s">
        <v>180</v>
      </c>
      <c r="B33" s="207"/>
      <c r="C33" s="208">
        <v>0.2</v>
      </c>
      <c r="D33" s="207"/>
      <c r="E33" s="207"/>
      <c r="F33" s="207"/>
      <c r="G33" s="207"/>
      <c r="H33" s="207"/>
      <c r="I33" s="207"/>
      <c r="J33" s="207"/>
      <c r="K33" s="207"/>
      <c r="L33" s="207"/>
      <c r="M33" s="207"/>
      <c r="N33" s="207"/>
      <c r="O33" s="207"/>
      <c r="P33" s="235"/>
    </row>
    <row r="34" spans="1:16" ht="15.75" x14ac:dyDescent="0.25">
      <c r="A34" s="262" t="s">
        <v>181</v>
      </c>
      <c r="B34" s="263"/>
      <c r="C34" s="263"/>
      <c r="D34" s="265">
        <f>Bankruptcy!D114</f>
        <v>0</v>
      </c>
      <c r="E34" s="265">
        <f>Bankruptcy!E114</f>
        <v>31701.672653382215</v>
      </c>
      <c r="F34" s="265">
        <f>Bankruptcy!F114</f>
        <v>7402.7939999999944</v>
      </c>
      <c r="G34" s="265">
        <f>Bankruptcy!G114</f>
        <v>-31663.823755999969</v>
      </c>
      <c r="H34" s="265">
        <f>Bankruptcy!H114</f>
        <v>-88870.171041375899</v>
      </c>
      <c r="I34" s="265">
        <f>Bankruptcy!I114</f>
        <v>-171643.05535063409</v>
      </c>
      <c r="J34" s="265">
        <f>Bankruptcy!J114</f>
        <v>0</v>
      </c>
      <c r="K34" s="265">
        <f>J34</f>
        <v>0</v>
      </c>
      <c r="L34" s="265">
        <f t="shared" ref="L34:O34" si="6">K34</f>
        <v>0</v>
      </c>
      <c r="M34" s="265">
        <f t="shared" si="6"/>
        <v>0</v>
      </c>
      <c r="N34" s="265">
        <f t="shared" si="6"/>
        <v>0</v>
      </c>
      <c r="O34" s="265">
        <f t="shared" si="6"/>
        <v>0</v>
      </c>
      <c r="P34" s="321"/>
    </row>
    <row r="35" spans="1:16" ht="15.75" x14ac:dyDescent="0.25">
      <c r="A35" s="262" t="s">
        <v>182</v>
      </c>
      <c r="B35" s="263"/>
      <c r="C35" s="263"/>
      <c r="D35" s="265">
        <f>SUM(Bankruptcy!D117:D131)-SUM(Bankruptcy!D122:D123,Bankruptcy!D126:D127)</f>
        <v>-242419.75484516306</v>
      </c>
      <c r="E35" s="265">
        <f>SUM(Bankruptcy!E117:E131)-SUM(Bankruptcy!E122:E123,Bankruptcy!E126:E127)</f>
        <v>-5179.1368041520545</v>
      </c>
      <c r="F35" s="265">
        <f>SUM(Bankruptcy!F117:F131)-SUM(Bankruptcy!F122:F123,Bankruptcy!F126:F127)</f>
        <v>-3619.2258855298714</v>
      </c>
      <c r="G35" s="265">
        <f>SUM(Bankruptcy!G117:G131)-SUM(Bankruptcy!G122:G123,Bankruptcy!G126:G127)</f>
        <v>-4019.3005130804377</v>
      </c>
      <c r="H35" s="265">
        <f>SUM(Bankruptcy!H117:H131)-SUM(Bankruptcy!H122:H123,Bankruptcy!H126:H127)</f>
        <v>-5963.6442156449193</v>
      </c>
      <c r="I35" s="265">
        <f>SUM(Bankruptcy!I117:I131)-SUM(Bankruptcy!I122:I123,Bankruptcy!I126:I127)-Bankruptcy!I121-Bankruptcy!I125</f>
        <v>111201.06226357032</v>
      </c>
      <c r="J35" s="265">
        <f>SUM(Bankruptcy!J117:J131)-SUM(Bankruptcy!J122:J123,Bankruptcy!J126:J127)</f>
        <v>0</v>
      </c>
      <c r="K35" s="265">
        <f>SUM(Bankruptcy!K117:K131)-SUM(Bankruptcy!K122:K123,Bankruptcy!K126:K127)</f>
        <v>0</v>
      </c>
      <c r="L35" s="265">
        <f>SUM(Bankruptcy!L117:L131)-SUM(Bankruptcy!L122:L123,Bankruptcy!L126:L127)</f>
        <v>0</v>
      </c>
      <c r="M35" s="265">
        <f>SUM(Bankruptcy!M117:M131)-SUM(Bankruptcy!M122:M123,Bankruptcy!M126:M127)</f>
        <v>0</v>
      </c>
      <c r="N35" s="265">
        <f>SUM(Bankruptcy!N117:N131)-SUM(Bankruptcy!N122:N123,Bankruptcy!N126:N127)</f>
        <v>0</v>
      </c>
      <c r="O35" s="265">
        <f>SUM(Bankruptcy!O117:O131)-SUM(Bankruptcy!O122:O123,Bankruptcy!O126:O127)</f>
        <v>0</v>
      </c>
      <c r="P35" s="321"/>
    </row>
    <row r="36" spans="1:16" ht="15.75" x14ac:dyDescent="0.25">
      <c r="A36" s="262" t="s">
        <v>183</v>
      </c>
      <c r="B36" s="263"/>
      <c r="C36" s="263"/>
      <c r="D36" s="265">
        <f>SUM(Bankruptcy!D122:D123,Bankruptcy!D126:D127)</f>
        <v>0</v>
      </c>
      <c r="E36" s="265">
        <f>SUM(Bankruptcy!E122:E123,Bankruptcy!E126:E127)</f>
        <v>0</v>
      </c>
      <c r="F36" s="265">
        <f>SUM(Bankruptcy!F122:F123,Bankruptcy!F126:F127)</f>
        <v>0</v>
      </c>
      <c r="G36" s="265">
        <f>SUM(Bankruptcy!G122:G123,Bankruptcy!G126:G127)</f>
        <v>0</v>
      </c>
      <c r="H36" s="265">
        <f>SUM(Bankruptcy!H122:H123,Bankruptcy!H126:H127)</f>
        <v>0</v>
      </c>
      <c r="I36" s="265">
        <f>SUM(Bankruptcy!I122:I123,Bankruptcy!I126:I127)+Bankruptcy!I121+Bankruptcy!I125</f>
        <v>150000</v>
      </c>
      <c r="J36" s="265">
        <f>SUM(Bankruptcy!J122:J123,Bankruptcy!J126:J127)</f>
        <v>0</v>
      </c>
      <c r="K36" s="265">
        <f>SUM(Bankruptcy!K122:K123,Bankruptcy!K126:K127)</f>
        <v>0</v>
      </c>
      <c r="L36" s="265">
        <f>SUM(Bankruptcy!L122:L123,Bankruptcy!L126:L127)</f>
        <v>0</v>
      </c>
      <c r="M36" s="265">
        <f>SUM(Bankruptcy!M122:M123,Bankruptcy!M126:M127)</f>
        <v>0</v>
      </c>
      <c r="N36" s="265">
        <f>SUM(Bankruptcy!N122:N123,Bankruptcy!N126:N127)</f>
        <v>0</v>
      </c>
      <c r="O36" s="265">
        <f>SUM(Bankruptcy!O122:O123,Bankruptcy!O126:O127)</f>
        <v>0</v>
      </c>
      <c r="P36" s="321"/>
    </row>
    <row r="37" spans="1:16" ht="15.75" x14ac:dyDescent="0.25">
      <c r="A37" s="264"/>
      <c r="B37" s="263"/>
      <c r="C37" s="263"/>
      <c r="D37" s="265"/>
      <c r="E37" s="265"/>
      <c r="F37" s="265"/>
      <c r="G37" s="265"/>
      <c r="H37" s="265"/>
      <c r="I37" s="265"/>
      <c r="J37" s="265"/>
      <c r="K37" s="265"/>
      <c r="L37" s="265"/>
      <c r="M37" s="265"/>
      <c r="N37" s="265"/>
      <c r="O37" s="265"/>
      <c r="P37" s="321"/>
    </row>
    <row r="38" spans="1:16" ht="15.75" x14ac:dyDescent="0.25">
      <c r="A38" s="264" t="s">
        <v>116</v>
      </c>
      <c r="B38" s="263"/>
      <c r="C38" s="263"/>
      <c r="D38" s="265">
        <f>SUM(D34:D36)</f>
        <v>-242419.75484516306</v>
      </c>
      <c r="E38" s="265">
        <f t="shared" ref="E38:O38" si="7">SUM(E34:E36)</f>
        <v>26522.53584923016</v>
      </c>
      <c r="F38" s="265">
        <f t="shared" si="7"/>
        <v>3783.568114470123</v>
      </c>
      <c r="G38" s="265">
        <f t="shared" si="7"/>
        <v>-35683.124269080407</v>
      </c>
      <c r="H38" s="265">
        <f t="shared" si="7"/>
        <v>-94833.815257020819</v>
      </c>
      <c r="I38" s="265">
        <f t="shared" si="7"/>
        <v>89558.006912936224</v>
      </c>
      <c r="J38" s="265">
        <f t="shared" si="7"/>
        <v>0</v>
      </c>
      <c r="K38" s="265">
        <f t="shared" si="7"/>
        <v>0</v>
      </c>
      <c r="L38" s="265">
        <f t="shared" si="7"/>
        <v>0</v>
      </c>
      <c r="M38" s="265">
        <f t="shared" si="7"/>
        <v>0</v>
      </c>
      <c r="N38" s="265">
        <f t="shared" si="7"/>
        <v>0</v>
      </c>
      <c r="O38" s="265">
        <f t="shared" si="7"/>
        <v>0</v>
      </c>
      <c r="P38" s="321"/>
    </row>
    <row r="39" spans="1:16" ht="18" x14ac:dyDescent="0.25">
      <c r="A39" s="313" t="s">
        <v>117</v>
      </c>
      <c r="B39" s="314"/>
      <c r="C39" s="314"/>
      <c r="D39" s="315">
        <f>IRR(D38:O38,-90%)</f>
        <v>-0.38119363212398405</v>
      </c>
      <c r="E39" s="229"/>
      <c r="F39" s="229"/>
      <c r="G39" s="229"/>
      <c r="H39" s="229"/>
      <c r="I39" s="229"/>
      <c r="J39" s="229"/>
      <c r="K39" s="229"/>
      <c r="L39" s="229"/>
      <c r="M39" s="57"/>
      <c r="N39" s="57"/>
      <c r="O39" s="57"/>
      <c r="P39" s="230"/>
    </row>
    <row r="40" spans="1:16" ht="18" x14ac:dyDescent="0.25">
      <c r="A40" s="313"/>
      <c r="B40" s="314"/>
      <c r="C40" s="314"/>
      <c r="D40" s="316"/>
      <c r="E40" s="229"/>
      <c r="F40" s="229"/>
      <c r="G40" s="229"/>
      <c r="H40" s="229"/>
      <c r="I40" s="229"/>
      <c r="J40" s="229"/>
      <c r="K40" s="229"/>
      <c r="L40" s="229"/>
      <c r="M40" s="57"/>
      <c r="N40" s="57"/>
      <c r="O40" s="57"/>
      <c r="P40" s="230"/>
    </row>
    <row r="41" spans="1:16" ht="18" x14ac:dyDescent="0.25">
      <c r="A41" s="313" t="s">
        <v>118</v>
      </c>
      <c r="B41" s="314"/>
      <c r="C41" s="314"/>
      <c r="D41" s="315">
        <f>Bankruptcy!D135</f>
        <v>5.5970535851421706E-2</v>
      </c>
      <c r="E41" s="229"/>
      <c r="F41" s="229"/>
      <c r="G41" s="229"/>
      <c r="H41" s="229"/>
      <c r="I41" s="229"/>
      <c r="J41" s="229"/>
      <c r="K41" s="229"/>
      <c r="L41" s="229"/>
      <c r="M41" s="57"/>
      <c r="N41" s="57"/>
      <c r="O41" s="57"/>
      <c r="P41" s="230"/>
    </row>
    <row r="42" spans="1:16" ht="19.5" thickBot="1" x14ac:dyDescent="0.35">
      <c r="A42" s="317" t="s">
        <v>184</v>
      </c>
      <c r="B42" s="318"/>
      <c r="C42" s="318"/>
      <c r="D42" s="319">
        <f>NPV(D41,E38:O38)+D38</f>
        <v>-252275.24332667151</v>
      </c>
      <c r="E42" s="231"/>
      <c r="F42" s="231"/>
      <c r="G42" s="231"/>
      <c r="H42" s="231"/>
      <c r="I42" s="231"/>
      <c r="J42" s="231"/>
      <c r="K42" s="231"/>
      <c r="L42" s="231"/>
      <c r="M42" s="232"/>
      <c r="N42" s="232"/>
      <c r="O42" s="232"/>
      <c r="P42" s="233"/>
    </row>
  </sheetData>
  <mergeCells count="1">
    <mergeCell ref="E14:P17"/>
  </mergeCells>
  <printOptions horizontalCentered="1"/>
  <pageMargins left="0" right="0" top="0.5" bottom="0" header="0" footer="0"/>
  <pageSetup scale="49" orientation="landscape" r:id="rId1"/>
  <headerFooter>
    <oddHeader>&amp;CBentley's Home Collection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180"/>
  <sheetViews>
    <sheetView view="pageBreakPreview" zoomScale="60" zoomScaleNormal="100" workbookViewId="0">
      <selection activeCell="I25" sqref="I25"/>
    </sheetView>
  </sheetViews>
  <sheetFormatPr defaultColWidth="11.5703125" defaultRowHeight="12.75" x14ac:dyDescent="0.2"/>
  <cols>
    <col min="1" max="1" width="30.140625" customWidth="1"/>
    <col min="2" max="2" width="14.42578125" bestFit="1" customWidth="1"/>
    <col min="3" max="3" width="12.7109375" customWidth="1"/>
    <col min="4" max="4" width="12.85546875" customWidth="1"/>
    <col min="5" max="5" width="13.5703125" customWidth="1"/>
    <col min="6" max="6" width="14.42578125" bestFit="1" customWidth="1"/>
    <col min="7" max="7" width="2.85546875" customWidth="1"/>
    <col min="8" max="8" width="18" customWidth="1"/>
    <col min="9" max="9" width="14.7109375" bestFit="1" customWidth="1"/>
    <col min="11" max="11" width="17.85546875" customWidth="1"/>
    <col min="12" max="12" width="14.28515625" bestFit="1" customWidth="1"/>
  </cols>
  <sheetData>
    <row r="1" spans="1:10" ht="13.5" thickBot="1" x14ac:dyDescent="0.25">
      <c r="A1" s="428" t="s">
        <v>199</v>
      </c>
      <c r="B1" s="429"/>
      <c r="C1" s="429"/>
      <c r="D1" s="429"/>
      <c r="E1" s="429"/>
      <c r="F1" s="429"/>
      <c r="G1" s="429"/>
      <c r="H1" s="429"/>
      <c r="I1" s="430"/>
    </row>
    <row r="2" spans="1:10" ht="14.25" x14ac:dyDescent="0.2">
      <c r="A2" s="366"/>
      <c r="B2" s="410" t="s">
        <v>0</v>
      </c>
      <c r="C2" s="410" t="s">
        <v>1</v>
      </c>
      <c r="D2" s="410" t="s">
        <v>2</v>
      </c>
      <c r="E2" s="410" t="s">
        <v>3</v>
      </c>
      <c r="F2" s="411" t="s">
        <v>4</v>
      </c>
      <c r="G2" s="6"/>
      <c r="H2" s="355" t="s">
        <v>5</v>
      </c>
      <c r="I2" s="356">
        <v>0.05</v>
      </c>
      <c r="J2" s="5"/>
    </row>
    <row r="3" spans="1:10" ht="14.25" x14ac:dyDescent="0.2">
      <c r="A3" s="367" t="s">
        <v>24</v>
      </c>
      <c r="B3" s="412">
        <f>I16</f>
        <v>105000</v>
      </c>
      <c r="C3" s="412">
        <f t="shared" ref="C3:C14" si="0">+E3-D3</f>
        <v>126.16270416274597</v>
      </c>
      <c r="D3" s="412">
        <f t="shared" ref="D3:D14" si="1">B3*$I$3</f>
        <v>437.5</v>
      </c>
      <c r="E3" s="412">
        <f t="shared" ref="E3:E14" si="2">-$I$10</f>
        <v>563.66270416274597</v>
      </c>
      <c r="F3" s="413">
        <f t="shared" ref="F3:F14" si="3">+B3-C3</f>
        <v>104873.83729583725</v>
      </c>
      <c r="G3" s="6"/>
      <c r="H3" s="355" t="s">
        <v>6</v>
      </c>
      <c r="I3" s="356">
        <f>+I2/12</f>
        <v>4.1666666666666666E-3</v>
      </c>
      <c r="J3" s="5"/>
    </row>
    <row r="4" spans="1:10" ht="14.25" x14ac:dyDescent="0.2">
      <c r="A4" s="368" t="s">
        <v>12</v>
      </c>
      <c r="B4" s="412">
        <f t="shared" ref="B4:B14" si="4">+F3</f>
        <v>104873.83729583725</v>
      </c>
      <c r="C4" s="412">
        <f t="shared" si="0"/>
        <v>126.68838209675744</v>
      </c>
      <c r="D4" s="412">
        <f t="shared" si="1"/>
        <v>436.97432206598853</v>
      </c>
      <c r="E4" s="412">
        <f t="shared" si="2"/>
        <v>563.66270416274597</v>
      </c>
      <c r="F4" s="413">
        <f t="shared" si="3"/>
        <v>104747.14891374049</v>
      </c>
      <c r="G4" s="6"/>
      <c r="H4" s="355" t="s">
        <v>7</v>
      </c>
      <c r="I4" s="357">
        <v>0</v>
      </c>
      <c r="J4" s="5"/>
    </row>
    <row r="5" spans="1:10" ht="14.25" x14ac:dyDescent="0.2">
      <c r="A5" s="368" t="s">
        <v>13</v>
      </c>
      <c r="B5" s="412">
        <f t="shared" si="4"/>
        <v>104747.14891374049</v>
      </c>
      <c r="C5" s="412">
        <f t="shared" si="0"/>
        <v>127.21625035549397</v>
      </c>
      <c r="D5" s="412">
        <f t="shared" si="1"/>
        <v>436.446453807252</v>
      </c>
      <c r="E5" s="412">
        <f t="shared" si="2"/>
        <v>563.66270416274597</v>
      </c>
      <c r="F5" s="413">
        <f t="shared" si="3"/>
        <v>104619.93266338499</v>
      </c>
      <c r="G5" s="6"/>
      <c r="H5" s="355" t="s">
        <v>26</v>
      </c>
      <c r="I5" s="358">
        <v>30</v>
      </c>
      <c r="J5" s="5"/>
    </row>
    <row r="6" spans="1:10" ht="14.25" x14ac:dyDescent="0.2">
      <c r="A6" s="368" t="s">
        <v>14</v>
      </c>
      <c r="B6" s="412">
        <f t="shared" si="4"/>
        <v>104619.93266338499</v>
      </c>
      <c r="C6" s="412">
        <f t="shared" si="0"/>
        <v>127.74631806530851</v>
      </c>
      <c r="D6" s="412">
        <f t="shared" si="1"/>
        <v>435.91638609743745</v>
      </c>
      <c r="E6" s="412">
        <f t="shared" si="2"/>
        <v>563.66270416274597</v>
      </c>
      <c r="F6" s="413">
        <f t="shared" si="3"/>
        <v>104492.18634531967</v>
      </c>
      <c r="G6" s="6"/>
      <c r="H6" s="355" t="s">
        <v>8</v>
      </c>
      <c r="I6" s="358">
        <f>I5*12</f>
        <v>360</v>
      </c>
      <c r="J6" s="5"/>
    </row>
    <row r="7" spans="1:10" ht="14.25" x14ac:dyDescent="0.2">
      <c r="A7" s="368" t="s">
        <v>15</v>
      </c>
      <c r="B7" s="412">
        <f t="shared" si="4"/>
        <v>104492.18634531967</v>
      </c>
      <c r="C7" s="412">
        <f t="shared" si="0"/>
        <v>128.27859439058068</v>
      </c>
      <c r="D7" s="412">
        <f t="shared" si="1"/>
        <v>435.38410977216529</v>
      </c>
      <c r="E7" s="412">
        <f t="shared" si="2"/>
        <v>563.66270416274597</v>
      </c>
      <c r="F7" s="413">
        <f t="shared" si="3"/>
        <v>104363.90775092909</v>
      </c>
      <c r="G7" s="6"/>
      <c r="H7" s="355" t="s">
        <v>9</v>
      </c>
      <c r="I7" s="358">
        <v>0</v>
      </c>
      <c r="J7" s="5"/>
    </row>
    <row r="8" spans="1:10" ht="14.25" x14ac:dyDescent="0.2">
      <c r="A8" s="368" t="s">
        <v>16</v>
      </c>
      <c r="B8" s="412">
        <f t="shared" si="4"/>
        <v>104363.90775092909</v>
      </c>
      <c r="C8" s="412">
        <f t="shared" si="0"/>
        <v>128.81308853387475</v>
      </c>
      <c r="D8" s="412">
        <f t="shared" si="1"/>
        <v>434.84961562887122</v>
      </c>
      <c r="E8" s="412">
        <f t="shared" si="2"/>
        <v>563.66270416274597</v>
      </c>
      <c r="F8" s="413">
        <f t="shared" si="3"/>
        <v>104235.09466239522</v>
      </c>
      <c r="G8" s="6"/>
      <c r="H8" s="355" t="s">
        <v>10</v>
      </c>
      <c r="I8" s="357">
        <f>I16</f>
        <v>105000</v>
      </c>
      <c r="J8" s="5"/>
    </row>
    <row r="9" spans="1:10" ht="14.25" x14ac:dyDescent="0.2">
      <c r="A9" s="368" t="s">
        <v>17</v>
      </c>
      <c r="B9" s="412">
        <f t="shared" si="4"/>
        <v>104235.09466239522</v>
      </c>
      <c r="C9" s="412">
        <f t="shared" si="0"/>
        <v>129.34980973609925</v>
      </c>
      <c r="D9" s="412">
        <f t="shared" si="1"/>
        <v>434.31289442664672</v>
      </c>
      <c r="E9" s="412">
        <f t="shared" si="2"/>
        <v>563.66270416274597</v>
      </c>
      <c r="F9" s="413">
        <f t="shared" si="3"/>
        <v>104105.74485265912</v>
      </c>
      <c r="G9" s="6"/>
      <c r="H9" s="355"/>
      <c r="I9" s="358"/>
      <c r="J9" s="5"/>
    </row>
    <row r="10" spans="1:10" ht="14.25" x14ac:dyDescent="0.2">
      <c r="A10" s="368" t="s">
        <v>18</v>
      </c>
      <c r="B10" s="412">
        <f t="shared" si="4"/>
        <v>104105.74485265912</v>
      </c>
      <c r="C10" s="412">
        <f t="shared" si="0"/>
        <v>129.88876727666633</v>
      </c>
      <c r="D10" s="412">
        <f t="shared" si="1"/>
        <v>433.77393688607964</v>
      </c>
      <c r="E10" s="412">
        <f t="shared" si="2"/>
        <v>563.66270416274597</v>
      </c>
      <c r="F10" s="413">
        <f t="shared" si="3"/>
        <v>103975.85608538245</v>
      </c>
      <c r="G10" s="6"/>
      <c r="H10" s="355" t="s">
        <v>3</v>
      </c>
      <c r="I10" s="359">
        <f>PMT(I3,I6,I8,I4,I7)</f>
        <v>-563.66270416274597</v>
      </c>
      <c r="J10" s="5"/>
    </row>
    <row r="11" spans="1:10" ht="14.25" x14ac:dyDescent="0.2">
      <c r="A11" s="368" t="s">
        <v>19</v>
      </c>
      <c r="B11" s="412">
        <f t="shared" si="4"/>
        <v>103975.85608538245</v>
      </c>
      <c r="C11" s="412">
        <f t="shared" si="0"/>
        <v>130.42997047365247</v>
      </c>
      <c r="D11" s="412">
        <f t="shared" si="1"/>
        <v>433.23273368909349</v>
      </c>
      <c r="E11" s="412">
        <f t="shared" si="2"/>
        <v>563.66270416274597</v>
      </c>
      <c r="F11" s="413">
        <f t="shared" si="3"/>
        <v>103845.4261149088</v>
      </c>
      <c r="G11" s="6"/>
      <c r="H11" s="355"/>
      <c r="I11" s="358"/>
      <c r="J11" s="5"/>
    </row>
    <row r="12" spans="1:10" ht="14.25" x14ac:dyDescent="0.2">
      <c r="A12" s="368" t="s">
        <v>20</v>
      </c>
      <c r="B12" s="412">
        <f t="shared" si="4"/>
        <v>103845.4261149088</v>
      </c>
      <c r="C12" s="412">
        <f t="shared" si="0"/>
        <v>130.9734286839593</v>
      </c>
      <c r="D12" s="412">
        <f t="shared" si="1"/>
        <v>432.68927547878667</v>
      </c>
      <c r="E12" s="412">
        <f t="shared" si="2"/>
        <v>563.66270416274597</v>
      </c>
      <c r="F12" s="413">
        <f t="shared" si="3"/>
        <v>103714.45268622485</v>
      </c>
      <c r="G12" s="6"/>
      <c r="H12" s="355"/>
      <c r="I12" s="358"/>
      <c r="J12" s="5"/>
    </row>
    <row r="13" spans="1:10" ht="15" x14ac:dyDescent="0.25">
      <c r="A13" s="368" t="s">
        <v>21</v>
      </c>
      <c r="B13" s="412">
        <f t="shared" si="4"/>
        <v>103714.45268622485</v>
      </c>
      <c r="C13" s="412">
        <f t="shared" si="0"/>
        <v>131.51915130347578</v>
      </c>
      <c r="D13" s="412">
        <f t="shared" si="1"/>
        <v>432.14355285927019</v>
      </c>
      <c r="E13" s="412">
        <f t="shared" si="2"/>
        <v>563.66270416274597</v>
      </c>
      <c r="F13" s="413">
        <f t="shared" si="3"/>
        <v>103582.93353492137</v>
      </c>
      <c r="G13" s="6"/>
      <c r="H13" s="360" t="s">
        <v>191</v>
      </c>
      <c r="I13" s="361">
        <v>150000</v>
      </c>
      <c r="J13" s="5"/>
    </row>
    <row r="14" spans="1:10" ht="15" x14ac:dyDescent="0.25">
      <c r="A14" s="368" t="s">
        <v>22</v>
      </c>
      <c r="B14" s="412">
        <f t="shared" si="4"/>
        <v>103582.93353492137</v>
      </c>
      <c r="C14" s="412">
        <f t="shared" si="0"/>
        <v>132.06714776724027</v>
      </c>
      <c r="D14" s="412">
        <f t="shared" si="1"/>
        <v>431.5955563955057</v>
      </c>
      <c r="E14" s="412">
        <f t="shared" si="2"/>
        <v>563.66270416274597</v>
      </c>
      <c r="F14" s="413">
        <f t="shared" si="3"/>
        <v>103450.86638715412</v>
      </c>
      <c r="G14" s="6"/>
      <c r="H14" s="360" t="s">
        <v>144</v>
      </c>
      <c r="I14" s="362">
        <v>0.7</v>
      </c>
      <c r="J14" s="5"/>
    </row>
    <row r="15" spans="1:10" ht="15" x14ac:dyDescent="0.25">
      <c r="A15" s="369" t="s">
        <v>11</v>
      </c>
      <c r="B15" s="412"/>
      <c r="C15" s="412">
        <f>SUM(C3:C14)</f>
        <v>1549.1336128458547</v>
      </c>
      <c r="D15" s="412">
        <f>SUM(D3:D14)</f>
        <v>5214.8188371070974</v>
      </c>
      <c r="E15" s="412"/>
      <c r="F15" s="413"/>
      <c r="G15" s="6"/>
      <c r="H15" s="360"/>
      <c r="I15" s="363"/>
      <c r="J15" s="5"/>
    </row>
    <row r="16" spans="1:10" ht="15.75" thickBot="1" x14ac:dyDescent="0.3">
      <c r="A16" s="373"/>
      <c r="B16" s="414"/>
      <c r="C16" s="414"/>
      <c r="D16" s="414"/>
      <c r="E16" s="414"/>
      <c r="F16" s="415"/>
      <c r="G16" s="6"/>
      <c r="H16" s="364" t="s">
        <v>145</v>
      </c>
      <c r="I16" s="365">
        <f>I13*I14</f>
        <v>105000</v>
      </c>
      <c r="J16" s="5"/>
    </row>
    <row r="17" spans="1:10" ht="14.25" x14ac:dyDescent="0.2">
      <c r="A17" s="371"/>
      <c r="B17" s="416" t="s">
        <v>0</v>
      </c>
      <c r="C17" s="416" t="s">
        <v>1</v>
      </c>
      <c r="D17" s="416" t="s">
        <v>2</v>
      </c>
      <c r="E17" s="416" t="s">
        <v>3</v>
      </c>
      <c r="F17" s="417" t="s">
        <v>4</v>
      </c>
      <c r="G17" s="6"/>
      <c r="H17" s="6"/>
      <c r="I17" s="6"/>
      <c r="J17" s="5"/>
    </row>
    <row r="18" spans="1:10" ht="14.25" x14ac:dyDescent="0.2">
      <c r="A18" s="370" t="s">
        <v>25</v>
      </c>
      <c r="B18" s="412">
        <f>+F14</f>
        <v>103450.86638715412</v>
      </c>
      <c r="C18" s="412">
        <f t="shared" ref="C18:C29" si="5">+E18-D18</f>
        <v>132.6174275496038</v>
      </c>
      <c r="D18" s="412">
        <f t="shared" ref="D18:D29" si="6">B18*$I$3</f>
        <v>431.04527661314216</v>
      </c>
      <c r="E18" s="412">
        <f t="shared" ref="E18:E29" si="7">-$I$10</f>
        <v>563.66270416274597</v>
      </c>
      <c r="F18" s="413">
        <f t="shared" ref="F18:F29" si="8">+B18-C18</f>
        <v>103318.24895960452</v>
      </c>
      <c r="G18" s="6"/>
      <c r="H18" s="6"/>
      <c r="I18" s="6"/>
      <c r="J18" s="5"/>
    </row>
    <row r="19" spans="1:10" ht="14.25" x14ac:dyDescent="0.2">
      <c r="A19" s="368" t="s">
        <v>12</v>
      </c>
      <c r="B19" s="412">
        <f t="shared" ref="B19:B29" si="9">+F18</f>
        <v>103318.24895960452</v>
      </c>
      <c r="C19" s="412">
        <f t="shared" si="5"/>
        <v>133.1700001643938</v>
      </c>
      <c r="D19" s="412">
        <f t="shared" si="6"/>
        <v>430.49270399835217</v>
      </c>
      <c r="E19" s="412">
        <f t="shared" si="7"/>
        <v>563.66270416274597</v>
      </c>
      <c r="F19" s="413">
        <f t="shared" si="8"/>
        <v>103185.07895944013</v>
      </c>
      <c r="G19" s="6"/>
      <c r="H19" s="6"/>
      <c r="I19" s="6"/>
      <c r="J19" s="5"/>
    </row>
    <row r="20" spans="1:10" ht="14.25" x14ac:dyDescent="0.2">
      <c r="A20" s="368" t="s">
        <v>13</v>
      </c>
      <c r="B20" s="412">
        <f t="shared" si="9"/>
        <v>103185.07895944013</v>
      </c>
      <c r="C20" s="412">
        <f t="shared" si="5"/>
        <v>133.7248751650788</v>
      </c>
      <c r="D20" s="412">
        <f t="shared" si="6"/>
        <v>429.93782899766717</v>
      </c>
      <c r="E20" s="412">
        <f t="shared" si="7"/>
        <v>563.66270416274597</v>
      </c>
      <c r="F20" s="413">
        <f t="shared" si="8"/>
        <v>103051.35408427505</v>
      </c>
      <c r="G20" s="6"/>
      <c r="H20" s="6"/>
      <c r="I20" s="6"/>
      <c r="J20" s="5"/>
    </row>
    <row r="21" spans="1:10" ht="14.25" x14ac:dyDescent="0.2">
      <c r="A21" s="368" t="s">
        <v>14</v>
      </c>
      <c r="B21" s="412">
        <f t="shared" si="9"/>
        <v>103051.35408427505</v>
      </c>
      <c r="C21" s="412">
        <f t="shared" si="5"/>
        <v>134.28206214493326</v>
      </c>
      <c r="D21" s="412">
        <f t="shared" si="6"/>
        <v>429.3806420178127</v>
      </c>
      <c r="E21" s="412">
        <f t="shared" si="7"/>
        <v>563.66270416274597</v>
      </c>
      <c r="F21" s="413">
        <f t="shared" si="8"/>
        <v>102917.07202213012</v>
      </c>
      <c r="G21" s="6"/>
      <c r="H21" s="6"/>
      <c r="I21" s="6"/>
      <c r="J21" s="5"/>
    </row>
    <row r="22" spans="1:10" ht="14.25" x14ac:dyDescent="0.2">
      <c r="A22" s="368" t="s">
        <v>15</v>
      </c>
      <c r="B22" s="412">
        <f t="shared" si="9"/>
        <v>102917.07202213012</v>
      </c>
      <c r="C22" s="412">
        <f t="shared" si="5"/>
        <v>134.84157073720382</v>
      </c>
      <c r="D22" s="412">
        <f t="shared" si="6"/>
        <v>428.82113342554214</v>
      </c>
      <c r="E22" s="412">
        <f t="shared" si="7"/>
        <v>563.66270416274597</v>
      </c>
      <c r="F22" s="413">
        <f t="shared" si="8"/>
        <v>102782.23045139291</v>
      </c>
      <c r="G22" s="6"/>
      <c r="H22" s="6"/>
      <c r="I22" s="6"/>
      <c r="J22" s="5"/>
    </row>
    <row r="23" spans="1:10" ht="14.25" x14ac:dyDescent="0.2">
      <c r="A23" s="368" t="s">
        <v>16</v>
      </c>
      <c r="B23" s="412">
        <f t="shared" si="9"/>
        <v>102782.23045139291</v>
      </c>
      <c r="C23" s="412">
        <f t="shared" si="5"/>
        <v>135.4034106152755</v>
      </c>
      <c r="D23" s="412">
        <f t="shared" si="6"/>
        <v>428.25929354747046</v>
      </c>
      <c r="E23" s="412">
        <f t="shared" si="7"/>
        <v>563.66270416274597</v>
      </c>
      <c r="F23" s="413">
        <f t="shared" si="8"/>
        <v>102646.82704077764</v>
      </c>
      <c r="G23" s="6"/>
      <c r="H23" s="6"/>
      <c r="I23" s="6"/>
      <c r="J23" s="5"/>
    </row>
    <row r="24" spans="1:10" ht="14.25" x14ac:dyDescent="0.2">
      <c r="A24" s="368" t="s">
        <v>17</v>
      </c>
      <c r="B24" s="412">
        <f t="shared" si="9"/>
        <v>102646.82704077764</v>
      </c>
      <c r="C24" s="412">
        <f t="shared" si="5"/>
        <v>135.96759149283912</v>
      </c>
      <c r="D24" s="412">
        <f t="shared" si="6"/>
        <v>427.69511266990685</v>
      </c>
      <c r="E24" s="412">
        <f t="shared" si="7"/>
        <v>563.66270416274597</v>
      </c>
      <c r="F24" s="413">
        <f t="shared" si="8"/>
        <v>102510.85944928481</v>
      </c>
      <c r="G24" s="6"/>
      <c r="H24" s="6"/>
      <c r="I24" s="6"/>
      <c r="J24" s="5"/>
    </row>
    <row r="25" spans="1:10" ht="14.25" x14ac:dyDescent="0.2">
      <c r="A25" s="368" t="s">
        <v>18</v>
      </c>
      <c r="B25" s="412">
        <f t="shared" si="9"/>
        <v>102510.85944928481</v>
      </c>
      <c r="C25" s="412">
        <f t="shared" si="5"/>
        <v>136.53412312405931</v>
      </c>
      <c r="D25" s="412">
        <f t="shared" si="6"/>
        <v>427.12858103868666</v>
      </c>
      <c r="E25" s="412">
        <f t="shared" si="7"/>
        <v>563.66270416274597</v>
      </c>
      <c r="F25" s="413">
        <f t="shared" si="8"/>
        <v>102374.32532616075</v>
      </c>
      <c r="G25" s="6"/>
      <c r="H25" s="6"/>
      <c r="I25" s="6"/>
      <c r="J25" s="5"/>
    </row>
    <row r="26" spans="1:10" ht="14.25" x14ac:dyDescent="0.2">
      <c r="A26" s="368" t="s">
        <v>19</v>
      </c>
      <c r="B26" s="412">
        <f t="shared" si="9"/>
        <v>102374.32532616075</v>
      </c>
      <c r="C26" s="412">
        <f t="shared" si="5"/>
        <v>137.10301530374289</v>
      </c>
      <c r="D26" s="412">
        <f t="shared" si="6"/>
        <v>426.55968885900307</v>
      </c>
      <c r="E26" s="412">
        <f t="shared" si="7"/>
        <v>563.66270416274597</v>
      </c>
      <c r="F26" s="413">
        <f t="shared" si="8"/>
        <v>102237.222310857</v>
      </c>
      <c r="G26" s="6"/>
      <c r="H26" s="6"/>
      <c r="I26" s="6"/>
      <c r="J26" s="5"/>
    </row>
    <row r="27" spans="1:10" ht="14.25" x14ac:dyDescent="0.2">
      <c r="A27" s="368" t="s">
        <v>20</v>
      </c>
      <c r="B27" s="412">
        <f t="shared" si="9"/>
        <v>102237.222310857</v>
      </c>
      <c r="C27" s="412">
        <f t="shared" si="5"/>
        <v>137.67427786750847</v>
      </c>
      <c r="D27" s="412">
        <f t="shared" si="6"/>
        <v>425.9884262952375</v>
      </c>
      <c r="E27" s="412">
        <f t="shared" si="7"/>
        <v>563.66270416274597</v>
      </c>
      <c r="F27" s="413">
        <f t="shared" si="8"/>
        <v>102099.54803298949</v>
      </c>
      <c r="G27" s="6"/>
      <c r="H27" s="6"/>
      <c r="I27" s="6"/>
      <c r="J27" s="5"/>
    </row>
    <row r="28" spans="1:10" ht="14.25" x14ac:dyDescent="0.2">
      <c r="A28" s="368" t="s">
        <v>21</v>
      </c>
      <c r="B28" s="412">
        <f t="shared" si="9"/>
        <v>102099.54803298949</v>
      </c>
      <c r="C28" s="412">
        <f t="shared" si="5"/>
        <v>138.24792069195644</v>
      </c>
      <c r="D28" s="412">
        <f t="shared" si="6"/>
        <v>425.41478347078953</v>
      </c>
      <c r="E28" s="412">
        <f t="shared" si="7"/>
        <v>563.66270416274597</v>
      </c>
      <c r="F28" s="413">
        <f t="shared" si="8"/>
        <v>101961.30011229754</v>
      </c>
      <c r="G28" s="6"/>
      <c r="H28" s="6"/>
      <c r="I28" s="6"/>
      <c r="J28" s="5"/>
    </row>
    <row r="29" spans="1:10" ht="14.25" x14ac:dyDescent="0.2">
      <c r="A29" s="368" t="s">
        <v>22</v>
      </c>
      <c r="B29" s="412">
        <f t="shared" si="9"/>
        <v>101961.30011229754</v>
      </c>
      <c r="C29" s="412">
        <f t="shared" si="5"/>
        <v>138.82395369483953</v>
      </c>
      <c r="D29" s="412">
        <f t="shared" si="6"/>
        <v>424.83875046790644</v>
      </c>
      <c r="E29" s="412">
        <f t="shared" si="7"/>
        <v>563.66270416274597</v>
      </c>
      <c r="F29" s="413">
        <f t="shared" si="8"/>
        <v>101822.4761586027</v>
      </c>
      <c r="G29" s="6"/>
      <c r="H29" s="6"/>
      <c r="I29" s="6"/>
      <c r="J29" s="5"/>
    </row>
    <row r="30" spans="1:10" ht="15" x14ac:dyDescent="0.25">
      <c r="A30" s="369" t="s">
        <v>11</v>
      </c>
      <c r="B30" s="412"/>
      <c r="C30" s="412">
        <f>SUM(C18:C29)</f>
        <v>1628.3902285514346</v>
      </c>
      <c r="D30" s="412">
        <f>SUM(D18:D29)</f>
        <v>5135.5622214015166</v>
      </c>
      <c r="E30" s="412"/>
      <c r="F30" s="413"/>
      <c r="G30" s="6"/>
      <c r="H30" s="6"/>
      <c r="I30" s="6"/>
      <c r="J30" s="5"/>
    </row>
    <row r="31" spans="1:10" ht="15" x14ac:dyDescent="0.25">
      <c r="A31" s="369"/>
      <c r="B31" s="412"/>
      <c r="C31" s="412"/>
      <c r="D31" s="412"/>
      <c r="E31" s="412"/>
      <c r="F31" s="413"/>
      <c r="G31" s="6"/>
      <c r="H31" s="6"/>
      <c r="I31" s="6"/>
      <c r="J31" s="5"/>
    </row>
    <row r="32" spans="1:10" ht="14.25" x14ac:dyDescent="0.2">
      <c r="A32" s="368"/>
      <c r="B32" s="416" t="s">
        <v>0</v>
      </c>
      <c r="C32" s="416" t="s">
        <v>1</v>
      </c>
      <c r="D32" s="416" t="s">
        <v>2</v>
      </c>
      <c r="E32" s="416" t="s">
        <v>3</v>
      </c>
      <c r="F32" s="417" t="s">
        <v>4</v>
      </c>
      <c r="G32" s="6"/>
      <c r="H32" s="6"/>
      <c r="I32" s="6"/>
      <c r="J32" s="5"/>
    </row>
    <row r="33" spans="1:10" ht="14.25" x14ac:dyDescent="0.2">
      <c r="A33" s="370" t="s">
        <v>23</v>
      </c>
      <c r="B33" s="412">
        <f>+F29</f>
        <v>101822.4761586027</v>
      </c>
      <c r="C33" s="412">
        <f t="shared" ref="C33:C44" si="10">+E33-D33</f>
        <v>139.40238683523472</v>
      </c>
      <c r="D33" s="412">
        <f t="shared" ref="D33:D44" si="11">B33*$I$3</f>
        <v>424.26031732751125</v>
      </c>
      <c r="E33" s="412">
        <f t="shared" ref="E33:E44" si="12">-$I$10</f>
        <v>563.66270416274597</v>
      </c>
      <c r="F33" s="413">
        <f t="shared" ref="F33:F44" si="13">+B33-C33</f>
        <v>101683.07377176746</v>
      </c>
      <c r="G33" s="6"/>
      <c r="H33" s="6"/>
      <c r="I33" s="6"/>
      <c r="J33" s="5"/>
    </row>
    <row r="34" spans="1:10" ht="14.25" x14ac:dyDescent="0.2">
      <c r="A34" s="368" t="s">
        <v>12</v>
      </c>
      <c r="B34" s="412">
        <f t="shared" ref="B34:B44" si="14">+F33</f>
        <v>101683.07377176746</v>
      </c>
      <c r="C34" s="412">
        <f t="shared" si="10"/>
        <v>139.98323011371485</v>
      </c>
      <c r="D34" s="412">
        <f t="shared" si="11"/>
        <v>423.67947404903111</v>
      </c>
      <c r="E34" s="412">
        <f t="shared" si="12"/>
        <v>563.66270416274597</v>
      </c>
      <c r="F34" s="413">
        <f t="shared" si="13"/>
        <v>101543.09054165374</v>
      </c>
      <c r="G34" s="6"/>
      <c r="H34" s="6"/>
      <c r="I34" s="6"/>
      <c r="J34" s="5"/>
    </row>
    <row r="35" spans="1:10" ht="14.25" x14ac:dyDescent="0.2">
      <c r="A35" s="368" t="s">
        <v>13</v>
      </c>
      <c r="B35" s="412">
        <f t="shared" si="14"/>
        <v>101543.09054165374</v>
      </c>
      <c r="C35" s="412">
        <f t="shared" si="10"/>
        <v>140.56649357252206</v>
      </c>
      <c r="D35" s="412">
        <f t="shared" si="11"/>
        <v>423.0962105902239</v>
      </c>
      <c r="E35" s="412">
        <f t="shared" si="12"/>
        <v>563.66270416274597</v>
      </c>
      <c r="F35" s="413">
        <f t="shared" si="13"/>
        <v>101402.52404808122</v>
      </c>
      <c r="G35" s="6"/>
      <c r="H35" s="6"/>
      <c r="I35" s="6"/>
      <c r="J35" s="5"/>
    </row>
    <row r="36" spans="1:10" ht="14.25" x14ac:dyDescent="0.2">
      <c r="A36" s="368" t="s">
        <v>14</v>
      </c>
      <c r="B36" s="412">
        <f t="shared" si="14"/>
        <v>101402.52404808122</v>
      </c>
      <c r="C36" s="412">
        <f t="shared" si="10"/>
        <v>141.15218729574087</v>
      </c>
      <c r="D36" s="412">
        <f t="shared" si="11"/>
        <v>422.51051686700509</v>
      </c>
      <c r="E36" s="412">
        <f t="shared" si="12"/>
        <v>563.66270416274597</v>
      </c>
      <c r="F36" s="413">
        <f t="shared" si="13"/>
        <v>101261.37186078548</v>
      </c>
      <c r="G36" s="6"/>
      <c r="H36" s="6"/>
      <c r="I36" s="6"/>
      <c r="J36" s="5"/>
    </row>
    <row r="37" spans="1:10" ht="14.25" x14ac:dyDescent="0.2">
      <c r="A37" s="368" t="s">
        <v>15</v>
      </c>
      <c r="B37" s="412">
        <f t="shared" si="14"/>
        <v>101261.37186078548</v>
      </c>
      <c r="C37" s="412">
        <f t="shared" si="10"/>
        <v>141.74032140947315</v>
      </c>
      <c r="D37" s="412">
        <f t="shared" si="11"/>
        <v>421.92238275327281</v>
      </c>
      <c r="E37" s="412">
        <f t="shared" si="12"/>
        <v>563.66270416274597</v>
      </c>
      <c r="F37" s="413">
        <f t="shared" si="13"/>
        <v>101119.63153937602</v>
      </c>
      <c r="G37" s="6"/>
      <c r="H37" s="6"/>
      <c r="I37" s="6"/>
      <c r="J37" s="5"/>
    </row>
    <row r="38" spans="1:10" ht="14.25" x14ac:dyDescent="0.2">
      <c r="A38" s="368" t="s">
        <v>16</v>
      </c>
      <c r="B38" s="412">
        <f t="shared" si="14"/>
        <v>101119.63153937602</v>
      </c>
      <c r="C38" s="412">
        <f t="shared" si="10"/>
        <v>142.33090608201258</v>
      </c>
      <c r="D38" s="412">
        <f t="shared" si="11"/>
        <v>421.33179808073339</v>
      </c>
      <c r="E38" s="412">
        <f t="shared" si="12"/>
        <v>563.66270416274597</v>
      </c>
      <c r="F38" s="413">
        <f t="shared" si="13"/>
        <v>100977.300633294</v>
      </c>
      <c r="G38" s="6"/>
      <c r="H38" s="6"/>
      <c r="I38" s="6"/>
      <c r="J38" s="5"/>
    </row>
    <row r="39" spans="1:10" ht="14.25" x14ac:dyDescent="0.2">
      <c r="A39" s="368" t="s">
        <v>17</v>
      </c>
      <c r="B39" s="412">
        <f t="shared" si="14"/>
        <v>100977.300633294</v>
      </c>
      <c r="C39" s="412">
        <f t="shared" si="10"/>
        <v>142.92395152402099</v>
      </c>
      <c r="D39" s="412">
        <f t="shared" si="11"/>
        <v>420.73875263872497</v>
      </c>
      <c r="E39" s="412">
        <f t="shared" si="12"/>
        <v>563.66270416274597</v>
      </c>
      <c r="F39" s="413">
        <f t="shared" si="13"/>
        <v>100834.37668176998</v>
      </c>
      <c r="G39" s="6"/>
      <c r="H39" s="6"/>
      <c r="I39" s="6"/>
      <c r="J39" s="5"/>
    </row>
    <row r="40" spans="1:10" ht="14.25" x14ac:dyDescent="0.2">
      <c r="A40" s="368" t="s">
        <v>18</v>
      </c>
      <c r="B40" s="412">
        <f t="shared" si="14"/>
        <v>100834.37668176998</v>
      </c>
      <c r="C40" s="412">
        <f t="shared" si="10"/>
        <v>143.51946798870438</v>
      </c>
      <c r="D40" s="412">
        <f t="shared" si="11"/>
        <v>420.14323617404159</v>
      </c>
      <c r="E40" s="412">
        <f t="shared" si="12"/>
        <v>563.66270416274597</v>
      </c>
      <c r="F40" s="413">
        <f t="shared" si="13"/>
        <v>100690.85721378127</v>
      </c>
      <c r="G40" s="6"/>
      <c r="H40" s="6"/>
      <c r="I40" s="6"/>
      <c r="J40" s="5"/>
    </row>
    <row r="41" spans="1:10" ht="14.25" x14ac:dyDescent="0.2">
      <c r="A41" s="368" t="s">
        <v>19</v>
      </c>
      <c r="B41" s="412">
        <f t="shared" si="14"/>
        <v>100690.85721378127</v>
      </c>
      <c r="C41" s="412">
        <f t="shared" si="10"/>
        <v>144.11746577199068</v>
      </c>
      <c r="D41" s="412">
        <f t="shared" si="11"/>
        <v>419.54523839075529</v>
      </c>
      <c r="E41" s="412">
        <f t="shared" si="12"/>
        <v>563.66270416274597</v>
      </c>
      <c r="F41" s="413">
        <f t="shared" si="13"/>
        <v>100546.73974800928</v>
      </c>
      <c r="G41" s="6"/>
      <c r="H41" s="6"/>
      <c r="I41" s="6"/>
      <c r="J41" s="5"/>
    </row>
    <row r="42" spans="1:10" ht="14.25" x14ac:dyDescent="0.2">
      <c r="A42" s="368" t="s">
        <v>20</v>
      </c>
      <c r="B42" s="412">
        <f t="shared" si="14"/>
        <v>100546.73974800928</v>
      </c>
      <c r="C42" s="412">
        <f t="shared" si="10"/>
        <v>144.7179552127073</v>
      </c>
      <c r="D42" s="412">
        <f t="shared" si="11"/>
        <v>418.94474895003867</v>
      </c>
      <c r="E42" s="412">
        <f t="shared" si="12"/>
        <v>563.66270416274597</v>
      </c>
      <c r="F42" s="413">
        <f t="shared" si="13"/>
        <v>100402.02179279657</v>
      </c>
      <c r="G42" s="6"/>
      <c r="H42" s="6"/>
      <c r="I42" s="6"/>
      <c r="J42" s="5"/>
    </row>
    <row r="43" spans="1:10" ht="14.25" x14ac:dyDescent="0.2">
      <c r="A43" s="368" t="s">
        <v>21</v>
      </c>
      <c r="B43" s="412">
        <f t="shared" si="14"/>
        <v>100402.02179279657</v>
      </c>
      <c r="C43" s="412">
        <f t="shared" si="10"/>
        <v>145.32094669276029</v>
      </c>
      <c r="D43" s="412">
        <f t="shared" si="11"/>
        <v>418.34175746998568</v>
      </c>
      <c r="E43" s="412">
        <f t="shared" si="12"/>
        <v>563.66270416274597</v>
      </c>
      <c r="F43" s="413">
        <f t="shared" si="13"/>
        <v>100256.70084610381</v>
      </c>
      <c r="G43" s="6"/>
      <c r="H43" s="6"/>
      <c r="I43" s="6"/>
      <c r="J43" s="5"/>
    </row>
    <row r="44" spans="1:10" ht="14.25" x14ac:dyDescent="0.2">
      <c r="A44" s="368" t="s">
        <v>22</v>
      </c>
      <c r="B44" s="412">
        <f t="shared" si="14"/>
        <v>100256.70084610381</v>
      </c>
      <c r="C44" s="412">
        <f t="shared" si="10"/>
        <v>145.92645063731345</v>
      </c>
      <c r="D44" s="412">
        <f t="shared" si="11"/>
        <v>417.73625352543252</v>
      </c>
      <c r="E44" s="412">
        <f t="shared" si="12"/>
        <v>563.66270416274597</v>
      </c>
      <c r="F44" s="413">
        <f t="shared" si="13"/>
        <v>100110.77439546649</v>
      </c>
      <c r="G44" s="6"/>
      <c r="H44" s="6"/>
      <c r="I44" s="6"/>
      <c r="J44" s="5"/>
    </row>
    <row r="45" spans="1:10" ht="15" x14ac:dyDescent="0.25">
      <c r="A45" s="369" t="s">
        <v>11</v>
      </c>
      <c r="B45" s="412"/>
      <c r="C45" s="412">
        <f>SUM(C33:C44)</f>
        <v>1711.7017631361955</v>
      </c>
      <c r="D45" s="412">
        <f>SUM(D33:D44)</f>
        <v>5052.2506868167575</v>
      </c>
      <c r="E45" s="412"/>
      <c r="F45" s="413"/>
      <c r="G45" s="6"/>
      <c r="H45" s="6"/>
      <c r="I45" s="6"/>
      <c r="J45" s="5"/>
    </row>
    <row r="46" spans="1:10" ht="15" x14ac:dyDescent="0.25">
      <c r="A46" s="369"/>
      <c r="B46" s="412"/>
      <c r="C46" s="412"/>
      <c r="D46" s="412"/>
      <c r="E46" s="412"/>
      <c r="F46" s="413"/>
      <c r="G46" s="6"/>
      <c r="H46" s="6"/>
      <c r="I46" s="6"/>
      <c r="J46" s="5"/>
    </row>
    <row r="47" spans="1:10" ht="14.25" x14ac:dyDescent="0.2">
      <c r="A47" s="368"/>
      <c r="B47" s="416" t="s">
        <v>0</v>
      </c>
      <c r="C47" s="416" t="s">
        <v>1</v>
      </c>
      <c r="D47" s="416" t="s">
        <v>2</v>
      </c>
      <c r="E47" s="416" t="s">
        <v>3</v>
      </c>
      <c r="F47" s="417" t="s">
        <v>4</v>
      </c>
      <c r="G47" s="6"/>
      <c r="H47" s="6"/>
      <c r="I47" s="6"/>
      <c r="J47" s="5"/>
    </row>
    <row r="48" spans="1:10" ht="14.25" x14ac:dyDescent="0.2">
      <c r="A48" s="370" t="s">
        <v>83</v>
      </c>
      <c r="B48" s="412">
        <f>+F44</f>
        <v>100110.77439546649</v>
      </c>
      <c r="C48" s="412">
        <f>+E48-D48</f>
        <v>146.53447751496896</v>
      </c>
      <c r="D48" s="412">
        <f>B48*$I$3</f>
        <v>417.12822664777701</v>
      </c>
      <c r="E48" s="412">
        <f t="shared" ref="E48:E59" si="15">-$I$10</f>
        <v>563.66270416274597</v>
      </c>
      <c r="F48" s="413">
        <f>+B48-C48</f>
        <v>99964.23991795152</v>
      </c>
      <c r="G48" s="6"/>
      <c r="H48" s="6"/>
      <c r="I48" s="6"/>
      <c r="J48" s="5"/>
    </row>
    <row r="49" spans="1:10" ht="14.25" x14ac:dyDescent="0.2">
      <c r="A49" s="368" t="s">
        <v>12</v>
      </c>
      <c r="B49" s="412">
        <f>+F48</f>
        <v>99964.23991795152</v>
      </c>
      <c r="C49" s="412">
        <f>+E49-D49</f>
        <v>147.145037837948</v>
      </c>
      <c r="D49" s="412">
        <f>B49*$I$3</f>
        <v>416.51766632479797</v>
      </c>
      <c r="E49" s="412">
        <f t="shared" si="15"/>
        <v>563.66270416274597</v>
      </c>
      <c r="F49" s="413">
        <f>+B49-C49</f>
        <v>99817.094880113567</v>
      </c>
      <c r="G49" s="6"/>
      <c r="H49" s="6"/>
      <c r="I49" s="6"/>
      <c r="J49" s="5"/>
    </row>
    <row r="50" spans="1:10" ht="14.25" x14ac:dyDescent="0.2">
      <c r="A50" s="368" t="s">
        <v>13</v>
      </c>
      <c r="B50" s="412">
        <f>+F49</f>
        <v>99817.094880113567</v>
      </c>
      <c r="C50" s="412">
        <f>+E50-D50</f>
        <v>147.7581421622728</v>
      </c>
      <c r="D50" s="412">
        <f>B50*$I$3</f>
        <v>415.90456200047316</v>
      </c>
      <c r="E50" s="412">
        <f t="shared" si="15"/>
        <v>563.66270416274597</v>
      </c>
      <c r="F50" s="413">
        <f>+B50-C50</f>
        <v>99669.336737951293</v>
      </c>
      <c r="G50" s="6"/>
      <c r="H50" s="6"/>
      <c r="I50" s="6"/>
      <c r="J50" s="5"/>
    </row>
    <row r="51" spans="1:10" ht="14.25" x14ac:dyDescent="0.2">
      <c r="A51" s="368" t="s">
        <v>14</v>
      </c>
      <c r="B51" s="412">
        <f>+F50</f>
        <v>99669.336737951293</v>
      </c>
      <c r="C51" s="412">
        <f>+E51-D51</f>
        <v>148.37380108794895</v>
      </c>
      <c r="D51" s="412">
        <f>B51*$I$3</f>
        <v>415.28890307479702</v>
      </c>
      <c r="E51" s="412">
        <f t="shared" si="15"/>
        <v>563.66270416274597</v>
      </c>
      <c r="F51" s="413">
        <f>+B51-C51</f>
        <v>99520.962936863347</v>
      </c>
      <c r="G51" s="6"/>
      <c r="H51" s="6"/>
      <c r="I51" s="6"/>
      <c r="J51" s="5"/>
    </row>
    <row r="52" spans="1:10" ht="14.25" x14ac:dyDescent="0.2">
      <c r="A52" s="368" t="s">
        <v>15</v>
      </c>
      <c r="B52" s="412">
        <f t="shared" ref="B52:B59" si="16">+F51</f>
        <v>99520.962936863347</v>
      </c>
      <c r="C52" s="412">
        <f t="shared" ref="C52:C59" si="17">+E52-D52</f>
        <v>148.9920252591487</v>
      </c>
      <c r="D52" s="412">
        <f t="shared" ref="D52:D59" si="18">B52*$I$3</f>
        <v>414.67067890359726</v>
      </c>
      <c r="E52" s="412">
        <f t="shared" si="15"/>
        <v>563.66270416274597</v>
      </c>
      <c r="F52" s="413">
        <f t="shared" ref="F52:F59" si="19">+B52-C52</f>
        <v>99371.970911604192</v>
      </c>
      <c r="G52" s="6"/>
      <c r="H52" s="6"/>
      <c r="I52" s="6"/>
      <c r="J52" s="5"/>
    </row>
    <row r="53" spans="1:10" ht="14.25" x14ac:dyDescent="0.2">
      <c r="A53" s="368" t="s">
        <v>16</v>
      </c>
      <c r="B53" s="412">
        <f t="shared" si="16"/>
        <v>99371.970911604192</v>
      </c>
      <c r="C53" s="412">
        <f t="shared" si="17"/>
        <v>149.61282536439518</v>
      </c>
      <c r="D53" s="412">
        <f t="shared" si="18"/>
        <v>414.04987879835079</v>
      </c>
      <c r="E53" s="412">
        <f t="shared" si="15"/>
        <v>563.66270416274597</v>
      </c>
      <c r="F53" s="413">
        <f t="shared" si="19"/>
        <v>99222.358086239794</v>
      </c>
      <c r="G53" s="6"/>
      <c r="H53" s="6"/>
      <c r="I53" s="6"/>
      <c r="J53" s="5"/>
    </row>
    <row r="54" spans="1:10" ht="14.25" x14ac:dyDescent="0.2">
      <c r="A54" s="368" t="s">
        <v>17</v>
      </c>
      <c r="B54" s="412">
        <f t="shared" si="16"/>
        <v>99222.358086239794</v>
      </c>
      <c r="C54" s="412">
        <f t="shared" si="17"/>
        <v>150.23621213674681</v>
      </c>
      <c r="D54" s="412">
        <f t="shared" si="18"/>
        <v>413.42649202599915</v>
      </c>
      <c r="E54" s="412">
        <f t="shared" si="15"/>
        <v>563.66270416274597</v>
      </c>
      <c r="F54" s="413">
        <f t="shared" si="19"/>
        <v>99072.121874103046</v>
      </c>
      <c r="G54" s="6"/>
      <c r="H54" s="6"/>
      <c r="I54" s="6"/>
      <c r="J54" s="5"/>
    </row>
    <row r="55" spans="1:10" ht="14.25" x14ac:dyDescent="0.2">
      <c r="A55" s="368" t="s">
        <v>18</v>
      </c>
      <c r="B55" s="412">
        <f t="shared" si="16"/>
        <v>99072.121874103046</v>
      </c>
      <c r="C55" s="412">
        <f t="shared" si="17"/>
        <v>150.86219635398328</v>
      </c>
      <c r="D55" s="412">
        <f t="shared" si="18"/>
        <v>412.80050780876269</v>
      </c>
      <c r="E55" s="412">
        <f t="shared" si="15"/>
        <v>563.66270416274597</v>
      </c>
      <c r="F55" s="413">
        <f t="shared" si="19"/>
        <v>98921.259677749069</v>
      </c>
      <c r="G55" s="6"/>
      <c r="H55" s="6"/>
      <c r="I55" s="6"/>
      <c r="J55" s="5"/>
    </row>
    <row r="56" spans="1:10" ht="14.25" x14ac:dyDescent="0.2">
      <c r="A56" s="368" t="s">
        <v>19</v>
      </c>
      <c r="B56" s="412">
        <f t="shared" si="16"/>
        <v>98921.259677749069</v>
      </c>
      <c r="C56" s="412">
        <f t="shared" si="17"/>
        <v>151.4907888387915</v>
      </c>
      <c r="D56" s="412">
        <f t="shared" si="18"/>
        <v>412.17191532395447</v>
      </c>
      <c r="E56" s="412">
        <f t="shared" si="15"/>
        <v>563.66270416274597</v>
      </c>
      <c r="F56" s="413">
        <f t="shared" si="19"/>
        <v>98769.768888910272</v>
      </c>
      <c r="G56" s="6"/>
      <c r="H56" s="6"/>
      <c r="I56" s="6"/>
      <c r="J56" s="5"/>
    </row>
    <row r="57" spans="1:10" ht="14.25" x14ac:dyDescent="0.2">
      <c r="A57" s="368" t="s">
        <v>20</v>
      </c>
      <c r="B57" s="412">
        <f t="shared" si="16"/>
        <v>98769.768888910272</v>
      </c>
      <c r="C57" s="412">
        <f t="shared" si="17"/>
        <v>152.12200045895315</v>
      </c>
      <c r="D57" s="412">
        <f t="shared" si="18"/>
        <v>411.54070370379281</v>
      </c>
      <c r="E57" s="412">
        <f t="shared" si="15"/>
        <v>563.66270416274597</v>
      </c>
      <c r="F57" s="413">
        <f t="shared" si="19"/>
        <v>98617.646888451316</v>
      </c>
      <c r="G57" s="6"/>
      <c r="H57" s="6"/>
      <c r="I57" s="6"/>
      <c r="J57" s="5"/>
    </row>
    <row r="58" spans="1:10" ht="14.25" x14ac:dyDescent="0.2">
      <c r="A58" s="368" t="s">
        <v>21</v>
      </c>
      <c r="B58" s="412">
        <f t="shared" si="16"/>
        <v>98617.646888451316</v>
      </c>
      <c r="C58" s="412">
        <f t="shared" si="17"/>
        <v>152.75584212753216</v>
      </c>
      <c r="D58" s="412">
        <f t="shared" si="18"/>
        <v>410.90686203521381</v>
      </c>
      <c r="E58" s="412">
        <f t="shared" si="15"/>
        <v>563.66270416274597</v>
      </c>
      <c r="F58" s="413">
        <f t="shared" si="19"/>
        <v>98464.891046323784</v>
      </c>
      <c r="G58" s="7"/>
      <c r="H58" s="6"/>
      <c r="I58" s="6"/>
      <c r="J58" s="5"/>
    </row>
    <row r="59" spans="1:10" ht="14.25" x14ac:dyDescent="0.2">
      <c r="A59" s="368" t="s">
        <v>22</v>
      </c>
      <c r="B59" s="412">
        <f t="shared" si="16"/>
        <v>98464.891046323784</v>
      </c>
      <c r="C59" s="412">
        <f t="shared" si="17"/>
        <v>153.39232480306356</v>
      </c>
      <c r="D59" s="412">
        <f t="shared" si="18"/>
        <v>410.27037935968241</v>
      </c>
      <c r="E59" s="412">
        <f t="shared" si="15"/>
        <v>563.66270416274597</v>
      </c>
      <c r="F59" s="413">
        <f t="shared" si="19"/>
        <v>98311.498721520722</v>
      </c>
      <c r="G59" s="6"/>
      <c r="H59" s="6"/>
      <c r="I59" s="6"/>
      <c r="J59" s="5"/>
    </row>
    <row r="60" spans="1:10" ht="15" x14ac:dyDescent="0.25">
      <c r="A60" s="369" t="s">
        <v>11</v>
      </c>
      <c r="B60" s="412"/>
      <c r="C60" s="412">
        <f>SUM(C48:C59)</f>
        <v>1799.2756739457532</v>
      </c>
      <c r="D60" s="412">
        <f>SUM(D48:D59)</f>
        <v>4964.676776007198</v>
      </c>
      <c r="E60" s="412"/>
      <c r="F60" s="413"/>
      <c r="G60" s="6"/>
      <c r="H60" s="6"/>
      <c r="I60" s="6"/>
      <c r="J60" s="5"/>
    </row>
    <row r="61" spans="1:10" ht="15" x14ac:dyDescent="0.25">
      <c r="A61" s="369"/>
      <c r="B61" s="412"/>
      <c r="C61" s="412"/>
      <c r="D61" s="412"/>
      <c r="E61" s="412"/>
      <c r="F61" s="413"/>
      <c r="G61" s="6"/>
      <c r="H61" s="6"/>
      <c r="I61" s="6"/>
      <c r="J61" s="5"/>
    </row>
    <row r="62" spans="1:10" ht="14.25" x14ac:dyDescent="0.2">
      <c r="A62" s="371"/>
      <c r="B62" s="416" t="s">
        <v>0</v>
      </c>
      <c r="C62" s="416" t="s">
        <v>1</v>
      </c>
      <c r="D62" s="416" t="s">
        <v>2</v>
      </c>
      <c r="E62" s="416" t="s">
        <v>3</v>
      </c>
      <c r="F62" s="417" t="s">
        <v>4</v>
      </c>
      <c r="G62" s="6"/>
      <c r="H62" s="6"/>
      <c r="I62" s="6"/>
      <c r="J62" s="5"/>
    </row>
    <row r="63" spans="1:10" ht="14.25" x14ac:dyDescent="0.2">
      <c r="A63" s="367" t="s">
        <v>84</v>
      </c>
      <c r="B63" s="412">
        <f>+F59</f>
        <v>98311.498721520722</v>
      </c>
      <c r="C63" s="412">
        <f>+E63-D63</f>
        <v>154.03145948974299</v>
      </c>
      <c r="D63" s="412">
        <f>B63*$I$3</f>
        <v>409.63124467300298</v>
      </c>
      <c r="E63" s="412">
        <f t="shared" ref="E63:E74" si="20">-$I$10</f>
        <v>563.66270416274597</v>
      </c>
      <c r="F63" s="413">
        <f>+B63-C63</f>
        <v>98157.467262030972</v>
      </c>
      <c r="G63" s="6"/>
      <c r="H63" s="6"/>
      <c r="I63" s="6"/>
      <c r="J63" s="5"/>
    </row>
    <row r="64" spans="1:10" ht="14.25" x14ac:dyDescent="0.2">
      <c r="A64" s="368" t="s">
        <v>12</v>
      </c>
      <c r="B64" s="412">
        <f>+F63</f>
        <v>98157.467262030972</v>
      </c>
      <c r="C64" s="412">
        <f>+E64-D64</f>
        <v>154.67325723761689</v>
      </c>
      <c r="D64" s="412">
        <f>B64*$I$3</f>
        <v>408.98944692512907</v>
      </c>
      <c r="E64" s="412">
        <f t="shared" si="20"/>
        <v>563.66270416274597</v>
      </c>
      <c r="F64" s="413">
        <f>+B64-C64</f>
        <v>98002.794004793352</v>
      </c>
      <c r="G64" s="6"/>
      <c r="H64" s="6"/>
      <c r="I64" s="6"/>
      <c r="J64" s="5"/>
    </row>
    <row r="65" spans="1:10" ht="14.25" x14ac:dyDescent="0.2">
      <c r="A65" s="368" t="s">
        <v>13</v>
      </c>
      <c r="B65" s="412">
        <f>+F64</f>
        <v>98002.794004793352</v>
      </c>
      <c r="C65" s="412">
        <f>+E65-D65</f>
        <v>155.31772914277366</v>
      </c>
      <c r="D65" s="412">
        <f>B65*$I$3</f>
        <v>408.34497501997231</v>
      </c>
      <c r="E65" s="412">
        <f t="shared" si="20"/>
        <v>563.66270416274597</v>
      </c>
      <c r="F65" s="413">
        <f>+B65-C65</f>
        <v>97847.476275650581</v>
      </c>
      <c r="G65" s="6"/>
      <c r="H65" s="6"/>
      <c r="I65" s="6"/>
      <c r="J65" s="5"/>
    </row>
    <row r="66" spans="1:10" ht="14.25" x14ac:dyDescent="0.2">
      <c r="A66" s="368" t="s">
        <v>14</v>
      </c>
      <c r="B66" s="412">
        <f>+F65</f>
        <v>97847.476275650581</v>
      </c>
      <c r="C66" s="412">
        <f>+E66-D66</f>
        <v>155.96488634753524</v>
      </c>
      <c r="D66" s="412">
        <f>B66*$I$3</f>
        <v>407.69781781521073</v>
      </c>
      <c r="E66" s="412">
        <f t="shared" si="20"/>
        <v>563.66270416274597</v>
      </c>
      <c r="F66" s="413">
        <f>+B66-C66</f>
        <v>97691.51138930305</v>
      </c>
      <c r="G66" s="6"/>
      <c r="H66" s="6"/>
      <c r="I66" s="6"/>
      <c r="J66" s="5"/>
    </row>
    <row r="67" spans="1:10" ht="14.25" x14ac:dyDescent="0.2">
      <c r="A67" s="368" t="s">
        <v>15</v>
      </c>
      <c r="B67" s="412">
        <f t="shared" ref="B67:B74" si="21">+F66</f>
        <v>97691.51138930305</v>
      </c>
      <c r="C67" s="412">
        <f t="shared" ref="C67:C74" si="22">+E67-D67</f>
        <v>156.61474004064991</v>
      </c>
      <c r="D67" s="412">
        <f t="shared" ref="D67:D74" si="23">B67*$I$3</f>
        <v>407.04796412209606</v>
      </c>
      <c r="E67" s="412">
        <f t="shared" si="20"/>
        <v>563.66270416274597</v>
      </c>
      <c r="F67" s="413">
        <f t="shared" ref="F67:F74" si="24">+B67-C67</f>
        <v>97534.896649262402</v>
      </c>
      <c r="G67" s="6"/>
      <c r="H67" s="6"/>
      <c r="I67" s="6"/>
      <c r="J67" s="5"/>
    </row>
    <row r="68" spans="1:10" ht="14.25" x14ac:dyDescent="0.2">
      <c r="A68" s="368" t="s">
        <v>16</v>
      </c>
      <c r="B68" s="412">
        <f t="shared" si="21"/>
        <v>97534.896649262402</v>
      </c>
      <c r="C68" s="412">
        <f t="shared" si="22"/>
        <v>157.26730145748598</v>
      </c>
      <c r="D68" s="412">
        <f t="shared" si="23"/>
        <v>406.39540270525998</v>
      </c>
      <c r="E68" s="412">
        <f t="shared" si="20"/>
        <v>563.66270416274597</v>
      </c>
      <c r="F68" s="413">
        <f t="shared" si="24"/>
        <v>97377.629347804919</v>
      </c>
      <c r="G68" s="6"/>
      <c r="H68" s="6"/>
      <c r="I68" s="6"/>
      <c r="J68" s="5"/>
    </row>
    <row r="69" spans="1:10" ht="14.25" x14ac:dyDescent="0.2">
      <c r="A69" s="368" t="s">
        <v>17</v>
      </c>
      <c r="B69" s="412">
        <f t="shared" si="21"/>
        <v>97377.629347804919</v>
      </c>
      <c r="C69" s="412">
        <f t="shared" si="22"/>
        <v>157.92258188022549</v>
      </c>
      <c r="D69" s="412">
        <f t="shared" si="23"/>
        <v>405.74012228252047</v>
      </c>
      <c r="E69" s="412">
        <f t="shared" si="20"/>
        <v>563.66270416274597</v>
      </c>
      <c r="F69" s="413">
        <f t="shared" si="24"/>
        <v>97219.706765924697</v>
      </c>
      <c r="G69" s="6"/>
      <c r="H69" s="6"/>
      <c r="I69" s="6"/>
      <c r="J69" s="5"/>
    </row>
    <row r="70" spans="1:10" ht="14.25" x14ac:dyDescent="0.2">
      <c r="A70" s="368" t="s">
        <v>18</v>
      </c>
      <c r="B70" s="412">
        <f t="shared" si="21"/>
        <v>97219.706765924697</v>
      </c>
      <c r="C70" s="412">
        <f t="shared" si="22"/>
        <v>158.58059263805973</v>
      </c>
      <c r="D70" s="412">
        <f t="shared" si="23"/>
        <v>405.08211152468624</v>
      </c>
      <c r="E70" s="412">
        <f t="shared" si="20"/>
        <v>563.66270416274597</v>
      </c>
      <c r="F70" s="413">
        <f t="shared" si="24"/>
        <v>97061.126173286641</v>
      </c>
      <c r="G70" s="6"/>
      <c r="H70" s="6"/>
      <c r="I70" s="6"/>
      <c r="J70" s="5"/>
    </row>
    <row r="71" spans="1:10" ht="14.25" x14ac:dyDescent="0.2">
      <c r="A71" s="368" t="s">
        <v>19</v>
      </c>
      <c r="B71" s="412">
        <f t="shared" si="21"/>
        <v>97061.126173286641</v>
      </c>
      <c r="C71" s="412">
        <f t="shared" si="22"/>
        <v>159.24134510738497</v>
      </c>
      <c r="D71" s="412">
        <f t="shared" si="23"/>
        <v>404.42135905536099</v>
      </c>
      <c r="E71" s="412">
        <f t="shared" si="20"/>
        <v>563.66270416274597</v>
      </c>
      <c r="F71" s="413">
        <f t="shared" si="24"/>
        <v>96901.88482817926</v>
      </c>
      <c r="G71" s="6"/>
      <c r="H71" s="6"/>
      <c r="I71" s="6"/>
      <c r="J71" s="5"/>
    </row>
    <row r="72" spans="1:10" ht="14.25" x14ac:dyDescent="0.2">
      <c r="A72" s="368" t="s">
        <v>20</v>
      </c>
      <c r="B72" s="412">
        <f t="shared" si="21"/>
        <v>96901.88482817926</v>
      </c>
      <c r="C72" s="412">
        <f t="shared" si="22"/>
        <v>159.90485071199907</v>
      </c>
      <c r="D72" s="412">
        <f t="shared" si="23"/>
        <v>403.75785345074689</v>
      </c>
      <c r="E72" s="412">
        <f t="shared" si="20"/>
        <v>563.66270416274597</v>
      </c>
      <c r="F72" s="413">
        <f t="shared" si="24"/>
        <v>96741.979977467257</v>
      </c>
      <c r="G72" s="6"/>
      <c r="H72" s="6"/>
      <c r="I72" s="6"/>
      <c r="J72" s="5"/>
    </row>
    <row r="73" spans="1:10" ht="14.25" x14ac:dyDescent="0.2">
      <c r="A73" s="368" t="s">
        <v>21</v>
      </c>
      <c r="B73" s="412">
        <f t="shared" si="21"/>
        <v>96741.979977467257</v>
      </c>
      <c r="C73" s="412">
        <f t="shared" si="22"/>
        <v>160.57112092329908</v>
      </c>
      <c r="D73" s="412">
        <f t="shared" si="23"/>
        <v>403.09158323944689</v>
      </c>
      <c r="E73" s="412">
        <f t="shared" si="20"/>
        <v>563.66270416274597</v>
      </c>
      <c r="F73" s="413">
        <f t="shared" si="24"/>
        <v>96581.40885654396</v>
      </c>
      <c r="G73" s="6"/>
      <c r="H73" s="6"/>
      <c r="I73" s="6"/>
      <c r="J73" s="5"/>
    </row>
    <row r="74" spans="1:10" ht="14.25" x14ac:dyDescent="0.2">
      <c r="A74" s="368" t="s">
        <v>22</v>
      </c>
      <c r="B74" s="412">
        <f t="shared" si="21"/>
        <v>96581.40885654396</v>
      </c>
      <c r="C74" s="412">
        <f t="shared" si="22"/>
        <v>161.2401672604795</v>
      </c>
      <c r="D74" s="412">
        <f t="shared" si="23"/>
        <v>402.42253690226647</v>
      </c>
      <c r="E74" s="412">
        <f t="shared" si="20"/>
        <v>563.66270416274597</v>
      </c>
      <c r="F74" s="413">
        <f t="shared" si="24"/>
        <v>96420.168689283484</v>
      </c>
      <c r="G74" s="6"/>
      <c r="H74" s="6"/>
      <c r="I74" s="6"/>
      <c r="J74" s="5"/>
    </row>
    <row r="75" spans="1:10" ht="15" x14ac:dyDescent="0.25">
      <c r="A75" s="369" t="s">
        <v>11</v>
      </c>
      <c r="B75" s="412"/>
      <c r="C75" s="412">
        <f>SUM(C63:C74)</f>
        <v>1891.3300322372527</v>
      </c>
      <c r="D75" s="412">
        <f>SUM(D63:D74)</f>
        <v>4872.6224177156992</v>
      </c>
      <c r="E75" s="412"/>
      <c r="F75" s="413"/>
      <c r="G75" s="6"/>
      <c r="H75" s="6"/>
      <c r="I75" s="6"/>
      <c r="J75" s="5"/>
    </row>
    <row r="76" spans="1:10" ht="15" x14ac:dyDescent="0.25">
      <c r="A76" s="369"/>
      <c r="B76" s="412"/>
      <c r="C76" s="412"/>
      <c r="D76" s="412"/>
      <c r="E76" s="412"/>
      <c r="F76" s="413"/>
      <c r="G76" s="6"/>
      <c r="H76" s="6"/>
      <c r="I76" s="6"/>
      <c r="J76" s="5"/>
    </row>
    <row r="77" spans="1:10" ht="14.25" x14ac:dyDescent="0.2">
      <c r="A77" s="371"/>
      <c r="B77" s="416" t="s">
        <v>0</v>
      </c>
      <c r="C77" s="416" t="s">
        <v>1</v>
      </c>
      <c r="D77" s="416" t="s">
        <v>2</v>
      </c>
      <c r="E77" s="416" t="s">
        <v>3</v>
      </c>
      <c r="F77" s="417" t="s">
        <v>4</v>
      </c>
      <c r="G77" s="6"/>
      <c r="H77" s="6"/>
      <c r="I77" s="6"/>
      <c r="J77" s="5"/>
    </row>
    <row r="78" spans="1:10" ht="14.25" x14ac:dyDescent="0.2">
      <c r="A78" s="372" t="s">
        <v>85</v>
      </c>
      <c r="B78" s="412">
        <f>+F74</f>
        <v>96420.168689283484</v>
      </c>
      <c r="C78" s="412">
        <f>+E78-D78</f>
        <v>161.91200129073144</v>
      </c>
      <c r="D78" s="412">
        <f>B78*$I$3</f>
        <v>401.75070287201453</v>
      </c>
      <c r="E78" s="412">
        <f t="shared" ref="E78:E89" si="25">-$I$10</f>
        <v>563.66270416274597</v>
      </c>
      <c r="F78" s="413">
        <f>+B78-C78</f>
        <v>96258.256687992747</v>
      </c>
      <c r="G78" s="6"/>
      <c r="H78" s="6"/>
      <c r="I78" s="6"/>
      <c r="J78" s="5"/>
    </row>
    <row r="79" spans="1:10" ht="14.25" x14ac:dyDescent="0.2">
      <c r="A79" s="368" t="s">
        <v>12</v>
      </c>
      <c r="B79" s="412">
        <f>+F78</f>
        <v>96258.256687992747</v>
      </c>
      <c r="C79" s="412">
        <f>+E79-D79</f>
        <v>162.58663462944287</v>
      </c>
      <c r="D79" s="412">
        <f>B79*$I$3</f>
        <v>401.0760695333031</v>
      </c>
      <c r="E79" s="412">
        <f t="shared" si="25"/>
        <v>563.66270416274597</v>
      </c>
      <c r="F79" s="413">
        <f>+B79-C79</f>
        <v>96095.670053363297</v>
      </c>
      <c r="G79" s="6"/>
      <c r="H79" s="6"/>
      <c r="I79" s="6"/>
      <c r="J79" s="5"/>
    </row>
    <row r="80" spans="1:10" ht="14.25" x14ac:dyDescent="0.2">
      <c r="A80" s="368" t="s">
        <v>13</v>
      </c>
      <c r="B80" s="412">
        <f>+F79</f>
        <v>96095.670053363297</v>
      </c>
      <c r="C80" s="412">
        <f>+E80-D80</f>
        <v>163.26407894039892</v>
      </c>
      <c r="D80" s="412">
        <f>B80*$I$3</f>
        <v>400.39862522234705</v>
      </c>
      <c r="E80" s="412">
        <f t="shared" si="25"/>
        <v>563.66270416274597</v>
      </c>
      <c r="F80" s="413">
        <f>+B80-C80</f>
        <v>95932.405974422902</v>
      </c>
      <c r="G80" s="6"/>
      <c r="H80" s="6"/>
      <c r="I80" s="6"/>
      <c r="J80" s="5"/>
    </row>
    <row r="81" spans="1:10" ht="14.25" x14ac:dyDescent="0.2">
      <c r="A81" s="368" t="s">
        <v>14</v>
      </c>
      <c r="B81" s="412">
        <f>+F80</f>
        <v>95932.405974422902</v>
      </c>
      <c r="C81" s="412">
        <f>+E81-D81</f>
        <v>163.9443459359839</v>
      </c>
      <c r="D81" s="412">
        <f>B81*$I$3</f>
        <v>399.71835822676206</v>
      </c>
      <c r="E81" s="412">
        <f t="shared" si="25"/>
        <v>563.66270416274597</v>
      </c>
      <c r="F81" s="413">
        <f>+B81-C81</f>
        <v>95768.461628486912</v>
      </c>
      <c r="G81" s="6"/>
      <c r="H81" s="6"/>
      <c r="I81" s="6"/>
      <c r="J81" s="5"/>
    </row>
    <row r="82" spans="1:10" ht="14.25" x14ac:dyDescent="0.2">
      <c r="A82" s="368" t="s">
        <v>15</v>
      </c>
      <c r="B82" s="412">
        <f t="shared" ref="B82:B89" si="26">+F81</f>
        <v>95768.461628486912</v>
      </c>
      <c r="C82" s="412">
        <f t="shared" ref="C82:C89" si="27">+E82-D82</f>
        <v>164.62744737738382</v>
      </c>
      <c r="D82" s="412">
        <f t="shared" ref="D82:D89" si="28">B82*$I$3</f>
        <v>399.03525678536215</v>
      </c>
      <c r="E82" s="412">
        <f t="shared" si="25"/>
        <v>563.66270416274597</v>
      </c>
      <c r="F82" s="413">
        <f t="shared" ref="F82:F89" si="29">+B82-C82</f>
        <v>95603.834181109531</v>
      </c>
      <c r="G82" s="6"/>
      <c r="H82" s="6"/>
      <c r="I82" s="6"/>
      <c r="J82" s="5"/>
    </row>
    <row r="83" spans="1:10" ht="14.25" x14ac:dyDescent="0.2">
      <c r="A83" s="368" t="s">
        <v>16</v>
      </c>
      <c r="B83" s="412">
        <f t="shared" si="26"/>
        <v>95603.834181109531</v>
      </c>
      <c r="C83" s="412">
        <f t="shared" si="27"/>
        <v>165.31339507478958</v>
      </c>
      <c r="D83" s="412">
        <f t="shared" si="28"/>
        <v>398.34930908795639</v>
      </c>
      <c r="E83" s="412">
        <f t="shared" si="25"/>
        <v>563.66270416274597</v>
      </c>
      <c r="F83" s="413">
        <f t="shared" si="29"/>
        <v>95438.520786034744</v>
      </c>
      <c r="G83" s="6"/>
      <c r="H83" s="6"/>
      <c r="I83" s="6"/>
      <c r="J83" s="5"/>
    </row>
    <row r="84" spans="1:10" ht="14.25" x14ac:dyDescent="0.2">
      <c r="A84" s="368" t="s">
        <v>17</v>
      </c>
      <c r="B84" s="412">
        <f t="shared" si="26"/>
        <v>95438.520786034744</v>
      </c>
      <c r="C84" s="412">
        <f t="shared" si="27"/>
        <v>166.00220088760119</v>
      </c>
      <c r="D84" s="412">
        <f t="shared" si="28"/>
        <v>397.66050327514478</v>
      </c>
      <c r="E84" s="412">
        <f t="shared" si="25"/>
        <v>563.66270416274597</v>
      </c>
      <c r="F84" s="413">
        <f t="shared" si="29"/>
        <v>95272.518585147147</v>
      </c>
      <c r="G84" s="6"/>
      <c r="H84" s="6"/>
      <c r="I84" s="6"/>
      <c r="J84" s="5"/>
    </row>
    <row r="85" spans="1:10" ht="14.25" x14ac:dyDescent="0.2">
      <c r="A85" s="368" t="s">
        <v>18</v>
      </c>
      <c r="B85" s="412">
        <f t="shared" si="26"/>
        <v>95272.518585147147</v>
      </c>
      <c r="C85" s="412">
        <f t="shared" si="27"/>
        <v>166.69387672463284</v>
      </c>
      <c r="D85" s="412">
        <f t="shared" si="28"/>
        <v>396.96882743811312</v>
      </c>
      <c r="E85" s="412">
        <f t="shared" si="25"/>
        <v>563.66270416274597</v>
      </c>
      <c r="F85" s="413">
        <f t="shared" si="29"/>
        <v>95105.824708422515</v>
      </c>
      <c r="G85" s="6"/>
      <c r="H85" s="6"/>
      <c r="I85" s="6"/>
      <c r="J85" s="5"/>
    </row>
    <row r="86" spans="1:10" ht="14.25" x14ac:dyDescent="0.2">
      <c r="A86" s="368" t="s">
        <v>19</v>
      </c>
      <c r="B86" s="412">
        <f t="shared" si="26"/>
        <v>95105.824708422515</v>
      </c>
      <c r="C86" s="412">
        <f t="shared" si="27"/>
        <v>167.38843454431884</v>
      </c>
      <c r="D86" s="412">
        <f t="shared" si="28"/>
        <v>396.27426961842713</v>
      </c>
      <c r="E86" s="412">
        <f t="shared" si="25"/>
        <v>563.66270416274597</v>
      </c>
      <c r="F86" s="413">
        <f t="shared" si="29"/>
        <v>94938.436273878193</v>
      </c>
      <c r="G86" s="6"/>
      <c r="H86" s="6"/>
      <c r="I86" s="6"/>
      <c r="J86" s="5"/>
    </row>
    <row r="87" spans="1:10" ht="14.25" x14ac:dyDescent="0.2">
      <c r="A87" s="368" t="s">
        <v>20</v>
      </c>
      <c r="B87" s="412">
        <f t="shared" si="26"/>
        <v>94938.436273878193</v>
      </c>
      <c r="C87" s="412">
        <f t="shared" si="27"/>
        <v>168.08588635492015</v>
      </c>
      <c r="D87" s="412">
        <f t="shared" si="28"/>
        <v>395.57681780782582</v>
      </c>
      <c r="E87" s="412">
        <f t="shared" si="25"/>
        <v>563.66270416274597</v>
      </c>
      <c r="F87" s="413">
        <f t="shared" si="29"/>
        <v>94770.350387523271</v>
      </c>
      <c r="G87" s="6"/>
      <c r="H87" s="6"/>
      <c r="I87" s="6"/>
      <c r="J87" s="5"/>
    </row>
    <row r="88" spans="1:10" ht="14.25" x14ac:dyDescent="0.2">
      <c r="A88" s="368" t="s">
        <v>21</v>
      </c>
      <c r="B88" s="412">
        <f t="shared" si="26"/>
        <v>94770.350387523271</v>
      </c>
      <c r="C88" s="412">
        <f t="shared" si="27"/>
        <v>168.78624421473233</v>
      </c>
      <c r="D88" s="412">
        <f t="shared" si="28"/>
        <v>394.87645994801363</v>
      </c>
      <c r="E88" s="412">
        <f t="shared" si="25"/>
        <v>563.66270416274597</v>
      </c>
      <c r="F88" s="413">
        <f t="shared" si="29"/>
        <v>94601.56414330854</v>
      </c>
      <c r="G88" s="6"/>
      <c r="H88" s="6"/>
      <c r="I88" s="6"/>
      <c r="J88" s="5"/>
    </row>
    <row r="89" spans="1:10" ht="14.25" x14ac:dyDescent="0.2">
      <c r="A89" s="368" t="s">
        <v>22</v>
      </c>
      <c r="B89" s="412">
        <f t="shared" si="26"/>
        <v>94601.56414330854</v>
      </c>
      <c r="C89" s="412">
        <f t="shared" si="27"/>
        <v>169.48952023229373</v>
      </c>
      <c r="D89" s="412">
        <f t="shared" si="28"/>
        <v>394.17318393045224</v>
      </c>
      <c r="E89" s="412">
        <f t="shared" si="25"/>
        <v>563.66270416274597</v>
      </c>
      <c r="F89" s="413">
        <f t="shared" si="29"/>
        <v>94432.074623076245</v>
      </c>
      <c r="G89" s="6"/>
      <c r="H89" s="6"/>
      <c r="I89" s="6"/>
      <c r="J89" s="5"/>
    </row>
    <row r="90" spans="1:10" ht="15" x14ac:dyDescent="0.25">
      <c r="A90" s="369" t="s">
        <v>82</v>
      </c>
      <c r="B90" s="412"/>
      <c r="C90" s="412">
        <f>SUM(C78:C89)</f>
        <v>1988.0940662072296</v>
      </c>
      <c r="D90" s="412">
        <f>SUM(D78:D89)</f>
        <v>4775.8583837457227</v>
      </c>
      <c r="E90" s="412"/>
      <c r="F90" s="413"/>
      <c r="G90" s="6"/>
      <c r="H90" s="6"/>
      <c r="I90" s="6"/>
      <c r="J90" s="5"/>
    </row>
    <row r="91" spans="1:10" ht="15" x14ac:dyDescent="0.25">
      <c r="A91" s="369"/>
      <c r="B91" s="412"/>
      <c r="C91" s="412"/>
      <c r="D91" s="412"/>
      <c r="E91" s="412"/>
      <c r="F91" s="413"/>
      <c r="G91" s="6"/>
      <c r="H91" s="6"/>
      <c r="I91" s="6"/>
      <c r="J91" s="5"/>
    </row>
    <row r="92" spans="1:10" ht="14.25" x14ac:dyDescent="0.2">
      <c r="A92" s="371"/>
      <c r="B92" s="416" t="s">
        <v>0</v>
      </c>
      <c r="C92" s="416" t="s">
        <v>1</v>
      </c>
      <c r="D92" s="416" t="s">
        <v>2</v>
      </c>
      <c r="E92" s="416" t="s">
        <v>3</v>
      </c>
      <c r="F92" s="417" t="s">
        <v>4</v>
      </c>
      <c r="G92" s="5"/>
      <c r="H92" s="5"/>
      <c r="I92" s="5"/>
      <c r="J92" s="5"/>
    </row>
    <row r="93" spans="1:10" ht="14.25" x14ac:dyDescent="0.2">
      <c r="A93" s="372" t="s">
        <v>86</v>
      </c>
      <c r="B93" s="412">
        <f>+F89</f>
        <v>94432.074623076245</v>
      </c>
      <c r="C93" s="412">
        <f>+E93-D93</f>
        <v>170.19572656659494</v>
      </c>
      <c r="D93" s="412">
        <f>B93*$I$3</f>
        <v>393.46697759615103</v>
      </c>
      <c r="E93" s="412">
        <f t="shared" ref="E93:E104" si="30">-$I$10</f>
        <v>563.66270416274597</v>
      </c>
      <c r="F93" s="413">
        <f>+B93-C93</f>
        <v>94261.878896509646</v>
      </c>
      <c r="G93" s="5"/>
      <c r="H93" s="5"/>
      <c r="I93" s="5"/>
      <c r="J93" s="5"/>
    </row>
    <row r="94" spans="1:10" ht="14.25" x14ac:dyDescent="0.2">
      <c r="A94" s="368" t="s">
        <v>12</v>
      </c>
      <c r="B94" s="412">
        <f>+F93</f>
        <v>94261.878896509646</v>
      </c>
      <c r="C94" s="412">
        <f>+E94-D94</f>
        <v>170.90487542728908</v>
      </c>
      <c r="D94" s="412">
        <f>B94*$I$3</f>
        <v>392.75782873545688</v>
      </c>
      <c r="E94" s="412">
        <f t="shared" si="30"/>
        <v>563.66270416274597</v>
      </c>
      <c r="F94" s="413">
        <f>+B94-C94</f>
        <v>94090.974021082351</v>
      </c>
    </row>
    <row r="95" spans="1:10" ht="14.25" x14ac:dyDescent="0.2">
      <c r="A95" s="368" t="s">
        <v>13</v>
      </c>
      <c r="B95" s="412">
        <f>+F94</f>
        <v>94090.974021082351</v>
      </c>
      <c r="C95" s="412">
        <f>+E95-D95</f>
        <v>171.61697907490282</v>
      </c>
      <c r="D95" s="412">
        <f>B95*$I$3</f>
        <v>392.04572508784315</v>
      </c>
      <c r="E95" s="412">
        <f t="shared" si="30"/>
        <v>563.66270416274597</v>
      </c>
      <c r="F95" s="413">
        <f>+B95-C95</f>
        <v>93919.357042007454</v>
      </c>
    </row>
    <row r="96" spans="1:10" ht="14.25" x14ac:dyDescent="0.2">
      <c r="A96" s="368" t="s">
        <v>14</v>
      </c>
      <c r="B96" s="412">
        <f>+F95</f>
        <v>93919.357042007454</v>
      </c>
      <c r="C96" s="412">
        <f>+E96-D96</f>
        <v>172.33204982104826</v>
      </c>
      <c r="D96" s="412">
        <f>B96*$I$3</f>
        <v>391.33065434169771</v>
      </c>
      <c r="E96" s="412">
        <f t="shared" si="30"/>
        <v>563.66270416274597</v>
      </c>
      <c r="F96" s="413">
        <f>+B96-C96</f>
        <v>93747.024992186402</v>
      </c>
    </row>
    <row r="97" spans="1:6" ht="14.25" x14ac:dyDescent="0.2">
      <c r="A97" s="368" t="s">
        <v>15</v>
      </c>
      <c r="B97" s="412">
        <f t="shared" ref="B97:B104" si="31">+F96</f>
        <v>93747.024992186402</v>
      </c>
      <c r="C97" s="412">
        <f t="shared" ref="C97:C104" si="32">+E97-D97</f>
        <v>173.05010002863594</v>
      </c>
      <c r="D97" s="412">
        <f t="shared" ref="D97:D104" si="33">B97*$I$3</f>
        <v>390.61260413411003</v>
      </c>
      <c r="E97" s="412">
        <f t="shared" si="30"/>
        <v>563.66270416274597</v>
      </c>
      <c r="F97" s="413">
        <f t="shared" ref="F97:F104" si="34">+B97-C97</f>
        <v>93573.97489215777</v>
      </c>
    </row>
    <row r="98" spans="1:6" ht="14.25" x14ac:dyDescent="0.2">
      <c r="A98" s="368" t="s">
        <v>16</v>
      </c>
      <c r="B98" s="412">
        <f t="shared" si="31"/>
        <v>93573.97489215777</v>
      </c>
      <c r="C98" s="412">
        <f t="shared" si="32"/>
        <v>173.77114211208857</v>
      </c>
      <c r="D98" s="412">
        <f t="shared" si="33"/>
        <v>389.8915620506574</v>
      </c>
      <c r="E98" s="412">
        <f t="shared" si="30"/>
        <v>563.66270416274597</v>
      </c>
      <c r="F98" s="413">
        <f t="shared" si="34"/>
        <v>93400.203750045679</v>
      </c>
    </row>
    <row r="99" spans="1:6" ht="14.25" x14ac:dyDescent="0.2">
      <c r="A99" s="368" t="s">
        <v>17</v>
      </c>
      <c r="B99" s="412">
        <f t="shared" si="31"/>
        <v>93400.203750045679</v>
      </c>
      <c r="C99" s="412">
        <f t="shared" si="32"/>
        <v>174.49518853755563</v>
      </c>
      <c r="D99" s="412">
        <f t="shared" si="33"/>
        <v>389.16751562519033</v>
      </c>
      <c r="E99" s="412">
        <f t="shared" si="30"/>
        <v>563.66270416274597</v>
      </c>
      <c r="F99" s="413">
        <f t="shared" si="34"/>
        <v>93225.708561508131</v>
      </c>
    </row>
    <row r="100" spans="1:6" ht="14.25" x14ac:dyDescent="0.2">
      <c r="A100" s="368" t="s">
        <v>18</v>
      </c>
      <c r="B100" s="412">
        <f t="shared" si="31"/>
        <v>93225.708561508131</v>
      </c>
      <c r="C100" s="412">
        <f t="shared" si="32"/>
        <v>175.22225182312877</v>
      </c>
      <c r="D100" s="412">
        <f t="shared" si="33"/>
        <v>388.4404523396172</v>
      </c>
      <c r="E100" s="412">
        <f t="shared" si="30"/>
        <v>563.66270416274597</v>
      </c>
      <c r="F100" s="413">
        <f t="shared" si="34"/>
        <v>93050.486309685002</v>
      </c>
    </row>
    <row r="101" spans="1:6" ht="14.25" x14ac:dyDescent="0.2">
      <c r="A101" s="368" t="s">
        <v>19</v>
      </c>
      <c r="B101" s="412">
        <f t="shared" si="31"/>
        <v>93050.486309685002</v>
      </c>
      <c r="C101" s="412">
        <f t="shared" si="32"/>
        <v>175.95234453905846</v>
      </c>
      <c r="D101" s="412">
        <f t="shared" si="33"/>
        <v>387.71035962368751</v>
      </c>
      <c r="E101" s="412">
        <f t="shared" si="30"/>
        <v>563.66270416274597</v>
      </c>
      <c r="F101" s="413">
        <f t="shared" si="34"/>
        <v>92874.533965145951</v>
      </c>
    </row>
    <row r="102" spans="1:6" ht="14.25" x14ac:dyDescent="0.2">
      <c r="A102" s="368" t="s">
        <v>20</v>
      </c>
      <c r="B102" s="412">
        <f t="shared" si="31"/>
        <v>92874.533965145951</v>
      </c>
      <c r="C102" s="412">
        <f t="shared" si="32"/>
        <v>176.68547930797115</v>
      </c>
      <c r="D102" s="412">
        <f t="shared" si="33"/>
        <v>386.97722485477482</v>
      </c>
      <c r="E102" s="412">
        <f t="shared" si="30"/>
        <v>563.66270416274597</v>
      </c>
      <c r="F102" s="413">
        <f t="shared" si="34"/>
        <v>92697.848485837982</v>
      </c>
    </row>
    <row r="103" spans="1:6" ht="14.25" x14ac:dyDescent="0.2">
      <c r="A103" s="368" t="s">
        <v>21</v>
      </c>
      <c r="B103" s="412">
        <f t="shared" si="31"/>
        <v>92697.848485837982</v>
      </c>
      <c r="C103" s="412">
        <f t="shared" si="32"/>
        <v>177.42166880508773</v>
      </c>
      <c r="D103" s="412">
        <f t="shared" si="33"/>
        <v>386.24103535765823</v>
      </c>
      <c r="E103" s="412">
        <f t="shared" si="30"/>
        <v>563.66270416274597</v>
      </c>
      <c r="F103" s="413">
        <f t="shared" si="34"/>
        <v>92520.426817032887</v>
      </c>
    </row>
    <row r="104" spans="1:6" ht="14.25" x14ac:dyDescent="0.2">
      <c r="A104" s="368" t="s">
        <v>22</v>
      </c>
      <c r="B104" s="412">
        <f t="shared" si="31"/>
        <v>92520.426817032887</v>
      </c>
      <c r="C104" s="412">
        <f t="shared" si="32"/>
        <v>178.16092575844226</v>
      </c>
      <c r="D104" s="412">
        <f t="shared" si="33"/>
        <v>385.50177840430371</v>
      </c>
      <c r="E104" s="412">
        <f t="shared" si="30"/>
        <v>563.66270416274597</v>
      </c>
      <c r="F104" s="413">
        <f t="shared" si="34"/>
        <v>92342.265891274452</v>
      </c>
    </row>
    <row r="105" spans="1:6" ht="15" x14ac:dyDescent="0.25">
      <c r="A105" s="369" t="s">
        <v>82</v>
      </c>
      <c r="B105" s="412"/>
      <c r="C105" s="412">
        <f>SUM(C93:C104)</f>
        <v>2089.8087318018038</v>
      </c>
      <c r="D105" s="412">
        <f>SUM(D93:D104)</f>
        <v>4674.1437181511483</v>
      </c>
      <c r="E105" s="412"/>
      <c r="F105" s="413"/>
    </row>
    <row r="106" spans="1:6" ht="15" x14ac:dyDescent="0.25">
      <c r="A106" s="369"/>
      <c r="B106" s="412"/>
      <c r="C106" s="412"/>
      <c r="D106" s="412"/>
      <c r="E106" s="412"/>
      <c r="F106" s="413"/>
    </row>
    <row r="107" spans="1:6" ht="14.25" x14ac:dyDescent="0.2">
      <c r="A107" s="373"/>
      <c r="B107" s="416" t="s">
        <v>0</v>
      </c>
      <c r="C107" s="416" t="s">
        <v>1</v>
      </c>
      <c r="D107" s="416" t="s">
        <v>2</v>
      </c>
      <c r="E107" s="416" t="s">
        <v>3</v>
      </c>
      <c r="F107" s="417" t="s">
        <v>4</v>
      </c>
    </row>
    <row r="108" spans="1:6" ht="14.25" x14ac:dyDescent="0.2">
      <c r="A108" s="372" t="s">
        <v>87</v>
      </c>
      <c r="B108" s="412">
        <f>+F104</f>
        <v>92342.265891274452</v>
      </c>
      <c r="C108" s="412">
        <f>+E108-D108</f>
        <v>178.90326294910244</v>
      </c>
      <c r="D108" s="412">
        <f>B108*$I$3</f>
        <v>384.75944121364353</v>
      </c>
      <c r="E108" s="412">
        <f t="shared" ref="E108:E119" si="35">-$I$10</f>
        <v>563.66270416274597</v>
      </c>
      <c r="F108" s="413">
        <f>+B108-C108</f>
        <v>92163.362628325354</v>
      </c>
    </row>
    <row r="109" spans="1:6" ht="14.25" x14ac:dyDescent="0.2">
      <c r="A109" s="368" t="s">
        <v>12</v>
      </c>
      <c r="B109" s="412">
        <f>+F108</f>
        <v>92163.362628325354</v>
      </c>
      <c r="C109" s="412">
        <f>+E109-D109</f>
        <v>179.64869321139031</v>
      </c>
      <c r="D109" s="412">
        <f>B109*$I$3</f>
        <v>384.01401095135566</v>
      </c>
      <c r="E109" s="412">
        <f t="shared" si="35"/>
        <v>563.66270416274597</v>
      </c>
      <c r="F109" s="413">
        <f>+B109-C109</f>
        <v>91983.713935113963</v>
      </c>
    </row>
    <row r="110" spans="1:6" ht="14.25" x14ac:dyDescent="0.2">
      <c r="A110" s="368" t="s">
        <v>13</v>
      </c>
      <c r="B110" s="412">
        <f>+F109</f>
        <v>91983.713935113963</v>
      </c>
      <c r="C110" s="412">
        <f>+E110-D110</f>
        <v>180.39722943310448</v>
      </c>
      <c r="D110" s="412">
        <f>B110*$I$3</f>
        <v>383.26547472964148</v>
      </c>
      <c r="E110" s="412">
        <f t="shared" si="35"/>
        <v>563.66270416274597</v>
      </c>
      <c r="F110" s="413">
        <f>+B110-C110</f>
        <v>91803.31670568086</v>
      </c>
    </row>
    <row r="111" spans="1:6" ht="14.25" x14ac:dyDescent="0.2">
      <c r="A111" s="368" t="s">
        <v>14</v>
      </c>
      <c r="B111" s="412">
        <f>+F110</f>
        <v>91803.31670568086</v>
      </c>
      <c r="C111" s="412">
        <f>+E111-D111</f>
        <v>181.14888455574237</v>
      </c>
      <c r="D111" s="412">
        <f>B111*$I$3</f>
        <v>382.5138196070036</v>
      </c>
      <c r="E111" s="412">
        <f t="shared" si="35"/>
        <v>563.66270416274597</v>
      </c>
      <c r="F111" s="413">
        <f>+B111-C111</f>
        <v>91622.167821125113</v>
      </c>
    </row>
    <row r="112" spans="1:6" ht="14.25" x14ac:dyDescent="0.2">
      <c r="A112" s="368" t="s">
        <v>15</v>
      </c>
      <c r="B112" s="412">
        <f t="shared" ref="B112:B119" si="36">+F111</f>
        <v>91622.167821125113</v>
      </c>
      <c r="C112" s="412">
        <f t="shared" ref="C112:C119" si="37">+E112-D112</f>
        <v>181.90367157472468</v>
      </c>
      <c r="D112" s="412">
        <f t="shared" ref="D112:D119" si="38">B112*$I$3</f>
        <v>381.75903258802128</v>
      </c>
      <c r="E112" s="412">
        <f t="shared" si="35"/>
        <v>563.66270416274597</v>
      </c>
      <c r="F112" s="413">
        <f t="shared" ref="F112:F119" si="39">+B112-C112</f>
        <v>91440.264149550392</v>
      </c>
    </row>
    <row r="113" spans="1:6" ht="14.25" x14ac:dyDescent="0.2">
      <c r="A113" s="368" t="s">
        <v>16</v>
      </c>
      <c r="B113" s="412">
        <f t="shared" si="36"/>
        <v>91440.264149550392</v>
      </c>
      <c r="C113" s="412">
        <f t="shared" si="37"/>
        <v>182.66160353961936</v>
      </c>
      <c r="D113" s="412">
        <f t="shared" si="38"/>
        <v>381.0011006231266</v>
      </c>
      <c r="E113" s="412">
        <f t="shared" si="35"/>
        <v>563.66270416274597</v>
      </c>
      <c r="F113" s="413">
        <f t="shared" si="39"/>
        <v>91257.602546010778</v>
      </c>
    </row>
    <row r="114" spans="1:6" ht="14.25" x14ac:dyDescent="0.2">
      <c r="A114" s="368" t="s">
        <v>17</v>
      </c>
      <c r="B114" s="412">
        <f t="shared" si="36"/>
        <v>91257.602546010778</v>
      </c>
      <c r="C114" s="412">
        <f t="shared" si="37"/>
        <v>183.42269355436775</v>
      </c>
      <c r="D114" s="412">
        <f t="shared" si="38"/>
        <v>380.24001060837821</v>
      </c>
      <c r="E114" s="412">
        <f t="shared" si="35"/>
        <v>563.66270416274597</v>
      </c>
      <c r="F114" s="413">
        <f t="shared" si="39"/>
        <v>91074.179852456407</v>
      </c>
    </row>
    <row r="115" spans="1:6" ht="14.25" x14ac:dyDescent="0.2">
      <c r="A115" s="368" t="s">
        <v>18</v>
      </c>
      <c r="B115" s="412">
        <f t="shared" si="36"/>
        <v>91074.179852456407</v>
      </c>
      <c r="C115" s="412">
        <f t="shared" si="37"/>
        <v>184.18695477751095</v>
      </c>
      <c r="D115" s="412">
        <f t="shared" si="38"/>
        <v>379.47574938523502</v>
      </c>
      <c r="E115" s="412">
        <f t="shared" si="35"/>
        <v>563.66270416274597</v>
      </c>
      <c r="F115" s="413">
        <f t="shared" si="39"/>
        <v>90889.992897678894</v>
      </c>
    </row>
    <row r="116" spans="1:6" ht="14.25" x14ac:dyDescent="0.2">
      <c r="A116" s="368" t="s">
        <v>19</v>
      </c>
      <c r="B116" s="412">
        <f t="shared" si="36"/>
        <v>90889.992897678894</v>
      </c>
      <c r="C116" s="412">
        <f t="shared" si="37"/>
        <v>184.95440042241722</v>
      </c>
      <c r="D116" s="412">
        <f t="shared" si="38"/>
        <v>378.70830374032874</v>
      </c>
      <c r="E116" s="412">
        <f t="shared" si="35"/>
        <v>563.66270416274597</v>
      </c>
      <c r="F116" s="413">
        <f t="shared" si="39"/>
        <v>90705.038497256479</v>
      </c>
    </row>
    <row r="117" spans="1:6" ht="14.25" x14ac:dyDescent="0.2">
      <c r="A117" s="368" t="s">
        <v>20</v>
      </c>
      <c r="B117" s="412">
        <f t="shared" si="36"/>
        <v>90705.038497256479</v>
      </c>
      <c r="C117" s="412">
        <f t="shared" si="37"/>
        <v>185.72504375751066</v>
      </c>
      <c r="D117" s="412">
        <f t="shared" si="38"/>
        <v>377.93766040523531</v>
      </c>
      <c r="E117" s="412">
        <f t="shared" si="35"/>
        <v>563.66270416274597</v>
      </c>
      <c r="F117" s="413">
        <f t="shared" si="39"/>
        <v>90519.313453498966</v>
      </c>
    </row>
    <row r="118" spans="1:6" ht="14.25" x14ac:dyDescent="0.2">
      <c r="A118" s="368" t="s">
        <v>21</v>
      </c>
      <c r="B118" s="412">
        <f t="shared" si="36"/>
        <v>90519.313453498966</v>
      </c>
      <c r="C118" s="412">
        <f t="shared" si="37"/>
        <v>186.49889810650029</v>
      </c>
      <c r="D118" s="412">
        <f t="shared" si="38"/>
        <v>377.16380605624568</v>
      </c>
      <c r="E118" s="412">
        <f t="shared" si="35"/>
        <v>563.66270416274597</v>
      </c>
      <c r="F118" s="413">
        <f t="shared" si="39"/>
        <v>90332.81455539247</v>
      </c>
    </row>
    <row r="119" spans="1:6" ht="14.25" x14ac:dyDescent="0.2">
      <c r="A119" s="368" t="s">
        <v>22</v>
      </c>
      <c r="B119" s="412">
        <f t="shared" si="36"/>
        <v>90332.81455539247</v>
      </c>
      <c r="C119" s="412">
        <f t="shared" si="37"/>
        <v>187.2759768486107</v>
      </c>
      <c r="D119" s="412">
        <f t="shared" si="38"/>
        <v>376.38672731413527</v>
      </c>
      <c r="E119" s="412">
        <f t="shared" si="35"/>
        <v>563.66270416274597</v>
      </c>
      <c r="F119" s="413">
        <f t="shared" si="39"/>
        <v>90145.538578543856</v>
      </c>
    </row>
    <row r="120" spans="1:6" ht="15" x14ac:dyDescent="0.25">
      <c r="A120" s="369" t="s">
        <v>82</v>
      </c>
      <c r="B120" s="412"/>
      <c r="C120" s="412">
        <f>SUM(C108:C119)</f>
        <v>2196.7273127306012</v>
      </c>
      <c r="D120" s="412">
        <f>SUM(D108:D119)</f>
        <v>4567.22513722235</v>
      </c>
      <c r="E120" s="412"/>
      <c r="F120" s="413"/>
    </row>
    <row r="121" spans="1:6" ht="15" x14ac:dyDescent="0.25">
      <c r="A121" s="369"/>
      <c r="B121" s="412"/>
      <c r="C121" s="412"/>
      <c r="D121" s="412"/>
      <c r="E121" s="412"/>
      <c r="F121" s="413"/>
    </row>
    <row r="122" spans="1:6" ht="14.25" x14ac:dyDescent="0.2">
      <c r="A122" s="373"/>
      <c r="B122" s="416" t="s">
        <v>0</v>
      </c>
      <c r="C122" s="416" t="s">
        <v>1</v>
      </c>
      <c r="D122" s="416" t="s">
        <v>2</v>
      </c>
      <c r="E122" s="416" t="s">
        <v>3</v>
      </c>
      <c r="F122" s="417" t="s">
        <v>4</v>
      </c>
    </row>
    <row r="123" spans="1:6" ht="14.25" x14ac:dyDescent="0.2">
      <c r="A123" s="372" t="s">
        <v>88</v>
      </c>
      <c r="B123" s="412">
        <f>+F119</f>
        <v>90145.538578543856</v>
      </c>
      <c r="C123" s="412">
        <f>+E123-D123</f>
        <v>188.05629341881325</v>
      </c>
      <c r="D123" s="412">
        <f>B123*$I$3</f>
        <v>375.60641074393271</v>
      </c>
      <c r="E123" s="412">
        <f t="shared" ref="E123:E134" si="40">-$I$10</f>
        <v>563.66270416274597</v>
      </c>
      <c r="F123" s="413">
        <f>+B123-C123</f>
        <v>89957.482285125036</v>
      </c>
    </row>
    <row r="124" spans="1:6" ht="14.25" x14ac:dyDescent="0.2">
      <c r="A124" s="368" t="s">
        <v>12</v>
      </c>
      <c r="B124" s="412">
        <f>+F123</f>
        <v>89957.482285125036</v>
      </c>
      <c r="C124" s="412">
        <f>+E124-D124</f>
        <v>188.83986130805835</v>
      </c>
      <c r="D124" s="412">
        <f>B124*$I$3</f>
        <v>374.82284285468762</v>
      </c>
      <c r="E124" s="412">
        <f t="shared" si="40"/>
        <v>563.66270416274597</v>
      </c>
      <c r="F124" s="413">
        <f>+B124-C124</f>
        <v>89768.642423816971</v>
      </c>
    </row>
    <row r="125" spans="1:6" ht="14.25" x14ac:dyDescent="0.2">
      <c r="A125" s="368" t="s">
        <v>13</v>
      </c>
      <c r="B125" s="412">
        <f>+F124</f>
        <v>89768.642423816971</v>
      </c>
      <c r="C125" s="412">
        <f>+E125-D125</f>
        <v>189.62669406350858</v>
      </c>
      <c r="D125" s="412">
        <f>B125*$I$3</f>
        <v>374.03601009923739</v>
      </c>
      <c r="E125" s="412">
        <f t="shared" si="40"/>
        <v>563.66270416274597</v>
      </c>
      <c r="F125" s="413">
        <f>+B125-C125</f>
        <v>89579.015729753461</v>
      </c>
    </row>
    <row r="126" spans="1:6" ht="14.25" x14ac:dyDescent="0.2">
      <c r="A126" s="368" t="s">
        <v>14</v>
      </c>
      <c r="B126" s="412">
        <f>+F125</f>
        <v>89579.015729753461</v>
      </c>
      <c r="C126" s="412">
        <f>+E126-D126</f>
        <v>190.41680528877322</v>
      </c>
      <c r="D126" s="412">
        <f>B126*$I$3</f>
        <v>373.24589887397275</v>
      </c>
      <c r="E126" s="412">
        <f t="shared" si="40"/>
        <v>563.66270416274597</v>
      </c>
      <c r="F126" s="413">
        <f>+B126-C126</f>
        <v>89388.598924464692</v>
      </c>
    </row>
    <row r="127" spans="1:6" ht="14.25" x14ac:dyDescent="0.2">
      <c r="A127" s="368" t="s">
        <v>15</v>
      </c>
      <c r="B127" s="412">
        <f t="shared" ref="B127:B134" si="41">+F126</f>
        <v>89388.598924464692</v>
      </c>
      <c r="C127" s="412">
        <f t="shared" ref="C127:C134" si="42">+E127-D127</f>
        <v>191.21020864414311</v>
      </c>
      <c r="D127" s="412">
        <f t="shared" ref="D127:D134" si="43">B127*$I$3</f>
        <v>372.45249551860286</v>
      </c>
      <c r="E127" s="412">
        <f t="shared" si="40"/>
        <v>563.66270416274597</v>
      </c>
      <c r="F127" s="413">
        <f t="shared" ref="F127:F134" si="44">+B127-C127</f>
        <v>89197.388715820547</v>
      </c>
    </row>
    <row r="128" spans="1:6" ht="14.25" x14ac:dyDescent="0.2">
      <c r="A128" s="368" t="s">
        <v>16</v>
      </c>
      <c r="B128" s="412">
        <f t="shared" si="41"/>
        <v>89197.388715820547</v>
      </c>
      <c r="C128" s="412">
        <f t="shared" si="42"/>
        <v>192.00691784682704</v>
      </c>
      <c r="D128" s="412">
        <f t="shared" si="43"/>
        <v>371.65578631591893</v>
      </c>
      <c r="E128" s="412">
        <f t="shared" si="40"/>
        <v>563.66270416274597</v>
      </c>
      <c r="F128" s="413">
        <f t="shared" si="44"/>
        <v>89005.381797973721</v>
      </c>
    </row>
    <row r="129" spans="1:6" ht="14.25" x14ac:dyDescent="0.2">
      <c r="A129" s="368" t="s">
        <v>17</v>
      </c>
      <c r="B129" s="412">
        <f t="shared" si="41"/>
        <v>89005.381797973721</v>
      </c>
      <c r="C129" s="412">
        <f t="shared" si="42"/>
        <v>192.80694667118883</v>
      </c>
      <c r="D129" s="412">
        <f t="shared" si="43"/>
        <v>370.85575749155714</v>
      </c>
      <c r="E129" s="412">
        <f t="shared" si="40"/>
        <v>563.66270416274597</v>
      </c>
      <c r="F129" s="413">
        <f t="shared" si="44"/>
        <v>88812.574851302532</v>
      </c>
    </row>
    <row r="130" spans="1:6" ht="14.25" x14ac:dyDescent="0.2">
      <c r="A130" s="368" t="s">
        <v>18</v>
      </c>
      <c r="B130" s="412">
        <f t="shared" si="41"/>
        <v>88812.574851302532</v>
      </c>
      <c r="C130" s="412">
        <f t="shared" si="42"/>
        <v>193.61030894898545</v>
      </c>
      <c r="D130" s="412">
        <f t="shared" si="43"/>
        <v>370.05239521376052</v>
      </c>
      <c r="E130" s="412">
        <f t="shared" si="40"/>
        <v>563.66270416274597</v>
      </c>
      <c r="F130" s="413">
        <f t="shared" si="44"/>
        <v>88618.96454235354</v>
      </c>
    </row>
    <row r="131" spans="1:6" ht="14.25" x14ac:dyDescent="0.2">
      <c r="A131" s="368" t="s">
        <v>19</v>
      </c>
      <c r="B131" s="412">
        <f t="shared" si="41"/>
        <v>88618.96454235354</v>
      </c>
      <c r="C131" s="412">
        <f t="shared" si="42"/>
        <v>194.41701856960623</v>
      </c>
      <c r="D131" s="412">
        <f t="shared" si="43"/>
        <v>369.24568559313974</v>
      </c>
      <c r="E131" s="412">
        <f t="shared" si="40"/>
        <v>563.66270416274597</v>
      </c>
      <c r="F131" s="413">
        <f t="shared" si="44"/>
        <v>88424.547523783927</v>
      </c>
    </row>
    <row r="132" spans="1:6" ht="14.25" x14ac:dyDescent="0.2">
      <c r="A132" s="368" t="s">
        <v>20</v>
      </c>
      <c r="B132" s="412">
        <f t="shared" si="41"/>
        <v>88424.547523783927</v>
      </c>
      <c r="C132" s="412">
        <f t="shared" si="42"/>
        <v>195.22708948031294</v>
      </c>
      <c r="D132" s="412">
        <f t="shared" si="43"/>
        <v>368.43561468243303</v>
      </c>
      <c r="E132" s="412">
        <f t="shared" si="40"/>
        <v>563.66270416274597</v>
      </c>
      <c r="F132" s="413">
        <f t="shared" si="44"/>
        <v>88229.32043430362</v>
      </c>
    </row>
    <row r="133" spans="1:6" ht="14.25" x14ac:dyDescent="0.2">
      <c r="A133" s="368" t="s">
        <v>21</v>
      </c>
      <c r="B133" s="412">
        <f t="shared" si="41"/>
        <v>88229.32043430362</v>
      </c>
      <c r="C133" s="412">
        <f t="shared" si="42"/>
        <v>196.04053568648089</v>
      </c>
      <c r="D133" s="412">
        <f t="shared" si="43"/>
        <v>367.62216847626507</v>
      </c>
      <c r="E133" s="412">
        <f t="shared" si="40"/>
        <v>563.66270416274597</v>
      </c>
      <c r="F133" s="413">
        <f t="shared" si="44"/>
        <v>88033.27989861714</v>
      </c>
    </row>
    <row r="134" spans="1:6" ht="14.25" x14ac:dyDescent="0.2">
      <c r="A134" s="368" t="s">
        <v>22</v>
      </c>
      <c r="B134" s="412">
        <f t="shared" si="41"/>
        <v>88033.27989861714</v>
      </c>
      <c r="C134" s="412">
        <f t="shared" si="42"/>
        <v>196.85737125184124</v>
      </c>
      <c r="D134" s="412">
        <f t="shared" si="43"/>
        <v>366.80533291090472</v>
      </c>
      <c r="E134" s="412">
        <f t="shared" si="40"/>
        <v>563.66270416274597</v>
      </c>
      <c r="F134" s="413">
        <f t="shared" si="44"/>
        <v>87836.422527365299</v>
      </c>
    </row>
    <row r="135" spans="1:6" ht="15" x14ac:dyDescent="0.25">
      <c r="A135" s="369" t="s">
        <v>82</v>
      </c>
      <c r="B135" s="412"/>
      <c r="C135" s="412">
        <f>SUM(C123:C134)</f>
        <v>2309.1160511785392</v>
      </c>
      <c r="D135" s="412">
        <f>SUM(D123:D134)</f>
        <v>4454.8363987744115</v>
      </c>
      <c r="E135" s="412"/>
      <c r="F135" s="413"/>
    </row>
    <row r="136" spans="1:6" ht="15" x14ac:dyDescent="0.25">
      <c r="A136" s="369"/>
      <c r="B136" s="412"/>
      <c r="C136" s="412"/>
      <c r="D136" s="412"/>
      <c r="E136" s="412"/>
      <c r="F136" s="413"/>
    </row>
    <row r="137" spans="1:6" ht="14.25" x14ac:dyDescent="0.2">
      <c r="A137" s="373"/>
      <c r="B137" s="416" t="s">
        <v>0</v>
      </c>
      <c r="C137" s="416" t="s">
        <v>1</v>
      </c>
      <c r="D137" s="416" t="s">
        <v>2</v>
      </c>
      <c r="E137" s="416" t="s">
        <v>3</v>
      </c>
      <c r="F137" s="417" t="s">
        <v>4</v>
      </c>
    </row>
    <row r="138" spans="1:6" ht="14.25" x14ac:dyDescent="0.2">
      <c r="A138" s="372" t="s">
        <v>89</v>
      </c>
      <c r="B138" s="412">
        <f>+F134</f>
        <v>87836.422527365299</v>
      </c>
      <c r="C138" s="412">
        <f>+E138-D138</f>
        <v>197.67761029872389</v>
      </c>
      <c r="D138" s="412">
        <f>B138*$I$3</f>
        <v>365.98509386402208</v>
      </c>
      <c r="E138" s="412">
        <f t="shared" ref="E138:E149" si="45">-$I$10</f>
        <v>563.66270416274597</v>
      </c>
      <c r="F138" s="413">
        <f>+B138-C138</f>
        <v>87638.744917066579</v>
      </c>
    </row>
    <row r="139" spans="1:6" ht="14.25" x14ac:dyDescent="0.2">
      <c r="A139" s="368" t="s">
        <v>12</v>
      </c>
      <c r="B139" s="412">
        <f>+F138</f>
        <v>87638.744917066579</v>
      </c>
      <c r="C139" s="412">
        <f>+E139-D139</f>
        <v>198.50126700830191</v>
      </c>
      <c r="D139" s="412">
        <f>B139*$I$3</f>
        <v>365.16143715444406</v>
      </c>
      <c r="E139" s="412">
        <f t="shared" si="45"/>
        <v>563.66270416274597</v>
      </c>
      <c r="F139" s="413">
        <f>+B139-C139</f>
        <v>87440.24365005827</v>
      </c>
    </row>
    <row r="140" spans="1:6" ht="14.25" x14ac:dyDescent="0.2">
      <c r="A140" s="368" t="s">
        <v>13</v>
      </c>
      <c r="B140" s="412">
        <f>+F139</f>
        <v>87440.24365005827</v>
      </c>
      <c r="C140" s="412">
        <f>+E140-D140</f>
        <v>199.32835562083653</v>
      </c>
      <c r="D140" s="412">
        <f>B140*$I$3</f>
        <v>364.33434854190943</v>
      </c>
      <c r="E140" s="412">
        <f t="shared" si="45"/>
        <v>563.66270416274597</v>
      </c>
      <c r="F140" s="413">
        <f>+B140-C140</f>
        <v>87240.915294437436</v>
      </c>
    </row>
    <row r="141" spans="1:6" ht="14.25" x14ac:dyDescent="0.2">
      <c r="A141" s="368" t="s">
        <v>14</v>
      </c>
      <c r="B141" s="412">
        <f>+F140</f>
        <v>87240.915294437436</v>
      </c>
      <c r="C141" s="412">
        <f>+E141-D141</f>
        <v>200.1588904359233</v>
      </c>
      <c r="D141" s="412">
        <f>B141*$I$3</f>
        <v>363.50381372682267</v>
      </c>
      <c r="E141" s="412">
        <f t="shared" si="45"/>
        <v>563.66270416274597</v>
      </c>
      <c r="F141" s="413">
        <f>+B141-C141</f>
        <v>87040.756404001513</v>
      </c>
    </row>
    <row r="142" spans="1:6" ht="14.25" x14ac:dyDescent="0.2">
      <c r="A142" s="368" t="s">
        <v>15</v>
      </c>
      <c r="B142" s="412">
        <f t="shared" ref="B142:B149" si="46">+F141</f>
        <v>87040.756404001513</v>
      </c>
      <c r="C142" s="412">
        <f t="shared" ref="C142:C149" si="47">+E142-D142</f>
        <v>200.99288581273964</v>
      </c>
      <c r="D142" s="412">
        <f t="shared" ref="D142:D149" si="48">B142*$I$3</f>
        <v>362.66981835000632</v>
      </c>
      <c r="E142" s="412">
        <f t="shared" si="45"/>
        <v>563.66270416274597</v>
      </c>
      <c r="F142" s="413">
        <f t="shared" ref="F142:F149" si="49">+B142-C142</f>
        <v>86839.763518188774</v>
      </c>
    </row>
    <row r="143" spans="1:6" ht="14.25" x14ac:dyDescent="0.2">
      <c r="A143" s="368" t="s">
        <v>16</v>
      </c>
      <c r="B143" s="412">
        <f t="shared" si="46"/>
        <v>86839.763518188774</v>
      </c>
      <c r="C143" s="412">
        <f t="shared" si="47"/>
        <v>201.83035617029276</v>
      </c>
      <c r="D143" s="412">
        <f t="shared" si="48"/>
        <v>361.83234799245321</v>
      </c>
      <c r="E143" s="412">
        <f t="shared" si="45"/>
        <v>563.66270416274597</v>
      </c>
      <c r="F143" s="413">
        <f t="shared" si="49"/>
        <v>86637.933162018482</v>
      </c>
    </row>
    <row r="144" spans="1:6" ht="14.25" x14ac:dyDescent="0.2">
      <c r="A144" s="368" t="s">
        <v>17</v>
      </c>
      <c r="B144" s="412">
        <f t="shared" si="46"/>
        <v>86637.933162018482</v>
      </c>
      <c r="C144" s="412">
        <f t="shared" si="47"/>
        <v>202.67131598766895</v>
      </c>
      <c r="D144" s="412">
        <f t="shared" si="48"/>
        <v>360.99138817507702</v>
      </c>
      <c r="E144" s="412">
        <f t="shared" si="45"/>
        <v>563.66270416274597</v>
      </c>
      <c r="F144" s="413">
        <f t="shared" si="49"/>
        <v>86435.261846030815</v>
      </c>
    </row>
    <row r="145" spans="1:6" ht="14.25" x14ac:dyDescent="0.2">
      <c r="A145" s="368" t="s">
        <v>18</v>
      </c>
      <c r="B145" s="412">
        <f t="shared" si="46"/>
        <v>86435.261846030815</v>
      </c>
      <c r="C145" s="412">
        <f t="shared" si="47"/>
        <v>203.51577980428425</v>
      </c>
      <c r="D145" s="412">
        <f t="shared" si="48"/>
        <v>360.14692435846172</v>
      </c>
      <c r="E145" s="412">
        <f t="shared" si="45"/>
        <v>563.66270416274597</v>
      </c>
      <c r="F145" s="413">
        <f t="shared" si="49"/>
        <v>86231.746066226537</v>
      </c>
    </row>
    <row r="146" spans="1:6" ht="14.25" x14ac:dyDescent="0.2">
      <c r="A146" s="368" t="s">
        <v>19</v>
      </c>
      <c r="B146" s="412">
        <f t="shared" si="46"/>
        <v>86231.746066226537</v>
      </c>
      <c r="C146" s="412">
        <f t="shared" si="47"/>
        <v>204.36376222013541</v>
      </c>
      <c r="D146" s="412">
        <f t="shared" si="48"/>
        <v>359.29894194261055</v>
      </c>
      <c r="E146" s="412">
        <f t="shared" si="45"/>
        <v>563.66270416274597</v>
      </c>
      <c r="F146" s="413">
        <f t="shared" si="49"/>
        <v>86027.382304006402</v>
      </c>
    </row>
    <row r="147" spans="1:6" ht="14.25" x14ac:dyDescent="0.2">
      <c r="A147" s="368" t="s">
        <v>20</v>
      </c>
      <c r="B147" s="412">
        <f t="shared" si="46"/>
        <v>86027.382304006402</v>
      </c>
      <c r="C147" s="412">
        <f t="shared" si="47"/>
        <v>205.21527789605261</v>
      </c>
      <c r="D147" s="412">
        <f t="shared" si="48"/>
        <v>358.44742626669336</v>
      </c>
      <c r="E147" s="412">
        <f t="shared" si="45"/>
        <v>563.66270416274597</v>
      </c>
      <c r="F147" s="413">
        <f t="shared" si="49"/>
        <v>85822.167026110343</v>
      </c>
    </row>
    <row r="148" spans="1:6" ht="14.25" x14ac:dyDescent="0.2">
      <c r="A148" s="368" t="s">
        <v>21</v>
      </c>
      <c r="B148" s="412">
        <f t="shared" si="46"/>
        <v>85822.167026110343</v>
      </c>
      <c r="C148" s="412">
        <f t="shared" si="47"/>
        <v>206.07034155395286</v>
      </c>
      <c r="D148" s="412">
        <f t="shared" si="48"/>
        <v>357.59236260879311</v>
      </c>
      <c r="E148" s="412">
        <f t="shared" si="45"/>
        <v>563.66270416274597</v>
      </c>
      <c r="F148" s="413">
        <f t="shared" si="49"/>
        <v>85616.096684556396</v>
      </c>
    </row>
    <row r="149" spans="1:6" ht="14.25" x14ac:dyDescent="0.2">
      <c r="A149" s="368" t="s">
        <v>22</v>
      </c>
      <c r="B149" s="412">
        <f t="shared" si="46"/>
        <v>85616.096684556396</v>
      </c>
      <c r="C149" s="412">
        <f t="shared" si="47"/>
        <v>206.92896797709432</v>
      </c>
      <c r="D149" s="412">
        <f t="shared" si="48"/>
        <v>356.73373618565165</v>
      </c>
      <c r="E149" s="412">
        <f t="shared" si="45"/>
        <v>563.66270416274597</v>
      </c>
      <c r="F149" s="413">
        <f t="shared" si="49"/>
        <v>85409.167716579308</v>
      </c>
    </row>
    <row r="150" spans="1:6" ht="15" x14ac:dyDescent="0.25">
      <c r="A150" s="369" t="s">
        <v>82</v>
      </c>
      <c r="B150" s="412"/>
      <c r="C150" s="412">
        <f>SUM(C138:C149)</f>
        <v>2427.2548107860066</v>
      </c>
      <c r="D150" s="412">
        <f>SUM(D138:D149)</f>
        <v>4336.6976391669459</v>
      </c>
      <c r="E150" s="412"/>
      <c r="F150" s="413"/>
    </row>
    <row r="151" spans="1:6" ht="15" x14ac:dyDescent="0.25">
      <c r="A151" s="369"/>
      <c r="B151" s="412"/>
      <c r="C151" s="412"/>
      <c r="D151" s="412"/>
      <c r="E151" s="412"/>
      <c r="F151" s="413"/>
    </row>
    <row r="152" spans="1:6" ht="14.25" x14ac:dyDescent="0.2">
      <c r="A152" s="373"/>
      <c r="B152" s="416" t="s">
        <v>0</v>
      </c>
      <c r="C152" s="416" t="s">
        <v>1</v>
      </c>
      <c r="D152" s="416" t="s">
        <v>2</v>
      </c>
      <c r="E152" s="416" t="s">
        <v>3</v>
      </c>
      <c r="F152" s="417" t="s">
        <v>4</v>
      </c>
    </row>
    <row r="153" spans="1:6" ht="14.25" x14ac:dyDescent="0.2">
      <c r="A153" s="372" t="s">
        <v>90</v>
      </c>
      <c r="B153" s="412">
        <f>+F149</f>
        <v>85409.167716579308</v>
      </c>
      <c r="C153" s="412">
        <f>+E153-D153</f>
        <v>207.79117201033216</v>
      </c>
      <c r="D153" s="412">
        <f>B153*$I$3</f>
        <v>355.87153215241381</v>
      </c>
      <c r="E153" s="412">
        <f t="shared" ref="E153:E164" si="50">-$I$10</f>
        <v>563.66270416274597</v>
      </c>
      <c r="F153" s="413">
        <f>+B153-C153</f>
        <v>85201.376544568979</v>
      </c>
    </row>
    <row r="154" spans="1:6" ht="14.25" x14ac:dyDescent="0.2">
      <c r="A154" s="368" t="s">
        <v>12</v>
      </c>
      <c r="B154" s="412">
        <f>+F153</f>
        <v>85201.376544568979</v>
      </c>
      <c r="C154" s="412">
        <f>+E154-D154</f>
        <v>208.65696856037522</v>
      </c>
      <c r="D154" s="412">
        <f>B154*$I$3</f>
        <v>355.00573560237075</v>
      </c>
      <c r="E154" s="412">
        <f t="shared" si="50"/>
        <v>563.66270416274597</v>
      </c>
      <c r="F154" s="413">
        <f>+B154-C154</f>
        <v>84992.719576008603</v>
      </c>
    </row>
    <row r="155" spans="1:6" ht="14.25" x14ac:dyDescent="0.2">
      <c r="A155" s="368" t="s">
        <v>13</v>
      </c>
      <c r="B155" s="412">
        <f>+F154</f>
        <v>84992.719576008603</v>
      </c>
      <c r="C155" s="412">
        <f>+E155-D155</f>
        <v>209.52637259604347</v>
      </c>
      <c r="D155" s="412">
        <f>B155*$I$3</f>
        <v>354.13633156670249</v>
      </c>
      <c r="E155" s="412">
        <f t="shared" si="50"/>
        <v>563.66270416274597</v>
      </c>
      <c r="F155" s="413">
        <f>+B155-C155</f>
        <v>84783.193203412564</v>
      </c>
    </row>
    <row r="156" spans="1:6" ht="14.25" x14ac:dyDescent="0.2">
      <c r="A156" s="368" t="s">
        <v>14</v>
      </c>
      <c r="B156" s="412">
        <f>+F155</f>
        <v>84783.193203412564</v>
      </c>
      <c r="C156" s="412">
        <f>+E156-D156</f>
        <v>210.39939914852698</v>
      </c>
      <c r="D156" s="412">
        <f>B156*$I$3</f>
        <v>353.26330501421899</v>
      </c>
      <c r="E156" s="412">
        <f t="shared" si="50"/>
        <v>563.66270416274597</v>
      </c>
      <c r="F156" s="413">
        <f>+B156-C156</f>
        <v>84572.793804264031</v>
      </c>
    </row>
    <row r="157" spans="1:6" ht="14.25" x14ac:dyDescent="0.2">
      <c r="A157" s="368" t="s">
        <v>15</v>
      </c>
      <c r="B157" s="412">
        <f t="shared" ref="B157:B164" si="51">+F156</f>
        <v>84572.793804264031</v>
      </c>
      <c r="C157" s="412">
        <f t="shared" ref="C157:C164" si="52">+E157-D157</f>
        <v>211.27606331164583</v>
      </c>
      <c r="D157" s="412">
        <f t="shared" ref="D157:D164" si="53">B157*$I$3</f>
        <v>352.38664085110014</v>
      </c>
      <c r="E157" s="412">
        <f t="shared" si="50"/>
        <v>563.66270416274597</v>
      </c>
      <c r="F157" s="413">
        <f t="shared" ref="F157:F164" si="54">+B157-C157</f>
        <v>84361.517740952389</v>
      </c>
    </row>
    <row r="158" spans="1:6" ht="14.25" x14ac:dyDescent="0.2">
      <c r="A158" s="368" t="s">
        <v>16</v>
      </c>
      <c r="B158" s="412">
        <f t="shared" si="51"/>
        <v>84361.517740952389</v>
      </c>
      <c r="C158" s="412">
        <f t="shared" si="52"/>
        <v>212.15638024211103</v>
      </c>
      <c r="D158" s="412">
        <f t="shared" si="53"/>
        <v>351.50632392063494</v>
      </c>
      <c r="E158" s="412">
        <f t="shared" si="50"/>
        <v>563.66270416274597</v>
      </c>
      <c r="F158" s="413">
        <f t="shared" si="54"/>
        <v>84149.361360710274</v>
      </c>
    </row>
    <row r="159" spans="1:6" ht="14.25" x14ac:dyDescent="0.2">
      <c r="A159" s="368" t="s">
        <v>17</v>
      </c>
      <c r="B159" s="412">
        <f t="shared" si="51"/>
        <v>84149.361360710274</v>
      </c>
      <c r="C159" s="412">
        <f t="shared" si="52"/>
        <v>213.04036515978652</v>
      </c>
      <c r="D159" s="412">
        <f t="shared" si="53"/>
        <v>350.62233900295945</v>
      </c>
      <c r="E159" s="412">
        <f t="shared" si="50"/>
        <v>563.66270416274597</v>
      </c>
      <c r="F159" s="413">
        <f t="shared" si="54"/>
        <v>83936.320995550486</v>
      </c>
    </row>
    <row r="160" spans="1:6" ht="14.25" x14ac:dyDescent="0.2">
      <c r="A160" s="368" t="s">
        <v>18</v>
      </c>
      <c r="B160" s="412">
        <f t="shared" si="51"/>
        <v>83936.320995550486</v>
      </c>
      <c r="C160" s="412">
        <f t="shared" si="52"/>
        <v>213.92803334795229</v>
      </c>
      <c r="D160" s="412">
        <f t="shared" si="53"/>
        <v>349.73467081479367</v>
      </c>
      <c r="E160" s="412">
        <f t="shared" si="50"/>
        <v>563.66270416274597</v>
      </c>
      <c r="F160" s="413">
        <f t="shared" si="54"/>
        <v>83722.392962202532</v>
      </c>
    </row>
    <row r="161" spans="1:6" ht="14.25" x14ac:dyDescent="0.2">
      <c r="A161" s="368" t="s">
        <v>19</v>
      </c>
      <c r="B161" s="412">
        <f t="shared" si="51"/>
        <v>83722.392962202532</v>
      </c>
      <c r="C161" s="412">
        <f t="shared" si="52"/>
        <v>214.81940015356878</v>
      </c>
      <c r="D161" s="412">
        <f t="shared" si="53"/>
        <v>348.84330400917719</v>
      </c>
      <c r="E161" s="412">
        <f t="shared" si="50"/>
        <v>563.66270416274597</v>
      </c>
      <c r="F161" s="413">
        <f t="shared" si="54"/>
        <v>83507.573562048958</v>
      </c>
    </row>
    <row r="162" spans="1:6" ht="14.25" x14ac:dyDescent="0.2">
      <c r="A162" s="368" t="s">
        <v>20</v>
      </c>
      <c r="B162" s="412">
        <f t="shared" si="51"/>
        <v>83507.573562048958</v>
      </c>
      <c r="C162" s="412">
        <f t="shared" si="52"/>
        <v>215.714480987542</v>
      </c>
      <c r="D162" s="412">
        <f t="shared" si="53"/>
        <v>347.94822317520396</v>
      </c>
      <c r="E162" s="412">
        <f t="shared" si="50"/>
        <v>563.66270416274597</v>
      </c>
      <c r="F162" s="413">
        <f t="shared" si="54"/>
        <v>83291.859081061411</v>
      </c>
    </row>
    <row r="163" spans="1:6" ht="14.25" x14ac:dyDescent="0.2">
      <c r="A163" s="368" t="s">
        <v>21</v>
      </c>
      <c r="B163" s="412">
        <f t="shared" si="51"/>
        <v>83291.859081061411</v>
      </c>
      <c r="C163" s="412">
        <f t="shared" si="52"/>
        <v>216.61329132499009</v>
      </c>
      <c r="D163" s="412">
        <f t="shared" si="53"/>
        <v>347.04941283775588</v>
      </c>
      <c r="E163" s="412">
        <f t="shared" si="50"/>
        <v>563.66270416274597</v>
      </c>
      <c r="F163" s="413">
        <f t="shared" si="54"/>
        <v>83075.245789736422</v>
      </c>
    </row>
    <row r="164" spans="1:6" ht="14.25" x14ac:dyDescent="0.2">
      <c r="A164" s="368" t="s">
        <v>22</v>
      </c>
      <c r="B164" s="412">
        <f t="shared" si="51"/>
        <v>83075.245789736422</v>
      </c>
      <c r="C164" s="412">
        <f t="shared" si="52"/>
        <v>217.51584670551085</v>
      </c>
      <c r="D164" s="412">
        <f t="shared" si="53"/>
        <v>346.14685745723511</v>
      </c>
      <c r="E164" s="412">
        <f t="shared" si="50"/>
        <v>563.66270416274597</v>
      </c>
      <c r="F164" s="413">
        <f t="shared" si="54"/>
        <v>82857.729943030907</v>
      </c>
    </row>
    <row r="165" spans="1:6" ht="15" x14ac:dyDescent="0.25">
      <c r="A165" s="369" t="s">
        <v>82</v>
      </c>
      <c r="B165" s="412"/>
      <c r="C165" s="412">
        <f>SUM(C153:C164)</f>
        <v>2551.4377735483849</v>
      </c>
      <c r="D165" s="412">
        <f>SUM(D153:D164)</f>
        <v>4212.5146764045667</v>
      </c>
      <c r="E165" s="412"/>
      <c r="F165" s="413"/>
    </row>
    <row r="166" spans="1:6" ht="15" x14ac:dyDescent="0.25">
      <c r="A166" s="369"/>
      <c r="B166" s="412"/>
      <c r="C166" s="412"/>
      <c r="D166" s="412"/>
      <c r="E166" s="412"/>
      <c r="F166" s="413"/>
    </row>
    <row r="167" spans="1:6" ht="14.25" x14ac:dyDescent="0.2">
      <c r="A167" s="373"/>
      <c r="B167" s="416" t="s">
        <v>0</v>
      </c>
      <c r="C167" s="416" t="s">
        <v>1</v>
      </c>
      <c r="D167" s="416" t="s">
        <v>2</v>
      </c>
      <c r="E167" s="416" t="s">
        <v>3</v>
      </c>
      <c r="F167" s="417" t="s">
        <v>4</v>
      </c>
    </row>
    <row r="168" spans="1:6" ht="14.25" x14ac:dyDescent="0.2">
      <c r="A168" s="372" t="s">
        <v>91</v>
      </c>
      <c r="B168" s="412">
        <f>+F164</f>
        <v>82857.729943030907</v>
      </c>
      <c r="C168" s="412">
        <f>+E168-D168</f>
        <v>218.42216273345053</v>
      </c>
      <c r="D168" s="412">
        <f>B168*$I$3</f>
        <v>345.24054142929543</v>
      </c>
      <c r="E168" s="412">
        <f t="shared" ref="E168:E179" si="55">-$I$10</f>
        <v>563.66270416274597</v>
      </c>
      <c r="F168" s="413">
        <f>+B168-C168</f>
        <v>82639.307780297459</v>
      </c>
    </row>
    <row r="169" spans="1:6" ht="14.25" x14ac:dyDescent="0.2">
      <c r="A169" s="368" t="s">
        <v>12</v>
      </c>
      <c r="B169" s="412">
        <f>+F168</f>
        <v>82639.307780297459</v>
      </c>
      <c r="C169" s="412">
        <f>+E169-D169</f>
        <v>219.3322550781732</v>
      </c>
      <c r="D169" s="412">
        <f>B169*$I$3</f>
        <v>344.33044908457276</v>
      </c>
      <c r="E169" s="412">
        <f t="shared" si="55"/>
        <v>563.66270416274597</v>
      </c>
      <c r="F169" s="413">
        <f>+B169-C169</f>
        <v>82419.975525219284</v>
      </c>
    </row>
    <row r="170" spans="1:6" ht="14.25" x14ac:dyDescent="0.2">
      <c r="A170" s="368" t="s">
        <v>13</v>
      </c>
      <c r="B170" s="412">
        <f>+F169</f>
        <v>82419.975525219284</v>
      </c>
      <c r="C170" s="412">
        <f>+E170-D170</f>
        <v>220.24613947433227</v>
      </c>
      <c r="D170" s="412">
        <f>B170*$I$3</f>
        <v>343.4165646884137</v>
      </c>
      <c r="E170" s="412">
        <f t="shared" si="55"/>
        <v>563.66270416274597</v>
      </c>
      <c r="F170" s="413">
        <f>+B170-C170</f>
        <v>82199.729385744955</v>
      </c>
    </row>
    <row r="171" spans="1:6" ht="14.25" x14ac:dyDescent="0.2">
      <c r="A171" s="368" t="s">
        <v>14</v>
      </c>
      <c r="B171" s="412">
        <f>+F170</f>
        <v>82199.729385744955</v>
      </c>
      <c r="C171" s="412">
        <f>+E171-D171</f>
        <v>221.16383172214199</v>
      </c>
      <c r="D171" s="412">
        <f>B171*$I$3</f>
        <v>342.49887244060398</v>
      </c>
      <c r="E171" s="412">
        <f t="shared" si="55"/>
        <v>563.66270416274597</v>
      </c>
      <c r="F171" s="413">
        <f>+B171-C171</f>
        <v>81978.565554022818</v>
      </c>
    </row>
    <row r="172" spans="1:6" ht="14.25" x14ac:dyDescent="0.2">
      <c r="A172" s="368" t="s">
        <v>15</v>
      </c>
      <c r="B172" s="412">
        <f t="shared" ref="B172:B179" si="56">+F171</f>
        <v>81978.565554022818</v>
      </c>
      <c r="C172" s="412">
        <f t="shared" ref="C172:C179" si="57">+E172-D172</f>
        <v>222.08534768765088</v>
      </c>
      <c r="D172" s="412">
        <f t="shared" ref="D172:D179" si="58">B172*$I$3</f>
        <v>341.57735647509509</v>
      </c>
      <c r="E172" s="412">
        <f t="shared" si="55"/>
        <v>563.66270416274597</v>
      </c>
      <c r="F172" s="413">
        <f t="shared" ref="F172:F179" si="59">+B172-C172</f>
        <v>81756.480206335167</v>
      </c>
    </row>
    <row r="173" spans="1:6" ht="14.25" x14ac:dyDescent="0.2">
      <c r="A173" s="368" t="s">
        <v>16</v>
      </c>
      <c r="B173" s="412">
        <f t="shared" si="56"/>
        <v>81756.480206335167</v>
      </c>
      <c r="C173" s="412">
        <f t="shared" si="57"/>
        <v>223.0107033030161</v>
      </c>
      <c r="D173" s="412">
        <f t="shared" si="58"/>
        <v>340.65200085972987</v>
      </c>
      <c r="E173" s="412">
        <f t="shared" si="55"/>
        <v>563.66270416274597</v>
      </c>
      <c r="F173" s="413">
        <f t="shared" si="59"/>
        <v>81533.469503032145</v>
      </c>
    </row>
    <row r="174" spans="1:6" ht="14.25" x14ac:dyDescent="0.2">
      <c r="A174" s="368" t="s">
        <v>17</v>
      </c>
      <c r="B174" s="412">
        <f t="shared" si="56"/>
        <v>81533.469503032145</v>
      </c>
      <c r="C174" s="412">
        <f t="shared" si="57"/>
        <v>223.93991456677873</v>
      </c>
      <c r="D174" s="412">
        <f t="shared" si="58"/>
        <v>339.72278959596724</v>
      </c>
      <c r="E174" s="412">
        <f t="shared" si="55"/>
        <v>563.66270416274597</v>
      </c>
      <c r="F174" s="413">
        <f t="shared" si="59"/>
        <v>81309.529588465361</v>
      </c>
    </row>
    <row r="175" spans="1:6" ht="14.25" x14ac:dyDescent="0.2">
      <c r="A175" s="368" t="s">
        <v>18</v>
      </c>
      <c r="B175" s="412">
        <f t="shared" si="56"/>
        <v>81309.529588465361</v>
      </c>
      <c r="C175" s="412">
        <f t="shared" si="57"/>
        <v>224.87299754414028</v>
      </c>
      <c r="D175" s="412">
        <f t="shared" si="58"/>
        <v>338.78970661860569</v>
      </c>
      <c r="E175" s="412">
        <f t="shared" si="55"/>
        <v>563.66270416274597</v>
      </c>
      <c r="F175" s="413">
        <f t="shared" si="59"/>
        <v>81084.656590921222</v>
      </c>
    </row>
    <row r="176" spans="1:6" ht="14.25" x14ac:dyDescent="0.2">
      <c r="A176" s="368" t="s">
        <v>19</v>
      </c>
      <c r="B176" s="412">
        <f t="shared" si="56"/>
        <v>81084.656590921222</v>
      </c>
      <c r="C176" s="412">
        <f t="shared" si="57"/>
        <v>225.80996836724086</v>
      </c>
      <c r="D176" s="412">
        <f t="shared" si="58"/>
        <v>337.85273579550511</v>
      </c>
      <c r="E176" s="412">
        <f t="shared" si="55"/>
        <v>563.66270416274597</v>
      </c>
      <c r="F176" s="413">
        <f t="shared" si="59"/>
        <v>80858.846622553974</v>
      </c>
    </row>
    <row r="177" spans="1:6" ht="14.25" x14ac:dyDescent="0.2">
      <c r="A177" s="368" t="s">
        <v>20</v>
      </c>
      <c r="B177" s="412">
        <f t="shared" si="56"/>
        <v>80858.846622553974</v>
      </c>
      <c r="C177" s="412">
        <f t="shared" si="57"/>
        <v>226.75084323543774</v>
      </c>
      <c r="D177" s="412">
        <f t="shared" si="58"/>
        <v>336.91186092730823</v>
      </c>
      <c r="E177" s="412">
        <f t="shared" si="55"/>
        <v>563.66270416274597</v>
      </c>
      <c r="F177" s="413">
        <f t="shared" si="59"/>
        <v>80632.095779318537</v>
      </c>
    </row>
    <row r="178" spans="1:6" ht="14.25" x14ac:dyDescent="0.2">
      <c r="A178" s="368" t="s">
        <v>21</v>
      </c>
      <c r="B178" s="412">
        <f t="shared" si="56"/>
        <v>80632.095779318537</v>
      </c>
      <c r="C178" s="412">
        <f t="shared" si="57"/>
        <v>227.69563841558539</v>
      </c>
      <c r="D178" s="412">
        <f t="shared" si="58"/>
        <v>335.96706574716058</v>
      </c>
      <c r="E178" s="412">
        <f t="shared" si="55"/>
        <v>563.66270416274597</v>
      </c>
      <c r="F178" s="413">
        <f t="shared" si="59"/>
        <v>80404.400140902959</v>
      </c>
    </row>
    <row r="179" spans="1:6" ht="14.25" x14ac:dyDescent="0.2">
      <c r="A179" s="368" t="s">
        <v>22</v>
      </c>
      <c r="B179" s="412">
        <f t="shared" si="56"/>
        <v>80404.400140902959</v>
      </c>
      <c r="C179" s="412">
        <f t="shared" si="57"/>
        <v>228.644370242317</v>
      </c>
      <c r="D179" s="412">
        <f t="shared" si="58"/>
        <v>335.01833392042897</v>
      </c>
      <c r="E179" s="412">
        <f t="shared" si="55"/>
        <v>563.66270416274597</v>
      </c>
      <c r="F179" s="413">
        <f t="shared" si="59"/>
        <v>80175.755770660646</v>
      </c>
    </row>
    <row r="180" spans="1:6" ht="15.75" thickBot="1" x14ac:dyDescent="0.3">
      <c r="A180" s="374" t="s">
        <v>82</v>
      </c>
      <c r="B180" s="418"/>
      <c r="C180" s="418">
        <f>SUM(C168:C179)</f>
        <v>2681.974172370265</v>
      </c>
      <c r="D180" s="418">
        <f>SUM(D168:D179)</f>
        <v>4081.9782775826861</v>
      </c>
      <c r="E180" s="418"/>
      <c r="F180" s="419"/>
    </row>
  </sheetData>
  <sheetProtection selectLockedCells="1" selectUnlockedCells="1"/>
  <mergeCells count="1">
    <mergeCell ref="A1:I1"/>
  </mergeCells>
  <printOptions horizontalCentered="1"/>
  <pageMargins left="0" right="0" top="0.5" bottom="0" header="0" footer="0"/>
  <pageSetup scale="76" firstPageNumber="0" orientation="portrait" r:id="rId1"/>
  <headerFooter alignWithMargins="0">
    <oddHeader>&amp;C&amp;"Times New Roman,Regular"&amp;12Bentley's Home Collection</oddHeader>
    <oddFooter>&amp;C&amp;"Times New Roman,Regular"&amp;12Page &amp;P</oddFooter>
  </headerFooter>
  <rowBreaks count="2" manualBreakCount="2">
    <brk id="61" max="16383" man="1"/>
    <brk id="12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IRR and WACC</vt:lpstr>
      <vt:lpstr>Bankruptcy</vt:lpstr>
      <vt:lpstr>Options</vt:lpstr>
      <vt:lpstr>Mortgage</vt:lpstr>
      <vt:lpstr>'IRR and WACC'!Print_Area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2019-08-22T21:35:59Z</dcterms:created>
  <dcterms:modified xsi:type="dcterms:W3CDTF">2019-08-22T21:36:18Z</dcterms:modified>
</cp:coreProperties>
</file>