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autoCompressPictures="0"/>
  <bookViews>
    <workbookView xWindow="0" yWindow="0" windowWidth="20490" windowHeight="7755" tabRatio="536" activeTab="2"/>
  </bookViews>
  <sheets>
    <sheet name="Original Forecast" sheetId="1" r:id="rId1"/>
    <sheet name="Bankruptcy" sheetId="3" r:id="rId2"/>
    <sheet name="Option" sheetId="4" r:id="rId3"/>
    <sheet name="Mortgage" sheetId="2" r:id="rId4"/>
  </sheets>
  <calcPr calcId="152511" iterateDelta="1E-4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78" i="1" l="1"/>
  <c r="T81" i="1"/>
  <c r="F119" i="1"/>
  <c r="S90" i="1" l="1"/>
  <c r="S92" i="1"/>
  <c r="S93" i="1"/>
  <c r="M128" i="4"/>
  <c r="I128" i="4"/>
  <c r="Q142" i="4" l="1"/>
  <c r="F140" i="4"/>
  <c r="F139" i="4"/>
  <c r="F134" i="4"/>
  <c r="F135" i="4" s="1"/>
  <c r="N106" i="4"/>
  <c r="M106" i="4"/>
  <c r="I106" i="4"/>
  <c r="F106" i="4"/>
  <c r="P102" i="4"/>
  <c r="P103" i="4" s="1"/>
  <c r="P98" i="4"/>
  <c r="O98" i="4"/>
  <c r="N98" i="4"/>
  <c r="M98" i="4"/>
  <c r="L98" i="4"/>
  <c r="K98" i="4"/>
  <c r="J98" i="4"/>
  <c r="I98" i="4"/>
  <c r="H98" i="4"/>
  <c r="G98" i="4"/>
  <c r="F98" i="4"/>
  <c r="S93" i="4"/>
  <c r="U92" i="4"/>
  <c r="S92" i="4"/>
  <c r="T84" i="4"/>
  <c r="M80" i="4"/>
  <c r="G80" i="4"/>
  <c r="T77" i="4"/>
  <c r="G69" i="4"/>
  <c r="P66" i="4"/>
  <c r="O66" i="4"/>
  <c r="N66" i="4"/>
  <c r="M66" i="4"/>
  <c r="L106" i="4" s="1"/>
  <c r="L66" i="4"/>
  <c r="K66" i="4"/>
  <c r="J106" i="4" s="1"/>
  <c r="J66" i="4"/>
  <c r="I66" i="4"/>
  <c r="H106" i="4" s="1"/>
  <c r="H66" i="4"/>
  <c r="G66" i="4"/>
  <c r="I124" i="4" s="1"/>
  <c r="P64" i="4"/>
  <c r="O102" i="4" s="1"/>
  <c r="O64" i="4"/>
  <c r="N102" i="4" s="1"/>
  <c r="N64" i="4"/>
  <c r="M64" i="4"/>
  <c r="L102" i="4" s="1"/>
  <c r="L64" i="4"/>
  <c r="K102" i="4" s="1"/>
  <c r="K64" i="4"/>
  <c r="J102" i="4" s="1"/>
  <c r="J64" i="4"/>
  <c r="I64" i="4"/>
  <c r="H102" i="4" s="1"/>
  <c r="H64" i="4"/>
  <c r="G102" i="4" s="1"/>
  <c r="G64" i="4"/>
  <c r="F102" i="4" s="1"/>
  <c r="D61" i="4"/>
  <c r="G51" i="4"/>
  <c r="D51" i="4"/>
  <c r="G50" i="4"/>
  <c r="D50" i="4"/>
  <c r="D67" i="4"/>
  <c r="D45" i="4"/>
  <c r="D70" i="4" s="1"/>
  <c r="D41" i="4"/>
  <c r="Q39" i="4"/>
  <c r="Q38" i="4"/>
  <c r="Q37" i="4"/>
  <c r="Q36" i="4"/>
  <c r="D35" i="4"/>
  <c r="Q35" i="4" s="1"/>
  <c r="D28" i="4"/>
  <c r="D75" i="4" s="1"/>
  <c r="J18" i="4"/>
  <c r="K18" i="4" s="1"/>
  <c r="L18" i="4" s="1"/>
  <c r="M18" i="4" s="1"/>
  <c r="N18" i="4" s="1"/>
  <c r="O18" i="4" s="1"/>
  <c r="P18" i="4" s="1"/>
  <c r="I18" i="4"/>
  <c r="H18" i="4"/>
  <c r="H16" i="4"/>
  <c r="I16" i="4" s="1"/>
  <c r="J16" i="4" s="1"/>
  <c r="K16" i="4" s="1"/>
  <c r="L16" i="4" s="1"/>
  <c r="M16" i="4" s="1"/>
  <c r="N16" i="4" s="1"/>
  <c r="O16" i="4" s="1"/>
  <c r="P16" i="4" s="1"/>
  <c r="H15" i="4"/>
  <c r="I15" i="4" s="1"/>
  <c r="I14" i="4"/>
  <c r="H14" i="4"/>
  <c r="H50" i="4" s="1"/>
  <c r="G13" i="4"/>
  <c r="H13" i="4" s="1"/>
  <c r="I13" i="4" s="1"/>
  <c r="J13" i="4" s="1"/>
  <c r="K13" i="4" s="1"/>
  <c r="L13" i="4" s="1"/>
  <c r="M13" i="4" s="1"/>
  <c r="N13" i="4" s="1"/>
  <c r="O13" i="4" s="1"/>
  <c r="P13" i="4" s="1"/>
  <c r="G9" i="4"/>
  <c r="G26" i="4" s="1"/>
  <c r="H5" i="4"/>
  <c r="V91" i="4" l="1"/>
  <c r="V92" i="4"/>
  <c r="J15" i="4"/>
  <c r="I51" i="4"/>
  <c r="N80" i="4"/>
  <c r="I50" i="4"/>
  <c r="J14" i="4"/>
  <c r="H9" i="4"/>
  <c r="I5" i="4"/>
  <c r="H51" i="4"/>
  <c r="H69" i="4"/>
  <c r="F110" i="4"/>
  <c r="S91" i="4"/>
  <c r="D62" i="4"/>
  <c r="D72" i="4" s="1"/>
  <c r="D30" i="4"/>
  <c r="G45" i="4"/>
  <c r="I102" i="4"/>
  <c r="M102" i="4"/>
  <c r="G67" i="4"/>
  <c r="H67" i="4" s="1"/>
  <c r="I67" i="4" s="1"/>
  <c r="J67" i="4" s="1"/>
  <c r="G106" i="4"/>
  <c r="K106" i="4"/>
  <c r="P106" i="4"/>
  <c r="P107" i="4" s="1"/>
  <c r="O106" i="4"/>
  <c r="R103" i="4"/>
  <c r="R104" i="4" s="1"/>
  <c r="P104" i="4" s="1"/>
  <c r="K67" i="4" l="1"/>
  <c r="L67" i="4" s="1"/>
  <c r="M67" i="4" s="1"/>
  <c r="N67" i="4" s="1"/>
  <c r="O67" i="4" s="1"/>
  <c r="P67" i="4" s="1"/>
  <c r="R107" i="4" s="1"/>
  <c r="R108" i="4" s="1"/>
  <c r="P108" i="4" s="1"/>
  <c r="H26" i="4"/>
  <c r="I9" i="4"/>
  <c r="G92" i="4"/>
  <c r="G70" i="4"/>
  <c r="D43" i="4"/>
  <c r="D53" i="4" s="1"/>
  <c r="D8" i="4"/>
  <c r="G8" i="4" s="1"/>
  <c r="G30" i="4"/>
  <c r="J50" i="4"/>
  <c r="K14" i="4"/>
  <c r="I69" i="4"/>
  <c r="G110" i="4"/>
  <c r="H45" i="4"/>
  <c r="H92" i="4" s="1"/>
  <c r="O80" i="4"/>
  <c r="J5" i="4"/>
  <c r="F129" i="4"/>
  <c r="J51" i="4"/>
  <c r="K15" i="4"/>
  <c r="F130" i="4" l="1"/>
  <c r="F142" i="4" s="1"/>
  <c r="K51" i="4"/>
  <c r="L15" i="4"/>
  <c r="H110" i="4"/>
  <c r="I45" i="4"/>
  <c r="I92" i="4" s="1"/>
  <c r="J69" i="4"/>
  <c r="H30" i="4"/>
  <c r="K50" i="4"/>
  <c r="L14" i="4"/>
  <c r="H8" i="4"/>
  <c r="G25" i="4"/>
  <c r="J9" i="4"/>
  <c r="I26" i="4"/>
  <c r="H70" i="4"/>
  <c r="P80" i="4"/>
  <c r="K5" i="4"/>
  <c r="D54" i="4"/>
  <c r="D76" i="4" s="1"/>
  <c r="K9" i="4" l="1"/>
  <c r="J26" i="4"/>
  <c r="I70" i="4"/>
  <c r="G34" i="4"/>
  <c r="G61" i="4"/>
  <c r="G36" i="4"/>
  <c r="G37" i="4"/>
  <c r="G33" i="4"/>
  <c r="G28" i="4"/>
  <c r="G38" i="4"/>
  <c r="G39" i="4"/>
  <c r="G35" i="4"/>
  <c r="I30" i="4"/>
  <c r="S90" i="4"/>
  <c r="I8" i="4"/>
  <c r="H25" i="4"/>
  <c r="L51" i="4"/>
  <c r="M15" i="4"/>
  <c r="L5" i="4"/>
  <c r="D55" i="4"/>
  <c r="D83" i="4" s="1"/>
  <c r="D85" i="4" s="1"/>
  <c r="L50" i="4"/>
  <c r="M14" i="4"/>
  <c r="I110" i="4"/>
  <c r="K69" i="4"/>
  <c r="J45" i="4"/>
  <c r="J92" i="4" s="1"/>
  <c r="N14" i="4" l="1"/>
  <c r="M50" i="4"/>
  <c r="H33" i="4"/>
  <c r="H28" i="4"/>
  <c r="H37" i="4"/>
  <c r="H34" i="4"/>
  <c r="H36" i="4"/>
  <c r="H39" i="4"/>
  <c r="H35" i="4"/>
  <c r="H38" i="4"/>
  <c r="H61" i="4"/>
  <c r="G75" i="4"/>
  <c r="G62" i="4"/>
  <c r="F100" i="4" s="1"/>
  <c r="I25" i="4"/>
  <c r="J8" i="4"/>
  <c r="G41" i="4"/>
  <c r="G43" i="4" s="1"/>
  <c r="K26" i="4"/>
  <c r="L9" i="4"/>
  <c r="J30" i="4"/>
  <c r="J70" i="4"/>
  <c r="M5" i="4"/>
  <c r="F99" i="4"/>
  <c r="G72" i="4"/>
  <c r="L69" i="4"/>
  <c r="J110" i="4"/>
  <c r="K45" i="4"/>
  <c r="K92" i="4" s="1"/>
  <c r="N15" i="4"/>
  <c r="M51" i="4"/>
  <c r="N5" i="4" l="1"/>
  <c r="G91" i="4"/>
  <c r="G53" i="4"/>
  <c r="F114" i="4"/>
  <c r="H75" i="4"/>
  <c r="H62" i="4"/>
  <c r="G100" i="4" s="1"/>
  <c r="M69" i="4"/>
  <c r="K110" i="4"/>
  <c r="L45" i="4"/>
  <c r="L92" i="4" s="1"/>
  <c r="K30" i="4"/>
  <c r="J25" i="4"/>
  <c r="K8" i="4"/>
  <c r="G99" i="4"/>
  <c r="H41" i="4"/>
  <c r="H43" i="4" s="1"/>
  <c r="N51" i="4"/>
  <c r="O15" i="4"/>
  <c r="L26" i="4"/>
  <c r="M9" i="4"/>
  <c r="I37" i="4"/>
  <c r="I28" i="4"/>
  <c r="I34" i="4"/>
  <c r="I33" i="4"/>
  <c r="I35" i="4"/>
  <c r="I36" i="4"/>
  <c r="I39" i="4"/>
  <c r="I38" i="4"/>
  <c r="I61" i="4"/>
  <c r="K70" i="4"/>
  <c r="O14" i="4"/>
  <c r="N50" i="4"/>
  <c r="O51" i="4" l="1"/>
  <c r="P15" i="4"/>
  <c r="P51" i="4" s="1"/>
  <c r="G54" i="4"/>
  <c r="G76" i="4" s="1"/>
  <c r="P14" i="4"/>
  <c r="O50" i="4"/>
  <c r="H99" i="4"/>
  <c r="L8" i="4"/>
  <c r="K25" i="4"/>
  <c r="G114" i="4"/>
  <c r="G93" i="4"/>
  <c r="G94" i="4" s="1"/>
  <c r="F115" i="4" s="1"/>
  <c r="F117" i="4" s="1"/>
  <c r="I41" i="4"/>
  <c r="I43" i="4" s="1"/>
  <c r="N9" i="4"/>
  <c r="M26" i="4"/>
  <c r="H91" i="4"/>
  <c r="H53" i="4"/>
  <c r="J34" i="4"/>
  <c r="J36" i="4"/>
  <c r="J33" i="4"/>
  <c r="J28" i="4"/>
  <c r="J37" i="4"/>
  <c r="J35" i="4"/>
  <c r="J38" i="4"/>
  <c r="J39" i="4"/>
  <c r="J61" i="4"/>
  <c r="O5" i="4"/>
  <c r="I62" i="4"/>
  <c r="H100" i="4" s="1"/>
  <c r="I75" i="4"/>
  <c r="L30" i="4"/>
  <c r="L70" i="4"/>
  <c r="H72" i="4"/>
  <c r="L110" i="4"/>
  <c r="N69" i="4"/>
  <c r="M45" i="4"/>
  <c r="M92" i="4" s="1"/>
  <c r="G55" i="4" l="1"/>
  <c r="G83" i="4" s="1"/>
  <c r="G85" i="4" s="1"/>
  <c r="I72" i="4"/>
  <c r="G95" i="4"/>
  <c r="H114" i="4"/>
  <c r="O9" i="4"/>
  <c r="N26" i="4"/>
  <c r="M110" i="4"/>
  <c r="O69" i="4"/>
  <c r="N45" i="4"/>
  <c r="N92" i="4" s="1"/>
  <c r="J62" i="4"/>
  <c r="I100" i="4" s="1"/>
  <c r="J75" i="4"/>
  <c r="I91" i="4"/>
  <c r="I53" i="4"/>
  <c r="M30" i="4"/>
  <c r="P5" i="4"/>
  <c r="J41" i="4"/>
  <c r="J43" i="4" s="1"/>
  <c r="H93" i="4"/>
  <c r="H94" i="4" s="1"/>
  <c r="G115" i="4" s="1"/>
  <c r="K37" i="4"/>
  <c r="K36" i="4"/>
  <c r="K33" i="4"/>
  <c r="K28" i="4"/>
  <c r="K34" i="4"/>
  <c r="K38" i="4"/>
  <c r="K39" i="4"/>
  <c r="K35" i="4"/>
  <c r="K61" i="4"/>
  <c r="M70" i="4"/>
  <c r="I99" i="4"/>
  <c r="J72" i="4"/>
  <c r="H54" i="4"/>
  <c r="H76" i="4" s="1"/>
  <c r="L25" i="4"/>
  <c r="M8" i="4"/>
  <c r="U90" i="4"/>
  <c r="V90" i="4" s="1"/>
  <c r="P50" i="4"/>
  <c r="H55" i="4" l="1"/>
  <c r="H83" i="4" s="1"/>
  <c r="H85" i="4" s="1"/>
  <c r="H87" i="4" s="1"/>
  <c r="G117" i="4"/>
  <c r="N70" i="4"/>
  <c r="I93" i="4"/>
  <c r="I94" i="4" s="1"/>
  <c r="H115" i="4" s="1"/>
  <c r="P69" i="4"/>
  <c r="N110" i="4"/>
  <c r="O45" i="4"/>
  <c r="O92" i="4" s="1"/>
  <c r="J99" i="4"/>
  <c r="J91" i="4"/>
  <c r="J53" i="4"/>
  <c r="O26" i="4"/>
  <c r="P9" i="4"/>
  <c r="P26" i="4" s="1"/>
  <c r="M25" i="4"/>
  <c r="N8" i="4"/>
  <c r="K75" i="4"/>
  <c r="K62" i="4"/>
  <c r="J100" i="4" s="1"/>
  <c r="N30" i="4"/>
  <c r="I114" i="4"/>
  <c r="L33" i="4"/>
  <c r="L34" i="4"/>
  <c r="L28" i="4"/>
  <c r="L37" i="4"/>
  <c r="L38" i="4"/>
  <c r="L35" i="4"/>
  <c r="L36" i="4"/>
  <c r="L39" i="4"/>
  <c r="L61" i="4"/>
  <c r="K41" i="4"/>
  <c r="K43" i="4" s="1"/>
  <c r="H95" i="4"/>
  <c r="I54" i="4"/>
  <c r="I76" i="4" s="1"/>
  <c r="K72" i="4" l="1"/>
  <c r="J114" i="4"/>
  <c r="P110" i="4"/>
  <c r="P111" i="4" s="1"/>
  <c r="P45" i="4"/>
  <c r="P92" i="4" s="1"/>
  <c r="O110" i="4"/>
  <c r="I55" i="4"/>
  <c r="I83" i="4" s="1"/>
  <c r="L41" i="4"/>
  <c r="L43" i="4" s="1"/>
  <c r="O30" i="4"/>
  <c r="N25" i="4"/>
  <c r="O8" i="4"/>
  <c r="J54" i="4"/>
  <c r="J76" i="4" s="1"/>
  <c r="I95" i="4"/>
  <c r="K53" i="4"/>
  <c r="K91" i="4"/>
  <c r="O70" i="4"/>
  <c r="K99" i="4"/>
  <c r="H117" i="4"/>
  <c r="L75" i="4"/>
  <c r="L62" i="4"/>
  <c r="K100" i="4" s="1"/>
  <c r="M37" i="4"/>
  <c r="M28" i="4"/>
  <c r="M35" i="4"/>
  <c r="M33" i="4"/>
  <c r="M36" i="4"/>
  <c r="M34" i="4"/>
  <c r="M38" i="4"/>
  <c r="M39" i="4"/>
  <c r="M61" i="4"/>
  <c r="J93" i="4"/>
  <c r="J94" i="4" s="1"/>
  <c r="I115" i="4" s="1"/>
  <c r="J55" i="4" l="1"/>
  <c r="J83" i="4" s="1"/>
  <c r="J85" i="4" s="1"/>
  <c r="J87" i="4" s="1"/>
  <c r="J95" i="4"/>
  <c r="L72" i="4"/>
  <c r="I117" i="4"/>
  <c r="M62" i="4"/>
  <c r="L100" i="4" s="1"/>
  <c r="M75" i="4"/>
  <c r="N34" i="4"/>
  <c r="N37" i="4"/>
  <c r="N33" i="4"/>
  <c r="N36" i="4"/>
  <c r="N28" i="4"/>
  <c r="N38" i="4"/>
  <c r="N35" i="4"/>
  <c r="N39" i="4"/>
  <c r="N61" i="4"/>
  <c r="M41" i="4"/>
  <c r="M43" i="4" s="1"/>
  <c r="K54" i="4"/>
  <c r="K76" i="4" s="1"/>
  <c r="P30" i="4"/>
  <c r="L99" i="4"/>
  <c r="K93" i="4"/>
  <c r="K94" i="4" s="1"/>
  <c r="J115" i="4" s="1"/>
  <c r="J117" i="4" s="1"/>
  <c r="K114" i="4"/>
  <c r="P70" i="4"/>
  <c r="I85" i="4"/>
  <c r="I87" i="4" s="1"/>
  <c r="P8" i="4"/>
  <c r="O25" i="4"/>
  <c r="L53" i="4"/>
  <c r="L91" i="4"/>
  <c r="K55" i="4" l="1"/>
  <c r="K83" i="4" s="1"/>
  <c r="P25" i="4"/>
  <c r="P28" i="4" s="1"/>
  <c r="K95" i="4"/>
  <c r="M72" i="4"/>
  <c r="N41" i="4"/>
  <c r="N43" i="4" s="1"/>
  <c r="M91" i="4"/>
  <c r="M53" i="4"/>
  <c r="M99" i="4"/>
  <c r="N62" i="4"/>
  <c r="M100" i="4" s="1"/>
  <c r="N75" i="4"/>
  <c r="L93" i="4"/>
  <c r="L94" i="4" s="1"/>
  <c r="K115" i="4" s="1"/>
  <c r="K117" i="4" s="1"/>
  <c r="L114" i="4"/>
  <c r="L54" i="4"/>
  <c r="L76" i="4" s="1"/>
  <c r="R111" i="4"/>
  <c r="R112" i="4" s="1"/>
  <c r="P112" i="4" s="1"/>
  <c r="O37" i="4"/>
  <c r="O36" i="4"/>
  <c r="O33" i="4"/>
  <c r="O28" i="4"/>
  <c r="O34" i="4"/>
  <c r="O39" i="4"/>
  <c r="O35" i="4"/>
  <c r="O38" i="4"/>
  <c r="O61" i="4"/>
  <c r="P61" i="4" l="1"/>
  <c r="P39" i="4"/>
  <c r="P38" i="4"/>
  <c r="P37" i="4"/>
  <c r="P36" i="4"/>
  <c r="P34" i="4"/>
  <c r="P33" i="4"/>
  <c r="P35" i="4"/>
  <c r="P41" i="4" s="1"/>
  <c r="P43" i="4" s="1"/>
  <c r="L95" i="4"/>
  <c r="N72" i="4"/>
  <c r="L55" i="4"/>
  <c r="L83" i="4" s="1"/>
  <c r="L85" i="4" s="1"/>
  <c r="L87" i="4" s="1"/>
  <c r="P75" i="4"/>
  <c r="P62" i="4"/>
  <c r="O41" i="4"/>
  <c r="O43" i="4" s="1"/>
  <c r="M114" i="4"/>
  <c r="M54" i="4"/>
  <c r="M76" i="4" s="1"/>
  <c r="N91" i="4"/>
  <c r="N53" i="4"/>
  <c r="N99" i="4"/>
  <c r="O75" i="4"/>
  <c r="O62" i="4"/>
  <c r="N100" i="4" s="1"/>
  <c r="K85" i="4"/>
  <c r="K87" i="4" s="1"/>
  <c r="M93" i="4"/>
  <c r="M94" i="4" s="1"/>
  <c r="L115" i="4" s="1"/>
  <c r="L117" i="4" s="1"/>
  <c r="P99" i="4"/>
  <c r="O99" i="4"/>
  <c r="O72" i="4" l="1"/>
  <c r="O91" i="4"/>
  <c r="O53" i="4"/>
  <c r="O100" i="4"/>
  <c r="P100" i="4"/>
  <c r="P72" i="4"/>
  <c r="M55" i="4"/>
  <c r="M83" i="4" s="1"/>
  <c r="O114" i="4"/>
  <c r="P114" i="4"/>
  <c r="N114" i="4"/>
  <c r="N54" i="4"/>
  <c r="N76" i="4" s="1"/>
  <c r="P91" i="4"/>
  <c r="P53" i="4"/>
  <c r="M95" i="4"/>
  <c r="N93" i="4"/>
  <c r="N94" i="4" s="1"/>
  <c r="M115" i="4" s="1"/>
  <c r="M117" i="4" l="1"/>
  <c r="P54" i="4"/>
  <c r="P76" i="4" s="1"/>
  <c r="N55" i="4"/>
  <c r="N83" i="4" s="1"/>
  <c r="M85" i="4"/>
  <c r="M87" i="4" s="1"/>
  <c r="O54" i="4"/>
  <c r="O76" i="4" s="1"/>
  <c r="O93" i="4"/>
  <c r="O94" i="4" s="1"/>
  <c r="N115" i="4" s="1"/>
  <c r="P93" i="4"/>
  <c r="P94" i="4" s="1"/>
  <c r="P95" i="4" s="1"/>
  <c r="N95" i="4"/>
  <c r="N117" i="4" l="1"/>
  <c r="O95" i="4"/>
  <c r="O55" i="4"/>
  <c r="O83" i="4"/>
  <c r="O85" i="4" s="1"/>
  <c r="O87" i="4" s="1"/>
  <c r="N85" i="4"/>
  <c r="N87" i="4" s="1"/>
  <c r="P55" i="4"/>
  <c r="O115" i="4"/>
  <c r="P115" i="4"/>
  <c r="P117" i="4" s="1"/>
  <c r="O117" i="4" l="1"/>
  <c r="F118" i="4"/>
  <c r="P83" i="4"/>
  <c r="S94" i="4" l="1"/>
  <c r="S95" i="4" s="1"/>
  <c r="P85" i="4"/>
  <c r="P87" i="4" s="1"/>
  <c r="T93" i="4" l="1"/>
  <c r="T92" i="4"/>
  <c r="W92" i="4" s="1"/>
  <c r="T91" i="4"/>
  <c r="W91" i="4" s="1"/>
  <c r="T90" i="4"/>
  <c r="T95" i="4" l="1"/>
  <c r="W90" i="4"/>
  <c r="T78" i="4"/>
  <c r="T81" i="4"/>
  <c r="T82" i="4" l="1"/>
  <c r="T87" i="4" s="1"/>
  <c r="U93" i="4" s="1"/>
  <c r="V93" i="4" s="1"/>
  <c r="W93" i="4" s="1"/>
  <c r="W95" i="4" s="1"/>
  <c r="F120" i="4" s="1"/>
  <c r="F121" i="4" s="1"/>
  <c r="L120" i="3" l="1"/>
  <c r="F120" i="3"/>
  <c r="L118" i="3"/>
  <c r="J114" i="3"/>
  <c r="I114" i="3"/>
  <c r="H114" i="3"/>
  <c r="F114" i="3"/>
  <c r="F117" i="3" s="1"/>
  <c r="F110" i="3"/>
  <c r="L108" i="3"/>
  <c r="F107" i="3"/>
  <c r="G106" i="3"/>
  <c r="J104" i="3"/>
  <c r="I104" i="3"/>
  <c r="H104" i="3"/>
  <c r="G104" i="3"/>
  <c r="G107" i="3" s="1"/>
  <c r="F104" i="3"/>
  <c r="L100" i="3"/>
  <c r="L98" i="3"/>
  <c r="J96" i="3"/>
  <c r="I96" i="3"/>
  <c r="P86" i="3"/>
  <c r="P85" i="3"/>
  <c r="G80" i="3"/>
  <c r="G114" i="3" s="1"/>
  <c r="G117" i="3" s="1"/>
  <c r="O84" i="3"/>
  <c r="I94" i="3"/>
  <c r="H94" i="3"/>
  <c r="G94" i="3"/>
  <c r="G97" i="3" s="1"/>
  <c r="F94" i="3"/>
  <c r="F97" i="3" s="1"/>
  <c r="D75" i="3"/>
  <c r="D70" i="3"/>
  <c r="I69" i="3"/>
  <c r="H69" i="3"/>
  <c r="G69" i="3"/>
  <c r="D67" i="3"/>
  <c r="G67" i="3" s="1"/>
  <c r="H67" i="3" s="1"/>
  <c r="I67" i="3" s="1"/>
  <c r="J67" i="3" s="1"/>
  <c r="K67" i="3" s="1"/>
  <c r="N66" i="3"/>
  <c r="K66" i="3"/>
  <c r="J66" i="3"/>
  <c r="I66" i="3"/>
  <c r="H66" i="3"/>
  <c r="G66" i="3"/>
  <c r="K64" i="3"/>
  <c r="N64" i="3" s="1"/>
  <c r="N77" i="3" s="1"/>
  <c r="O78" i="3" s="1"/>
  <c r="J64" i="3"/>
  <c r="I64" i="3"/>
  <c r="H64" i="3"/>
  <c r="G64" i="3"/>
  <c r="D61" i="3"/>
  <c r="O59" i="3"/>
  <c r="G51" i="3"/>
  <c r="D51" i="3"/>
  <c r="G50" i="3"/>
  <c r="G116" i="3" s="1"/>
  <c r="D50" i="3"/>
  <c r="K96" i="3"/>
  <c r="H96" i="3"/>
  <c r="G96" i="3"/>
  <c r="H45" i="3"/>
  <c r="G45" i="3"/>
  <c r="G70" i="3" s="1"/>
  <c r="D45" i="3"/>
  <c r="L39" i="3"/>
  <c r="L38" i="3"/>
  <c r="L37" i="3"/>
  <c r="L36" i="3"/>
  <c r="D35" i="3"/>
  <c r="G30" i="3"/>
  <c r="D30" i="3"/>
  <c r="D28" i="3"/>
  <c r="D62" i="3" s="1"/>
  <c r="G26" i="3"/>
  <c r="G25" i="3"/>
  <c r="I18" i="3"/>
  <c r="J18" i="3" s="1"/>
  <c r="K18" i="3" s="1"/>
  <c r="H18" i="3"/>
  <c r="H16" i="3"/>
  <c r="I16" i="3" s="1"/>
  <c r="J16" i="3" s="1"/>
  <c r="K16" i="3" s="1"/>
  <c r="I15" i="3"/>
  <c r="J15" i="3" s="1"/>
  <c r="H15" i="3"/>
  <c r="H51" i="3" s="1"/>
  <c r="H106" i="3" s="1"/>
  <c r="H14" i="3"/>
  <c r="H50" i="3" s="1"/>
  <c r="H116" i="3" s="1"/>
  <c r="H117" i="3" s="1"/>
  <c r="I13" i="3"/>
  <c r="J13" i="3" s="1"/>
  <c r="K13" i="3" s="1"/>
  <c r="H13" i="3"/>
  <c r="G13" i="3"/>
  <c r="I9" i="3"/>
  <c r="I26" i="3" s="1"/>
  <c r="H9" i="3"/>
  <c r="H26" i="3" s="1"/>
  <c r="G9" i="3"/>
  <c r="J8" i="3"/>
  <c r="G8" i="3"/>
  <c r="H8" i="3" s="1"/>
  <c r="I8" i="3" s="1"/>
  <c r="D8" i="3"/>
  <c r="H5" i="3"/>
  <c r="I5" i="3" s="1"/>
  <c r="J5" i="3" l="1"/>
  <c r="G34" i="3"/>
  <c r="G28" i="3"/>
  <c r="G33" i="3"/>
  <c r="G37" i="3"/>
  <c r="G61" i="3"/>
  <c r="L110" i="3"/>
  <c r="I14" i="3"/>
  <c r="D41" i="3"/>
  <c r="D43" i="3" s="1"/>
  <c r="D53" i="3" s="1"/>
  <c r="L35" i="3"/>
  <c r="D72" i="3"/>
  <c r="H97" i="3"/>
  <c r="P87" i="3"/>
  <c r="Q84" i="3" s="1"/>
  <c r="Q85" i="3"/>
  <c r="H107" i="3"/>
  <c r="K8" i="3"/>
  <c r="J9" i="3"/>
  <c r="H30" i="3"/>
  <c r="G38" i="3"/>
  <c r="H70" i="3"/>
  <c r="I97" i="3"/>
  <c r="K15" i="3"/>
  <c r="K51" i="3" s="1"/>
  <c r="K106" i="3" s="1"/>
  <c r="J51" i="3"/>
  <c r="J106" i="3" s="1"/>
  <c r="J107" i="3" s="1"/>
  <c r="G36" i="3"/>
  <c r="G39" i="3"/>
  <c r="I51" i="3"/>
  <c r="I106" i="3" s="1"/>
  <c r="I107" i="3" s="1"/>
  <c r="J69" i="3"/>
  <c r="I45" i="3"/>
  <c r="Q86" i="3"/>
  <c r="J94" i="3"/>
  <c r="J97" i="3" s="1"/>
  <c r="H66" i="1"/>
  <c r="I66" i="1"/>
  <c r="J66" i="1"/>
  <c r="K66" i="1"/>
  <c r="L66" i="1"/>
  <c r="M66" i="1"/>
  <c r="N66" i="1"/>
  <c r="O66" i="1"/>
  <c r="P66" i="1"/>
  <c r="G66" i="1"/>
  <c r="K69" i="3" l="1"/>
  <c r="J45" i="3"/>
  <c r="I70" i="3"/>
  <c r="I30" i="3"/>
  <c r="H25" i="3"/>
  <c r="G62" i="3"/>
  <c r="G72" i="3" s="1"/>
  <c r="G75" i="3"/>
  <c r="I50" i="3"/>
  <c r="I116" i="3" s="1"/>
  <c r="I117" i="3" s="1"/>
  <c r="J14" i="3"/>
  <c r="K5" i="3"/>
  <c r="G35" i="3"/>
  <c r="G41" i="3" s="1"/>
  <c r="G43" i="3" s="1"/>
  <c r="G53" i="3" s="1"/>
  <c r="K9" i="3"/>
  <c r="K26" i="3" s="1"/>
  <c r="J26" i="3"/>
  <c r="D54" i="3"/>
  <c r="D76" i="3" s="1"/>
  <c r="G54" i="3" l="1"/>
  <c r="G55" i="3" s="1"/>
  <c r="G83" i="3" s="1"/>
  <c r="J30" i="3"/>
  <c r="I25" i="3"/>
  <c r="H33" i="3"/>
  <c r="H39" i="3"/>
  <c r="H37" i="3"/>
  <c r="H34" i="3"/>
  <c r="H28" i="3"/>
  <c r="H38" i="3"/>
  <c r="H36" i="3"/>
  <c r="H61" i="3"/>
  <c r="O69" i="3"/>
  <c r="K45" i="3"/>
  <c r="D55" i="3"/>
  <c r="D83" i="3" s="1"/>
  <c r="H35" i="3"/>
  <c r="D85" i="3"/>
  <c r="K14" i="3"/>
  <c r="K50" i="3" s="1"/>
  <c r="K116" i="3" s="1"/>
  <c r="J50" i="3"/>
  <c r="J116" i="3" s="1"/>
  <c r="J117" i="3" s="1"/>
  <c r="J70" i="3"/>
  <c r="U92" i="1"/>
  <c r="U91" i="1"/>
  <c r="G106" i="1"/>
  <c r="H46" i="1"/>
  <c r="I46" i="1"/>
  <c r="J46" i="1"/>
  <c r="K46" i="1"/>
  <c r="L46" i="1"/>
  <c r="M46" i="1"/>
  <c r="N46" i="1"/>
  <c r="O46" i="1"/>
  <c r="P46" i="1"/>
  <c r="G46" i="1"/>
  <c r="D46" i="1"/>
  <c r="D67" i="1" s="1"/>
  <c r="H64" i="1"/>
  <c r="I64" i="1"/>
  <c r="J64" i="1"/>
  <c r="I102" i="1" s="1"/>
  <c r="K64" i="1"/>
  <c r="L64" i="1"/>
  <c r="L102" i="1" s="1"/>
  <c r="M64" i="1"/>
  <c r="N64" i="1"/>
  <c r="M102" i="1" s="1"/>
  <c r="O64" i="1"/>
  <c r="N102" i="1" s="1"/>
  <c r="P64" i="1"/>
  <c r="P102" i="1" s="1"/>
  <c r="P103" i="1" s="1"/>
  <c r="H106" i="1"/>
  <c r="L106" i="1"/>
  <c r="M106" i="1"/>
  <c r="P106" i="1"/>
  <c r="P107" i="1" s="1"/>
  <c r="F106" i="1"/>
  <c r="G64" i="1"/>
  <c r="G67" i="1" l="1"/>
  <c r="H67" i="1" s="1"/>
  <c r="G85" i="3"/>
  <c r="H72" i="3"/>
  <c r="I39" i="3"/>
  <c r="I37" i="3"/>
  <c r="I33" i="3"/>
  <c r="I34" i="3"/>
  <c r="I28" i="3"/>
  <c r="I61" i="3"/>
  <c r="I38" i="3"/>
  <c r="I36" i="3"/>
  <c r="I35" i="3"/>
  <c r="H75" i="3"/>
  <c r="H62" i="3"/>
  <c r="H41" i="3"/>
  <c r="H43" i="3" s="1"/>
  <c r="H53" i="3" s="1"/>
  <c r="K70" i="3"/>
  <c r="K30" i="3"/>
  <c r="J25" i="3"/>
  <c r="K106" i="1"/>
  <c r="H102" i="1"/>
  <c r="G102" i="1"/>
  <c r="J106" i="1"/>
  <c r="K102" i="1"/>
  <c r="O106" i="1"/>
  <c r="O102" i="1"/>
  <c r="N106" i="1"/>
  <c r="J102" i="1"/>
  <c r="I106" i="1"/>
  <c r="R103" i="1"/>
  <c r="R104" i="1" s="1"/>
  <c r="P104" i="1" s="1"/>
  <c r="F102" i="1"/>
  <c r="P79" i="1"/>
  <c r="O79" i="1"/>
  <c r="N79" i="1"/>
  <c r="M79" i="1"/>
  <c r="L79" i="1"/>
  <c r="K79" i="1"/>
  <c r="J79" i="1"/>
  <c r="I79" i="1"/>
  <c r="H79" i="1"/>
  <c r="G79" i="1"/>
  <c r="S91" i="1" s="1"/>
  <c r="P49" i="1"/>
  <c r="O49" i="1"/>
  <c r="D142" i="2"/>
  <c r="D128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G9" i="1"/>
  <c r="G26" i="1" s="1"/>
  <c r="K25" i="3" l="1"/>
  <c r="I41" i="3"/>
  <c r="I43" i="3" s="1"/>
  <c r="I53" i="3" s="1"/>
  <c r="J34" i="3"/>
  <c r="J28" i="3"/>
  <c r="J33" i="3"/>
  <c r="J37" i="3"/>
  <c r="J39" i="3"/>
  <c r="J36" i="3"/>
  <c r="J38" i="3"/>
  <c r="J61" i="3"/>
  <c r="J35" i="3"/>
  <c r="I62" i="3"/>
  <c r="I75" i="3"/>
  <c r="H55" i="3"/>
  <c r="H83" i="3" s="1"/>
  <c r="H54" i="3"/>
  <c r="I72" i="3"/>
  <c r="I67" i="1"/>
  <c r="H9" i="1"/>
  <c r="H26" i="1" s="1"/>
  <c r="G80" i="1"/>
  <c r="H14" i="1"/>
  <c r="I14" i="1" s="1"/>
  <c r="J14" i="1" s="1"/>
  <c r="K14" i="1" s="1"/>
  <c r="L14" i="1" s="1"/>
  <c r="M14" i="1" s="1"/>
  <c r="N14" i="1" s="1"/>
  <c r="O14" i="1" s="1"/>
  <c r="P14" i="1" s="1"/>
  <c r="U90" i="1" s="1"/>
  <c r="D28" i="1"/>
  <c r="Q33" i="1"/>
  <c r="Q34" i="1"/>
  <c r="D35" i="1"/>
  <c r="Q35" i="1" s="1"/>
  <c r="Q36" i="1"/>
  <c r="Q37" i="1"/>
  <c r="Q38" i="1"/>
  <c r="Q39" i="1"/>
  <c r="G69" i="1"/>
  <c r="H15" i="1"/>
  <c r="I15" i="1" s="1"/>
  <c r="I51" i="1" s="1"/>
  <c r="H16" i="1"/>
  <c r="I16" i="1" s="1"/>
  <c r="J16" i="1" s="1"/>
  <c r="K16" i="1" s="1"/>
  <c r="L16" i="1" s="1"/>
  <c r="M16" i="1" s="1"/>
  <c r="N16" i="1" s="1"/>
  <c r="O16" i="1" s="1"/>
  <c r="P16" i="1" s="1"/>
  <c r="G51" i="1"/>
  <c r="T77" i="1"/>
  <c r="T84" i="1"/>
  <c r="G98" i="1"/>
  <c r="H5" i="1"/>
  <c r="I5" i="1" s="1"/>
  <c r="J5" i="1" s="1"/>
  <c r="G13" i="1"/>
  <c r="H13" i="1" s="1"/>
  <c r="I13" i="1" s="1"/>
  <c r="J13" i="1" s="1"/>
  <c r="K13" i="1" s="1"/>
  <c r="L13" i="1" s="1"/>
  <c r="M13" i="1" s="1"/>
  <c r="N13" i="1" s="1"/>
  <c r="O13" i="1" s="1"/>
  <c r="P13" i="1" s="1"/>
  <c r="F98" i="1"/>
  <c r="H98" i="1"/>
  <c r="I98" i="1"/>
  <c r="J98" i="1"/>
  <c r="K98" i="1"/>
  <c r="L98" i="1"/>
  <c r="M98" i="1"/>
  <c r="N98" i="1"/>
  <c r="O98" i="1"/>
  <c r="P98" i="1"/>
  <c r="D50" i="1"/>
  <c r="D45" i="1"/>
  <c r="D70" i="1" s="1"/>
  <c r="H18" i="1"/>
  <c r="I18" i="1" s="1"/>
  <c r="J18" i="1" s="1"/>
  <c r="K18" i="1" s="1"/>
  <c r="L18" i="1" s="1"/>
  <c r="M18" i="1" s="1"/>
  <c r="N18" i="1" s="1"/>
  <c r="O18" i="1" s="1"/>
  <c r="P18" i="1" s="1"/>
  <c r="D51" i="1"/>
  <c r="I5" i="2"/>
  <c r="I6" i="2"/>
  <c r="I7" i="2" s="1"/>
  <c r="B4" i="2"/>
  <c r="D61" i="1"/>
  <c r="I54" i="3" l="1"/>
  <c r="I55" i="3" s="1"/>
  <c r="I83" i="3" s="1"/>
  <c r="H85" i="3"/>
  <c r="H87" i="3" s="1"/>
  <c r="J41" i="3"/>
  <c r="J43" i="3" s="1"/>
  <c r="J53" i="3" s="1"/>
  <c r="J62" i="3"/>
  <c r="J75" i="3"/>
  <c r="J72" i="3"/>
  <c r="K34" i="3"/>
  <c r="K28" i="3"/>
  <c r="K33" i="3"/>
  <c r="K37" i="3"/>
  <c r="K39" i="3"/>
  <c r="K38" i="3"/>
  <c r="K36" i="3"/>
  <c r="K35" i="3"/>
  <c r="K61" i="3"/>
  <c r="H69" i="1"/>
  <c r="G110" i="1" s="1"/>
  <c r="F110" i="1"/>
  <c r="J67" i="1"/>
  <c r="V90" i="1"/>
  <c r="V92" i="1"/>
  <c r="V91" i="1"/>
  <c r="I9" i="1"/>
  <c r="J9" i="1" s="1"/>
  <c r="G50" i="1"/>
  <c r="C93" i="2"/>
  <c r="C97" i="2"/>
  <c r="C103" i="2"/>
  <c r="C107" i="2"/>
  <c r="C111" i="2"/>
  <c r="C117" i="2"/>
  <c r="C121" i="2"/>
  <c r="C125" i="2"/>
  <c r="C99" i="2"/>
  <c r="C109" i="2"/>
  <c r="C113" i="2"/>
  <c r="C123" i="2"/>
  <c r="C96" i="2"/>
  <c r="C106" i="2"/>
  <c r="C120" i="2"/>
  <c r="C94" i="2"/>
  <c r="C98" i="2"/>
  <c r="C104" i="2"/>
  <c r="C108" i="2"/>
  <c r="C112" i="2"/>
  <c r="C118" i="2"/>
  <c r="C122" i="2"/>
  <c r="C126" i="2"/>
  <c r="C95" i="2"/>
  <c r="C105" i="2"/>
  <c r="C119" i="2"/>
  <c r="C127" i="2"/>
  <c r="C102" i="2"/>
  <c r="C110" i="2"/>
  <c r="C116" i="2"/>
  <c r="C124" i="2"/>
  <c r="C56" i="2"/>
  <c r="C62" i="2"/>
  <c r="C66" i="2"/>
  <c r="C70" i="2"/>
  <c r="C76" i="2"/>
  <c r="C80" i="2"/>
  <c r="C84" i="2"/>
  <c r="C90" i="2"/>
  <c r="C57" i="2"/>
  <c r="C63" i="2"/>
  <c r="C67" i="2"/>
  <c r="C71" i="2"/>
  <c r="C77" i="2"/>
  <c r="C81" i="2"/>
  <c r="C85" i="2"/>
  <c r="C91" i="2"/>
  <c r="C60" i="2"/>
  <c r="C64" i="2"/>
  <c r="C68" i="2"/>
  <c r="C74" i="2"/>
  <c r="C78" i="2"/>
  <c r="C82" i="2"/>
  <c r="C88" i="2"/>
  <c r="C92" i="2"/>
  <c r="C61" i="2"/>
  <c r="C65" i="2"/>
  <c r="C69" i="2"/>
  <c r="C75" i="2"/>
  <c r="C79" i="2"/>
  <c r="C83" i="2"/>
  <c r="C89" i="2"/>
  <c r="H50" i="1"/>
  <c r="G45" i="1"/>
  <c r="G92" i="1" s="1"/>
  <c r="D41" i="1"/>
  <c r="H51" i="1"/>
  <c r="C36" i="2"/>
  <c r="K5" i="1"/>
  <c r="D30" i="1"/>
  <c r="D62" i="1"/>
  <c r="D72" i="1" s="1"/>
  <c r="D4" i="2"/>
  <c r="D75" i="1"/>
  <c r="J15" i="1"/>
  <c r="I69" i="1"/>
  <c r="H110" i="1" s="1"/>
  <c r="H45" i="1"/>
  <c r="H92" i="1" s="1"/>
  <c r="I85" i="3" l="1"/>
  <c r="I87" i="3" s="1"/>
  <c r="K62" i="3"/>
  <c r="O62" i="3" s="1"/>
  <c r="K75" i="3"/>
  <c r="O61" i="3"/>
  <c r="K41" i="3"/>
  <c r="K43" i="3" s="1"/>
  <c r="K53" i="3" s="1"/>
  <c r="J54" i="3"/>
  <c r="J55" i="3"/>
  <c r="J83" i="3" s="1"/>
  <c r="G70" i="1"/>
  <c r="I26" i="1"/>
  <c r="K67" i="1"/>
  <c r="K9" i="1"/>
  <c r="J26" i="1"/>
  <c r="C40" i="2"/>
  <c r="C10" i="2"/>
  <c r="C37" i="2"/>
  <c r="C20" i="2"/>
  <c r="C29" i="2"/>
  <c r="C8" i="2"/>
  <c r="C53" i="2"/>
  <c r="C25" i="2"/>
  <c r="C51" i="2"/>
  <c r="C49" i="2"/>
  <c r="C33" i="2"/>
  <c r="C5" i="2"/>
  <c r="C43" i="2"/>
  <c r="C46" i="2"/>
  <c r="C9" i="2"/>
  <c r="C41" i="2"/>
  <c r="C52" i="2"/>
  <c r="C7" i="2"/>
  <c r="C50" i="2"/>
  <c r="C15" i="2"/>
  <c r="C34" i="2"/>
  <c r="C55" i="2"/>
  <c r="C39" i="2"/>
  <c r="C47" i="2"/>
  <c r="C35" i="2"/>
  <c r="C27" i="2"/>
  <c r="C24" i="2"/>
  <c r="C32" i="2"/>
  <c r="C42" i="2"/>
  <c r="C22" i="2"/>
  <c r="C26" i="2"/>
  <c r="C13" i="2"/>
  <c r="C4" i="2"/>
  <c r="E4" i="2" s="1"/>
  <c r="F4" i="2" s="1"/>
  <c r="B5" i="2" s="1"/>
  <c r="C48" i="2"/>
  <c r="C28" i="2"/>
  <c r="C12" i="2"/>
  <c r="C38" i="2"/>
  <c r="C18" i="2"/>
  <c r="C23" i="2"/>
  <c r="C54" i="2"/>
  <c r="C14" i="2"/>
  <c r="C19" i="2"/>
  <c r="C21" i="2"/>
  <c r="C11" i="2"/>
  <c r="C6" i="2"/>
  <c r="J69" i="1"/>
  <c r="I110" i="1" s="1"/>
  <c r="I45" i="1"/>
  <c r="I92" i="1" s="1"/>
  <c r="I50" i="1"/>
  <c r="K15" i="1"/>
  <c r="J51" i="1"/>
  <c r="L5" i="1"/>
  <c r="H70" i="1"/>
  <c r="G30" i="1"/>
  <c r="D8" i="1"/>
  <c r="G8" i="1" s="1"/>
  <c r="D43" i="1"/>
  <c r="D53" i="1" s="1"/>
  <c r="J85" i="3" l="1"/>
  <c r="J87" i="3" s="1"/>
  <c r="K72" i="3"/>
  <c r="K54" i="3"/>
  <c r="K55" i="3" s="1"/>
  <c r="K83" i="3" s="1"/>
  <c r="K85" i="3" s="1"/>
  <c r="O75" i="3"/>
  <c r="O77" i="3"/>
  <c r="O80" i="3" s="1"/>
  <c r="L67" i="1"/>
  <c r="G25" i="1"/>
  <c r="L9" i="1"/>
  <c r="K26" i="1"/>
  <c r="C16" i="2"/>
  <c r="I70" i="1"/>
  <c r="D54" i="1"/>
  <c r="D76" i="1" s="1"/>
  <c r="L15" i="1"/>
  <c r="K51" i="1"/>
  <c r="J50" i="1"/>
  <c r="D5" i="2"/>
  <c r="H8" i="1"/>
  <c r="M5" i="1"/>
  <c r="H30" i="1"/>
  <c r="J45" i="1"/>
  <c r="J92" i="1" s="1"/>
  <c r="K69" i="1"/>
  <c r="J110" i="1" s="1"/>
  <c r="R85" i="3" l="1"/>
  <c r="S85" i="3" s="1"/>
  <c r="R86" i="3"/>
  <c r="R84" i="3"/>
  <c r="S84" i="3" s="1"/>
  <c r="K87" i="3"/>
  <c r="M67" i="1"/>
  <c r="E5" i="2"/>
  <c r="F5" i="2" s="1"/>
  <c r="B6" i="2" s="1"/>
  <c r="D6" i="2" s="1"/>
  <c r="M9" i="1"/>
  <c r="L26" i="1"/>
  <c r="K45" i="1"/>
  <c r="K92" i="1" s="1"/>
  <c r="L69" i="1"/>
  <c r="K110" i="1" s="1"/>
  <c r="G39" i="1"/>
  <c r="G28" i="1"/>
  <c r="G37" i="1"/>
  <c r="G38" i="1"/>
  <c r="G61" i="1"/>
  <c r="G35" i="1"/>
  <c r="G36" i="1"/>
  <c r="G34" i="1"/>
  <c r="G33" i="1"/>
  <c r="N5" i="1"/>
  <c r="I8" i="1"/>
  <c r="H25" i="1"/>
  <c r="D55" i="1"/>
  <c r="D83" i="1" s="1"/>
  <c r="D85" i="1" s="1"/>
  <c r="K50" i="1"/>
  <c r="I30" i="1"/>
  <c r="L51" i="1"/>
  <c r="M15" i="1"/>
  <c r="J70" i="1"/>
  <c r="K105" i="3" l="1"/>
  <c r="K107" i="3" s="1"/>
  <c r="F108" i="3" s="1"/>
  <c r="F111" i="3" s="1"/>
  <c r="T85" i="3"/>
  <c r="K95" i="3"/>
  <c r="K97" i="3" s="1"/>
  <c r="F98" i="3" s="1"/>
  <c r="F101" i="3" s="1"/>
  <c r="T84" i="3"/>
  <c r="K115" i="3"/>
  <c r="K117" i="3" s="1"/>
  <c r="F118" i="3" s="1"/>
  <c r="F121" i="3" s="1"/>
  <c r="S86" i="3"/>
  <c r="T86" i="3" s="1"/>
  <c r="N67" i="1"/>
  <c r="E6" i="2"/>
  <c r="F6" i="2" s="1"/>
  <c r="B7" i="2" s="1"/>
  <c r="D7" i="2" s="1"/>
  <c r="N9" i="1"/>
  <c r="M26" i="1"/>
  <c r="K70" i="1"/>
  <c r="G41" i="1"/>
  <c r="G43" i="1" s="1"/>
  <c r="M51" i="1"/>
  <c r="N15" i="1"/>
  <c r="O5" i="1"/>
  <c r="J30" i="1"/>
  <c r="H36" i="1"/>
  <c r="H37" i="1"/>
  <c r="H39" i="1"/>
  <c r="H28" i="1"/>
  <c r="H35" i="1"/>
  <c r="H34" i="1"/>
  <c r="H61" i="1"/>
  <c r="H38" i="1"/>
  <c r="H33" i="1"/>
  <c r="M80" i="1"/>
  <c r="L50" i="1"/>
  <c r="I25" i="1"/>
  <c r="J8" i="1"/>
  <c r="F99" i="1"/>
  <c r="G62" i="1"/>
  <c r="F100" i="1" s="1"/>
  <c r="G75" i="1"/>
  <c r="L45" i="1"/>
  <c r="L92" i="1" s="1"/>
  <c r="M69" i="1"/>
  <c r="L110" i="1" s="1"/>
  <c r="G72" i="1" l="1"/>
  <c r="O67" i="1"/>
  <c r="E7" i="2"/>
  <c r="F7" i="2" s="1"/>
  <c r="B8" i="2" s="1"/>
  <c r="D8" i="2" s="1"/>
  <c r="E8" i="2" s="1"/>
  <c r="F8" i="2" s="1"/>
  <c r="B9" i="2" s="1"/>
  <c r="O9" i="1"/>
  <c r="N26" i="1"/>
  <c r="I37" i="1"/>
  <c r="I39" i="1"/>
  <c r="I33" i="1"/>
  <c r="I36" i="1"/>
  <c r="I28" i="1"/>
  <c r="I34" i="1"/>
  <c r="I35" i="1"/>
  <c r="I61" i="1"/>
  <c r="I38" i="1"/>
  <c r="H75" i="1"/>
  <c r="H62" i="1"/>
  <c r="G99" i="1"/>
  <c r="N51" i="1"/>
  <c r="O15" i="1"/>
  <c r="L70" i="1"/>
  <c r="K30" i="1"/>
  <c r="M50" i="1"/>
  <c r="N80" i="1"/>
  <c r="M45" i="1"/>
  <c r="M92" i="1" s="1"/>
  <c r="N69" i="1"/>
  <c r="M110" i="1" s="1"/>
  <c r="F114" i="1"/>
  <c r="K8" i="1"/>
  <c r="J25" i="1"/>
  <c r="H41" i="1"/>
  <c r="H43" i="1" s="1"/>
  <c r="P5" i="1"/>
  <c r="G91" i="1"/>
  <c r="G100" i="1" l="1"/>
  <c r="H72" i="1"/>
  <c r="P67" i="1"/>
  <c r="P9" i="1"/>
  <c r="P26" i="1" s="1"/>
  <c r="O26" i="1"/>
  <c r="D9" i="2"/>
  <c r="M70" i="1"/>
  <c r="I41" i="1"/>
  <c r="I43" i="1" s="1"/>
  <c r="L8" i="1"/>
  <c r="K25" i="1"/>
  <c r="N45" i="1"/>
  <c r="N92" i="1" s="1"/>
  <c r="O69" i="1"/>
  <c r="N110" i="1" s="1"/>
  <c r="P15" i="1"/>
  <c r="P51" i="1" s="1"/>
  <c r="O51" i="1"/>
  <c r="G114" i="1"/>
  <c r="J38" i="1"/>
  <c r="J39" i="1"/>
  <c r="J37" i="1"/>
  <c r="J28" i="1"/>
  <c r="J36" i="1"/>
  <c r="J34" i="1"/>
  <c r="J33" i="1"/>
  <c r="J61" i="1"/>
  <c r="J35" i="1"/>
  <c r="O80" i="1"/>
  <c r="N50" i="1"/>
  <c r="L30" i="1"/>
  <c r="I75" i="1"/>
  <c r="I62" i="1"/>
  <c r="G93" i="1"/>
  <c r="G94" i="1" s="1"/>
  <c r="F115" i="1" s="1"/>
  <c r="H91" i="1"/>
  <c r="H99" i="1"/>
  <c r="R107" i="1" l="1"/>
  <c r="R108" i="1" s="1"/>
  <c r="P108" i="1" s="1"/>
  <c r="H100" i="1"/>
  <c r="I72" i="1"/>
  <c r="E9" i="2"/>
  <c r="F9" i="2" s="1"/>
  <c r="B10" i="2" s="1"/>
  <c r="D10" i="2" s="1"/>
  <c r="E10" i="2" s="1"/>
  <c r="F10" i="2" s="1"/>
  <c r="B11" i="2" s="1"/>
  <c r="J41" i="1"/>
  <c r="J43" i="1" s="1"/>
  <c r="J91" i="1" s="1"/>
  <c r="H114" i="1"/>
  <c r="K39" i="1"/>
  <c r="K37" i="1"/>
  <c r="K38" i="1"/>
  <c r="K34" i="1"/>
  <c r="K28" i="1"/>
  <c r="K33" i="1"/>
  <c r="K35" i="1"/>
  <c r="K36" i="1"/>
  <c r="K61" i="1"/>
  <c r="N70" i="1"/>
  <c r="H93" i="1"/>
  <c r="H94" i="1" s="1"/>
  <c r="G115" i="1" s="1"/>
  <c r="M30" i="1"/>
  <c r="O45" i="1"/>
  <c r="O92" i="1" s="1"/>
  <c r="P69" i="1"/>
  <c r="I91" i="1"/>
  <c r="O50" i="1"/>
  <c r="P80" i="1"/>
  <c r="L25" i="1"/>
  <c r="M8" i="1"/>
  <c r="G95" i="1"/>
  <c r="I99" i="1"/>
  <c r="J62" i="1"/>
  <c r="J75" i="1"/>
  <c r="O110" i="1" l="1"/>
  <c r="P110" i="1"/>
  <c r="P111" i="1" s="1"/>
  <c r="I100" i="1"/>
  <c r="J72" i="1"/>
  <c r="G119" i="1"/>
  <c r="H95" i="1"/>
  <c r="D11" i="2"/>
  <c r="E11" i="2" s="1"/>
  <c r="F11" i="2" s="1"/>
  <c r="B12" i="2" s="1"/>
  <c r="P50" i="1"/>
  <c r="J93" i="1"/>
  <c r="J94" i="1" s="1"/>
  <c r="J95" i="1" s="1"/>
  <c r="P45" i="1"/>
  <c r="P92" i="1" s="1"/>
  <c r="N30" i="1"/>
  <c r="O70" i="1"/>
  <c r="K41" i="1"/>
  <c r="K43" i="1" s="1"/>
  <c r="I93" i="1"/>
  <c r="I94" i="1" s="1"/>
  <c r="H115" i="1" s="1"/>
  <c r="M25" i="1"/>
  <c r="N8" i="1"/>
  <c r="I114" i="1"/>
  <c r="L37" i="1"/>
  <c r="L28" i="1"/>
  <c r="L39" i="1"/>
  <c r="L34" i="1"/>
  <c r="L38" i="1"/>
  <c r="L33" i="1"/>
  <c r="L36" i="1"/>
  <c r="L35" i="1"/>
  <c r="L61" i="1"/>
  <c r="J99" i="1"/>
  <c r="K75" i="1"/>
  <c r="K62" i="1"/>
  <c r="J100" i="1" l="1"/>
  <c r="K72" i="1"/>
  <c r="H119" i="1"/>
  <c r="D12" i="2"/>
  <c r="E12" i="2" s="1"/>
  <c r="F12" i="2" s="1"/>
  <c r="B13" i="2" s="1"/>
  <c r="I95" i="1"/>
  <c r="I115" i="1"/>
  <c r="P70" i="1"/>
  <c r="R111" i="1" s="1"/>
  <c r="R112" i="1" s="1"/>
  <c r="P112" i="1" s="1"/>
  <c r="J114" i="1"/>
  <c r="K99" i="1"/>
  <c r="L41" i="1"/>
  <c r="L43" i="1" s="1"/>
  <c r="L62" i="1"/>
  <c r="L75" i="1"/>
  <c r="N25" i="1"/>
  <c r="O8" i="1"/>
  <c r="K91" i="1"/>
  <c r="M39" i="1"/>
  <c r="M36" i="1"/>
  <c r="M37" i="1"/>
  <c r="M38" i="1"/>
  <c r="M28" i="1"/>
  <c r="M35" i="1"/>
  <c r="M34" i="1"/>
  <c r="M33" i="1"/>
  <c r="M61" i="1"/>
  <c r="O30" i="1"/>
  <c r="K100" i="1" l="1"/>
  <c r="L72" i="1"/>
  <c r="M41" i="1"/>
  <c r="M43" i="1" s="1"/>
  <c r="M91" i="1" s="1"/>
  <c r="D13" i="2"/>
  <c r="E13" i="2" s="1"/>
  <c r="F13" i="2" s="1"/>
  <c r="B14" i="2" s="1"/>
  <c r="K93" i="1"/>
  <c r="K94" i="1" s="1"/>
  <c r="J115" i="1" s="1"/>
  <c r="J119" i="1" s="1"/>
  <c r="P30" i="1"/>
  <c r="K114" i="1"/>
  <c r="P8" i="1"/>
  <c r="O25" i="1"/>
  <c r="L91" i="1"/>
  <c r="L99" i="1"/>
  <c r="M75" i="1"/>
  <c r="M62" i="1"/>
  <c r="N37" i="1"/>
  <c r="N38" i="1"/>
  <c r="N33" i="1"/>
  <c r="N36" i="1"/>
  <c r="N28" i="1"/>
  <c r="N39" i="1"/>
  <c r="N34" i="1"/>
  <c r="N35" i="1"/>
  <c r="N61" i="1"/>
  <c r="I119" i="1"/>
  <c r="L100" i="1" l="1"/>
  <c r="M72" i="1"/>
  <c r="K95" i="1"/>
  <c r="D14" i="2"/>
  <c r="E14" i="2" s="1"/>
  <c r="F14" i="2" s="1"/>
  <c r="B15" i="2" s="1"/>
  <c r="L114" i="1"/>
  <c r="N62" i="1"/>
  <c r="N75" i="1"/>
  <c r="O39" i="1"/>
  <c r="O36" i="1"/>
  <c r="O38" i="1"/>
  <c r="O37" i="1"/>
  <c r="O34" i="1"/>
  <c r="O28" i="1"/>
  <c r="O35" i="1"/>
  <c r="O33" i="1"/>
  <c r="O61" i="1"/>
  <c r="P25" i="1"/>
  <c r="M93" i="1"/>
  <c r="M94" i="1" s="1"/>
  <c r="M99" i="1"/>
  <c r="N41" i="1"/>
  <c r="N43" i="1" s="1"/>
  <c r="L93" i="1"/>
  <c r="L94" i="1" s="1"/>
  <c r="K115" i="1" s="1"/>
  <c r="M100" i="1" l="1"/>
  <c r="N72" i="1"/>
  <c r="K119" i="1"/>
  <c r="L115" i="1"/>
  <c r="O41" i="1"/>
  <c r="O43" i="1" s="1"/>
  <c r="D15" i="2"/>
  <c r="L95" i="1"/>
  <c r="P37" i="1"/>
  <c r="P38" i="1"/>
  <c r="P36" i="1"/>
  <c r="P39" i="1"/>
  <c r="P33" i="1"/>
  <c r="P28" i="1"/>
  <c r="P35" i="1"/>
  <c r="P34" i="1"/>
  <c r="P61" i="1"/>
  <c r="O75" i="1"/>
  <c r="O62" i="1"/>
  <c r="M114" i="1"/>
  <c r="N91" i="1"/>
  <c r="M95" i="1"/>
  <c r="N99" i="1"/>
  <c r="L119" i="1" l="1"/>
  <c r="N100" i="1"/>
  <c r="O72" i="1"/>
  <c r="E15" i="2"/>
  <c r="F15" i="2" s="1"/>
  <c r="B18" i="2" s="1"/>
  <c r="D18" i="2" s="1"/>
  <c r="D16" i="2"/>
  <c r="G49" i="1" s="1"/>
  <c r="G53" i="1" s="1"/>
  <c r="O91" i="1"/>
  <c r="O93" i="1" s="1"/>
  <c r="O94" i="1" s="1"/>
  <c r="N93" i="1"/>
  <c r="N94" i="1" s="1"/>
  <c r="M115" i="1" s="1"/>
  <c r="M119" i="1" s="1"/>
  <c r="N114" i="1"/>
  <c r="P62" i="1"/>
  <c r="P72" i="1" s="1"/>
  <c r="P75" i="1"/>
  <c r="P99" i="1"/>
  <c r="O99" i="1"/>
  <c r="P41" i="1"/>
  <c r="P43" i="1" s="1"/>
  <c r="G54" i="1" l="1"/>
  <c r="G76" i="1" s="1"/>
  <c r="N95" i="1"/>
  <c r="N115" i="1"/>
  <c r="O114" i="1"/>
  <c r="P114" i="1"/>
  <c r="P53" i="1"/>
  <c r="P91" i="1"/>
  <c r="O95" i="1"/>
  <c r="P100" i="1"/>
  <c r="O100" i="1"/>
  <c r="E18" i="2"/>
  <c r="F18" i="2" s="1"/>
  <c r="B19" i="2" s="1"/>
  <c r="G55" i="1" l="1"/>
  <c r="G83" i="1" s="1"/>
  <c r="N119" i="1"/>
  <c r="P54" i="1"/>
  <c r="P76" i="1" s="1"/>
  <c r="D19" i="2"/>
  <c r="P93" i="1"/>
  <c r="P94" i="1" s="1"/>
  <c r="P95" i="1" s="1"/>
  <c r="G85" i="1" l="1"/>
  <c r="E19" i="2"/>
  <c r="F19" i="2" s="1"/>
  <c r="B20" i="2" s="1"/>
  <c r="D20" i="2" s="1"/>
  <c r="P55" i="1"/>
  <c r="P115" i="1"/>
  <c r="P119" i="1" s="1"/>
  <c r="F120" i="1" s="1"/>
  <c r="O115" i="1"/>
  <c r="O119" i="1" s="1"/>
  <c r="E20" i="2" l="1"/>
  <c r="F20" i="2" s="1"/>
  <c r="B21" i="2" s="1"/>
  <c r="D21" i="2" s="1"/>
  <c r="E21" i="2" s="1"/>
  <c r="F21" i="2" s="1"/>
  <c r="B22" i="2" s="1"/>
  <c r="D22" i="2" l="1"/>
  <c r="E22" i="2" s="1"/>
  <c r="F22" i="2" s="1"/>
  <c r="B23" i="2" s="1"/>
  <c r="D23" i="2" l="1"/>
  <c r="E23" i="2" s="1"/>
  <c r="F23" i="2" s="1"/>
  <c r="B24" i="2" s="1"/>
  <c r="D24" i="2" l="1"/>
  <c r="E24" i="2" s="1"/>
  <c r="F24" i="2" s="1"/>
  <c r="B25" i="2" s="1"/>
  <c r="D25" i="2" l="1"/>
  <c r="E25" i="2" s="1"/>
  <c r="F25" i="2" s="1"/>
  <c r="B26" i="2" s="1"/>
  <c r="D26" i="2" l="1"/>
  <c r="E26" i="2" s="1"/>
  <c r="F26" i="2" s="1"/>
  <c r="B27" i="2" s="1"/>
  <c r="D27" i="2" l="1"/>
  <c r="E27" i="2" s="1"/>
  <c r="F27" i="2" s="1"/>
  <c r="B28" i="2" s="1"/>
  <c r="D28" i="2" l="1"/>
  <c r="E28" i="2" s="1"/>
  <c r="F28" i="2" s="1"/>
  <c r="B29" i="2" s="1"/>
  <c r="D29" i="2" l="1"/>
  <c r="E29" i="2" l="1"/>
  <c r="F29" i="2" s="1"/>
  <c r="B32" i="2" s="1"/>
  <c r="D32" i="2" s="1"/>
  <c r="D30" i="2"/>
  <c r="H49" i="1" s="1"/>
  <c r="H53" i="1" s="1"/>
  <c r="H54" i="1" l="1"/>
  <c r="H76" i="1" s="1"/>
  <c r="E32" i="2"/>
  <c r="F32" i="2" s="1"/>
  <c r="B33" i="2" s="1"/>
  <c r="H55" i="1" l="1"/>
  <c r="H83" i="1" s="1"/>
  <c r="D33" i="2"/>
  <c r="H85" i="1" l="1"/>
  <c r="H87" i="1" s="1"/>
  <c r="E33" i="2"/>
  <c r="F33" i="2" s="1"/>
  <c r="B34" i="2" s="1"/>
  <c r="D34" i="2" s="1"/>
  <c r="E34" i="2" s="1"/>
  <c r="F34" i="2" s="1"/>
  <c r="B35" i="2" s="1"/>
  <c r="D35" i="2" l="1"/>
  <c r="E35" i="2" s="1"/>
  <c r="F35" i="2" s="1"/>
  <c r="B36" i="2" s="1"/>
  <c r="D36" i="2" l="1"/>
  <c r="E36" i="2" s="1"/>
  <c r="F36" i="2" s="1"/>
  <c r="B37" i="2" s="1"/>
  <c r="D37" i="2" l="1"/>
  <c r="E37" i="2" s="1"/>
  <c r="F37" i="2" s="1"/>
  <c r="B38" i="2" s="1"/>
  <c r="D38" i="2" l="1"/>
  <c r="E38" i="2" s="1"/>
  <c r="F38" i="2" s="1"/>
  <c r="B39" i="2" s="1"/>
  <c r="D39" i="2" l="1"/>
  <c r="E39" i="2" s="1"/>
  <c r="F39" i="2" s="1"/>
  <c r="B40" i="2" s="1"/>
  <c r="D40" i="2" l="1"/>
  <c r="E40" i="2" s="1"/>
  <c r="F40" i="2" s="1"/>
  <c r="B41" i="2" s="1"/>
  <c r="D41" i="2" l="1"/>
  <c r="E41" i="2" s="1"/>
  <c r="F41" i="2" s="1"/>
  <c r="B42" i="2" s="1"/>
  <c r="D42" i="2" l="1"/>
  <c r="E42" i="2" s="1"/>
  <c r="F42" i="2" s="1"/>
  <c r="B43" i="2" s="1"/>
  <c r="D43" i="2" l="1"/>
  <c r="E43" i="2" l="1"/>
  <c r="F43" i="2" s="1"/>
  <c r="B46" i="2" s="1"/>
  <c r="D46" i="2" s="1"/>
  <c r="D44" i="2"/>
  <c r="I49" i="1" s="1"/>
  <c r="I53" i="1" s="1"/>
  <c r="I54" i="1" l="1"/>
  <c r="I76" i="1" s="1"/>
  <c r="E46" i="2"/>
  <c r="F46" i="2" s="1"/>
  <c r="B47" i="2" s="1"/>
  <c r="I55" i="1" l="1"/>
  <c r="I83" i="1" s="1"/>
  <c r="D47" i="2"/>
  <c r="I85" i="1" l="1"/>
  <c r="I87" i="1" s="1"/>
  <c r="E47" i="2"/>
  <c r="F47" i="2" s="1"/>
  <c r="B48" i="2" s="1"/>
  <c r="D48" i="2" s="1"/>
  <c r="E48" i="2" s="1"/>
  <c r="F48" i="2" s="1"/>
  <c r="B49" i="2" s="1"/>
  <c r="D49" i="2" l="1"/>
  <c r="E49" i="2" l="1"/>
  <c r="F49" i="2" s="1"/>
  <c r="B50" i="2" s="1"/>
  <c r="D50" i="2" s="1"/>
  <c r="E50" i="2" s="1"/>
  <c r="F50" i="2" s="1"/>
  <c r="B51" i="2" s="1"/>
  <c r="D51" i="2" l="1"/>
  <c r="E51" i="2" s="1"/>
  <c r="F51" i="2" s="1"/>
  <c r="B52" i="2" s="1"/>
  <c r="D52" i="2" l="1"/>
  <c r="E52" i="2" s="1"/>
  <c r="F52" i="2" s="1"/>
  <c r="B53" i="2" s="1"/>
  <c r="D53" i="2" l="1"/>
  <c r="E53" i="2" s="1"/>
  <c r="F53" i="2" s="1"/>
  <c r="B54" i="2" s="1"/>
  <c r="D54" i="2" l="1"/>
  <c r="E54" i="2" s="1"/>
  <c r="F54" i="2" s="1"/>
  <c r="B55" i="2" s="1"/>
  <c r="D55" i="2" l="1"/>
  <c r="E55" i="2" s="1"/>
  <c r="F55" i="2" s="1"/>
  <c r="B56" i="2" s="1"/>
  <c r="D56" i="2" s="1"/>
  <c r="E56" i="2" s="1"/>
  <c r="F56" i="2" s="1"/>
  <c r="B57" i="2" s="1"/>
  <c r="D57" i="2" s="1"/>
  <c r="E57" i="2" l="1"/>
  <c r="F57" i="2" s="1"/>
  <c r="B60" i="2" s="1"/>
  <c r="D60" i="2" s="1"/>
  <c r="D58" i="2"/>
  <c r="J49" i="1" s="1"/>
  <c r="J53" i="1" s="1"/>
  <c r="J54" i="1" l="1"/>
  <c r="J76" i="1" s="1"/>
  <c r="E60" i="2"/>
  <c r="F60" i="2" s="1"/>
  <c r="B61" i="2" s="1"/>
  <c r="D61" i="2" s="1"/>
  <c r="E61" i="2" s="1"/>
  <c r="F61" i="2" s="1"/>
  <c r="B62" i="2" s="1"/>
  <c r="D62" i="2" s="1"/>
  <c r="E62" i="2" s="1"/>
  <c r="F62" i="2" s="1"/>
  <c r="B63" i="2" s="1"/>
  <c r="D63" i="2" s="1"/>
  <c r="E63" i="2" s="1"/>
  <c r="F63" i="2" s="1"/>
  <c r="B64" i="2" s="1"/>
  <c r="D64" i="2" s="1"/>
  <c r="J55" i="1" l="1"/>
  <c r="J83" i="1" s="1"/>
  <c r="E64" i="2"/>
  <c r="F64" i="2" s="1"/>
  <c r="B65" i="2" s="1"/>
  <c r="D65" i="2"/>
  <c r="E65" i="2" s="1"/>
  <c r="F65" i="2" s="1"/>
  <c r="B66" i="2" s="1"/>
  <c r="D66" i="2" s="1"/>
  <c r="E66" i="2" s="1"/>
  <c r="F66" i="2" s="1"/>
  <c r="B67" i="2" s="1"/>
  <c r="J85" i="1" l="1"/>
  <c r="J87" i="1" s="1"/>
  <c r="D67" i="2"/>
  <c r="E67" i="2" l="1"/>
  <c r="F67" i="2" s="1"/>
  <c r="B68" i="2" s="1"/>
  <c r="D68" i="2" s="1"/>
  <c r="E68" i="2" l="1"/>
  <c r="F68" i="2" s="1"/>
  <c r="B69" i="2" s="1"/>
  <c r="D69" i="2" s="1"/>
  <c r="E69" i="2" s="1"/>
  <c r="F69" i="2" s="1"/>
  <c r="B70" i="2" s="1"/>
  <c r="D70" i="2" s="1"/>
  <c r="E70" i="2" s="1"/>
  <c r="F70" i="2" s="1"/>
  <c r="B71" i="2" s="1"/>
  <c r="D71" i="2" s="1"/>
  <c r="E71" i="2" s="1"/>
  <c r="F71" i="2" s="1"/>
  <c r="B74" i="2" s="1"/>
  <c r="D74" i="2" s="1"/>
  <c r="D72" i="2"/>
  <c r="K49" i="1" s="1"/>
  <c r="K53" i="1" s="1"/>
  <c r="K54" i="1" l="1"/>
  <c r="K76" i="1" s="1"/>
  <c r="E74" i="2"/>
  <c r="F74" i="2" s="1"/>
  <c r="B75" i="2" s="1"/>
  <c r="D75" i="2" s="1"/>
  <c r="E75" i="2" s="1"/>
  <c r="F75" i="2" s="1"/>
  <c r="B76" i="2" s="1"/>
  <c r="D76" i="2" s="1"/>
  <c r="E76" i="2" s="1"/>
  <c r="F76" i="2" s="1"/>
  <c r="B77" i="2" s="1"/>
  <c r="D77" i="2" s="1"/>
  <c r="E77" i="2" s="1"/>
  <c r="F77" i="2" s="1"/>
  <c r="B78" i="2" s="1"/>
  <c r="D78" i="2" s="1"/>
  <c r="E78" i="2" s="1"/>
  <c r="F78" i="2" s="1"/>
  <c r="B79" i="2" s="1"/>
  <c r="D79" i="2" s="1"/>
  <c r="E79" i="2" s="1"/>
  <c r="F79" i="2" s="1"/>
  <c r="B80" i="2" s="1"/>
  <c r="D80" i="2" s="1"/>
  <c r="E80" i="2" s="1"/>
  <c r="F80" i="2" s="1"/>
  <c r="B81" i="2" s="1"/>
  <c r="D81" i="2" s="1"/>
  <c r="E81" i="2" s="1"/>
  <c r="F81" i="2" s="1"/>
  <c r="B82" i="2" s="1"/>
  <c r="D82" i="2" s="1"/>
  <c r="E82" i="2" s="1"/>
  <c r="F82" i="2" s="1"/>
  <c r="B83" i="2" s="1"/>
  <c r="D83" i="2" s="1"/>
  <c r="E83" i="2" s="1"/>
  <c r="F83" i="2" s="1"/>
  <c r="B84" i="2" s="1"/>
  <c r="D84" i="2" s="1"/>
  <c r="E84" i="2" s="1"/>
  <c r="F84" i="2" s="1"/>
  <c r="B85" i="2" s="1"/>
  <c r="D85" i="2" s="1"/>
  <c r="E85" i="2" s="1"/>
  <c r="F85" i="2" s="1"/>
  <c r="B88" i="2" s="1"/>
  <c r="D88" i="2" s="1"/>
  <c r="D86" i="2"/>
  <c r="L49" i="1" s="1"/>
  <c r="L53" i="1" s="1"/>
  <c r="K55" i="1" l="1"/>
  <c r="K83" i="1" s="1"/>
  <c r="L54" i="1"/>
  <c r="L76" i="1" s="1"/>
  <c r="E88" i="2"/>
  <c r="F88" i="2" s="1"/>
  <c r="B89" i="2" s="1"/>
  <c r="D89" i="2" s="1"/>
  <c r="E89" i="2" s="1"/>
  <c r="F89" i="2" s="1"/>
  <c r="B90" i="2" s="1"/>
  <c r="D90" i="2" s="1"/>
  <c r="E90" i="2" s="1"/>
  <c r="F90" i="2" s="1"/>
  <c r="B91" i="2" s="1"/>
  <c r="D91" i="2" s="1"/>
  <c r="E91" i="2" s="1"/>
  <c r="F91" i="2" s="1"/>
  <c r="B92" i="2" s="1"/>
  <c r="D92" i="2" s="1"/>
  <c r="E92" i="2" s="1"/>
  <c r="F92" i="2" s="1"/>
  <c r="B93" i="2" s="1"/>
  <c r="D93" i="2" s="1"/>
  <c r="E93" i="2" s="1"/>
  <c r="F93" i="2" s="1"/>
  <c r="B94" i="2" s="1"/>
  <c r="D94" i="2" s="1"/>
  <c r="E94" i="2" s="1"/>
  <c r="F94" i="2" s="1"/>
  <c r="B95" i="2" s="1"/>
  <c r="D95" i="2" s="1"/>
  <c r="E95" i="2" s="1"/>
  <c r="F95" i="2" s="1"/>
  <c r="B96" i="2" s="1"/>
  <c r="D96" i="2" s="1"/>
  <c r="E96" i="2" s="1"/>
  <c r="F96" i="2" s="1"/>
  <c r="B97" i="2" s="1"/>
  <c r="D97" i="2" s="1"/>
  <c r="E97" i="2" s="1"/>
  <c r="F97" i="2" s="1"/>
  <c r="B98" i="2" s="1"/>
  <c r="D98" i="2" s="1"/>
  <c r="E98" i="2" s="1"/>
  <c r="F98" i="2" s="1"/>
  <c r="B99" i="2" s="1"/>
  <c r="D99" i="2" s="1"/>
  <c r="E99" i="2" s="1"/>
  <c r="F99" i="2" s="1"/>
  <c r="B102" i="2" s="1"/>
  <c r="D102" i="2" s="1"/>
  <c r="D100" i="2"/>
  <c r="M49" i="1" s="1"/>
  <c r="M53" i="1" s="1"/>
  <c r="K85" i="1" l="1"/>
  <c r="K87" i="1" s="1"/>
  <c r="L55" i="1"/>
  <c r="L83" i="1" s="1"/>
  <c r="L85" i="1" s="1"/>
  <c r="L87" i="1" s="1"/>
  <c r="E102" i="2"/>
  <c r="F102" i="2" s="1"/>
  <c r="B103" i="2" s="1"/>
  <c r="M54" i="1"/>
  <c r="M76" i="1" s="1"/>
  <c r="D103" i="2"/>
  <c r="E103" i="2" s="1"/>
  <c r="F103" i="2" s="1"/>
  <c r="B104" i="2" s="1"/>
  <c r="D104" i="2" s="1"/>
  <c r="E104" i="2" s="1"/>
  <c r="F104" i="2" s="1"/>
  <c r="B105" i="2" s="1"/>
  <c r="D105" i="2" s="1"/>
  <c r="E105" i="2" s="1"/>
  <c r="F105" i="2" s="1"/>
  <c r="B106" i="2" s="1"/>
  <c r="M55" i="1" l="1"/>
  <c r="M83" i="1" s="1"/>
  <c r="D106" i="2"/>
  <c r="E106" i="2" s="1"/>
  <c r="F106" i="2" s="1"/>
  <c r="B107" i="2" s="1"/>
  <c r="M85" i="1" l="1"/>
  <c r="M87" i="1" s="1"/>
  <c r="D107" i="2"/>
  <c r="E107" i="2" s="1"/>
  <c r="F107" i="2" s="1"/>
  <c r="B108" i="2" s="1"/>
  <c r="D108" i="2" s="1"/>
  <c r="E108" i="2" s="1"/>
  <c r="F108" i="2" s="1"/>
  <c r="B109" i="2" s="1"/>
  <c r="D109" i="2" s="1"/>
  <c r="E109" i="2" s="1"/>
  <c r="F109" i="2" s="1"/>
  <c r="B110" i="2" s="1"/>
  <c r="D110" i="2" l="1"/>
  <c r="E110" i="2" l="1"/>
  <c r="F110" i="2" s="1"/>
  <c r="B111" i="2" s="1"/>
  <c r="D111" i="2" s="1"/>
  <c r="E111" i="2" s="1"/>
  <c r="F111" i="2" s="1"/>
  <c r="B112" i="2" s="1"/>
  <c r="D112" i="2" s="1"/>
  <c r="E112" i="2" s="1"/>
  <c r="F112" i="2" s="1"/>
  <c r="B113" i="2" s="1"/>
  <c r="D113" i="2" s="1"/>
  <c r="E113" i="2" s="1"/>
  <c r="F113" i="2" s="1"/>
  <c r="B116" i="2" s="1"/>
  <c r="D116" i="2" s="1"/>
  <c r="E116" i="2" s="1"/>
  <c r="F116" i="2" s="1"/>
  <c r="B117" i="2" s="1"/>
  <c r="D117" i="2" s="1"/>
  <c r="E117" i="2" s="1"/>
  <c r="F117" i="2" s="1"/>
  <c r="B118" i="2" s="1"/>
  <c r="D118" i="2" s="1"/>
  <c r="E118" i="2" s="1"/>
  <c r="F118" i="2" s="1"/>
  <c r="B119" i="2" s="1"/>
  <c r="D119" i="2" s="1"/>
  <c r="E119" i="2" s="1"/>
  <c r="F119" i="2" s="1"/>
  <c r="B120" i="2" s="1"/>
  <c r="D120" i="2" s="1"/>
  <c r="E120" i="2" s="1"/>
  <c r="F120" i="2" s="1"/>
  <c r="B121" i="2" s="1"/>
  <c r="D121" i="2" s="1"/>
  <c r="E121" i="2" s="1"/>
  <c r="F121" i="2" s="1"/>
  <c r="B122" i="2" s="1"/>
  <c r="D122" i="2" s="1"/>
  <c r="E122" i="2" s="1"/>
  <c r="F122" i="2" s="1"/>
  <c r="B123" i="2" s="1"/>
  <c r="D123" i="2" s="1"/>
  <c r="E123" i="2" s="1"/>
  <c r="F123" i="2" s="1"/>
  <c r="B124" i="2" s="1"/>
  <c r="D124" i="2" s="1"/>
  <c r="E124" i="2" s="1"/>
  <c r="F124" i="2" s="1"/>
  <c r="B125" i="2" s="1"/>
  <c r="D125" i="2" s="1"/>
  <c r="E125" i="2" s="1"/>
  <c r="F125" i="2" s="1"/>
  <c r="B126" i="2" s="1"/>
  <c r="D126" i="2" s="1"/>
  <c r="E126" i="2" s="1"/>
  <c r="F126" i="2" s="1"/>
  <c r="B127" i="2" s="1"/>
  <c r="D127" i="2" s="1"/>
  <c r="E127" i="2" s="1"/>
  <c r="F127" i="2" s="1"/>
  <c r="B130" i="2" s="1"/>
  <c r="D130" i="2" s="1"/>
  <c r="E130" i="2" l="1"/>
  <c r="F130" i="2" s="1"/>
  <c r="B131" i="2" s="1"/>
  <c r="D131" i="2" s="1"/>
  <c r="E131" i="2" s="1"/>
  <c r="F131" i="2" s="1"/>
  <c r="B132" i="2" s="1"/>
  <c r="D132" i="2" s="1"/>
  <c r="E132" i="2" s="1"/>
  <c r="F132" i="2" s="1"/>
  <c r="B133" i="2" s="1"/>
  <c r="D133" i="2" s="1"/>
  <c r="E133" i="2" s="1"/>
  <c r="F133" i="2" s="1"/>
  <c r="B134" i="2" s="1"/>
  <c r="O53" i="1"/>
  <c r="D114" i="2"/>
  <c r="N49" i="1" s="1"/>
  <c r="N53" i="1" s="1"/>
  <c r="N54" i="1" l="1"/>
  <c r="N76" i="1" s="1"/>
  <c r="O54" i="1"/>
  <c r="O76" i="1" s="1"/>
  <c r="F134" i="2"/>
  <c r="B135" i="2" s="1"/>
  <c r="D135" i="2" s="1"/>
  <c r="E135" i="2" s="1"/>
  <c r="F135" i="2" s="1"/>
  <c r="B136" i="2" s="1"/>
  <c r="D136" i="2" s="1"/>
  <c r="E136" i="2" s="1"/>
  <c r="F136" i="2" s="1"/>
  <c r="B137" i="2" s="1"/>
  <c r="D137" i="2" s="1"/>
  <c r="E137" i="2" s="1"/>
  <c r="F137" i="2" s="1"/>
  <c r="B138" i="2" s="1"/>
  <c r="D138" i="2" s="1"/>
  <c r="E138" i="2" s="1"/>
  <c r="F138" i="2" s="1"/>
  <c r="B139" i="2" s="1"/>
  <c r="D139" i="2" s="1"/>
  <c r="E139" i="2" s="1"/>
  <c r="F139" i="2" s="1"/>
  <c r="B140" i="2" s="1"/>
  <c r="D140" i="2" s="1"/>
  <c r="E140" i="2" s="1"/>
  <c r="F140" i="2" s="1"/>
  <c r="B141" i="2" s="1"/>
  <c r="D134" i="2"/>
  <c r="E134" i="2" s="1"/>
  <c r="O55" i="1" l="1"/>
  <c r="N55" i="1"/>
  <c r="N83" i="1" s="1"/>
  <c r="D141" i="2"/>
  <c r="E141" i="2" s="1"/>
  <c r="F141" i="2" s="1"/>
  <c r="N85" i="1" l="1"/>
  <c r="N87" i="1" s="1"/>
  <c r="O83" i="1"/>
  <c r="P83" i="1" l="1"/>
  <c r="O85" i="1"/>
  <c r="O87" i="1" s="1"/>
  <c r="S94" i="1" l="1"/>
  <c r="S95" i="1" s="1"/>
  <c r="T92" i="1" s="1"/>
  <c r="W92" i="1" s="1"/>
  <c r="P85" i="1"/>
  <c r="P87" i="1" s="1"/>
  <c r="T90" i="1" l="1"/>
  <c r="W90" i="1" s="1"/>
  <c r="T91" i="1"/>
  <c r="W91" i="1" s="1"/>
  <c r="T93" i="1"/>
  <c r="T87" i="1" l="1"/>
  <c r="T95" i="1"/>
  <c r="U93" i="1" l="1"/>
  <c r="V93" i="1" s="1"/>
  <c r="W93" i="1" s="1"/>
  <c r="W95" i="1" s="1"/>
  <c r="F122" i="1" s="1"/>
  <c r="F123" i="1" s="1"/>
</calcChain>
</file>

<file path=xl/sharedStrings.xml><?xml version="1.0" encoding="utf-8"?>
<sst xmlns="http://schemas.openxmlformats.org/spreadsheetml/2006/main" count="457" uniqueCount="172">
  <si>
    <t>Actual 2013</t>
  </si>
  <si>
    <t>Forecast 2014</t>
  </si>
  <si>
    <t>Forecast 2015</t>
  </si>
  <si>
    <t>Forecast 2016</t>
  </si>
  <si>
    <t>Outside Assumptions</t>
  </si>
  <si>
    <t>Accounts Receivable Days (Credit Card Delay)</t>
  </si>
  <si>
    <t>Accounts Payable Days (COGS)</t>
  </si>
  <si>
    <t>Inventory Days</t>
  </si>
  <si>
    <t>Sales Revenue as a % of Gross Profit</t>
  </si>
  <si>
    <t>Markup of Sales (Sales Rev/COGS)</t>
  </si>
  <si>
    <t>Extra Bank Loan Interest Rate</t>
  </si>
  <si>
    <t>Income Tax Rate</t>
  </si>
  <si>
    <t>Maximum Loan percent of Assets</t>
  </si>
  <si>
    <t>Income Statement</t>
  </si>
  <si>
    <t>Sales Revenue</t>
  </si>
  <si>
    <t>Cost of Goods Sold</t>
  </si>
  <si>
    <t>Gross Profit</t>
  </si>
  <si>
    <t>Operating Expenses</t>
  </si>
  <si>
    <t>Advertising</t>
  </si>
  <si>
    <t>Labor</t>
  </si>
  <si>
    <t>Utilities</t>
  </si>
  <si>
    <t>Repairs and Maintenance</t>
  </si>
  <si>
    <t>Vehicles Expenses</t>
  </si>
  <si>
    <t>Insurance</t>
  </si>
  <si>
    <t>Total</t>
  </si>
  <si>
    <t>Operating Profit</t>
  </si>
  <si>
    <t>Extra Bank Loan Interest Expense</t>
  </si>
  <si>
    <t>Taxable Income</t>
  </si>
  <si>
    <t>Income Tax Expense</t>
  </si>
  <si>
    <t>Net Income</t>
  </si>
  <si>
    <t>Balance Sheet</t>
  </si>
  <si>
    <t>Assets</t>
  </si>
  <si>
    <t>Minimum Cash Balance</t>
  </si>
  <si>
    <t xml:space="preserve">Extra Cash </t>
  </si>
  <si>
    <t>Accounts Receivable</t>
  </si>
  <si>
    <t>Inventory</t>
  </si>
  <si>
    <t>Less: Accumulated Depreciation</t>
  </si>
  <si>
    <t>Total Assets</t>
  </si>
  <si>
    <t>Liabilities and Equity</t>
  </si>
  <si>
    <t>Accounts Payable</t>
  </si>
  <si>
    <t>Taxes Payable</t>
  </si>
  <si>
    <t>Extra Bank Loan</t>
  </si>
  <si>
    <t>Retained Earnings</t>
  </si>
  <si>
    <t>Total Liabilities and Equity</t>
  </si>
  <si>
    <t>DFN</t>
  </si>
  <si>
    <t>FREE CASH FLOWS</t>
  </si>
  <si>
    <t>Less: Depreciation</t>
  </si>
  <si>
    <t>Taxable Operating Profit</t>
  </si>
  <si>
    <t>Taxes on Operations (=Taxes Payable)</t>
  </si>
  <si>
    <t>Net Cash from Operations</t>
  </si>
  <si>
    <t>Cash in/out from Changes in Balance Sheet</t>
  </si>
  <si>
    <t>Adjustment for Resale</t>
  </si>
  <si>
    <t>Taxes on Resale</t>
  </si>
  <si>
    <t>Taxes Payable (=Taxes on Operations)</t>
  </si>
  <si>
    <t>TOTAL FREE CASH FLOWS</t>
  </si>
  <si>
    <t>IRR</t>
  </si>
  <si>
    <t>WACC COMPUTED FROM FORECAST</t>
  </si>
  <si>
    <t>NPV USING COMPUTED WACC</t>
  </si>
  <si>
    <t>Mortgage Amortization Schedule</t>
  </si>
  <si>
    <t>Mortgage Terms</t>
  </si>
  <si>
    <t>Prin Balance</t>
  </si>
  <si>
    <t>Payment</t>
  </si>
  <si>
    <t>Interest Pd</t>
  </si>
  <si>
    <t>Principle Pd</t>
  </si>
  <si>
    <t>Remaining Bal</t>
  </si>
  <si>
    <t>Years</t>
  </si>
  <si>
    <t>Rate</t>
  </si>
  <si>
    <t>Starting Prin</t>
  </si>
  <si>
    <t>Months</t>
  </si>
  <si>
    <t>Monthly Rate</t>
  </si>
  <si>
    <t>Growth of Gross Profit</t>
  </si>
  <si>
    <t>FORECAST FOR NEW BUYER</t>
  </si>
  <si>
    <t>ACTUAL RESULTS</t>
  </si>
  <si>
    <t>(-)</t>
  </si>
  <si>
    <t>(+)</t>
  </si>
  <si>
    <t xml:space="preserve">Book </t>
  </si>
  <si>
    <t>Sale at</t>
  </si>
  <si>
    <t>Gain</t>
  </si>
  <si>
    <t>Average</t>
  </si>
  <si>
    <t>Proportion</t>
  </si>
  <si>
    <t>After tax</t>
  </si>
  <si>
    <t>Weighted</t>
  </si>
  <si>
    <t>CAPM</t>
  </si>
  <si>
    <t>Relevered</t>
  </si>
  <si>
    <t>Unlevered</t>
  </si>
  <si>
    <t>T-Bills</t>
  </si>
  <si>
    <t>S&amp;P 500</t>
  </si>
  <si>
    <t>New Debt %</t>
  </si>
  <si>
    <t>New Equity %</t>
  </si>
  <si>
    <t>WACC</t>
  </si>
  <si>
    <t>Total Proposed Purchase Price</t>
  </si>
  <si>
    <t>T-Bills rate</t>
  </si>
  <si>
    <t>S&amp;P 500 rate</t>
  </si>
  <si>
    <t>Unlevered Hotel/Gaming Beta (NYU table)</t>
  </si>
  <si>
    <t>Equipment</t>
  </si>
  <si>
    <t>Average Depreciation Rate</t>
  </si>
  <si>
    <t>Service Revenue</t>
  </si>
  <si>
    <t>General Admin (Dues, Legal, Lic, Salary)</t>
  </si>
  <si>
    <t>Forecast 2017</t>
  </si>
  <si>
    <t>Forecast 2018</t>
  </si>
  <si>
    <t>Forecast 2019</t>
  </si>
  <si>
    <t>Forecast 2020</t>
  </si>
  <si>
    <t>Forecast 2021</t>
  </si>
  <si>
    <t>Forecast 2022</t>
  </si>
  <si>
    <t>Forecast 2023</t>
  </si>
  <si>
    <t>Long Term Loan</t>
  </si>
  <si>
    <t>Long Term Debt Interest Expense</t>
  </si>
  <si>
    <t>Long Term Debt Interest Rate</t>
  </si>
  <si>
    <t>Investment by Owner</t>
  </si>
  <si>
    <t>Service calls per month</t>
  </si>
  <si>
    <t>Charge per service</t>
  </si>
  <si>
    <t>Mortgage Interest Expense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</si>
  <si>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</si>
  <si>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</si>
  <si>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</si>
  <si>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</si>
  <si>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</si>
  <si>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</si>
  <si>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</si>
  <si>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</si>
  <si>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10</t>
  </si>
  <si>
    <t>Year 9</t>
  </si>
  <si>
    <t>Mortgage</t>
  </si>
  <si>
    <t>Building</t>
  </si>
  <si>
    <t>Land</t>
  </si>
  <si>
    <t>Depreciation Expense :Building</t>
  </si>
  <si>
    <t>Depreciation Expense: Equipment</t>
  </si>
  <si>
    <t>Buildings</t>
  </si>
  <si>
    <t>Extra Bank</t>
  </si>
  <si>
    <t>Stock</t>
  </si>
  <si>
    <t>Retained</t>
  </si>
  <si>
    <t>PINCH-A-PENNY POOL SUPPLIES</t>
  </si>
  <si>
    <t>Price Per Square foot for Building</t>
  </si>
  <si>
    <t>Building Square feet</t>
  </si>
  <si>
    <t>Secured</t>
  </si>
  <si>
    <t>Unsecured</t>
  </si>
  <si>
    <t>Extra</t>
  </si>
  <si>
    <t>Admin</t>
  </si>
  <si>
    <t>Secured Sales</t>
  </si>
  <si>
    <t>Remaining</t>
  </si>
  <si>
    <t>prop</t>
  </si>
  <si>
    <t>Unsecured Sale</t>
  </si>
  <si>
    <t>On the Dollar</t>
  </si>
  <si>
    <t>Long term debt</t>
  </si>
  <si>
    <t>Sub Total</t>
  </si>
  <si>
    <t>Return on Debt Holders</t>
  </si>
  <si>
    <t>Bankruptcy Probability</t>
  </si>
  <si>
    <t>Mortgage Loan Cash Flows</t>
  </si>
  <si>
    <t>Principal</t>
  </si>
  <si>
    <t>Paid in Bankruptcy</t>
  </si>
  <si>
    <t>Interest Payments</t>
  </si>
  <si>
    <t>Total Free Cash Flows</t>
  </si>
  <si>
    <t>Prob</t>
  </si>
  <si>
    <t>Probability of Bankruptcy</t>
  </si>
  <si>
    <t>IRR if not in bankruptcy</t>
  </si>
  <si>
    <t>Expected IRR</t>
  </si>
  <si>
    <t>Extra Bank Loan Cash Flows</t>
  </si>
  <si>
    <t xml:space="preserve"> Assumed WACC</t>
  </si>
  <si>
    <t>New Building</t>
  </si>
  <si>
    <t>Second Location</t>
  </si>
  <si>
    <t>Third Location</t>
  </si>
  <si>
    <t>Strong Market FCF</t>
  </si>
  <si>
    <t>(Better than Existing, will expand)</t>
  </si>
  <si>
    <t>NPV ---&gt;</t>
  </si>
  <si>
    <t>(Increase in Gross pofit by 45% yearly)</t>
  </si>
  <si>
    <t>Existing Market Total FCF</t>
  </si>
  <si>
    <t>(=Existing FCF Projection)</t>
  </si>
  <si>
    <t>(Same as Before)</t>
  </si>
  <si>
    <t>Weak Market Total FCF</t>
  </si>
  <si>
    <t>(Worse Than Existing, goes bankrupt)</t>
  </si>
  <si>
    <t>(Decrease in Gross Profit by 25% yearly)</t>
  </si>
  <si>
    <t>Possible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</si>
</sst>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#,##0.00;[Red]\-[$$-409]#,##0.00"/>
    <numFmt numFmtId="165" formatCode="_(&quot;$&quot;* #,##0_);_(&quot;$&quot;* \(#,##0\);_(&quot;$&quot;* &quot;-&quot;??_);_(@_)"/>
    <numFmt numFmtId="166" formatCode="0.0%"/>
    <numFmt numFmtId="167" formatCode="[$$-409]#,##0;[Red]\-[$$-409]#,##0"/>
    <numFmt numFmtId="168" formatCode="_(* #,##0_);_(* \(#,##0\);_(* &quot;-&quot;??_);_(@_)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E266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ill="0" applyBorder="0" applyAlignment="0" applyProtection="0"/>
    <xf numFmtId="9" fontId="1" fillId="0" borderId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9">
    <xf numFmtId="0" fontId="0" fillId="0" borderId="0" xfId="0"/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0" fillId="0" borderId="0" xfId="0" applyNumberFormat="1"/>
    <xf numFmtId="10" fontId="0" fillId="0" borderId="0" xfId="0" applyNumberFormat="1"/>
    <xf numFmtId="0" fontId="0" fillId="0" borderId="1" xfId="0" applyBorder="1"/>
    <xf numFmtId="164" fontId="0" fillId="0" borderId="1" xfId="0" applyNumberFormat="1" applyBorder="1"/>
    <xf numFmtId="165" fontId="1" fillId="0" borderId="0" xfId="1" applyNumberFormat="1"/>
    <xf numFmtId="10" fontId="1" fillId="0" borderId="0" xfId="2" applyNumberFormat="1"/>
    <xf numFmtId="44" fontId="1" fillId="0" borderId="0" xfId="1" applyNumberFormat="1"/>
    <xf numFmtId="165" fontId="0" fillId="0" borderId="0" xfId="0" applyNumberFormat="1"/>
    <xf numFmtId="9" fontId="0" fillId="0" borderId="0" xfId="0" applyNumberFormat="1"/>
    <xf numFmtId="166" fontId="1" fillId="0" borderId="0" xfId="2" applyNumberFormat="1"/>
    <xf numFmtId="0" fontId="0" fillId="0" borderId="2" xfId="0" applyBorder="1"/>
    <xf numFmtId="43" fontId="1" fillId="0" borderId="3" xfId="3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0" fontId="0" fillId="0" borderId="0" xfId="0" applyNumberFormat="1" applyBorder="1"/>
    <xf numFmtId="0" fontId="0" fillId="0" borderId="0" xfId="0" applyBorder="1"/>
    <xf numFmtId="0" fontId="0" fillId="0" borderId="6" xfId="0" applyBorder="1"/>
    <xf numFmtId="43" fontId="0" fillId="0" borderId="0" xfId="3" applyFont="1" applyBorder="1"/>
    <xf numFmtId="10" fontId="1" fillId="0" borderId="0" xfId="2" applyNumberFormat="1" applyBorder="1"/>
    <xf numFmtId="165" fontId="1" fillId="0" borderId="5" xfId="1" applyNumberFormat="1" applyBorder="1"/>
    <xf numFmtId="165" fontId="1" fillId="0" borderId="7" xfId="1" applyNumberFormat="1" applyBorder="1"/>
    <xf numFmtId="10" fontId="1" fillId="0" borderId="1" xfId="2" applyNumberFormat="1" applyBorder="1"/>
    <xf numFmtId="10" fontId="2" fillId="0" borderId="1" xfId="2" applyNumberFormat="1" applyFont="1" applyBorder="1"/>
    <xf numFmtId="0" fontId="2" fillId="0" borderId="8" xfId="0" applyFont="1" applyBorder="1"/>
    <xf numFmtId="6" fontId="0" fillId="0" borderId="0" xfId="0" applyNumberFormat="1"/>
    <xf numFmtId="0" fontId="0" fillId="0" borderId="0" xfId="0" applyFont="1"/>
    <xf numFmtId="167" fontId="0" fillId="0" borderId="0" xfId="0" applyNumberFormat="1"/>
    <xf numFmtId="43" fontId="0" fillId="0" borderId="0" xfId="3" applyFont="1"/>
    <xf numFmtId="9" fontId="1" fillId="0" borderId="0" xfId="2"/>
    <xf numFmtId="9" fontId="1" fillId="0" borderId="0" xfId="2" applyNumberFormat="1"/>
    <xf numFmtId="168" fontId="0" fillId="0" borderId="0" xfId="3" applyNumberFormat="1" applyFont="1"/>
    <xf numFmtId="168" fontId="0" fillId="0" borderId="0" xfId="0" applyNumberFormat="1"/>
    <xf numFmtId="166" fontId="0" fillId="0" borderId="0" xfId="0" applyNumberFormat="1"/>
    <xf numFmtId="168" fontId="1" fillId="0" borderId="0" xfId="3" applyNumberFormat="1" applyFont="1"/>
    <xf numFmtId="44" fontId="2" fillId="0" borderId="0" xfId="1" applyNumberFormat="1" applyFont="1"/>
    <xf numFmtId="168" fontId="1" fillId="0" borderId="0" xfId="4" applyNumberFormat="1" applyFont="1"/>
    <xf numFmtId="168" fontId="0" fillId="0" borderId="0" xfId="4" applyNumberFormat="1" applyFont="1"/>
    <xf numFmtId="43" fontId="0" fillId="0" borderId="0" xfId="4" applyFont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9" fontId="0" fillId="2" borderId="12" xfId="0" applyNumberFormat="1" applyFill="1" applyBorder="1"/>
    <xf numFmtId="0" fontId="0" fillId="2" borderId="0" xfId="0" applyFill="1" applyBorder="1"/>
    <xf numFmtId="165" fontId="0" fillId="2" borderId="0" xfId="0" applyNumberFormat="1" applyFill="1" applyBorder="1"/>
    <xf numFmtId="0" fontId="0" fillId="2" borderId="13" xfId="0" applyFill="1" applyBorder="1"/>
    <xf numFmtId="0" fontId="0" fillId="2" borderId="12" xfId="0" applyFill="1" applyBorder="1"/>
    <xf numFmtId="44" fontId="0" fillId="2" borderId="0" xfId="0" applyNumberFormat="1" applyFill="1" applyBorder="1"/>
    <xf numFmtId="168" fontId="0" fillId="2" borderId="0" xfId="4" applyNumberFormat="1" applyFont="1" applyFill="1" applyBorder="1"/>
    <xf numFmtId="168" fontId="0" fillId="2" borderId="0" xfId="0" applyNumberFormat="1" applyFill="1" applyBorder="1"/>
    <xf numFmtId="10" fontId="0" fillId="2" borderId="0" xfId="0" applyNumberFormat="1" applyFill="1" applyBorder="1"/>
    <xf numFmtId="43" fontId="0" fillId="2" borderId="0" xfId="4" applyFont="1" applyFill="1" applyBorder="1"/>
    <xf numFmtId="165" fontId="1" fillId="2" borderId="0" xfId="1" applyNumberFormat="1" applyFill="1" applyBorder="1"/>
    <xf numFmtId="10" fontId="1" fillId="2" borderId="0" xfId="2" applyNumberFormat="1" applyFill="1" applyBorder="1"/>
    <xf numFmtId="43" fontId="0" fillId="2" borderId="0" xfId="0" applyNumberFormat="1" applyFill="1" applyBorder="1"/>
    <xf numFmtId="44" fontId="1" fillId="2" borderId="13" xfId="1" applyFill="1" applyBorder="1"/>
    <xf numFmtId="0" fontId="0" fillId="2" borderId="14" xfId="0" applyFill="1" applyBorder="1"/>
    <xf numFmtId="0" fontId="0" fillId="2" borderId="15" xfId="0" applyFill="1" applyBorder="1"/>
    <xf numFmtId="168" fontId="0" fillId="2" borderId="15" xfId="0" applyNumberFormat="1" applyFill="1" applyBorder="1"/>
    <xf numFmtId="0" fontId="0" fillId="2" borderId="16" xfId="0" applyFill="1" applyBorder="1"/>
    <xf numFmtId="165" fontId="1" fillId="0" borderId="0" xfId="1" applyNumberFormat="1" applyBorder="1"/>
    <xf numFmtId="0" fontId="0" fillId="2" borderId="17" xfId="0" applyFill="1" applyBorder="1"/>
    <xf numFmtId="0" fontId="0" fillId="2" borderId="18" xfId="0" applyFill="1" applyBorder="1"/>
    <xf numFmtId="164" fontId="0" fillId="2" borderId="18" xfId="0" applyNumberFormat="1" applyFill="1" applyBorder="1"/>
    <xf numFmtId="9" fontId="0" fillId="2" borderId="19" xfId="0" applyNumberFormat="1" applyFill="1" applyBorder="1"/>
    <xf numFmtId="164" fontId="0" fillId="2" borderId="10" xfId="0" applyNumberFormat="1" applyFill="1" applyBorder="1"/>
    <xf numFmtId="165" fontId="0" fillId="2" borderId="10" xfId="0" applyNumberFormat="1" applyFill="1" applyBorder="1"/>
    <xf numFmtId="164" fontId="0" fillId="2" borderId="0" xfId="0" applyNumberFormat="1" applyFill="1" applyBorder="1"/>
    <xf numFmtId="10" fontId="2" fillId="0" borderId="0" xfId="2" applyNumberFormat="1" applyFont="1" applyBorder="1"/>
    <xf numFmtId="0" fontId="2" fillId="0" borderId="0" xfId="0" applyFont="1" applyBorder="1"/>
    <xf numFmtId="9" fontId="0" fillId="2" borderId="13" xfId="0" applyNumberFormat="1" applyFill="1" applyBorder="1"/>
    <xf numFmtId="164" fontId="0" fillId="2" borderId="15" xfId="0" applyNumberFormat="1" applyFill="1" applyBorder="1"/>
    <xf numFmtId="10" fontId="1" fillId="2" borderId="15" xfId="2" applyNumberFormat="1" applyFill="1" applyBorder="1"/>
    <xf numFmtId="165" fontId="0" fillId="2" borderId="15" xfId="0" applyNumberFormat="1" applyFill="1" applyBorder="1"/>
    <xf numFmtId="43" fontId="1" fillId="0" borderId="3" xfId="4" applyFont="1" applyBorder="1"/>
    <xf numFmtId="43" fontId="0" fillId="0" borderId="0" xfId="4" applyFont="1" applyBorder="1"/>
    <xf numFmtId="0" fontId="0" fillId="3" borderId="0" xfId="0" applyFill="1"/>
    <xf numFmtId="164" fontId="0" fillId="3" borderId="0" xfId="0" applyNumberFormat="1" applyFill="1"/>
    <xf numFmtId="0" fontId="0" fillId="4" borderId="0" xfId="0" applyFill="1"/>
    <xf numFmtId="164" fontId="2" fillId="3" borderId="0" xfId="0" applyNumberFormat="1" applyFont="1" applyFill="1" applyAlignment="1">
      <alignment horizontal="right"/>
    </xf>
    <xf numFmtId="0" fontId="2" fillId="3" borderId="0" xfId="0" applyFont="1" applyFill="1"/>
    <xf numFmtId="9" fontId="2" fillId="3" borderId="0" xfId="0" applyNumberFormat="1" applyFont="1" applyFill="1" applyAlignment="1">
      <alignment horizontal="left"/>
    </xf>
    <xf numFmtId="165" fontId="2" fillId="3" borderId="0" xfId="0" applyNumberFormat="1" applyFont="1" applyFill="1"/>
    <xf numFmtId="165" fontId="1" fillId="3" borderId="0" xfId="1" applyNumberFormat="1" applyFill="1"/>
    <xf numFmtId="165" fontId="0" fillId="3" borderId="0" xfId="1" applyNumberFormat="1" applyFont="1" applyFill="1"/>
    <xf numFmtId="9" fontId="0" fillId="4" borderId="0" xfId="0" applyNumberFormat="1" applyFill="1"/>
    <xf numFmtId="164" fontId="0" fillId="3" borderId="0" xfId="0" applyNumberFormat="1" applyFill="1" applyAlignment="1">
      <alignment horizontal="right"/>
    </xf>
    <xf numFmtId="165" fontId="0" fillId="3" borderId="0" xfId="0" applyNumberFormat="1" applyFill="1"/>
    <xf numFmtId="44" fontId="0" fillId="4" borderId="0" xfId="0" applyNumberFormat="1" applyFill="1"/>
    <xf numFmtId="8" fontId="0" fillId="3" borderId="0" xfId="0" applyNumberFormat="1" applyFill="1"/>
    <xf numFmtId="44" fontId="0" fillId="5" borderId="0" xfId="0" applyNumberFormat="1" applyFill="1"/>
    <xf numFmtId="8" fontId="0" fillId="0" borderId="0" xfId="0" applyNumberFormat="1"/>
    <xf numFmtId="44" fontId="0" fillId="0" borderId="0" xfId="0" applyNumberFormat="1"/>
    <xf numFmtId="9" fontId="1" fillId="0" borderId="0" xfId="1" applyNumberFormat="1"/>
    <xf numFmtId="0" fontId="4" fillId="0" borderId="0" xfId="0" applyFont="1"/>
  </cellXfs>
  <cellStyles count="5">
    <cellStyle name="Comma" xfId="3" builtinId="3"/>
    <cellStyle name="Comma 2" xfId="4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3"/>
  <sheetViews>
    <sheetView topLeftCell="I71" zoomScale="80" zoomScaleNormal="80" zoomScalePageLayoutView="80" workbookViewId="0">
      <selection activeCell="U83" sqref="U83"/>
    </sheetView>
  </sheetViews>
  <sheetFormatPr defaultColWidth="11.42578125" defaultRowHeight="12.75" x14ac:dyDescent="0.2"/>
  <cols>
    <col min="1" max="1" width="4" customWidth="1"/>
    <col min="2" max="2" width="35.28515625" customWidth="1"/>
    <col min="3" max="3" width="3.28515625" customWidth="1"/>
    <col min="4" max="4" width="20.42578125" style="1" customWidth="1"/>
    <col min="5" max="5" width="2.42578125" customWidth="1"/>
    <col min="6" max="6" width="14.28515625" customWidth="1"/>
    <col min="7" max="7" width="14.7109375" customWidth="1"/>
    <col min="8" max="16" width="14.85546875" customWidth="1"/>
    <col min="18" max="18" width="13.85546875" customWidth="1"/>
    <col min="19" max="19" width="14.85546875" customWidth="1"/>
    <col min="22" max="22" width="13.42578125" customWidth="1"/>
  </cols>
  <sheetData>
    <row r="1" spans="1:16" ht="15.75" x14ac:dyDescent="0.25">
      <c r="A1" s="98" t="s">
        <v>131</v>
      </c>
      <c r="D1" s="3" t="s">
        <v>72</v>
      </c>
      <c r="F1" s="2" t="s">
        <v>71</v>
      </c>
    </row>
    <row r="2" spans="1:16" x14ac:dyDescent="0.2">
      <c r="D2" s="3" t="s">
        <v>0</v>
      </c>
      <c r="E2" s="2"/>
      <c r="F2" s="2"/>
      <c r="G2" s="2" t="s">
        <v>1</v>
      </c>
      <c r="H2" s="2" t="s">
        <v>2</v>
      </c>
      <c r="I2" s="2" t="s">
        <v>3</v>
      </c>
      <c r="J2" s="2" t="s">
        <v>98</v>
      </c>
      <c r="K2" s="2" t="s">
        <v>99</v>
      </c>
      <c r="L2" s="2" t="s">
        <v>100</v>
      </c>
      <c r="M2" s="2" t="s">
        <v>101</v>
      </c>
      <c r="N2" s="2" t="s">
        <v>102</v>
      </c>
      <c r="O2" s="2" t="s">
        <v>103</v>
      </c>
      <c r="P2" s="2" t="s">
        <v>104</v>
      </c>
    </row>
    <row r="3" spans="1:16" x14ac:dyDescent="0.2">
      <c r="A3" s="2" t="s">
        <v>4</v>
      </c>
    </row>
    <row r="4" spans="1:16" x14ac:dyDescent="0.2">
      <c r="A4" s="30" t="s">
        <v>90</v>
      </c>
      <c r="D4" s="31">
        <v>299000</v>
      </c>
      <c r="G4" s="31">
        <v>299000</v>
      </c>
      <c r="H4" s="31">
        <v>299000</v>
      </c>
      <c r="I4" s="31">
        <v>299000</v>
      </c>
      <c r="J4" s="31">
        <v>299000</v>
      </c>
      <c r="K4" s="31">
        <v>299000</v>
      </c>
      <c r="L4" s="31">
        <v>299000</v>
      </c>
      <c r="M4" s="31">
        <v>299000</v>
      </c>
      <c r="N4" s="31">
        <v>299000</v>
      </c>
      <c r="O4" s="31">
        <v>299000</v>
      </c>
      <c r="P4" s="31">
        <v>299000</v>
      </c>
    </row>
    <row r="5" spans="1:16" x14ac:dyDescent="0.2">
      <c r="A5" t="s">
        <v>5</v>
      </c>
      <c r="D5" s="4">
        <v>7</v>
      </c>
      <c r="G5" s="4">
        <v>7</v>
      </c>
      <c r="H5">
        <f>G5</f>
        <v>7</v>
      </c>
      <c r="I5">
        <f t="shared" ref="I5:P5" si="0">H5</f>
        <v>7</v>
      </c>
      <c r="J5">
        <f t="shared" si="0"/>
        <v>7</v>
      </c>
      <c r="K5">
        <f t="shared" si="0"/>
        <v>7</v>
      </c>
      <c r="L5">
        <f t="shared" si="0"/>
        <v>7</v>
      </c>
      <c r="M5">
        <f t="shared" si="0"/>
        <v>7</v>
      </c>
      <c r="N5">
        <f t="shared" si="0"/>
        <v>7</v>
      </c>
      <c r="O5">
        <f t="shared" si="0"/>
        <v>7</v>
      </c>
      <c r="P5">
        <f t="shared" si="0"/>
        <v>7</v>
      </c>
    </row>
    <row r="6" spans="1:16" x14ac:dyDescent="0.2">
      <c r="A6" t="s">
        <v>6</v>
      </c>
      <c r="D6" s="4">
        <v>30</v>
      </c>
      <c r="G6" s="4">
        <v>30</v>
      </c>
      <c r="H6" s="4">
        <v>30</v>
      </c>
      <c r="I6" s="4">
        <v>30</v>
      </c>
      <c r="J6" s="4">
        <v>30</v>
      </c>
      <c r="K6" s="4">
        <v>30</v>
      </c>
      <c r="L6" s="4">
        <v>30</v>
      </c>
      <c r="M6" s="4">
        <v>30</v>
      </c>
      <c r="N6" s="4">
        <v>30</v>
      </c>
      <c r="O6" s="4">
        <v>30</v>
      </c>
      <c r="P6" s="4">
        <v>30</v>
      </c>
    </row>
    <row r="7" spans="1:16" x14ac:dyDescent="0.2">
      <c r="A7" t="s">
        <v>7</v>
      </c>
      <c r="D7" s="4">
        <v>90</v>
      </c>
      <c r="G7" s="4">
        <v>45</v>
      </c>
      <c r="H7" s="4">
        <v>45</v>
      </c>
      <c r="I7" s="4">
        <v>45</v>
      </c>
      <c r="J7" s="4">
        <v>45</v>
      </c>
      <c r="K7" s="4">
        <v>45</v>
      </c>
      <c r="L7" s="4">
        <v>45</v>
      </c>
      <c r="M7" s="4">
        <v>45</v>
      </c>
      <c r="N7" s="4">
        <v>45</v>
      </c>
      <c r="O7" s="4">
        <v>45</v>
      </c>
      <c r="P7" s="4">
        <v>45</v>
      </c>
    </row>
    <row r="8" spans="1:16" x14ac:dyDescent="0.2">
      <c r="A8" t="s">
        <v>8</v>
      </c>
      <c r="D8" s="34">
        <f>D25/D30</f>
        <v>1.1619047619047609</v>
      </c>
      <c r="G8" s="33">
        <f>D8</f>
        <v>1.1619047619047609</v>
      </c>
      <c r="H8" s="33">
        <f>G8</f>
        <v>1.1619047619047609</v>
      </c>
      <c r="I8" s="33">
        <f t="shared" ref="I8:P8" si="1">H8</f>
        <v>1.1619047619047609</v>
      </c>
      <c r="J8" s="33">
        <f t="shared" si="1"/>
        <v>1.1619047619047609</v>
      </c>
      <c r="K8" s="33">
        <f t="shared" si="1"/>
        <v>1.1619047619047609</v>
      </c>
      <c r="L8" s="33">
        <f t="shared" si="1"/>
        <v>1.1619047619047609</v>
      </c>
      <c r="M8" s="33">
        <f t="shared" si="1"/>
        <v>1.1619047619047609</v>
      </c>
      <c r="N8" s="33">
        <f t="shared" si="1"/>
        <v>1.1619047619047609</v>
      </c>
      <c r="O8" s="33">
        <f t="shared" si="1"/>
        <v>1.1619047619047609</v>
      </c>
      <c r="P8" s="33">
        <f t="shared" si="1"/>
        <v>1.1619047619047609</v>
      </c>
    </row>
    <row r="9" spans="1:16" x14ac:dyDescent="0.2">
      <c r="A9" t="s">
        <v>109</v>
      </c>
      <c r="D9" s="38">
        <v>100</v>
      </c>
      <c r="F9" s="12">
        <v>0.1</v>
      </c>
      <c r="G9" s="38">
        <f>D9*(1+F9)</f>
        <v>110.00000000000001</v>
      </c>
      <c r="H9" s="38">
        <f>G9*(1+$F$9)</f>
        <v>121.00000000000003</v>
      </c>
      <c r="I9" s="38">
        <f t="shared" ref="I9:P9" si="2">H9*(1+$F$9)</f>
        <v>133.10000000000005</v>
      </c>
      <c r="J9" s="38">
        <f t="shared" si="2"/>
        <v>146.41000000000008</v>
      </c>
      <c r="K9" s="38">
        <f t="shared" si="2"/>
        <v>161.0510000000001</v>
      </c>
      <c r="L9" s="38">
        <f t="shared" si="2"/>
        <v>177.15610000000012</v>
      </c>
      <c r="M9" s="38">
        <f t="shared" si="2"/>
        <v>194.87171000000015</v>
      </c>
      <c r="N9" s="38">
        <f t="shared" si="2"/>
        <v>214.3588810000002</v>
      </c>
      <c r="O9" s="38">
        <f t="shared" si="2"/>
        <v>235.79476910000022</v>
      </c>
      <c r="P9" s="38">
        <f t="shared" si="2"/>
        <v>259.37424601000026</v>
      </c>
    </row>
    <row r="10" spans="1:16" x14ac:dyDescent="0.2">
      <c r="A10" t="s">
        <v>110</v>
      </c>
      <c r="D10" s="8">
        <v>120</v>
      </c>
      <c r="G10" s="8">
        <v>120</v>
      </c>
      <c r="H10" s="8">
        <v>120</v>
      </c>
      <c r="I10" s="8">
        <v>120</v>
      </c>
      <c r="J10" s="8">
        <v>120</v>
      </c>
      <c r="K10" s="8">
        <v>120</v>
      </c>
      <c r="L10" s="8">
        <v>135</v>
      </c>
      <c r="M10" s="8">
        <v>135</v>
      </c>
      <c r="N10" s="8">
        <v>135</v>
      </c>
      <c r="O10" s="8">
        <v>135</v>
      </c>
      <c r="P10" s="8">
        <v>135</v>
      </c>
    </row>
    <row r="11" spans="1:16" x14ac:dyDescent="0.2">
      <c r="A11" t="s">
        <v>132</v>
      </c>
      <c r="D11" s="8"/>
      <c r="G11" s="8">
        <v>155</v>
      </c>
      <c r="H11" s="8">
        <v>155</v>
      </c>
      <c r="I11" s="8">
        <v>155</v>
      </c>
      <c r="J11" s="8">
        <v>155</v>
      </c>
      <c r="K11" s="8">
        <v>155</v>
      </c>
      <c r="L11" s="8">
        <v>155</v>
      </c>
      <c r="M11" s="8">
        <v>155</v>
      </c>
      <c r="N11" s="8">
        <v>155</v>
      </c>
      <c r="O11" s="8">
        <v>155</v>
      </c>
      <c r="P11" s="8">
        <v>155</v>
      </c>
    </row>
    <row r="12" spans="1:16" x14ac:dyDescent="0.2">
      <c r="A12" t="s">
        <v>133</v>
      </c>
      <c r="D12" s="8"/>
      <c r="G12" s="38">
        <v>3226</v>
      </c>
      <c r="H12" s="38">
        <v>3226</v>
      </c>
      <c r="I12" s="38">
        <v>3226</v>
      </c>
      <c r="J12" s="38">
        <v>3226</v>
      </c>
      <c r="K12" s="38">
        <v>3226</v>
      </c>
      <c r="L12" s="38">
        <v>3226</v>
      </c>
      <c r="M12" s="38">
        <v>3226</v>
      </c>
      <c r="N12" s="38">
        <v>3226</v>
      </c>
      <c r="O12" s="38">
        <v>3226</v>
      </c>
      <c r="P12" s="38">
        <v>3226</v>
      </c>
    </row>
    <row r="13" spans="1:16" x14ac:dyDescent="0.2">
      <c r="A13" t="s">
        <v>9</v>
      </c>
      <c r="D13" s="35">
        <v>2.9047619047619104</v>
      </c>
      <c r="G13" s="36">
        <f>D13</f>
        <v>2.9047619047619104</v>
      </c>
      <c r="H13" s="35">
        <f t="shared" ref="H13:H18" si="3">G13</f>
        <v>2.9047619047619104</v>
      </c>
      <c r="I13" s="35">
        <f t="shared" ref="I13:P16" si="4">H13</f>
        <v>2.9047619047619104</v>
      </c>
      <c r="J13" s="35">
        <f t="shared" si="4"/>
        <v>2.9047619047619104</v>
      </c>
      <c r="K13" s="35">
        <f t="shared" si="4"/>
        <v>2.9047619047619104</v>
      </c>
      <c r="L13" s="35">
        <f t="shared" si="4"/>
        <v>2.9047619047619104</v>
      </c>
      <c r="M13" s="35">
        <f t="shared" si="4"/>
        <v>2.9047619047619104</v>
      </c>
      <c r="N13" s="35">
        <f t="shared" si="4"/>
        <v>2.9047619047619104</v>
      </c>
      <c r="O13" s="35">
        <f t="shared" si="4"/>
        <v>2.9047619047619104</v>
      </c>
      <c r="P13" s="35">
        <f t="shared" si="4"/>
        <v>2.9047619047619104</v>
      </c>
    </row>
    <row r="14" spans="1:16" x14ac:dyDescent="0.2">
      <c r="A14" t="s">
        <v>107</v>
      </c>
      <c r="D14" s="9">
        <v>0.05</v>
      </c>
      <c r="G14" s="9">
        <v>0.05</v>
      </c>
      <c r="H14" s="9">
        <f t="shared" si="3"/>
        <v>0.05</v>
      </c>
      <c r="I14" s="9">
        <f t="shared" si="4"/>
        <v>0.05</v>
      </c>
      <c r="J14" s="9">
        <f t="shared" si="4"/>
        <v>0.05</v>
      </c>
      <c r="K14" s="9">
        <f t="shared" si="4"/>
        <v>0.05</v>
      </c>
      <c r="L14" s="9">
        <f t="shared" si="4"/>
        <v>0.05</v>
      </c>
      <c r="M14" s="9">
        <f t="shared" si="4"/>
        <v>0.05</v>
      </c>
      <c r="N14" s="9">
        <f t="shared" si="4"/>
        <v>0.05</v>
      </c>
      <c r="O14" s="9">
        <f t="shared" si="4"/>
        <v>0.05</v>
      </c>
      <c r="P14" s="9">
        <f t="shared" si="4"/>
        <v>0.05</v>
      </c>
    </row>
    <row r="15" spans="1:16" x14ac:dyDescent="0.2">
      <c r="A15" t="s">
        <v>10</v>
      </c>
      <c r="D15" s="9">
        <v>0.1</v>
      </c>
      <c r="G15" s="9">
        <v>0.1</v>
      </c>
      <c r="H15" s="9">
        <f t="shared" si="3"/>
        <v>0.1</v>
      </c>
      <c r="I15" s="9">
        <f t="shared" si="4"/>
        <v>0.1</v>
      </c>
      <c r="J15" s="9">
        <f t="shared" si="4"/>
        <v>0.1</v>
      </c>
      <c r="K15" s="9">
        <f t="shared" si="4"/>
        <v>0.1</v>
      </c>
      <c r="L15" s="9">
        <f t="shared" si="4"/>
        <v>0.1</v>
      </c>
      <c r="M15" s="9">
        <f t="shared" si="4"/>
        <v>0.1</v>
      </c>
      <c r="N15" s="9">
        <f t="shared" si="4"/>
        <v>0.1</v>
      </c>
      <c r="O15" s="9">
        <f t="shared" si="4"/>
        <v>0.1</v>
      </c>
      <c r="P15" s="9">
        <f t="shared" si="4"/>
        <v>0.1</v>
      </c>
    </row>
    <row r="16" spans="1:16" x14ac:dyDescent="0.2">
      <c r="A16" t="s">
        <v>11</v>
      </c>
      <c r="D16" s="9">
        <v>0.35</v>
      </c>
      <c r="G16" s="9">
        <v>0.35</v>
      </c>
      <c r="H16" s="9">
        <f t="shared" si="3"/>
        <v>0.35</v>
      </c>
      <c r="I16" s="9">
        <f t="shared" si="4"/>
        <v>0.35</v>
      </c>
      <c r="J16" s="9">
        <f t="shared" si="4"/>
        <v>0.35</v>
      </c>
      <c r="K16" s="9">
        <f t="shared" si="4"/>
        <v>0.35</v>
      </c>
      <c r="L16" s="9">
        <f t="shared" si="4"/>
        <v>0.35</v>
      </c>
      <c r="M16" s="9">
        <f t="shared" si="4"/>
        <v>0.35</v>
      </c>
      <c r="N16" s="9">
        <f t="shared" si="4"/>
        <v>0.35</v>
      </c>
      <c r="O16" s="9">
        <f t="shared" si="4"/>
        <v>0.35</v>
      </c>
      <c r="P16" s="9">
        <f t="shared" si="4"/>
        <v>0.35</v>
      </c>
    </row>
    <row r="17" spans="1:16" x14ac:dyDescent="0.2">
      <c r="A17" t="s">
        <v>95</v>
      </c>
      <c r="D17" s="9">
        <v>0.1</v>
      </c>
      <c r="G17" s="9">
        <v>0.1</v>
      </c>
      <c r="H17" s="9">
        <v>0.1</v>
      </c>
      <c r="I17" s="9">
        <v>0.1</v>
      </c>
      <c r="J17" s="9">
        <v>0.1</v>
      </c>
      <c r="K17" s="9">
        <v>0.1</v>
      </c>
      <c r="L17" s="9">
        <v>0.1</v>
      </c>
      <c r="M17" s="9">
        <v>0.1</v>
      </c>
      <c r="N17" s="9">
        <v>0.1</v>
      </c>
      <c r="O17" s="9">
        <v>0.1</v>
      </c>
      <c r="P17" s="9">
        <v>0.1</v>
      </c>
    </row>
    <row r="18" spans="1:16" x14ac:dyDescent="0.2">
      <c r="A18" t="s">
        <v>12</v>
      </c>
      <c r="D18" s="9">
        <v>0.88900000000000001</v>
      </c>
      <c r="G18" s="9">
        <v>0.88900000000000001</v>
      </c>
      <c r="H18" s="9">
        <f t="shared" si="3"/>
        <v>0.88900000000000001</v>
      </c>
      <c r="I18" s="9">
        <f t="shared" ref="I18" si="5">H18</f>
        <v>0.88900000000000001</v>
      </c>
      <c r="J18" s="9">
        <f t="shared" ref="J18" si="6">I18</f>
        <v>0.88900000000000001</v>
      </c>
      <c r="K18" s="9">
        <f t="shared" ref="K18" si="7">J18</f>
        <v>0.88900000000000001</v>
      </c>
      <c r="L18" s="9">
        <f t="shared" ref="L18" si="8">K18</f>
        <v>0.88900000000000001</v>
      </c>
      <c r="M18" s="9">
        <f t="shared" ref="M18" si="9">L18</f>
        <v>0.88900000000000001</v>
      </c>
      <c r="N18" s="9">
        <f t="shared" ref="N18" si="10">M18</f>
        <v>0.88900000000000001</v>
      </c>
      <c r="O18" s="9">
        <f t="shared" ref="O18" si="11">N18</f>
        <v>0.88900000000000001</v>
      </c>
      <c r="P18" s="9">
        <f t="shared" ref="P18" si="12">O18</f>
        <v>0.88900000000000001</v>
      </c>
    </row>
    <row r="19" spans="1:16" x14ac:dyDescent="0.2">
      <c r="A19" t="s">
        <v>70</v>
      </c>
      <c r="D19" s="4"/>
      <c r="G19" s="37">
        <v>0.02</v>
      </c>
    </row>
    <row r="20" spans="1:16" x14ac:dyDescent="0.2">
      <c r="A20" t="s">
        <v>93</v>
      </c>
      <c r="D20" s="32">
        <v>0.74</v>
      </c>
      <c r="G20" s="12"/>
    </row>
    <row r="21" spans="1:16" x14ac:dyDescent="0.2">
      <c r="A21" t="s">
        <v>91</v>
      </c>
      <c r="D21" s="5">
        <v>0.03</v>
      </c>
      <c r="G21" s="12"/>
    </row>
    <row r="22" spans="1:16" x14ac:dyDescent="0.2">
      <c r="A22" t="s">
        <v>92</v>
      </c>
      <c r="D22" s="5">
        <v>0.1</v>
      </c>
      <c r="G22" s="12"/>
    </row>
    <row r="24" spans="1:16" x14ac:dyDescent="0.2">
      <c r="A24" s="2" t="s">
        <v>13</v>
      </c>
    </row>
    <row r="25" spans="1:16" x14ac:dyDescent="0.2">
      <c r="A25" t="s">
        <v>14</v>
      </c>
      <c r="D25" s="8">
        <v>610000</v>
      </c>
      <c r="G25" s="8">
        <f t="shared" ref="G25:P25" si="13">G8*G30</f>
        <v>622200</v>
      </c>
      <c r="H25" s="8">
        <f t="shared" si="13"/>
        <v>634644</v>
      </c>
      <c r="I25" s="8">
        <f t="shared" si="13"/>
        <v>647336.88</v>
      </c>
      <c r="J25" s="8">
        <f t="shared" si="13"/>
        <v>660283.6176</v>
      </c>
      <c r="K25" s="8">
        <f t="shared" si="13"/>
        <v>673489.28995200014</v>
      </c>
      <c r="L25" s="8">
        <f t="shared" si="13"/>
        <v>686959.07575104013</v>
      </c>
      <c r="M25" s="8">
        <f t="shared" si="13"/>
        <v>700698.25726606103</v>
      </c>
      <c r="N25" s="8">
        <f t="shared" si="13"/>
        <v>714712.22241138213</v>
      </c>
      <c r="O25" s="8">
        <f t="shared" si="13"/>
        <v>729006.46685960982</v>
      </c>
      <c r="P25" s="8">
        <f t="shared" si="13"/>
        <v>743586.59619680198</v>
      </c>
    </row>
    <row r="26" spans="1:16" x14ac:dyDescent="0.2">
      <c r="A26" t="s">
        <v>96</v>
      </c>
      <c r="D26" s="8">
        <v>125000</v>
      </c>
      <c r="G26" s="8">
        <f>G9*G10*12</f>
        <v>158400.00000000003</v>
      </c>
      <c r="H26" s="8">
        <f t="shared" ref="H26:P26" si="14">H9*H10*12</f>
        <v>174240.00000000006</v>
      </c>
      <c r="I26" s="8">
        <f t="shared" si="14"/>
        <v>191664.00000000006</v>
      </c>
      <c r="J26" s="8">
        <f t="shared" si="14"/>
        <v>210830.40000000014</v>
      </c>
      <c r="K26" s="8">
        <f t="shared" si="14"/>
        <v>231913.44000000018</v>
      </c>
      <c r="L26" s="8">
        <f t="shared" si="14"/>
        <v>286992.88200000022</v>
      </c>
      <c r="M26" s="8">
        <f t="shared" si="14"/>
        <v>315692.17020000023</v>
      </c>
      <c r="N26" s="8">
        <f t="shared" si="14"/>
        <v>347261.38722000032</v>
      </c>
      <c r="O26" s="8">
        <f t="shared" si="14"/>
        <v>381987.52594200039</v>
      </c>
      <c r="P26" s="8">
        <f t="shared" si="14"/>
        <v>420186.27853620047</v>
      </c>
    </row>
    <row r="27" spans="1:16" x14ac:dyDescent="0.2">
      <c r="D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8" spans="1:16" x14ac:dyDescent="0.2">
      <c r="A28" t="s">
        <v>15</v>
      </c>
      <c r="D28" s="8">
        <f>D25/D13</f>
        <v>209999.99999999959</v>
      </c>
      <c r="G28" s="8">
        <f>G25/G13</f>
        <v>214199.99999999959</v>
      </c>
      <c r="H28" s="8">
        <f>H25/H13</f>
        <v>218483.99999999956</v>
      </c>
      <c r="I28" s="8">
        <f t="shared" ref="I28:P28" si="15">I25/I13</f>
        <v>222853.67999999956</v>
      </c>
      <c r="J28" s="8">
        <f t="shared" si="15"/>
        <v>227310.75359999956</v>
      </c>
      <c r="K28" s="8">
        <f t="shared" si="15"/>
        <v>231856.96867199958</v>
      </c>
      <c r="L28" s="8">
        <f t="shared" si="15"/>
        <v>236494.10804543959</v>
      </c>
      <c r="M28" s="8">
        <f t="shared" si="15"/>
        <v>241223.99020634842</v>
      </c>
      <c r="N28" s="8">
        <f t="shared" si="15"/>
        <v>246048.47001047534</v>
      </c>
      <c r="O28" s="8">
        <f t="shared" si="15"/>
        <v>250969.43941068486</v>
      </c>
      <c r="P28" s="8">
        <f t="shared" si="15"/>
        <v>255988.82819889855</v>
      </c>
    </row>
    <row r="29" spans="1:16" x14ac:dyDescent="0.2">
      <c r="D29" s="8"/>
      <c r="G29" s="8"/>
    </row>
    <row r="30" spans="1:16" x14ac:dyDescent="0.2">
      <c r="A30" t="s">
        <v>16</v>
      </c>
      <c r="D30" s="8">
        <f>D25+D26-D28</f>
        <v>525000.00000000047</v>
      </c>
      <c r="G30" s="8">
        <f>D30*(1+G19)</f>
        <v>535500.00000000047</v>
      </c>
      <c r="H30" s="8">
        <f>G30*(1+$G$19)</f>
        <v>546210.00000000047</v>
      </c>
      <c r="I30" s="8">
        <f t="shared" ref="I30:P30" si="16">H30*(1+$G$19)</f>
        <v>557134.20000000054</v>
      </c>
      <c r="J30" s="8">
        <f t="shared" si="16"/>
        <v>568276.88400000054</v>
      </c>
      <c r="K30" s="8">
        <f t="shared" si="16"/>
        <v>579642.42168000061</v>
      </c>
      <c r="L30" s="8">
        <f t="shared" si="16"/>
        <v>591235.27011360065</v>
      </c>
      <c r="M30" s="8">
        <f t="shared" si="16"/>
        <v>603059.97551587271</v>
      </c>
      <c r="N30" s="8">
        <f t="shared" si="16"/>
        <v>615121.17502619012</v>
      </c>
      <c r="O30" s="8">
        <f t="shared" si="16"/>
        <v>627423.5985267139</v>
      </c>
      <c r="P30" s="8">
        <f t="shared" si="16"/>
        <v>639972.07049724821</v>
      </c>
    </row>
    <row r="31" spans="1:16" x14ac:dyDescent="0.2">
      <c r="D31" s="8"/>
      <c r="G31" s="8"/>
    </row>
    <row r="32" spans="1:16" x14ac:dyDescent="0.2">
      <c r="A32" t="s">
        <v>17</v>
      </c>
      <c r="D32" s="8"/>
      <c r="G32" s="8"/>
    </row>
    <row r="33" spans="1:17" x14ac:dyDescent="0.2">
      <c r="B33" t="s">
        <v>18</v>
      </c>
      <c r="D33" s="8">
        <v>22500</v>
      </c>
      <c r="G33" s="8">
        <f>SUM(G$25:G$26)*$Q33</f>
        <v>23895.918367346938</v>
      </c>
      <c r="H33" s="8">
        <f t="shared" ref="H33:P33" si="17">SUM(H$25:H$26)*$Q33</f>
        <v>24761.755102040817</v>
      </c>
      <c r="I33" s="8">
        <f t="shared" si="17"/>
        <v>25683.700408163269</v>
      </c>
      <c r="J33" s="8">
        <f t="shared" si="17"/>
        <v>26666.755640816329</v>
      </c>
      <c r="K33" s="8">
        <f t="shared" si="17"/>
        <v>27716.410100571436</v>
      </c>
      <c r="L33" s="8">
        <f t="shared" si="17"/>
        <v>29814.855849521642</v>
      </c>
      <c r="M33" s="8">
        <f t="shared" si="17"/>
        <v>31113.992677532486</v>
      </c>
      <c r="N33" s="8">
        <f t="shared" si="17"/>
        <v>32509.396213205582</v>
      </c>
      <c r="O33" s="8">
        <f t="shared" si="17"/>
        <v>34010.020187804388</v>
      </c>
      <c r="P33" s="8">
        <f t="shared" si="17"/>
        <v>35625.700246928645</v>
      </c>
      <c r="Q33" s="13">
        <f>D33/SUM(D$25:D$26)</f>
        <v>3.0612244897959183E-2</v>
      </c>
    </row>
    <row r="34" spans="1:17" x14ac:dyDescent="0.2">
      <c r="B34" t="s">
        <v>97</v>
      </c>
      <c r="D34" s="8">
        <v>145000</v>
      </c>
      <c r="G34" s="8">
        <f t="shared" ref="G34:P39" si="18">SUM(G$25:G$26)*$Q34</f>
        <v>153995.91836734692</v>
      </c>
      <c r="H34" s="8">
        <f t="shared" si="18"/>
        <v>159575.75510204083</v>
      </c>
      <c r="I34" s="8">
        <f t="shared" si="18"/>
        <v>165517.18040816329</v>
      </c>
      <c r="J34" s="8">
        <f t="shared" si="18"/>
        <v>171852.42524081634</v>
      </c>
      <c r="K34" s="8">
        <f t="shared" si="18"/>
        <v>178616.86509257148</v>
      </c>
      <c r="L34" s="8">
        <f t="shared" si="18"/>
        <v>192140.1821413617</v>
      </c>
      <c r="M34" s="8">
        <f t="shared" si="18"/>
        <v>200512.39725520936</v>
      </c>
      <c r="N34" s="8">
        <f t="shared" si="18"/>
        <v>209504.99781843598</v>
      </c>
      <c r="O34" s="8">
        <f t="shared" si="18"/>
        <v>219175.68565473941</v>
      </c>
      <c r="P34" s="8">
        <f t="shared" si="18"/>
        <v>229587.84603576237</v>
      </c>
      <c r="Q34" s="13">
        <f t="shared" ref="Q34:Q39" si="19">D34/SUM(D$25:D$26)</f>
        <v>0.19727891156462585</v>
      </c>
    </row>
    <row r="35" spans="1:17" x14ac:dyDescent="0.2">
      <c r="B35" t="s">
        <v>19</v>
      </c>
      <c r="D35" s="8">
        <f>5*10*40*52</f>
        <v>104000</v>
      </c>
      <c r="G35" s="8">
        <f t="shared" si="18"/>
        <v>110452.2448979592</v>
      </c>
      <c r="H35" s="8">
        <f t="shared" si="18"/>
        <v>114454.33469387756</v>
      </c>
      <c r="I35" s="8">
        <f t="shared" si="18"/>
        <v>118715.77077551023</v>
      </c>
      <c r="J35" s="8">
        <f t="shared" si="18"/>
        <v>123259.67051755106</v>
      </c>
      <c r="K35" s="8">
        <f t="shared" si="18"/>
        <v>128111.40668708576</v>
      </c>
      <c r="L35" s="8">
        <f t="shared" si="18"/>
        <v>137810.88926001117</v>
      </c>
      <c r="M35" s="8">
        <f t="shared" si="18"/>
        <v>143815.78837615016</v>
      </c>
      <c r="N35" s="8">
        <f t="shared" si="18"/>
        <v>150265.65360770581</v>
      </c>
      <c r="O35" s="8">
        <f t="shared" si="18"/>
        <v>157201.87109029587</v>
      </c>
      <c r="P35" s="8">
        <f t="shared" si="18"/>
        <v>164669.90336358131</v>
      </c>
      <c r="Q35" s="13">
        <f t="shared" si="19"/>
        <v>0.1414965986394558</v>
      </c>
    </row>
    <row r="36" spans="1:17" x14ac:dyDescent="0.2">
      <c r="B36" t="s">
        <v>20</v>
      </c>
      <c r="D36" s="8">
        <v>18000</v>
      </c>
      <c r="G36" s="8">
        <f t="shared" si="18"/>
        <v>19116.734693877552</v>
      </c>
      <c r="H36" s="8">
        <f t="shared" si="18"/>
        <v>19809.404081632652</v>
      </c>
      <c r="I36" s="8">
        <f t="shared" si="18"/>
        <v>20546.960326530614</v>
      </c>
      <c r="J36" s="8">
        <f t="shared" si="18"/>
        <v>21333.404512653062</v>
      </c>
      <c r="K36" s="8">
        <f t="shared" si="18"/>
        <v>22173.128080457151</v>
      </c>
      <c r="L36" s="8">
        <f t="shared" si="18"/>
        <v>23851.884679617313</v>
      </c>
      <c r="M36" s="8">
        <f t="shared" si="18"/>
        <v>24891.194142025986</v>
      </c>
      <c r="N36" s="8">
        <f t="shared" si="18"/>
        <v>26007.516970564466</v>
      </c>
      <c r="O36" s="8">
        <f t="shared" si="18"/>
        <v>27208.016150243511</v>
      </c>
      <c r="P36" s="8">
        <f t="shared" si="18"/>
        <v>28500.560197542913</v>
      </c>
      <c r="Q36" s="13">
        <f t="shared" si="19"/>
        <v>2.4489795918367346E-2</v>
      </c>
    </row>
    <row r="37" spans="1:17" x14ac:dyDescent="0.2">
      <c r="B37" t="s">
        <v>21</v>
      </c>
      <c r="D37" s="8">
        <v>15000</v>
      </c>
      <c r="G37" s="8">
        <f t="shared" si="18"/>
        <v>15930.612244897959</v>
      </c>
      <c r="H37" s="8">
        <f t="shared" si="18"/>
        <v>16507.836734693876</v>
      </c>
      <c r="I37" s="8">
        <f t="shared" si="18"/>
        <v>17122.466938775513</v>
      </c>
      <c r="J37" s="8">
        <f t="shared" si="18"/>
        <v>17777.837093877552</v>
      </c>
      <c r="K37" s="8">
        <f t="shared" si="18"/>
        <v>18477.606733714292</v>
      </c>
      <c r="L37" s="8">
        <f t="shared" si="18"/>
        <v>19876.57056634776</v>
      </c>
      <c r="M37" s="8">
        <f t="shared" si="18"/>
        <v>20742.661785021657</v>
      </c>
      <c r="N37" s="8">
        <f t="shared" si="18"/>
        <v>21672.930808803721</v>
      </c>
      <c r="O37" s="8">
        <f t="shared" si="18"/>
        <v>22673.346791869593</v>
      </c>
      <c r="P37" s="8">
        <f t="shared" si="18"/>
        <v>23750.466831285761</v>
      </c>
      <c r="Q37" s="13">
        <f t="shared" si="19"/>
        <v>2.0408163265306121E-2</v>
      </c>
    </row>
    <row r="38" spans="1:17" x14ac:dyDescent="0.2">
      <c r="B38" t="s">
        <v>22</v>
      </c>
      <c r="D38" s="8">
        <v>13500</v>
      </c>
      <c r="G38" s="8">
        <f t="shared" si="18"/>
        <v>14337.551020408164</v>
      </c>
      <c r="H38" s="8">
        <f t="shared" si="18"/>
        <v>14857.053061224491</v>
      </c>
      <c r="I38" s="8">
        <f t="shared" si="18"/>
        <v>15410.220244897962</v>
      </c>
      <c r="J38" s="8">
        <f t="shared" si="18"/>
        <v>16000.0533844898</v>
      </c>
      <c r="K38" s="8">
        <f t="shared" si="18"/>
        <v>16629.846060342865</v>
      </c>
      <c r="L38" s="8">
        <f t="shared" si="18"/>
        <v>17888.913509712987</v>
      </c>
      <c r="M38" s="8">
        <f t="shared" si="18"/>
        <v>18668.395606519494</v>
      </c>
      <c r="N38" s="8">
        <f t="shared" si="18"/>
        <v>19505.637727923353</v>
      </c>
      <c r="O38" s="8">
        <f t="shared" si="18"/>
        <v>20406.012112682638</v>
      </c>
      <c r="P38" s="8">
        <f t="shared" si="18"/>
        <v>21375.420148157187</v>
      </c>
      <c r="Q38" s="13">
        <f t="shared" si="19"/>
        <v>1.8367346938775512E-2</v>
      </c>
    </row>
    <row r="39" spans="1:17" x14ac:dyDescent="0.2">
      <c r="B39" t="s">
        <v>23</v>
      </c>
      <c r="D39" s="8">
        <v>15000</v>
      </c>
      <c r="G39" s="8">
        <f t="shared" si="18"/>
        <v>15930.612244897959</v>
      </c>
      <c r="H39" s="8">
        <f t="shared" si="18"/>
        <v>16507.836734693876</v>
      </c>
      <c r="I39" s="8">
        <f t="shared" si="18"/>
        <v>17122.466938775513</v>
      </c>
      <c r="J39" s="8">
        <f t="shared" si="18"/>
        <v>17777.837093877552</v>
      </c>
      <c r="K39" s="8">
        <f t="shared" si="18"/>
        <v>18477.606733714292</v>
      </c>
      <c r="L39" s="8">
        <f t="shared" si="18"/>
        <v>19876.57056634776</v>
      </c>
      <c r="M39" s="8">
        <f t="shared" si="18"/>
        <v>20742.661785021657</v>
      </c>
      <c r="N39" s="8">
        <f t="shared" si="18"/>
        <v>21672.930808803721</v>
      </c>
      <c r="O39" s="8">
        <f t="shared" si="18"/>
        <v>22673.346791869593</v>
      </c>
      <c r="P39" s="8">
        <f t="shared" si="18"/>
        <v>23750.466831285761</v>
      </c>
      <c r="Q39" s="13">
        <f t="shared" si="19"/>
        <v>2.0408163265306121E-2</v>
      </c>
    </row>
    <row r="40" spans="1:17" x14ac:dyDescent="0.2">
      <c r="D40" s="8"/>
      <c r="G40" s="8"/>
    </row>
    <row r="41" spans="1:17" x14ac:dyDescent="0.2">
      <c r="B41" t="s">
        <v>24</v>
      </c>
      <c r="D41" s="8">
        <f>SUM(D33:D39)</f>
        <v>333000</v>
      </c>
      <c r="G41" s="8">
        <f t="shared" ref="G41:P41" si="20">SUM(G33:G39)</f>
        <v>353659.59183673467</v>
      </c>
      <c r="H41" s="8">
        <f t="shared" si="20"/>
        <v>366473.97551020409</v>
      </c>
      <c r="I41" s="8">
        <f t="shared" si="20"/>
        <v>380118.76604081638</v>
      </c>
      <c r="J41" s="8">
        <f t="shared" si="20"/>
        <v>394667.98348408169</v>
      </c>
      <c r="K41" s="8">
        <f t="shared" si="20"/>
        <v>410202.86948845728</v>
      </c>
      <c r="L41" s="8">
        <f t="shared" si="20"/>
        <v>441259.86657292023</v>
      </c>
      <c r="M41" s="8">
        <f t="shared" si="20"/>
        <v>460487.09162748081</v>
      </c>
      <c r="N41" s="8">
        <f t="shared" si="20"/>
        <v>481139.06395544263</v>
      </c>
      <c r="O41" s="8">
        <f t="shared" si="20"/>
        <v>503348.29877950507</v>
      </c>
      <c r="P41" s="8">
        <f t="shared" si="20"/>
        <v>527260.36365454388</v>
      </c>
    </row>
    <row r="42" spans="1:17" x14ac:dyDescent="0.2">
      <c r="D42" s="8"/>
      <c r="G42" s="8"/>
      <c r="H42" s="8"/>
      <c r="I42" s="8"/>
      <c r="J42" s="8"/>
      <c r="K42" s="8"/>
      <c r="L42" s="8"/>
      <c r="M42" s="8"/>
      <c r="N42" s="8"/>
      <c r="O42" s="8"/>
      <c r="P42" s="8"/>
    </row>
    <row r="43" spans="1:17" x14ac:dyDescent="0.2">
      <c r="A43" t="s">
        <v>25</v>
      </c>
      <c r="D43" s="8">
        <f>D30-D41</f>
        <v>192000.00000000047</v>
      </c>
      <c r="G43" s="8">
        <f t="shared" ref="G43:P43" si="21">G30-G41</f>
        <v>181840.40816326579</v>
      </c>
      <c r="H43" s="8">
        <f t="shared" si="21"/>
        <v>179736.02448979637</v>
      </c>
      <c r="I43" s="8">
        <f t="shared" si="21"/>
        <v>177015.43395918416</v>
      </c>
      <c r="J43" s="8">
        <f t="shared" si="21"/>
        <v>173608.90051591885</v>
      </c>
      <c r="K43" s="8">
        <f t="shared" si="21"/>
        <v>169439.55219154333</v>
      </c>
      <c r="L43" s="8">
        <f t="shared" si="21"/>
        <v>149975.40354068042</v>
      </c>
      <c r="M43" s="8">
        <f t="shared" si="21"/>
        <v>142572.88388839189</v>
      </c>
      <c r="N43" s="8">
        <f t="shared" si="21"/>
        <v>133982.11107074749</v>
      </c>
      <c r="O43" s="8">
        <f t="shared" si="21"/>
        <v>124075.29974720883</v>
      </c>
      <c r="P43" s="8">
        <f t="shared" si="21"/>
        <v>112711.70684270433</v>
      </c>
    </row>
    <row r="44" spans="1:17" x14ac:dyDescent="0.2">
      <c r="D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1:17" x14ac:dyDescent="0.2">
      <c r="A45" t="s">
        <v>126</v>
      </c>
      <c r="D45" s="8">
        <f>D69*D17</f>
        <v>12000</v>
      </c>
      <c r="G45" s="8">
        <f t="shared" ref="G45:P45" si="22">G69*G17</f>
        <v>12000</v>
      </c>
      <c r="H45" s="8">
        <f t="shared" si="22"/>
        <v>12000</v>
      </c>
      <c r="I45" s="8">
        <f t="shared" si="22"/>
        <v>12000</v>
      </c>
      <c r="J45" s="8">
        <f t="shared" si="22"/>
        <v>12000</v>
      </c>
      <c r="K45" s="8">
        <f t="shared" si="22"/>
        <v>12000</v>
      </c>
      <c r="L45" s="8">
        <f t="shared" si="22"/>
        <v>12000</v>
      </c>
      <c r="M45" s="8">
        <f t="shared" si="22"/>
        <v>12000</v>
      </c>
      <c r="N45" s="8">
        <f t="shared" si="22"/>
        <v>12000</v>
      </c>
      <c r="O45" s="8">
        <f t="shared" si="22"/>
        <v>12000</v>
      </c>
      <c r="P45" s="8">
        <f t="shared" si="22"/>
        <v>12000</v>
      </c>
    </row>
    <row r="46" spans="1:17" x14ac:dyDescent="0.2">
      <c r="A46" t="s">
        <v>125</v>
      </c>
      <c r="D46" s="8">
        <f>$D$66/Mortgage!$I$2</f>
        <v>16666.666666666668</v>
      </c>
      <c r="G46" s="8">
        <f>$D$66/Mortgage!$I$2</f>
        <v>16666.666666666668</v>
      </c>
      <c r="H46" s="8">
        <f>$D$66/Mortgage!$I$2</f>
        <v>16666.666666666668</v>
      </c>
      <c r="I46" s="8">
        <f>$D$66/Mortgage!$I$2</f>
        <v>16666.666666666668</v>
      </c>
      <c r="J46" s="8">
        <f>$D$66/Mortgage!$I$2</f>
        <v>16666.666666666668</v>
      </c>
      <c r="K46" s="8">
        <f>$D$66/Mortgage!$I$2</f>
        <v>16666.666666666668</v>
      </c>
      <c r="L46" s="8">
        <f>$D$66/Mortgage!$I$2</f>
        <v>16666.666666666668</v>
      </c>
      <c r="M46" s="8">
        <f>$D$66/Mortgage!$I$2</f>
        <v>16666.666666666668</v>
      </c>
      <c r="N46" s="8">
        <f>$D$66/Mortgage!$I$2</f>
        <v>16666.666666666668</v>
      </c>
      <c r="O46" s="8">
        <f>$D$66/Mortgage!$I$2</f>
        <v>16666.666666666668</v>
      </c>
      <c r="P46" s="8">
        <f>$D$66/Mortgage!$I$2</f>
        <v>16666.666666666668</v>
      </c>
    </row>
    <row r="47" spans="1:17" x14ac:dyDescent="0.2">
      <c r="D47" s="8"/>
      <c r="G47" s="8"/>
      <c r="H47" s="8"/>
      <c r="I47" s="8"/>
      <c r="J47" s="8"/>
      <c r="K47" s="8"/>
      <c r="L47" s="8"/>
      <c r="M47" s="8"/>
      <c r="N47" s="8"/>
      <c r="O47" s="8"/>
      <c r="P47" s="8"/>
    </row>
    <row r="48" spans="1:17" x14ac:dyDescent="0.2">
      <c r="D48" s="8"/>
      <c r="G48" s="8"/>
      <c r="H48" s="8"/>
      <c r="I48" s="8"/>
      <c r="J48" s="8"/>
      <c r="K48" s="8"/>
      <c r="L48" s="8"/>
      <c r="M48" s="8"/>
      <c r="N48" s="8"/>
      <c r="O48" s="8"/>
      <c r="P48" s="8"/>
    </row>
    <row r="49" spans="1:16" x14ac:dyDescent="0.2">
      <c r="A49" t="s">
        <v>111</v>
      </c>
      <c r="D49" s="8">
        <v>0</v>
      </c>
      <c r="G49" s="8">
        <f>Mortgage!D16</f>
        <v>54970.271910122421</v>
      </c>
      <c r="H49" s="8">
        <f>Mortgage!D30</f>
        <v>54333.994680285803</v>
      </c>
      <c r="I49" s="8">
        <f>Mortgage!D44</f>
        <v>53655.104785979958</v>
      </c>
      <c r="J49" s="8">
        <f>Mortgage!D58</f>
        <v>52930.748378146658</v>
      </c>
      <c r="K49" s="8">
        <f>Mortgage!D72</f>
        <v>52157.880480170817</v>
      </c>
      <c r="L49" s="8">
        <f>Mortgage!D86</f>
        <v>51333.252187714264</v>
      </c>
      <c r="M49" s="8">
        <f>Mortgage!D100</f>
        <v>50453.397011298192</v>
      </c>
      <c r="N49" s="8">
        <f>Mortgage!D114</f>
        <v>49514.616304223498</v>
      </c>
      <c r="O49" s="8">
        <f>Mortgage!D128</f>
        <v>48512.963714571772</v>
      </c>
      <c r="P49" s="8">
        <f>Mortgage!D142</f>
        <v>47444.228595927911</v>
      </c>
    </row>
    <row r="50" spans="1:16" x14ac:dyDescent="0.2">
      <c r="A50" t="s">
        <v>106</v>
      </c>
      <c r="D50" s="8">
        <f>D80*D14</f>
        <v>5000</v>
      </c>
      <c r="G50" s="8">
        <f t="shared" ref="G50:P50" si="23">G80*G14</f>
        <v>5000</v>
      </c>
      <c r="H50" s="8">
        <f t="shared" si="23"/>
        <v>4000</v>
      </c>
      <c r="I50" s="8">
        <f t="shared" si="23"/>
        <v>3000</v>
      </c>
      <c r="J50" s="8">
        <f t="shared" si="23"/>
        <v>2000</v>
      </c>
      <c r="K50" s="8">
        <f t="shared" si="23"/>
        <v>1000</v>
      </c>
      <c r="L50" s="8">
        <f t="shared" si="23"/>
        <v>0</v>
      </c>
      <c r="M50" s="8">
        <f t="shared" si="23"/>
        <v>0</v>
      </c>
      <c r="N50" s="8">
        <f t="shared" si="23"/>
        <v>0</v>
      </c>
      <c r="O50" s="8">
        <f t="shared" si="23"/>
        <v>0</v>
      </c>
      <c r="P50" s="8">
        <f t="shared" si="23"/>
        <v>0</v>
      </c>
    </row>
    <row r="51" spans="1:16" x14ac:dyDescent="0.2">
      <c r="A51" t="s">
        <v>26</v>
      </c>
      <c r="D51" s="8">
        <f>D78*D15</f>
        <v>0</v>
      </c>
      <c r="G51" s="8">
        <f t="shared" ref="G51:P51" si="24">G78*G15</f>
        <v>0</v>
      </c>
      <c r="H51" s="8">
        <f t="shared" si="24"/>
        <v>2114.4490159079533</v>
      </c>
      <c r="I51" s="8">
        <f t="shared" si="24"/>
        <v>4306.0350585451379</v>
      </c>
      <c r="J51" s="8">
        <f t="shared" si="24"/>
        <v>6583.7243420710774</v>
      </c>
      <c r="K51" s="8">
        <f t="shared" si="24"/>
        <v>8953.6040274177376</v>
      </c>
      <c r="L51" s="8">
        <f t="shared" si="24"/>
        <v>11422.55083516677</v>
      </c>
      <c r="M51" s="8">
        <f t="shared" si="24"/>
        <v>11886.328842082108</v>
      </c>
      <c r="N51" s="8">
        <f t="shared" si="24"/>
        <v>12383.712777109622</v>
      </c>
      <c r="O51" s="8">
        <f t="shared" si="24"/>
        <v>12917.013844135079</v>
      </c>
      <c r="P51" s="8">
        <f t="shared" si="24"/>
        <v>13488.754955326312</v>
      </c>
    </row>
    <row r="52" spans="1:16" x14ac:dyDescent="0.2">
      <c r="D52" s="8"/>
      <c r="G52" s="8"/>
      <c r="H52" s="8"/>
      <c r="I52" s="8"/>
      <c r="J52" s="8"/>
      <c r="K52" s="8"/>
      <c r="L52" s="8"/>
      <c r="M52" s="8"/>
      <c r="N52" s="8"/>
      <c r="O52" s="8"/>
      <c r="P52" s="8"/>
    </row>
    <row r="53" spans="1:16" x14ac:dyDescent="0.2">
      <c r="A53" t="s">
        <v>27</v>
      </c>
      <c r="D53" s="8">
        <f>D43-SUM(D45:D51)</f>
        <v>158333.33333333378</v>
      </c>
      <c r="G53" s="8">
        <f t="shared" ref="G53:P53" si="25">G43-SUM(G45:G51)</f>
        <v>93203.469586476698</v>
      </c>
      <c r="H53" s="8">
        <f t="shared" si="25"/>
        <v>90620.914126935939</v>
      </c>
      <c r="I53" s="8">
        <f t="shared" si="25"/>
        <v>87387.627447992389</v>
      </c>
      <c r="J53" s="8">
        <f t="shared" si="25"/>
        <v>83427.76112903445</v>
      </c>
      <c r="K53" s="8">
        <f t="shared" si="25"/>
        <v>78661.40101728811</v>
      </c>
      <c r="L53" s="8">
        <f t="shared" si="25"/>
        <v>58552.933851132722</v>
      </c>
      <c r="M53" s="8">
        <f t="shared" si="25"/>
        <v>51566.491368344927</v>
      </c>
      <c r="N53" s="8">
        <f t="shared" si="25"/>
        <v>43417.11532274769</v>
      </c>
      <c r="O53" s="8">
        <f t="shared" si="25"/>
        <v>33978.655521835317</v>
      </c>
      <c r="P53" s="8">
        <f t="shared" si="25"/>
        <v>23112.056624783436</v>
      </c>
    </row>
    <row r="54" spans="1:16" x14ac:dyDescent="0.2">
      <c r="A54" t="s">
        <v>28</v>
      </c>
      <c r="D54" s="8">
        <f>D53*D16</f>
        <v>55416.666666666817</v>
      </c>
      <c r="G54" s="8">
        <f t="shared" ref="G54:P54" si="26">G53*G16</f>
        <v>32621.214355266842</v>
      </c>
      <c r="H54" s="8">
        <f t="shared" si="26"/>
        <v>31717.319944427578</v>
      </c>
      <c r="I54" s="8">
        <f t="shared" si="26"/>
        <v>30585.669606797335</v>
      </c>
      <c r="J54" s="8">
        <f t="shared" si="26"/>
        <v>29199.716395162057</v>
      </c>
      <c r="K54" s="8">
        <f t="shared" si="26"/>
        <v>27531.490356050836</v>
      </c>
      <c r="L54" s="8">
        <f t="shared" si="26"/>
        <v>20493.52684789645</v>
      </c>
      <c r="M54" s="8">
        <f t="shared" si="26"/>
        <v>18048.271978920722</v>
      </c>
      <c r="N54" s="8">
        <f t="shared" si="26"/>
        <v>15195.990362961691</v>
      </c>
      <c r="O54" s="8">
        <f t="shared" si="26"/>
        <v>11892.529432642361</v>
      </c>
      <c r="P54" s="8">
        <f t="shared" si="26"/>
        <v>8089.2198186742016</v>
      </c>
    </row>
    <row r="55" spans="1:16" x14ac:dyDescent="0.2">
      <c r="A55" s="2" t="s">
        <v>29</v>
      </c>
      <c r="D55" s="8">
        <f>D53-D54</f>
        <v>102916.66666666696</v>
      </c>
      <c r="G55" s="8">
        <f>G53-G54</f>
        <v>60582.255231209856</v>
      </c>
      <c r="H55" s="8">
        <f>H53-H54</f>
        <v>58903.594182508357</v>
      </c>
      <c r="I55" s="8">
        <f t="shared" ref="I55:P55" si="27">I53-I54</f>
        <v>56801.95784119505</v>
      </c>
      <c r="J55" s="8">
        <f t="shared" si="27"/>
        <v>54228.04473387239</v>
      </c>
      <c r="K55" s="8">
        <f t="shared" si="27"/>
        <v>51129.910661237271</v>
      </c>
      <c r="L55" s="8">
        <f t="shared" si="27"/>
        <v>38059.407003236272</v>
      </c>
      <c r="M55" s="8">
        <f t="shared" si="27"/>
        <v>33518.219389424208</v>
      </c>
      <c r="N55" s="8">
        <f t="shared" si="27"/>
        <v>28221.124959786001</v>
      </c>
      <c r="O55" s="8">
        <f t="shared" si="27"/>
        <v>22086.126089192956</v>
      </c>
      <c r="P55" s="8">
        <f t="shared" si="27"/>
        <v>15022.836806109233</v>
      </c>
    </row>
    <row r="56" spans="1:16" x14ac:dyDescent="0.2">
      <c r="D56" s="8"/>
      <c r="G56" s="8"/>
    </row>
    <row r="57" spans="1:16" x14ac:dyDescent="0.2">
      <c r="A57" s="2" t="s">
        <v>30</v>
      </c>
      <c r="D57" s="8"/>
      <c r="G57" s="8"/>
    </row>
    <row r="58" spans="1:16" x14ac:dyDescent="0.2">
      <c r="A58" s="2" t="s">
        <v>31</v>
      </c>
      <c r="D58" s="8"/>
      <c r="G58" s="8"/>
    </row>
    <row r="59" spans="1:16" x14ac:dyDescent="0.2">
      <c r="B59" t="s">
        <v>32</v>
      </c>
      <c r="D59" s="8">
        <v>5000</v>
      </c>
      <c r="G59" s="8">
        <v>5000</v>
      </c>
      <c r="H59" s="8">
        <v>5000</v>
      </c>
      <c r="I59" s="8">
        <v>5000</v>
      </c>
      <c r="J59" s="8">
        <v>5000</v>
      </c>
      <c r="K59" s="8">
        <v>5000</v>
      </c>
      <c r="L59" s="8">
        <v>5000</v>
      </c>
      <c r="M59" s="8">
        <v>5000</v>
      </c>
      <c r="N59" s="8">
        <v>5000</v>
      </c>
      <c r="O59" s="8">
        <v>5000</v>
      </c>
      <c r="P59" s="8">
        <v>5000</v>
      </c>
    </row>
    <row r="60" spans="1:16" x14ac:dyDescent="0.2">
      <c r="B60" t="s">
        <v>33</v>
      </c>
      <c r="D60" s="8">
        <v>125780.82191780869</v>
      </c>
      <c r="G60" s="8">
        <v>158301</v>
      </c>
      <c r="H60" s="8">
        <v>235530</v>
      </c>
      <c r="I60" s="8">
        <v>310544</v>
      </c>
      <c r="J60" s="8">
        <v>382858</v>
      </c>
      <c r="K60" s="8">
        <v>451932</v>
      </c>
      <c r="L60" s="8">
        <v>502723</v>
      </c>
      <c r="M60" s="8">
        <v>552625</v>
      </c>
      <c r="N60" s="8">
        <v>596211</v>
      </c>
      <c r="O60" s="8">
        <v>632559</v>
      </c>
      <c r="P60" s="8">
        <v>660650</v>
      </c>
    </row>
    <row r="61" spans="1:16" x14ac:dyDescent="0.2">
      <c r="B61" t="s">
        <v>34</v>
      </c>
      <c r="D61" s="8">
        <f>SUM(D25:D25)/365*D5</f>
        <v>11698.630136986301</v>
      </c>
      <c r="G61" s="8">
        <f t="shared" ref="G61:P61" si="28">SUM(G25:G25)/365*G5</f>
        <v>11932.602739726028</v>
      </c>
      <c r="H61" s="8">
        <f t="shared" si="28"/>
        <v>12171.254794520548</v>
      </c>
      <c r="I61" s="8">
        <f t="shared" si="28"/>
        <v>12414.679890410958</v>
      </c>
      <c r="J61" s="8">
        <f t="shared" si="28"/>
        <v>12662.973488219177</v>
      </c>
      <c r="K61" s="8">
        <f t="shared" si="28"/>
        <v>12916.232957983564</v>
      </c>
      <c r="L61" s="8">
        <f t="shared" si="28"/>
        <v>13174.557617143235</v>
      </c>
      <c r="M61" s="8">
        <f t="shared" si="28"/>
        <v>13438.048769486102</v>
      </c>
      <c r="N61" s="8">
        <f t="shared" si="28"/>
        <v>13706.809744875822</v>
      </c>
      <c r="O61" s="8">
        <f t="shared" si="28"/>
        <v>13980.945939773339</v>
      </c>
      <c r="P61" s="8">
        <f t="shared" si="28"/>
        <v>14260.564858568805</v>
      </c>
    </row>
    <row r="62" spans="1:16" x14ac:dyDescent="0.2">
      <c r="B62" t="s">
        <v>35</v>
      </c>
      <c r="D62" s="8">
        <f>D28/365*D7</f>
        <v>51780.82191780812</v>
      </c>
      <c r="E62" s="8"/>
      <c r="F62" s="8"/>
      <c r="G62" s="8">
        <f t="shared" ref="G62:P62" si="29">G28/365*G7</f>
        <v>26408.219178082141</v>
      </c>
      <c r="H62" s="8">
        <f t="shared" si="29"/>
        <v>26936.383561643783</v>
      </c>
      <c r="I62" s="8">
        <f t="shared" si="29"/>
        <v>27475.111232876658</v>
      </c>
      <c r="J62" s="8">
        <f t="shared" si="29"/>
        <v>28024.613457534193</v>
      </c>
      <c r="K62" s="8">
        <f t="shared" si="29"/>
        <v>28585.10572668488</v>
      </c>
      <c r="L62" s="8">
        <f t="shared" si="29"/>
        <v>29156.807841218579</v>
      </c>
      <c r="M62" s="8">
        <f t="shared" si="29"/>
        <v>29739.94399804296</v>
      </c>
      <c r="N62" s="8">
        <f t="shared" si="29"/>
        <v>30334.74287800381</v>
      </c>
      <c r="O62" s="8">
        <f t="shared" si="29"/>
        <v>30941.437735563886</v>
      </c>
      <c r="P62" s="8">
        <f t="shared" si="29"/>
        <v>31560.266490275164</v>
      </c>
    </row>
    <row r="63" spans="1:16" x14ac:dyDescent="0.2">
      <c r="D63" s="8"/>
      <c r="G63" s="8"/>
      <c r="H63" s="8"/>
      <c r="I63" s="8"/>
      <c r="J63" s="8"/>
      <c r="K63" s="8"/>
      <c r="L63" s="8"/>
      <c r="M63" s="8"/>
      <c r="N63" s="8"/>
      <c r="O63" s="8"/>
      <c r="P63" s="8"/>
    </row>
    <row r="64" spans="1:16" x14ac:dyDescent="0.2">
      <c r="B64" t="s">
        <v>124</v>
      </c>
      <c r="D64" s="8">
        <v>350000</v>
      </c>
      <c r="G64" s="8">
        <f>$D$64</f>
        <v>350000</v>
      </c>
      <c r="H64" s="8">
        <f t="shared" ref="H64:P64" si="30">$D$64</f>
        <v>350000</v>
      </c>
      <c r="I64" s="8">
        <f t="shared" si="30"/>
        <v>350000</v>
      </c>
      <c r="J64" s="8">
        <f t="shared" si="30"/>
        <v>350000</v>
      </c>
      <c r="K64" s="8">
        <f t="shared" si="30"/>
        <v>350000</v>
      </c>
      <c r="L64" s="8">
        <f t="shared" si="30"/>
        <v>350000</v>
      </c>
      <c r="M64" s="8">
        <f t="shared" si="30"/>
        <v>350000</v>
      </c>
      <c r="N64" s="8">
        <f t="shared" si="30"/>
        <v>350000</v>
      </c>
      <c r="O64" s="8">
        <f t="shared" si="30"/>
        <v>350000</v>
      </c>
      <c r="P64" s="8">
        <f t="shared" si="30"/>
        <v>350000</v>
      </c>
    </row>
    <row r="65" spans="1:24" x14ac:dyDescent="0.2">
      <c r="D65" s="8"/>
      <c r="G65" s="8"/>
      <c r="H65" s="8"/>
      <c r="I65" s="8"/>
      <c r="J65" s="8"/>
      <c r="K65" s="8"/>
      <c r="L65" s="8"/>
      <c r="M65" s="8"/>
      <c r="N65" s="8"/>
      <c r="O65" s="8"/>
      <c r="P65" s="8"/>
    </row>
    <row r="66" spans="1:24" x14ac:dyDescent="0.2">
      <c r="B66" t="s">
        <v>123</v>
      </c>
      <c r="D66" s="8">
        <v>500000</v>
      </c>
      <c r="G66" s="8">
        <f>G12*G11</f>
        <v>500030</v>
      </c>
      <c r="H66" s="8">
        <f t="shared" ref="H66:P66" si="31">H12*H11</f>
        <v>500030</v>
      </c>
      <c r="I66" s="8">
        <f t="shared" si="31"/>
        <v>500030</v>
      </c>
      <c r="J66" s="8">
        <f t="shared" si="31"/>
        <v>500030</v>
      </c>
      <c r="K66" s="8">
        <f t="shared" si="31"/>
        <v>500030</v>
      </c>
      <c r="L66" s="8">
        <f t="shared" si="31"/>
        <v>500030</v>
      </c>
      <c r="M66" s="8">
        <f t="shared" si="31"/>
        <v>500030</v>
      </c>
      <c r="N66" s="8">
        <f t="shared" si="31"/>
        <v>500030</v>
      </c>
      <c r="O66" s="8">
        <f t="shared" si="31"/>
        <v>500030</v>
      </c>
      <c r="P66" s="8">
        <f t="shared" si="31"/>
        <v>500030</v>
      </c>
    </row>
    <row r="67" spans="1:24" x14ac:dyDescent="0.2">
      <c r="B67" t="s">
        <v>36</v>
      </c>
      <c r="D67" s="8">
        <f>D46</f>
        <v>16666.666666666668</v>
      </c>
      <c r="G67" s="8">
        <f>D67+G46</f>
        <v>33333.333333333336</v>
      </c>
      <c r="H67" s="8">
        <f>G67+H46</f>
        <v>50000</v>
      </c>
      <c r="I67" s="8">
        <f t="shared" ref="I67:P67" si="32">H67+I46</f>
        <v>66666.666666666672</v>
      </c>
      <c r="J67" s="8">
        <f t="shared" si="32"/>
        <v>83333.333333333343</v>
      </c>
      <c r="K67" s="8">
        <f t="shared" si="32"/>
        <v>100000.00000000001</v>
      </c>
      <c r="L67" s="8">
        <f t="shared" si="32"/>
        <v>116666.66666666669</v>
      </c>
      <c r="M67" s="8">
        <f t="shared" si="32"/>
        <v>133333.33333333334</v>
      </c>
      <c r="N67" s="8">
        <f t="shared" si="32"/>
        <v>150000</v>
      </c>
      <c r="O67" s="8">
        <f t="shared" si="32"/>
        <v>166666.66666666666</v>
      </c>
      <c r="P67" s="8">
        <f t="shared" si="32"/>
        <v>183333.33333333331</v>
      </c>
    </row>
    <row r="68" spans="1:24" x14ac:dyDescent="0.2">
      <c r="D68" s="8"/>
      <c r="G68" s="8"/>
      <c r="H68" s="8"/>
      <c r="I68" s="8"/>
      <c r="J68" s="8"/>
      <c r="K68" s="8"/>
      <c r="L68" s="8"/>
      <c r="M68" s="8"/>
      <c r="N68" s="8"/>
      <c r="O68" s="8"/>
      <c r="P68" s="8"/>
    </row>
    <row r="69" spans="1:24" x14ac:dyDescent="0.2">
      <c r="B69" t="s">
        <v>94</v>
      </c>
      <c r="D69" s="8">
        <v>120000</v>
      </c>
      <c r="G69" s="8">
        <f>D69</f>
        <v>120000</v>
      </c>
      <c r="H69" s="8">
        <f>G69</f>
        <v>120000</v>
      </c>
      <c r="I69" s="8">
        <f t="shared" ref="I69:P69" si="33">H69</f>
        <v>120000</v>
      </c>
      <c r="J69" s="8">
        <f t="shared" si="33"/>
        <v>120000</v>
      </c>
      <c r="K69" s="8">
        <f t="shared" si="33"/>
        <v>120000</v>
      </c>
      <c r="L69" s="8">
        <f t="shared" si="33"/>
        <v>120000</v>
      </c>
      <c r="M69" s="8">
        <f t="shared" si="33"/>
        <v>120000</v>
      </c>
      <c r="N69" s="8">
        <f t="shared" si="33"/>
        <v>120000</v>
      </c>
      <c r="O69" s="8">
        <f t="shared" si="33"/>
        <v>120000</v>
      </c>
      <c r="P69" s="8">
        <f t="shared" si="33"/>
        <v>120000</v>
      </c>
    </row>
    <row r="70" spans="1:24" x14ac:dyDescent="0.2">
      <c r="B70" t="s">
        <v>36</v>
      </c>
      <c r="D70" s="8">
        <f>D45</f>
        <v>12000</v>
      </c>
      <c r="G70" s="8">
        <f t="shared" ref="G70:P70" si="34">F70+G45</f>
        <v>12000</v>
      </c>
      <c r="H70" s="8">
        <f t="shared" si="34"/>
        <v>24000</v>
      </c>
      <c r="I70" s="8">
        <f t="shared" si="34"/>
        <v>36000</v>
      </c>
      <c r="J70" s="8">
        <f t="shared" si="34"/>
        <v>48000</v>
      </c>
      <c r="K70" s="8">
        <f t="shared" si="34"/>
        <v>60000</v>
      </c>
      <c r="L70" s="8">
        <f t="shared" si="34"/>
        <v>72000</v>
      </c>
      <c r="M70" s="8">
        <f t="shared" si="34"/>
        <v>84000</v>
      </c>
      <c r="N70" s="8">
        <f t="shared" si="34"/>
        <v>96000</v>
      </c>
      <c r="O70" s="8">
        <f t="shared" si="34"/>
        <v>108000</v>
      </c>
      <c r="P70" s="8">
        <f t="shared" si="34"/>
        <v>120000</v>
      </c>
    </row>
    <row r="71" spans="1:24" x14ac:dyDescent="0.2">
      <c r="D71" s="8"/>
      <c r="G71" s="8"/>
      <c r="H71" s="8"/>
      <c r="I71" s="8"/>
      <c r="J71" s="8"/>
      <c r="K71" s="8"/>
      <c r="L71" s="8"/>
      <c r="M71" s="8"/>
      <c r="N71" s="8"/>
      <c r="O71" s="8"/>
      <c r="P71" s="8"/>
    </row>
    <row r="72" spans="1:24" x14ac:dyDescent="0.2">
      <c r="A72" s="2" t="s">
        <v>37</v>
      </c>
      <c r="D72" s="8">
        <f>SUM(D59:D69)-D70</f>
        <v>1168926.9406392698</v>
      </c>
      <c r="G72" s="8">
        <f>SUM(G59:G66)-G70+G69-G67</f>
        <v>1126338.4885844749</v>
      </c>
      <c r="H72" s="8">
        <f t="shared" ref="H72:P72" si="35">SUM(H59:H66)-H70+H69-H67</f>
        <v>1175667.6383561643</v>
      </c>
      <c r="I72" s="8">
        <f t="shared" si="35"/>
        <v>1222797.124456621</v>
      </c>
      <c r="J72" s="8">
        <f t="shared" si="35"/>
        <v>1267242.2536124201</v>
      </c>
      <c r="K72" s="8">
        <f t="shared" si="35"/>
        <v>1308463.3386846683</v>
      </c>
      <c r="L72" s="8">
        <f t="shared" si="35"/>
        <v>1331417.6987916951</v>
      </c>
      <c r="M72" s="8">
        <f t="shared" si="35"/>
        <v>1353499.6594341958</v>
      </c>
      <c r="N72" s="8">
        <f t="shared" si="35"/>
        <v>1369282.5526228799</v>
      </c>
      <c r="O72" s="8">
        <f t="shared" si="35"/>
        <v>1377844.7170086706</v>
      </c>
      <c r="P72" s="8">
        <f t="shared" si="35"/>
        <v>1378167.4980155106</v>
      </c>
    </row>
    <row r="73" spans="1:24" x14ac:dyDescent="0.2">
      <c r="D73" s="8"/>
      <c r="G73" s="8"/>
      <c r="H73" s="8"/>
      <c r="I73" s="8"/>
      <c r="J73" s="8"/>
      <c r="K73" s="8"/>
      <c r="L73" s="8"/>
      <c r="M73" s="8"/>
      <c r="N73" s="8"/>
      <c r="O73" s="8"/>
      <c r="P73" s="8"/>
    </row>
    <row r="74" spans="1:24" x14ac:dyDescent="0.2">
      <c r="A74" s="2" t="s">
        <v>38</v>
      </c>
      <c r="D74" s="8"/>
      <c r="G74" s="8"/>
      <c r="H74" s="8"/>
      <c r="I74" s="8"/>
      <c r="J74" s="8"/>
      <c r="K74" s="8"/>
      <c r="L74" s="8"/>
      <c r="M74" s="8"/>
      <c r="N74" s="8"/>
      <c r="O74" s="8"/>
      <c r="P74" s="8"/>
    </row>
    <row r="75" spans="1:24" x14ac:dyDescent="0.2">
      <c r="B75" t="s">
        <v>39</v>
      </c>
      <c r="D75" s="8">
        <f>D28/365*D6</f>
        <v>17260.273972602707</v>
      </c>
      <c r="G75" s="8">
        <f t="shared" ref="G75:P75" si="36">G28/365*G6</f>
        <v>17605.479452054762</v>
      </c>
      <c r="H75" s="8">
        <f t="shared" si="36"/>
        <v>17957.589041095856</v>
      </c>
      <c r="I75" s="8">
        <f t="shared" si="36"/>
        <v>18316.740821917771</v>
      </c>
      <c r="J75" s="8">
        <f t="shared" si="36"/>
        <v>18683.075638356127</v>
      </c>
      <c r="K75" s="8">
        <f t="shared" si="36"/>
        <v>19056.737151123256</v>
      </c>
      <c r="L75" s="8">
        <f t="shared" si="36"/>
        <v>19437.871894145719</v>
      </c>
      <c r="M75" s="8">
        <f t="shared" si="36"/>
        <v>19826.629332028639</v>
      </c>
      <c r="N75" s="8">
        <f t="shared" si="36"/>
        <v>20223.161918669208</v>
      </c>
      <c r="O75" s="8">
        <f t="shared" si="36"/>
        <v>20627.625157042592</v>
      </c>
      <c r="P75" s="8">
        <f t="shared" si="36"/>
        <v>21040.177660183443</v>
      </c>
    </row>
    <row r="76" spans="1:24" x14ac:dyDescent="0.2">
      <c r="B76" t="s">
        <v>40</v>
      </c>
      <c r="D76" s="8">
        <f>D54</f>
        <v>55416.666666666817</v>
      </c>
      <c r="G76" s="8">
        <f t="shared" ref="G76:P76" si="37">G54</f>
        <v>32621.214355266842</v>
      </c>
      <c r="H76" s="8">
        <f t="shared" si="37"/>
        <v>31717.319944427578</v>
      </c>
      <c r="I76" s="8">
        <f t="shared" si="37"/>
        <v>30585.669606797335</v>
      </c>
      <c r="J76" s="8">
        <f t="shared" si="37"/>
        <v>29199.716395162057</v>
      </c>
      <c r="K76" s="8">
        <f t="shared" si="37"/>
        <v>27531.490356050836</v>
      </c>
      <c r="L76" s="8">
        <f t="shared" si="37"/>
        <v>20493.52684789645</v>
      </c>
      <c r="M76" s="8">
        <f t="shared" si="37"/>
        <v>18048.271978920722</v>
      </c>
      <c r="N76" s="8">
        <f t="shared" si="37"/>
        <v>15195.990362961691</v>
      </c>
      <c r="O76" s="8">
        <f t="shared" si="37"/>
        <v>11892.529432642361</v>
      </c>
      <c r="P76" s="8">
        <f t="shared" si="37"/>
        <v>8089.2198186742016</v>
      </c>
    </row>
    <row r="77" spans="1:24" x14ac:dyDescent="0.2">
      <c r="D77" s="8"/>
      <c r="G77" s="8"/>
      <c r="S77" s="14" t="s">
        <v>84</v>
      </c>
      <c r="T77" s="15">
        <f>D20</f>
        <v>0.74</v>
      </c>
      <c r="U77" s="16"/>
      <c r="V77" s="16"/>
      <c r="W77" s="16"/>
      <c r="X77" s="17"/>
    </row>
    <row r="78" spans="1:24" x14ac:dyDescent="0.2">
      <c r="A78" t="s">
        <v>41</v>
      </c>
      <c r="D78" s="8">
        <v>0</v>
      </c>
      <c r="G78" s="8">
        <v>0</v>
      </c>
      <c r="H78" s="8">
        <v>21144.490159079531</v>
      </c>
      <c r="I78" s="8">
        <v>43060.350585451379</v>
      </c>
      <c r="J78" s="8">
        <v>65837.243420710773</v>
      </c>
      <c r="K78" s="8">
        <v>89536.040274177372</v>
      </c>
      <c r="L78" s="8">
        <v>114225.5083516677</v>
      </c>
      <c r="M78" s="8">
        <v>118863.28842082107</v>
      </c>
      <c r="N78" s="8">
        <v>123837.12777109622</v>
      </c>
      <c r="O78" s="8">
        <v>129170.13844135078</v>
      </c>
      <c r="P78" s="8">
        <v>134887.54955326312</v>
      </c>
      <c r="S78" s="18" t="s">
        <v>87</v>
      </c>
      <c r="T78" s="19">
        <f>T90</f>
        <v>2.4014330356894282E-2</v>
      </c>
      <c r="U78" s="20"/>
      <c r="V78" s="20"/>
      <c r="W78" s="20"/>
      <c r="X78" s="21"/>
    </row>
    <row r="79" spans="1:24" x14ac:dyDescent="0.2">
      <c r="A79" t="s">
        <v>122</v>
      </c>
      <c r="D79" s="8"/>
      <c r="G79" s="8">
        <f>Mortgage!F15</f>
        <v>840499.33351383999</v>
      </c>
      <c r="H79" s="8">
        <f>Mortgage!F29</f>
        <v>830362.38979784353</v>
      </c>
      <c r="I79" s="8">
        <f>Mortgage!F43</f>
        <v>819546.55618754122</v>
      </c>
      <c r="J79" s="8">
        <f>Mortgage!F57</f>
        <v>808006.36616940552</v>
      </c>
      <c r="K79" s="8">
        <f>Mortgage!F71</f>
        <v>795693.30825329386</v>
      </c>
      <c r="L79" s="8">
        <f>Mortgage!F85</f>
        <v>782555.62204472604</v>
      </c>
      <c r="M79" s="8">
        <f>Mortgage!F99</f>
        <v>768538.080659742</v>
      </c>
      <c r="N79" s="8">
        <f>Mortgage!F113</f>
        <v>753581.75856768317</v>
      </c>
      <c r="O79" s="8">
        <f>Mortgage!F127</f>
        <v>737623.78388597257</v>
      </c>
      <c r="P79" s="8">
        <f>Mortgage!F141</f>
        <v>720597.07408561825</v>
      </c>
      <c r="S79" s="18"/>
      <c r="T79" s="19"/>
      <c r="U79" s="20"/>
      <c r="V79" s="20"/>
      <c r="W79" s="20"/>
      <c r="X79" s="21"/>
    </row>
    <row r="80" spans="1:24" x14ac:dyDescent="0.2">
      <c r="A80" t="s">
        <v>105</v>
      </c>
      <c r="D80" s="8">
        <v>100000</v>
      </c>
      <c r="G80" s="8">
        <f>D80</f>
        <v>100000</v>
      </c>
      <c r="H80" s="8">
        <v>80000</v>
      </c>
      <c r="I80" s="8">
        <v>60000</v>
      </c>
      <c r="J80" s="8">
        <v>40000</v>
      </c>
      <c r="K80" s="8">
        <v>20000</v>
      </c>
      <c r="L80" s="8">
        <v>0</v>
      </c>
      <c r="M80" s="8">
        <f>L80</f>
        <v>0</v>
      </c>
      <c r="N80" s="8">
        <f>M80</f>
        <v>0</v>
      </c>
      <c r="O80" s="8">
        <f>N80</f>
        <v>0</v>
      </c>
      <c r="P80" s="8">
        <f>O80</f>
        <v>0</v>
      </c>
      <c r="S80" s="18"/>
      <c r="T80" s="19"/>
      <c r="U80" s="20"/>
      <c r="V80" s="20"/>
      <c r="W80" s="20"/>
      <c r="X80" s="21"/>
    </row>
    <row r="81" spans="1:24" x14ac:dyDescent="0.2">
      <c r="D81" s="8"/>
      <c r="G81" s="8"/>
      <c r="S81" s="18" t="s">
        <v>88</v>
      </c>
      <c r="T81" s="19">
        <f>T93</f>
        <v>0.27976492474818637</v>
      </c>
      <c r="U81" s="20"/>
      <c r="V81" s="20"/>
      <c r="W81" s="20"/>
      <c r="X81" s="21"/>
    </row>
    <row r="82" spans="1:24" x14ac:dyDescent="0.2">
      <c r="A82" t="s">
        <v>108</v>
      </c>
      <c r="D82" s="8">
        <v>75000</v>
      </c>
      <c r="G82" s="8">
        <v>75000</v>
      </c>
      <c r="H82" s="8">
        <v>75000</v>
      </c>
      <c r="I82" s="8">
        <v>75000</v>
      </c>
      <c r="J82" s="8">
        <v>75000</v>
      </c>
      <c r="K82" s="8">
        <v>75000</v>
      </c>
      <c r="L82" s="8">
        <v>75000</v>
      </c>
      <c r="M82" s="8">
        <v>75000</v>
      </c>
      <c r="N82" s="8">
        <v>75000</v>
      </c>
      <c r="O82" s="8">
        <v>75000</v>
      </c>
      <c r="P82" s="8">
        <v>75000</v>
      </c>
      <c r="S82" s="18" t="s">
        <v>83</v>
      </c>
      <c r="T82" s="22">
        <v>2.5</v>
      </c>
      <c r="U82" s="20"/>
      <c r="V82" s="20"/>
      <c r="W82" s="20"/>
      <c r="X82" s="21"/>
    </row>
    <row r="83" spans="1:24" x14ac:dyDescent="0.2">
      <c r="A83" t="s">
        <v>42</v>
      </c>
      <c r="D83" s="8">
        <f>C83+D55</f>
        <v>102916.66666666696</v>
      </c>
      <c r="G83" s="8">
        <f t="shared" ref="G83:P83" si="38">F83+G55</f>
        <v>60582.255231209856</v>
      </c>
      <c r="H83" s="8">
        <f t="shared" si="38"/>
        <v>119485.84941371821</v>
      </c>
      <c r="I83" s="8">
        <f t="shared" si="38"/>
        <v>176287.80725491326</v>
      </c>
      <c r="J83" s="8">
        <f t="shared" si="38"/>
        <v>230515.85198878567</v>
      </c>
      <c r="K83" s="8">
        <f t="shared" si="38"/>
        <v>281645.76265002292</v>
      </c>
      <c r="L83" s="8">
        <f t="shared" si="38"/>
        <v>319705.16965325922</v>
      </c>
      <c r="M83" s="8">
        <f t="shared" si="38"/>
        <v>353223.38904268341</v>
      </c>
      <c r="N83" s="8">
        <f t="shared" si="38"/>
        <v>381444.51400246943</v>
      </c>
      <c r="O83" s="8">
        <f t="shared" si="38"/>
        <v>403530.64009166241</v>
      </c>
      <c r="P83" s="8">
        <f t="shared" si="38"/>
        <v>418553.47689777164</v>
      </c>
      <c r="S83" s="18"/>
      <c r="T83" s="20"/>
      <c r="U83" s="20"/>
      <c r="V83" s="20"/>
      <c r="W83" s="20"/>
      <c r="X83" s="21"/>
    </row>
    <row r="84" spans="1:24" x14ac:dyDescent="0.2">
      <c r="D84" s="8"/>
      <c r="G84" s="8"/>
      <c r="S84" s="18" t="s">
        <v>85</v>
      </c>
      <c r="T84" s="19">
        <f>D21</f>
        <v>0.03</v>
      </c>
      <c r="U84" s="20"/>
      <c r="V84" s="20"/>
      <c r="W84" s="20"/>
      <c r="X84" s="21"/>
    </row>
    <row r="85" spans="1:24" x14ac:dyDescent="0.2">
      <c r="A85" s="2" t="s">
        <v>43</v>
      </c>
      <c r="D85" s="8">
        <f>SUM(D75:D83)</f>
        <v>350593.60730593652</v>
      </c>
      <c r="G85" s="8">
        <f t="shared" ref="G85:P85" si="39">SUM(G75:G83)</f>
        <v>1126308.2825523715</v>
      </c>
      <c r="H85" s="8">
        <f t="shared" si="39"/>
        <v>1175667.6383561646</v>
      </c>
      <c r="I85" s="8">
        <f t="shared" si="39"/>
        <v>1222797.124456621</v>
      </c>
      <c r="J85" s="8">
        <f t="shared" si="39"/>
        <v>1267242.2536124201</v>
      </c>
      <c r="K85" s="8">
        <f t="shared" si="39"/>
        <v>1308463.3386846683</v>
      </c>
      <c r="L85" s="8">
        <f t="shared" si="39"/>
        <v>1331417.6987916951</v>
      </c>
      <c r="M85" s="8">
        <f t="shared" si="39"/>
        <v>1353499.6594341958</v>
      </c>
      <c r="N85" s="8">
        <f t="shared" si="39"/>
        <v>1369282.5526228796</v>
      </c>
      <c r="O85" s="8">
        <f t="shared" si="39"/>
        <v>1377844.7170086708</v>
      </c>
      <c r="P85" s="8">
        <f t="shared" si="39"/>
        <v>1378167.4980155106</v>
      </c>
      <c r="S85" s="18" t="s">
        <v>86</v>
      </c>
      <c r="T85" s="19">
        <v>0.08</v>
      </c>
      <c r="U85" s="20"/>
      <c r="V85" s="20"/>
      <c r="W85" s="20"/>
      <c r="X85" s="21"/>
    </row>
    <row r="86" spans="1:24" x14ac:dyDescent="0.2">
      <c r="D86" s="8"/>
      <c r="G86" s="8"/>
      <c r="S86" s="18"/>
      <c r="T86" s="20"/>
      <c r="U86" s="20"/>
      <c r="V86" s="20"/>
      <c r="W86" s="20"/>
      <c r="X86" s="21"/>
    </row>
    <row r="87" spans="1:24" x14ac:dyDescent="0.2">
      <c r="A87" t="s">
        <v>44</v>
      </c>
      <c r="D87" s="8"/>
      <c r="G87" s="8">
        <v>0</v>
      </c>
      <c r="H87" s="8">
        <f t="shared" ref="H87:P87" si="40">H72-H85</f>
        <v>0</v>
      </c>
      <c r="I87" s="8">
        <f t="shared" si="40"/>
        <v>0</v>
      </c>
      <c r="J87" s="8">
        <f t="shared" si="40"/>
        <v>0</v>
      </c>
      <c r="K87" s="8">
        <f t="shared" si="40"/>
        <v>0</v>
      </c>
      <c r="L87" s="8">
        <f t="shared" si="40"/>
        <v>0</v>
      </c>
      <c r="M87" s="8">
        <f t="shared" si="40"/>
        <v>0</v>
      </c>
      <c r="N87" s="8">
        <f t="shared" si="40"/>
        <v>0</v>
      </c>
      <c r="O87" s="8">
        <f t="shared" si="40"/>
        <v>0</v>
      </c>
      <c r="P87" s="8">
        <f t="shared" si="40"/>
        <v>0</v>
      </c>
      <c r="S87" s="18" t="s">
        <v>82</v>
      </c>
      <c r="T87" s="23">
        <f>T84+T82*(T85-T84)</f>
        <v>0.155</v>
      </c>
      <c r="U87" s="20"/>
      <c r="V87" s="20"/>
      <c r="W87" s="20"/>
      <c r="X87" s="21"/>
    </row>
    <row r="88" spans="1:24" x14ac:dyDescent="0.2">
      <c r="A88" s="6"/>
      <c r="B88" s="6"/>
      <c r="C88" s="6"/>
      <c r="D88" s="7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S88" s="18"/>
      <c r="T88" s="20"/>
      <c r="U88" s="20"/>
      <c r="V88" s="20"/>
      <c r="W88" s="20"/>
      <c r="X88" s="21"/>
    </row>
    <row r="89" spans="1:24" x14ac:dyDescent="0.2">
      <c r="A89" s="2" t="s">
        <v>45</v>
      </c>
      <c r="S89" s="18" t="s">
        <v>78</v>
      </c>
      <c r="T89" s="20" t="s">
        <v>79</v>
      </c>
      <c r="U89" s="20" t="s">
        <v>66</v>
      </c>
      <c r="V89" s="20" t="s">
        <v>80</v>
      </c>
      <c r="W89" s="20" t="s">
        <v>81</v>
      </c>
      <c r="X89" s="21"/>
    </row>
    <row r="90" spans="1:24" x14ac:dyDescent="0.2">
      <c r="R90" t="s">
        <v>94</v>
      </c>
      <c r="S90" s="24">
        <f>AVERAGE(G80:P80)</f>
        <v>30000</v>
      </c>
      <c r="T90" s="23">
        <f>S90/S95</f>
        <v>2.4014330356894282E-2</v>
      </c>
      <c r="U90" s="23">
        <f>P14</f>
        <v>0.05</v>
      </c>
      <c r="V90" s="23">
        <f>U90*(1-$P$16)</f>
        <v>3.2500000000000001E-2</v>
      </c>
      <c r="W90" s="23">
        <f>T90*V90</f>
        <v>7.8046573659906423E-4</v>
      </c>
      <c r="X90" s="21"/>
    </row>
    <row r="91" spans="1:24" x14ac:dyDescent="0.2">
      <c r="B91" t="s">
        <v>25</v>
      </c>
      <c r="G91" s="11">
        <f t="shared" ref="G91:P91" si="41">G43</f>
        <v>181840.40816326579</v>
      </c>
      <c r="H91" s="11">
        <f t="shared" si="41"/>
        <v>179736.02448979637</v>
      </c>
      <c r="I91" s="11">
        <f t="shared" si="41"/>
        <v>177015.43395918416</v>
      </c>
      <c r="J91" s="11">
        <f t="shared" si="41"/>
        <v>173608.90051591885</v>
      </c>
      <c r="K91" s="11">
        <f t="shared" si="41"/>
        <v>169439.55219154333</v>
      </c>
      <c r="L91" s="11">
        <f t="shared" si="41"/>
        <v>149975.40354068042</v>
      </c>
      <c r="M91" s="11">
        <f t="shared" si="41"/>
        <v>142572.88388839189</v>
      </c>
      <c r="N91" s="11">
        <f t="shared" si="41"/>
        <v>133982.11107074749</v>
      </c>
      <c r="O91" s="11">
        <f t="shared" si="41"/>
        <v>124075.29974720883</v>
      </c>
      <c r="P91" s="11">
        <f t="shared" si="41"/>
        <v>112711.70684270433</v>
      </c>
      <c r="R91" t="s">
        <v>122</v>
      </c>
      <c r="S91" s="24">
        <f>AVERAGE(G79:P79)</f>
        <v>785700.4273165667</v>
      </c>
      <c r="T91" s="23">
        <f>S91/S95</f>
        <v>0.62893565410443453</v>
      </c>
      <c r="U91" s="23">
        <f>Mortgage!I3</f>
        <v>6.5000000000000002E-2</v>
      </c>
      <c r="V91" s="23">
        <f t="shared" ref="V91:V92" si="42">U91*(1-$P$16)</f>
        <v>4.2250000000000003E-2</v>
      </c>
      <c r="W91" s="23">
        <f>T91*V91</f>
        <v>2.6572531385912361E-2</v>
      </c>
      <c r="X91" s="21"/>
    </row>
    <row r="92" spans="1:24" x14ac:dyDescent="0.2">
      <c r="B92" t="s">
        <v>46</v>
      </c>
      <c r="G92" s="11">
        <f t="shared" ref="G92:P92" si="43">G45+G46</f>
        <v>28666.666666666668</v>
      </c>
      <c r="H92" s="11">
        <f t="shared" si="43"/>
        <v>28666.666666666668</v>
      </c>
      <c r="I92" s="11">
        <f t="shared" si="43"/>
        <v>28666.666666666668</v>
      </c>
      <c r="J92" s="11">
        <f t="shared" si="43"/>
        <v>28666.666666666668</v>
      </c>
      <c r="K92" s="11">
        <f t="shared" si="43"/>
        <v>28666.666666666668</v>
      </c>
      <c r="L92" s="11">
        <f t="shared" si="43"/>
        <v>28666.666666666668</v>
      </c>
      <c r="M92" s="11">
        <f t="shared" si="43"/>
        <v>28666.666666666668</v>
      </c>
      <c r="N92" s="11">
        <f t="shared" si="43"/>
        <v>28666.666666666668</v>
      </c>
      <c r="O92" s="11">
        <f t="shared" si="43"/>
        <v>28666.666666666668</v>
      </c>
      <c r="P92" s="11">
        <f t="shared" si="43"/>
        <v>28666.666666666668</v>
      </c>
      <c r="R92" t="s">
        <v>128</v>
      </c>
      <c r="S92" s="24">
        <f>AVERAGE(G78:P78)</f>
        <v>84056.173697761798</v>
      </c>
      <c r="T92" s="23">
        <f>S92/S95</f>
        <v>6.7285090790484656E-2</v>
      </c>
      <c r="U92" s="23">
        <f>D15</f>
        <v>0.1</v>
      </c>
      <c r="V92" s="23">
        <f t="shared" si="42"/>
        <v>6.5000000000000002E-2</v>
      </c>
      <c r="W92" s="23">
        <f>T92*V92</f>
        <v>4.3735309013815029E-3</v>
      </c>
      <c r="X92" s="21"/>
    </row>
    <row r="93" spans="1:24" x14ac:dyDescent="0.2">
      <c r="B93" t="s">
        <v>47</v>
      </c>
      <c r="G93" s="11">
        <f>G91-G92</f>
        <v>153173.74149659913</v>
      </c>
      <c r="H93" s="11">
        <f>H91-H92</f>
        <v>151069.35782312971</v>
      </c>
      <c r="I93" s="11">
        <f t="shared" ref="I93:P93" si="44">I91-I92</f>
        <v>148348.7672925175</v>
      </c>
      <c r="J93" s="11">
        <f t="shared" si="44"/>
        <v>144942.2338492522</v>
      </c>
      <c r="K93" s="11">
        <f t="shared" si="44"/>
        <v>140772.88552487668</v>
      </c>
      <c r="L93" s="11">
        <f t="shared" si="44"/>
        <v>121308.73687401375</v>
      </c>
      <c r="M93" s="11">
        <f t="shared" si="44"/>
        <v>113906.21722172522</v>
      </c>
      <c r="N93" s="11">
        <f t="shared" si="44"/>
        <v>105315.44440408082</v>
      </c>
      <c r="O93" s="11">
        <f t="shared" si="44"/>
        <v>95408.63308054216</v>
      </c>
      <c r="P93" s="11">
        <f t="shared" si="44"/>
        <v>84045.040176037655</v>
      </c>
      <c r="R93" t="s">
        <v>129</v>
      </c>
      <c r="S93" s="24">
        <f>AVERAGE(G82:P82)</f>
        <v>75000</v>
      </c>
      <c r="T93" s="23">
        <f>SUM(S93:S94)/S95</f>
        <v>0.27976492474818637</v>
      </c>
      <c r="U93" s="23">
        <f>T87</f>
        <v>0.155</v>
      </c>
      <c r="V93" s="23">
        <f>U93</f>
        <v>0.155</v>
      </c>
      <c r="W93" s="23">
        <f>T93*V93</f>
        <v>4.3363563335968885E-2</v>
      </c>
      <c r="X93" s="21"/>
    </row>
    <row r="94" spans="1:24" x14ac:dyDescent="0.2">
      <c r="B94" t="s">
        <v>48</v>
      </c>
      <c r="G94" s="11">
        <f t="shared" ref="G94:P94" si="45">G93*G16</f>
        <v>53610.809523809694</v>
      </c>
      <c r="H94" s="11">
        <f t="shared" si="45"/>
        <v>52874.275238095397</v>
      </c>
      <c r="I94" s="11">
        <f t="shared" si="45"/>
        <v>51922.068552381119</v>
      </c>
      <c r="J94" s="11">
        <f t="shared" si="45"/>
        <v>50729.781847238264</v>
      </c>
      <c r="K94" s="11">
        <f t="shared" si="45"/>
        <v>49270.509933706831</v>
      </c>
      <c r="L94" s="11">
        <f t="shared" si="45"/>
        <v>42458.05790590481</v>
      </c>
      <c r="M94" s="11">
        <f t="shared" si="45"/>
        <v>39867.176027603826</v>
      </c>
      <c r="N94" s="11">
        <f t="shared" si="45"/>
        <v>36860.405541428285</v>
      </c>
      <c r="O94" s="11">
        <f t="shared" si="45"/>
        <v>33393.021578189757</v>
      </c>
      <c r="P94" s="11">
        <f t="shared" si="45"/>
        <v>29415.764061613176</v>
      </c>
      <c r="R94" t="s">
        <v>130</v>
      </c>
      <c r="S94" s="24">
        <f>AVERAGE(G83:P83)</f>
        <v>274497.47162264958</v>
      </c>
      <c r="T94" s="23"/>
      <c r="U94" s="23"/>
      <c r="V94" s="23"/>
      <c r="W94" s="23"/>
      <c r="X94" s="21"/>
    </row>
    <row r="95" spans="1:24" s="20" customFormat="1" x14ac:dyDescent="0.2">
      <c r="A95"/>
      <c r="B95" t="s">
        <v>49</v>
      </c>
      <c r="C95"/>
      <c r="D95" s="1"/>
      <c r="E95"/>
      <c r="F95"/>
      <c r="G95" s="11">
        <f>G91-G94</f>
        <v>128229.59863945609</v>
      </c>
      <c r="H95" s="11">
        <f>H91-H94</f>
        <v>126861.74925170097</v>
      </c>
      <c r="I95" s="11">
        <f t="shared" ref="I95:P95" si="46">I91-I94</f>
        <v>125093.36540680303</v>
      </c>
      <c r="J95" s="11">
        <f t="shared" si="46"/>
        <v>122879.11866868059</v>
      </c>
      <c r="K95" s="11">
        <f t="shared" si="46"/>
        <v>120169.0422578365</v>
      </c>
      <c r="L95" s="11">
        <f t="shared" si="46"/>
        <v>107517.34563477561</v>
      </c>
      <c r="M95" s="11">
        <f t="shared" si="46"/>
        <v>102705.70786078807</v>
      </c>
      <c r="N95" s="11">
        <f t="shared" si="46"/>
        <v>97121.70552931921</v>
      </c>
      <c r="O95" s="11">
        <f t="shared" si="46"/>
        <v>90682.278169019075</v>
      </c>
      <c r="P95" s="11">
        <f t="shared" si="46"/>
        <v>83295.942781091144</v>
      </c>
      <c r="S95" s="25">
        <f>SUM(S90:S94)</f>
        <v>1249254.0726369782</v>
      </c>
      <c r="T95" s="26">
        <f>SUM(T90:T94)</f>
        <v>0.99999999999999978</v>
      </c>
      <c r="U95" s="26"/>
      <c r="V95" s="26"/>
      <c r="W95" s="27">
        <f>SUM(W90:W94)</f>
        <v>7.5090091359861805E-2</v>
      </c>
      <c r="X95" s="28" t="s">
        <v>89</v>
      </c>
    </row>
    <row r="97" spans="1:18" x14ac:dyDescent="0.2">
      <c r="A97" t="s">
        <v>50</v>
      </c>
    </row>
    <row r="98" spans="1:18" x14ac:dyDescent="0.2">
      <c r="A98" t="s">
        <v>73</v>
      </c>
      <c r="B98" t="s">
        <v>32</v>
      </c>
      <c r="F98" s="11">
        <f t="shared" ref="F98:P98" si="47">-(G59-F59)</f>
        <v>-5000</v>
      </c>
      <c r="G98" s="11">
        <f t="shared" si="47"/>
        <v>0</v>
      </c>
      <c r="H98" s="11">
        <f t="shared" si="47"/>
        <v>0</v>
      </c>
      <c r="I98" s="11">
        <f t="shared" si="47"/>
        <v>0</v>
      </c>
      <c r="J98" s="11">
        <f t="shared" si="47"/>
        <v>0</v>
      </c>
      <c r="K98" s="11">
        <f t="shared" si="47"/>
        <v>0</v>
      </c>
      <c r="L98" s="11">
        <f t="shared" si="47"/>
        <v>0</v>
      </c>
      <c r="M98" s="11">
        <f t="shared" si="47"/>
        <v>0</v>
      </c>
      <c r="N98" s="11">
        <f t="shared" si="47"/>
        <v>0</v>
      </c>
      <c r="O98" s="11">
        <f t="shared" si="47"/>
        <v>0</v>
      </c>
      <c r="P98" s="11">
        <f t="shared" si="47"/>
        <v>5000</v>
      </c>
    </row>
    <row r="99" spans="1:18" x14ac:dyDescent="0.2">
      <c r="A99" t="s">
        <v>73</v>
      </c>
      <c r="B99" t="s">
        <v>34</v>
      </c>
      <c r="F99" s="11">
        <f t="shared" ref="F99:P99" si="48">-(G61-F61)</f>
        <v>-11932.602739726028</v>
      </c>
      <c r="G99" s="11">
        <f t="shared" si="48"/>
        <v>-238.65205479452015</v>
      </c>
      <c r="H99" s="11">
        <f t="shared" si="48"/>
        <v>-243.42509589041038</v>
      </c>
      <c r="I99" s="11">
        <f t="shared" si="48"/>
        <v>-248.29359780821869</v>
      </c>
      <c r="J99" s="11">
        <f t="shared" si="48"/>
        <v>-253.25946976438718</v>
      </c>
      <c r="K99" s="11">
        <f t="shared" si="48"/>
        <v>-258.32465915967077</v>
      </c>
      <c r="L99" s="11">
        <f t="shared" si="48"/>
        <v>-263.49115234286728</v>
      </c>
      <c r="M99" s="11">
        <f t="shared" si="48"/>
        <v>-268.76097538971953</v>
      </c>
      <c r="N99" s="11">
        <f t="shared" si="48"/>
        <v>-274.13619489751727</v>
      </c>
      <c r="O99" s="11">
        <f t="shared" si="48"/>
        <v>-279.61891879546602</v>
      </c>
      <c r="P99" s="11">
        <f t="shared" si="48"/>
        <v>14260.564858568805</v>
      </c>
    </row>
    <row r="100" spans="1:18" x14ac:dyDescent="0.2">
      <c r="A100" t="s">
        <v>73</v>
      </c>
      <c r="B100" t="s">
        <v>35</v>
      </c>
      <c r="F100" s="11">
        <f t="shared" ref="F100:P100" si="49">-(G62-F62)</f>
        <v>-26408.219178082141</v>
      </c>
      <c r="G100" s="11">
        <f t="shared" si="49"/>
        <v>-528.16438356164144</v>
      </c>
      <c r="H100" s="11">
        <f t="shared" si="49"/>
        <v>-538.72767123287485</v>
      </c>
      <c r="I100" s="11">
        <f t="shared" si="49"/>
        <v>-549.50222465753541</v>
      </c>
      <c r="J100" s="11">
        <f t="shared" si="49"/>
        <v>-560.49226915068721</v>
      </c>
      <c r="K100" s="11">
        <f t="shared" si="49"/>
        <v>-571.70211453369848</v>
      </c>
      <c r="L100" s="11">
        <f t="shared" si="49"/>
        <v>-583.13615682438103</v>
      </c>
      <c r="M100" s="11">
        <f t="shared" si="49"/>
        <v>-594.79887996085017</v>
      </c>
      <c r="N100" s="11">
        <f t="shared" si="49"/>
        <v>-606.69485756007634</v>
      </c>
      <c r="O100" s="11">
        <f t="shared" si="49"/>
        <v>-618.82875471127772</v>
      </c>
      <c r="P100" s="11">
        <f t="shared" si="49"/>
        <v>31560.266490275164</v>
      </c>
    </row>
    <row r="102" spans="1:18" x14ac:dyDescent="0.2">
      <c r="A102" t="s">
        <v>73</v>
      </c>
      <c r="B102" t="s">
        <v>124</v>
      </c>
      <c r="F102" s="11">
        <f t="shared" ref="F102:P102" si="50">-(G64-F64)</f>
        <v>-350000</v>
      </c>
      <c r="G102" s="11">
        <f t="shared" si="50"/>
        <v>0</v>
      </c>
      <c r="H102" s="11">
        <f t="shared" si="50"/>
        <v>0</v>
      </c>
      <c r="I102" s="11">
        <f t="shared" si="50"/>
        <v>0</v>
      </c>
      <c r="J102" s="11">
        <f t="shared" si="50"/>
        <v>0</v>
      </c>
      <c r="K102" s="11">
        <f t="shared" si="50"/>
        <v>0</v>
      </c>
      <c r="L102" s="11">
        <f t="shared" si="50"/>
        <v>0</v>
      </c>
      <c r="M102" s="11">
        <f t="shared" si="50"/>
        <v>0</v>
      </c>
      <c r="N102" s="11">
        <f t="shared" si="50"/>
        <v>0</v>
      </c>
      <c r="O102" s="11">
        <f t="shared" si="50"/>
        <v>0</v>
      </c>
      <c r="P102" s="11">
        <f t="shared" si="50"/>
        <v>350000</v>
      </c>
      <c r="Q102" t="s">
        <v>76</v>
      </c>
      <c r="R102" s="12">
        <v>1.1000000000000001</v>
      </c>
    </row>
    <row r="103" spans="1:18" x14ac:dyDescent="0.2">
      <c r="B103" t="s">
        <v>51</v>
      </c>
      <c r="P103" s="11">
        <f>(R102-100%)*P102</f>
        <v>35000.000000000029</v>
      </c>
      <c r="Q103" t="s">
        <v>75</v>
      </c>
      <c r="R103" s="11">
        <f>P64</f>
        <v>350000</v>
      </c>
    </row>
    <row r="104" spans="1:18" x14ac:dyDescent="0.2">
      <c r="A104" t="s">
        <v>73</v>
      </c>
      <c r="B104" t="s">
        <v>52</v>
      </c>
      <c r="P104" s="11">
        <f>-R104*$D$16</f>
        <v>-12250</v>
      </c>
      <c r="Q104" t="s">
        <v>77</v>
      </c>
      <c r="R104" s="11">
        <f>SUM(P102:P103)-R103</f>
        <v>35000</v>
      </c>
    </row>
    <row r="105" spans="1:18" x14ac:dyDescent="0.2">
      <c r="P105" s="11"/>
      <c r="R105" s="11"/>
    </row>
    <row r="106" spans="1:18" x14ac:dyDescent="0.2">
      <c r="A106" t="s">
        <v>73</v>
      </c>
      <c r="B106" t="s">
        <v>127</v>
      </c>
      <c r="F106" s="11">
        <f t="shared" ref="F106:P106" si="51">-(G66-F66)</f>
        <v>-500030</v>
      </c>
      <c r="G106" s="11">
        <f t="shared" si="51"/>
        <v>0</v>
      </c>
      <c r="H106" s="11">
        <f t="shared" si="51"/>
        <v>0</v>
      </c>
      <c r="I106" s="11">
        <f t="shared" si="51"/>
        <v>0</v>
      </c>
      <c r="J106" s="11">
        <f t="shared" si="51"/>
        <v>0</v>
      </c>
      <c r="K106" s="11">
        <f t="shared" si="51"/>
        <v>0</v>
      </c>
      <c r="L106" s="11">
        <f t="shared" si="51"/>
        <v>0</v>
      </c>
      <c r="M106" s="11">
        <f t="shared" si="51"/>
        <v>0</v>
      </c>
      <c r="N106" s="11">
        <f t="shared" si="51"/>
        <v>0</v>
      </c>
      <c r="O106" s="11">
        <f t="shared" si="51"/>
        <v>0</v>
      </c>
      <c r="P106" s="11">
        <f t="shared" si="51"/>
        <v>500030</v>
      </c>
      <c r="Q106" t="s">
        <v>76</v>
      </c>
      <c r="R106" s="12">
        <v>0.9</v>
      </c>
    </row>
    <row r="107" spans="1:18" x14ac:dyDescent="0.2">
      <c r="B107" t="s">
        <v>51</v>
      </c>
      <c r="P107" s="11">
        <f>(R106-100%)*P106</f>
        <v>-50002.999999999985</v>
      </c>
      <c r="Q107" t="s">
        <v>75</v>
      </c>
      <c r="R107" s="11">
        <f>P66-P67</f>
        <v>316696.66666666669</v>
      </c>
    </row>
    <row r="108" spans="1:18" x14ac:dyDescent="0.2">
      <c r="A108" t="s">
        <v>73</v>
      </c>
      <c r="B108" t="s">
        <v>52</v>
      </c>
      <c r="P108" s="11">
        <f>-R108*$D$16</f>
        <v>-46665.616666666654</v>
      </c>
      <c r="Q108" t="s">
        <v>77</v>
      </c>
      <c r="R108" s="11">
        <f>SUM(P106:P107)-R107</f>
        <v>133330.33333333331</v>
      </c>
    </row>
    <row r="109" spans="1:18" x14ac:dyDescent="0.2">
      <c r="P109" s="11"/>
      <c r="R109" s="11"/>
    </row>
    <row r="110" spans="1:18" x14ac:dyDescent="0.2">
      <c r="A110" t="s">
        <v>73</v>
      </c>
      <c r="B110" t="s">
        <v>94</v>
      </c>
      <c r="F110" s="11">
        <f t="shared" ref="F110:P110" si="52">-(G69-F69)</f>
        <v>-120000</v>
      </c>
      <c r="G110" s="11">
        <f t="shared" si="52"/>
        <v>0</v>
      </c>
      <c r="H110" s="11">
        <f t="shared" si="52"/>
        <v>0</v>
      </c>
      <c r="I110" s="11">
        <f t="shared" si="52"/>
        <v>0</v>
      </c>
      <c r="J110" s="11">
        <f t="shared" si="52"/>
        <v>0</v>
      </c>
      <c r="K110" s="11">
        <f t="shared" si="52"/>
        <v>0</v>
      </c>
      <c r="L110" s="11">
        <f t="shared" si="52"/>
        <v>0</v>
      </c>
      <c r="M110" s="11">
        <f t="shared" si="52"/>
        <v>0</v>
      </c>
      <c r="N110" s="11">
        <f t="shared" si="52"/>
        <v>0</v>
      </c>
      <c r="O110" s="11">
        <f t="shared" si="52"/>
        <v>0</v>
      </c>
      <c r="P110" s="11">
        <f t="shared" si="52"/>
        <v>120000</v>
      </c>
      <c r="Q110" t="s">
        <v>76</v>
      </c>
      <c r="R110" s="12">
        <v>0.8</v>
      </c>
    </row>
    <row r="111" spans="1:18" x14ac:dyDescent="0.2">
      <c r="B111" t="s">
        <v>51</v>
      </c>
      <c r="P111" s="11">
        <f>(R110-100%)*P110</f>
        <v>-23999.999999999996</v>
      </c>
      <c r="Q111" t="s">
        <v>75</v>
      </c>
      <c r="R111" s="11">
        <f>P69-P70</f>
        <v>0</v>
      </c>
    </row>
    <row r="112" spans="1:18" x14ac:dyDescent="0.2">
      <c r="A112" t="s">
        <v>73</v>
      </c>
      <c r="B112" t="s">
        <v>52</v>
      </c>
      <c r="P112" s="11">
        <f>-R112*$D$16</f>
        <v>-33600</v>
      </c>
      <c r="Q112" t="s">
        <v>77</v>
      </c>
      <c r="R112" s="11">
        <f>SUM(P110:P111)-R111</f>
        <v>96000</v>
      </c>
    </row>
    <row r="114" spans="1:16" x14ac:dyDescent="0.2">
      <c r="A114" t="s">
        <v>74</v>
      </c>
      <c r="B114" t="s">
        <v>39</v>
      </c>
      <c r="F114" s="11">
        <f t="shared" ref="F114:P114" si="53">(G75-F75)</f>
        <v>17605.479452054762</v>
      </c>
      <c r="G114" s="11">
        <f t="shared" si="53"/>
        <v>352.1095890410943</v>
      </c>
      <c r="H114" s="11">
        <f t="shared" si="53"/>
        <v>359.15178082191414</v>
      </c>
      <c r="I114" s="11">
        <f t="shared" si="53"/>
        <v>366.33481643835694</v>
      </c>
      <c r="J114" s="11">
        <f t="shared" si="53"/>
        <v>373.66151276712844</v>
      </c>
      <c r="K114" s="11">
        <f t="shared" si="53"/>
        <v>381.13474302246323</v>
      </c>
      <c r="L114" s="11">
        <f t="shared" si="53"/>
        <v>388.75743788291948</v>
      </c>
      <c r="M114" s="11">
        <f t="shared" si="53"/>
        <v>396.53258664056921</v>
      </c>
      <c r="N114" s="11">
        <f t="shared" si="53"/>
        <v>404.46323837338423</v>
      </c>
      <c r="O114" s="11">
        <f t="shared" si="53"/>
        <v>412.5525031408506</v>
      </c>
      <c r="P114" s="11">
        <f t="shared" si="53"/>
        <v>-21040.177660183443</v>
      </c>
    </row>
    <row r="115" spans="1:16" x14ac:dyDescent="0.2">
      <c r="A115" t="s">
        <v>74</v>
      </c>
      <c r="B115" t="s">
        <v>53</v>
      </c>
      <c r="F115" s="8">
        <f t="shared" ref="F115:P115" si="54">(G94-F94)</f>
        <v>53610.809523809694</v>
      </c>
      <c r="G115" s="8">
        <f t="shared" si="54"/>
        <v>-736.53428571429686</v>
      </c>
      <c r="H115" s="8">
        <f t="shared" si="54"/>
        <v>-952.20668571427814</v>
      </c>
      <c r="I115" s="8">
        <f t="shared" si="54"/>
        <v>-1192.2867051428548</v>
      </c>
      <c r="J115" s="8">
        <f t="shared" si="54"/>
        <v>-1459.2719135314328</v>
      </c>
      <c r="K115" s="8">
        <f t="shared" si="54"/>
        <v>-6812.4520278020209</v>
      </c>
      <c r="L115" s="8">
        <f t="shared" si="54"/>
        <v>-2590.8818783009847</v>
      </c>
      <c r="M115" s="8">
        <f t="shared" si="54"/>
        <v>-3006.770486175541</v>
      </c>
      <c r="N115" s="8">
        <f t="shared" si="54"/>
        <v>-3467.3839632385279</v>
      </c>
      <c r="O115" s="8">
        <f t="shared" si="54"/>
        <v>-3977.2575165765811</v>
      </c>
      <c r="P115" s="8">
        <f t="shared" si="54"/>
        <v>-29415.764061613176</v>
      </c>
    </row>
    <row r="116" spans="1:16" x14ac:dyDescent="0.2"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</row>
    <row r="117" spans="1:16" x14ac:dyDescent="0.2">
      <c r="B117" t="s">
        <v>171</v>
      </c>
      <c r="F117" s="8">
        <v>-200000</v>
      </c>
      <c r="G117" s="8"/>
      <c r="H117" s="8"/>
      <c r="I117" s="8"/>
      <c r="J117" s="8"/>
      <c r="K117" s="8"/>
      <c r="L117" s="8"/>
      <c r="M117" s="8"/>
      <c r="N117" s="8"/>
      <c r="O117" s="8"/>
      <c r="P117" s="8"/>
    </row>
    <row r="119" spans="1:16" x14ac:dyDescent="0.2">
      <c r="A119" s="2" t="s">
        <v>54</v>
      </c>
      <c r="F119" s="8">
        <f>SUM(F95:F117)</f>
        <v>-1142154.5329419437</v>
      </c>
      <c r="G119" s="8">
        <f>SUM(G95:G115)</f>
        <v>127078.35750442672</v>
      </c>
      <c r="H119" s="8">
        <f t="shared" ref="H119:P119" si="55">SUM(H95:H115)</f>
        <v>125486.54157968532</v>
      </c>
      <c r="I119" s="8">
        <f t="shared" si="55"/>
        <v>123469.61769563277</v>
      </c>
      <c r="J119" s="8">
        <f t="shared" si="55"/>
        <v>120979.75652900123</v>
      </c>
      <c r="K119" s="8">
        <f t="shared" si="55"/>
        <v>112907.69819936359</v>
      </c>
      <c r="L119" s="8">
        <f t="shared" si="55"/>
        <v>104468.59388519029</v>
      </c>
      <c r="M119" s="8">
        <f t="shared" si="55"/>
        <v>99231.910105902527</v>
      </c>
      <c r="N119" s="8">
        <f t="shared" si="55"/>
        <v>93177.95375199648</v>
      </c>
      <c r="O119" s="8">
        <f t="shared" si="55"/>
        <v>86219.125482076575</v>
      </c>
      <c r="P119" s="8">
        <f t="shared" si="55"/>
        <v>922172.21574147185</v>
      </c>
    </row>
    <row r="120" spans="1:16" x14ac:dyDescent="0.2">
      <c r="A120" s="2" t="s">
        <v>55</v>
      </c>
      <c r="F120" s="5">
        <f>IRR(F119:P119)</f>
        <v>7.8696574571166744E-2</v>
      </c>
    </row>
    <row r="121" spans="1:16" x14ac:dyDescent="0.2">
      <c r="A121" s="2"/>
    </row>
    <row r="122" spans="1:16" x14ac:dyDescent="0.2">
      <c r="A122" s="2" t="s">
        <v>56</v>
      </c>
      <c r="F122" s="5">
        <f>W95</f>
        <v>7.5090091359861805E-2</v>
      </c>
    </row>
    <row r="123" spans="1:16" x14ac:dyDescent="0.2">
      <c r="A123" s="2" t="s">
        <v>57</v>
      </c>
      <c r="F123" s="29">
        <f>NPV(F122,G119:P119)</f>
        <v>1166947.5778360034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orientation="portrait" useFirstPageNumber="1" horizontalDpi="300" verticalDpi="300" r:id="rId1"/>
  <headerFooter alignWithMargins="0">
    <oddHeader>&amp;C&amp;"Times New Roman,Regular"&amp;12&amp;A</oddHeader>
    <oddFooter>&amp;C&amp;"Times New Roman,Regular"&amp;12Page &amp;P</oddFooter>
  </headerFooter>
  <ignoredErrors>
    <ignoredError sqref="G95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6"/>
  <sheetViews>
    <sheetView topLeftCell="A82" zoomScale="80" zoomScaleNormal="80" zoomScalePageLayoutView="80" workbookViewId="0">
      <selection activeCell="F24" sqref="F24"/>
    </sheetView>
  </sheetViews>
  <sheetFormatPr defaultColWidth="11.42578125" defaultRowHeight="12.75" x14ac:dyDescent="0.2"/>
  <cols>
    <col min="1" max="1" width="4" customWidth="1"/>
    <col min="2" max="2" width="35.28515625" customWidth="1"/>
    <col min="3" max="3" width="3.28515625" customWidth="1"/>
    <col min="4" max="4" width="20.42578125" style="1" customWidth="1"/>
    <col min="5" max="5" width="2.42578125" customWidth="1"/>
    <col min="6" max="6" width="14.28515625" customWidth="1"/>
    <col min="7" max="7" width="14.7109375" customWidth="1"/>
    <col min="8" max="11" width="14.85546875" customWidth="1"/>
    <col min="13" max="13" width="13.85546875" customWidth="1"/>
    <col min="14" max="14" width="14.85546875" customWidth="1"/>
    <col min="15" max="15" width="13.85546875" bestFit="1" customWidth="1"/>
    <col min="17" max="17" width="13.42578125" customWidth="1"/>
    <col min="18" max="18" width="15.140625" bestFit="1" customWidth="1"/>
    <col min="19" max="19" width="13.42578125" bestFit="1" customWidth="1"/>
  </cols>
  <sheetData>
    <row r="1" spans="1:11" x14ac:dyDescent="0.2">
      <c r="A1" s="2" t="s">
        <v>131</v>
      </c>
      <c r="D1" s="3" t="s">
        <v>72</v>
      </c>
      <c r="F1" s="2" t="s">
        <v>71</v>
      </c>
    </row>
    <row r="2" spans="1:11" x14ac:dyDescent="0.2">
      <c r="D2" s="3" t="s">
        <v>0</v>
      </c>
      <c r="E2" s="2"/>
      <c r="F2" s="2"/>
      <c r="G2" s="2" t="s">
        <v>1</v>
      </c>
      <c r="H2" s="2" t="s">
        <v>2</v>
      </c>
      <c r="I2" s="2" t="s">
        <v>3</v>
      </c>
      <c r="J2" s="2" t="s">
        <v>98</v>
      </c>
      <c r="K2" s="2" t="s">
        <v>99</v>
      </c>
    </row>
    <row r="3" spans="1:11" x14ac:dyDescent="0.2">
      <c r="A3" s="2" t="s">
        <v>4</v>
      </c>
    </row>
    <row r="4" spans="1:11" x14ac:dyDescent="0.2">
      <c r="A4" s="30" t="s">
        <v>90</v>
      </c>
      <c r="D4" s="31">
        <v>299000</v>
      </c>
      <c r="G4" s="31">
        <v>299000</v>
      </c>
      <c r="H4" s="31">
        <v>299000</v>
      </c>
      <c r="I4" s="31">
        <v>299000</v>
      </c>
      <c r="J4" s="31">
        <v>299000</v>
      </c>
      <c r="K4" s="31">
        <v>299000</v>
      </c>
    </row>
    <row r="5" spans="1:11" x14ac:dyDescent="0.2">
      <c r="A5" t="s">
        <v>5</v>
      </c>
      <c r="D5" s="4">
        <v>7</v>
      </c>
      <c r="G5" s="4">
        <v>7</v>
      </c>
      <c r="H5">
        <f>G5</f>
        <v>7</v>
      </c>
      <c r="I5">
        <f t="shared" ref="I5:K5" si="0">H5</f>
        <v>7</v>
      </c>
      <c r="J5">
        <f t="shared" si="0"/>
        <v>7</v>
      </c>
      <c r="K5">
        <f t="shared" si="0"/>
        <v>7</v>
      </c>
    </row>
    <row r="6" spans="1:11" x14ac:dyDescent="0.2">
      <c r="A6" t="s">
        <v>6</v>
      </c>
      <c r="D6" s="4">
        <v>30</v>
      </c>
      <c r="G6" s="4">
        <v>30</v>
      </c>
      <c r="H6" s="4">
        <v>30</v>
      </c>
      <c r="I6" s="4">
        <v>30</v>
      </c>
      <c r="J6" s="4">
        <v>30</v>
      </c>
      <c r="K6" s="4">
        <v>30</v>
      </c>
    </row>
    <row r="7" spans="1:11" x14ac:dyDescent="0.2">
      <c r="A7" t="s">
        <v>7</v>
      </c>
      <c r="D7" s="4">
        <v>90</v>
      </c>
      <c r="G7" s="4">
        <v>45</v>
      </c>
      <c r="H7" s="4">
        <v>45</v>
      </c>
      <c r="I7" s="4">
        <v>45</v>
      </c>
      <c r="J7" s="4">
        <v>45</v>
      </c>
      <c r="K7" s="4">
        <v>45</v>
      </c>
    </row>
    <row r="8" spans="1:11" x14ac:dyDescent="0.2">
      <c r="A8" t="s">
        <v>8</v>
      </c>
      <c r="D8" s="34">
        <f>D25/D30</f>
        <v>1.1619047619047609</v>
      </c>
      <c r="G8" s="33">
        <f>D8</f>
        <v>1.1619047619047609</v>
      </c>
      <c r="H8" s="33">
        <f>G8</f>
        <v>1.1619047619047609</v>
      </c>
      <c r="I8" s="33">
        <f t="shared" ref="I8:K8" si="1">H8</f>
        <v>1.1619047619047609</v>
      </c>
      <c r="J8" s="33">
        <f t="shared" si="1"/>
        <v>1.1619047619047609</v>
      </c>
      <c r="K8" s="33">
        <f t="shared" si="1"/>
        <v>1.1619047619047609</v>
      </c>
    </row>
    <row r="9" spans="1:11" x14ac:dyDescent="0.2">
      <c r="A9" t="s">
        <v>109</v>
      </c>
      <c r="D9" s="40">
        <v>100</v>
      </c>
      <c r="F9" s="12">
        <v>0.1</v>
      </c>
      <c r="G9" s="40">
        <f>D9*(1+F9)</f>
        <v>110.00000000000001</v>
      </c>
      <c r="H9" s="40">
        <f>G9*(1-0.1)</f>
        <v>99.000000000000014</v>
      </c>
      <c r="I9" s="40">
        <f t="shared" ref="I9:K9" si="2">H9*(1-0.1)</f>
        <v>89.100000000000009</v>
      </c>
      <c r="J9" s="40">
        <f t="shared" si="2"/>
        <v>80.190000000000012</v>
      </c>
      <c r="K9" s="40">
        <f t="shared" si="2"/>
        <v>72.171000000000006</v>
      </c>
    </row>
    <row r="10" spans="1:11" x14ac:dyDescent="0.2">
      <c r="A10" t="s">
        <v>110</v>
      </c>
      <c r="D10" s="8">
        <v>120</v>
      </c>
      <c r="G10" s="8">
        <v>120</v>
      </c>
      <c r="H10" s="8">
        <v>120</v>
      </c>
      <c r="I10" s="8">
        <v>120</v>
      </c>
      <c r="J10" s="8">
        <v>120</v>
      </c>
      <c r="K10" s="8">
        <v>120</v>
      </c>
    </row>
    <row r="11" spans="1:11" x14ac:dyDescent="0.2">
      <c r="A11" t="s">
        <v>132</v>
      </c>
      <c r="D11" s="8"/>
      <c r="G11" s="8">
        <v>250</v>
      </c>
      <c r="H11" s="8">
        <v>250</v>
      </c>
      <c r="I11" s="8">
        <v>250</v>
      </c>
      <c r="J11" s="8">
        <v>250</v>
      </c>
      <c r="K11" s="8">
        <v>250</v>
      </c>
    </row>
    <row r="12" spans="1:11" x14ac:dyDescent="0.2">
      <c r="A12" t="s">
        <v>133</v>
      </c>
      <c r="D12" s="8"/>
      <c r="G12" s="40">
        <v>3200</v>
      </c>
      <c r="H12" s="40">
        <v>3200</v>
      </c>
      <c r="I12" s="40">
        <v>3200</v>
      </c>
      <c r="J12" s="40">
        <v>3200</v>
      </c>
      <c r="K12" s="40">
        <v>3200</v>
      </c>
    </row>
    <row r="13" spans="1:11" x14ac:dyDescent="0.2">
      <c r="A13" t="s">
        <v>9</v>
      </c>
      <c r="D13" s="41">
        <v>2.9047619047619104</v>
      </c>
      <c r="G13" s="36">
        <f>D13</f>
        <v>2.9047619047619104</v>
      </c>
      <c r="H13" s="41">
        <f t="shared" ref="H13:K18" si="3">G13</f>
        <v>2.9047619047619104</v>
      </c>
      <c r="I13" s="41">
        <f t="shared" si="3"/>
        <v>2.9047619047619104</v>
      </c>
      <c r="J13" s="41">
        <f t="shared" si="3"/>
        <v>2.9047619047619104</v>
      </c>
      <c r="K13" s="41">
        <f t="shared" si="3"/>
        <v>2.9047619047619104</v>
      </c>
    </row>
    <row r="14" spans="1:11" x14ac:dyDescent="0.2">
      <c r="A14" t="s">
        <v>107</v>
      </c>
      <c r="D14" s="9">
        <v>0.05</v>
      </c>
      <c r="G14" s="9">
        <v>0.05</v>
      </c>
      <c r="H14" s="9">
        <f t="shared" si="3"/>
        <v>0.05</v>
      </c>
      <c r="I14" s="9">
        <f t="shared" si="3"/>
        <v>0.05</v>
      </c>
      <c r="J14" s="9">
        <f t="shared" si="3"/>
        <v>0.05</v>
      </c>
      <c r="K14" s="9">
        <f t="shared" si="3"/>
        <v>0.05</v>
      </c>
    </row>
    <row r="15" spans="1:11" x14ac:dyDescent="0.2">
      <c r="A15" t="s">
        <v>10</v>
      </c>
      <c r="D15" s="9">
        <v>0.1</v>
      </c>
      <c r="G15" s="9">
        <v>0.1</v>
      </c>
      <c r="H15" s="9">
        <f t="shared" si="3"/>
        <v>0.1</v>
      </c>
      <c r="I15" s="9">
        <f t="shared" si="3"/>
        <v>0.1</v>
      </c>
      <c r="J15" s="9">
        <f t="shared" si="3"/>
        <v>0.1</v>
      </c>
      <c r="K15" s="9">
        <f t="shared" si="3"/>
        <v>0.1</v>
      </c>
    </row>
    <row r="16" spans="1:11" x14ac:dyDescent="0.2">
      <c r="A16" t="s">
        <v>11</v>
      </c>
      <c r="D16" s="9">
        <v>0.35</v>
      </c>
      <c r="G16" s="9">
        <v>0.35</v>
      </c>
      <c r="H16" s="9">
        <f t="shared" si="3"/>
        <v>0.35</v>
      </c>
      <c r="I16" s="9">
        <f t="shared" si="3"/>
        <v>0.35</v>
      </c>
      <c r="J16" s="9">
        <f t="shared" si="3"/>
        <v>0.35</v>
      </c>
      <c r="K16" s="9">
        <f t="shared" si="3"/>
        <v>0.35</v>
      </c>
    </row>
    <row r="17" spans="1:11" x14ac:dyDescent="0.2">
      <c r="A17" t="s">
        <v>95</v>
      </c>
      <c r="D17" s="9">
        <v>0.1</v>
      </c>
      <c r="G17" s="9">
        <v>0.1</v>
      </c>
      <c r="H17" s="9">
        <v>0.1</v>
      </c>
      <c r="I17" s="9">
        <v>0.1</v>
      </c>
      <c r="J17" s="9">
        <v>0.1</v>
      </c>
      <c r="K17" s="9">
        <v>0.1</v>
      </c>
    </row>
    <row r="18" spans="1:11" x14ac:dyDescent="0.2">
      <c r="A18" t="s">
        <v>12</v>
      </c>
      <c r="D18" s="9">
        <v>0.88900000000000001</v>
      </c>
      <c r="G18" s="9">
        <v>0.88900000000000001</v>
      </c>
      <c r="H18" s="9">
        <f t="shared" si="3"/>
        <v>0.88900000000000001</v>
      </c>
      <c r="I18" s="9">
        <f t="shared" si="3"/>
        <v>0.88900000000000001</v>
      </c>
      <c r="J18" s="9">
        <f t="shared" si="3"/>
        <v>0.88900000000000001</v>
      </c>
      <c r="K18" s="9">
        <f t="shared" si="3"/>
        <v>0.88900000000000001</v>
      </c>
    </row>
    <row r="19" spans="1:11" x14ac:dyDescent="0.2">
      <c r="A19" t="s">
        <v>70</v>
      </c>
      <c r="D19" s="4"/>
      <c r="G19" s="37">
        <v>-0.05</v>
      </c>
    </row>
    <row r="20" spans="1:11" x14ac:dyDescent="0.2">
      <c r="A20" t="s">
        <v>93</v>
      </c>
      <c r="D20" s="42">
        <v>0.74</v>
      </c>
      <c r="G20" s="12"/>
    </row>
    <row r="21" spans="1:11" x14ac:dyDescent="0.2">
      <c r="A21" t="s">
        <v>91</v>
      </c>
      <c r="D21" s="5">
        <v>0.03</v>
      </c>
      <c r="G21" s="12"/>
    </row>
    <row r="22" spans="1:11" x14ac:dyDescent="0.2">
      <c r="A22" t="s">
        <v>92</v>
      </c>
      <c r="D22" s="5">
        <v>0.1</v>
      </c>
      <c r="G22" s="12"/>
    </row>
    <row r="24" spans="1:11" x14ac:dyDescent="0.2">
      <c r="A24" s="2" t="s">
        <v>13</v>
      </c>
    </row>
    <row r="25" spans="1:11" x14ac:dyDescent="0.2">
      <c r="A25" t="s">
        <v>14</v>
      </c>
      <c r="D25" s="8">
        <v>610000</v>
      </c>
      <c r="G25" s="8">
        <f>G8*G30</f>
        <v>579500</v>
      </c>
      <c r="H25" s="8">
        <f t="shared" ref="H25:K25" si="4">H8*H30</f>
        <v>550524.99999999988</v>
      </c>
      <c r="I25" s="8">
        <f t="shared" si="4"/>
        <v>522998.74999999988</v>
      </c>
      <c r="J25" s="8">
        <f t="shared" si="4"/>
        <v>496848.81249999983</v>
      </c>
      <c r="K25" s="8">
        <f t="shared" si="4"/>
        <v>472006.37187499978</v>
      </c>
    </row>
    <row r="26" spans="1:11" x14ac:dyDescent="0.2">
      <c r="A26" t="s">
        <v>96</v>
      </c>
      <c r="D26" s="8">
        <v>125000</v>
      </c>
      <c r="G26" s="8">
        <f>G9*G10*12</f>
        <v>158400.00000000003</v>
      </c>
      <c r="H26" s="8">
        <f t="shared" ref="H26:K26" si="5">H9*H10*12</f>
        <v>142560.00000000003</v>
      </c>
      <c r="I26" s="8">
        <f t="shared" si="5"/>
        <v>128304.00000000003</v>
      </c>
      <c r="J26" s="8">
        <f t="shared" si="5"/>
        <v>115473.60000000001</v>
      </c>
      <c r="K26" s="8">
        <f t="shared" si="5"/>
        <v>103926.24</v>
      </c>
    </row>
    <row r="27" spans="1:11" x14ac:dyDescent="0.2">
      <c r="D27" s="8"/>
      <c r="G27" s="8"/>
      <c r="H27" s="8"/>
      <c r="I27" s="8"/>
      <c r="J27" s="8"/>
      <c r="K27" s="8"/>
    </row>
    <row r="28" spans="1:11" x14ac:dyDescent="0.2">
      <c r="A28" t="s">
        <v>15</v>
      </c>
      <c r="D28" s="8">
        <f>D25/D13</f>
        <v>209999.99999999959</v>
      </c>
      <c r="G28" s="8">
        <f>G25/G13</f>
        <v>199499.99999999962</v>
      </c>
      <c r="H28" s="8">
        <f>H25/H13</f>
        <v>189524.99999999959</v>
      </c>
      <c r="I28" s="8">
        <f t="shared" ref="I28:K28" si="6">I25/I13</f>
        <v>180048.74999999962</v>
      </c>
      <c r="J28" s="8">
        <f t="shared" si="6"/>
        <v>171046.31249999959</v>
      </c>
      <c r="K28" s="8">
        <f t="shared" si="6"/>
        <v>162493.9968749996</v>
      </c>
    </row>
    <row r="29" spans="1:11" x14ac:dyDescent="0.2">
      <c r="D29" s="8"/>
      <c r="G29" s="8"/>
    </row>
    <row r="30" spans="1:11" x14ac:dyDescent="0.2">
      <c r="A30" t="s">
        <v>16</v>
      </c>
      <c r="D30" s="8">
        <f>D25+D26-D28</f>
        <v>525000.00000000047</v>
      </c>
      <c r="G30" s="8">
        <f>D30*(1+G19)</f>
        <v>498750.00000000041</v>
      </c>
      <c r="H30" s="8">
        <f>G30*(1+$G$19)</f>
        <v>473812.50000000035</v>
      </c>
      <c r="I30" s="8">
        <f t="shared" ref="I30:K30" si="7">H30*(1+$G$19)</f>
        <v>450121.87500000029</v>
      </c>
      <c r="J30" s="8">
        <f t="shared" si="7"/>
        <v>427615.78125000023</v>
      </c>
      <c r="K30" s="8">
        <f t="shared" si="7"/>
        <v>406234.99218750017</v>
      </c>
    </row>
    <row r="31" spans="1:11" x14ac:dyDescent="0.2">
      <c r="D31" s="8"/>
      <c r="G31" s="8"/>
    </row>
    <row r="32" spans="1:11" x14ac:dyDescent="0.2">
      <c r="A32" t="s">
        <v>17</v>
      </c>
      <c r="D32" s="8"/>
      <c r="G32" s="8"/>
    </row>
    <row r="33" spans="1:12" x14ac:dyDescent="0.2">
      <c r="B33" t="s">
        <v>18</v>
      </c>
      <c r="D33" s="8">
        <v>22500</v>
      </c>
      <c r="G33" s="8">
        <f t="shared" ref="G33:K39" si="8">SUM(G$25:G$26)*$L33</f>
        <v>73790</v>
      </c>
      <c r="H33" s="8">
        <f t="shared" si="8"/>
        <v>69308.499999999985</v>
      </c>
      <c r="I33" s="8">
        <f t="shared" si="8"/>
        <v>65130.274999999994</v>
      </c>
      <c r="J33" s="8">
        <f t="shared" si="8"/>
        <v>61232.241249999992</v>
      </c>
      <c r="K33" s="8">
        <f t="shared" si="8"/>
        <v>57593.261187499986</v>
      </c>
      <c r="L33" s="13">
        <v>0.1</v>
      </c>
    </row>
    <row r="34" spans="1:12" x14ac:dyDescent="0.2">
      <c r="B34" t="s">
        <v>97</v>
      </c>
      <c r="D34" s="8">
        <v>145000</v>
      </c>
      <c r="G34" s="8">
        <f t="shared" si="8"/>
        <v>184475</v>
      </c>
      <c r="H34" s="8">
        <f t="shared" si="8"/>
        <v>173271.24999999997</v>
      </c>
      <c r="I34" s="8">
        <f t="shared" si="8"/>
        <v>162825.68749999997</v>
      </c>
      <c r="J34" s="8">
        <f t="shared" si="8"/>
        <v>153080.60312499997</v>
      </c>
      <c r="K34" s="8">
        <f t="shared" si="8"/>
        <v>143983.15296874996</v>
      </c>
      <c r="L34" s="13">
        <v>0.25</v>
      </c>
    </row>
    <row r="35" spans="1:12" x14ac:dyDescent="0.2">
      <c r="B35" t="s">
        <v>19</v>
      </c>
      <c r="D35" s="8">
        <f>5*10*40*52</f>
        <v>104000</v>
      </c>
      <c r="G35" s="8">
        <f t="shared" si="8"/>
        <v>104410.34013605444</v>
      </c>
      <c r="H35" s="8">
        <f t="shared" si="8"/>
        <v>98069.170068027204</v>
      </c>
      <c r="I35" s="8">
        <f t="shared" si="8"/>
        <v>92157.123809523808</v>
      </c>
      <c r="J35" s="8">
        <f t="shared" si="8"/>
        <v>86641.538639455772</v>
      </c>
      <c r="K35" s="8">
        <f t="shared" si="8"/>
        <v>81492.505625850317</v>
      </c>
      <c r="L35" s="13">
        <f>D35/SUM(D$25:D$26)</f>
        <v>0.1414965986394558</v>
      </c>
    </row>
    <row r="36" spans="1:12" x14ac:dyDescent="0.2">
      <c r="B36" t="s">
        <v>20</v>
      </c>
      <c r="D36" s="8">
        <v>18000</v>
      </c>
      <c r="G36" s="8">
        <f t="shared" si="8"/>
        <v>18071.020408163266</v>
      </c>
      <c r="H36" s="8">
        <f t="shared" si="8"/>
        <v>16973.510204081627</v>
      </c>
      <c r="I36" s="8">
        <f t="shared" si="8"/>
        <v>15950.271428571425</v>
      </c>
      <c r="J36" s="8">
        <f t="shared" si="8"/>
        <v>14995.650918367342</v>
      </c>
      <c r="K36" s="8">
        <f t="shared" si="8"/>
        <v>14104.472127551015</v>
      </c>
      <c r="L36" s="13">
        <f>D36/SUM(D$25:D$26)</f>
        <v>2.4489795918367346E-2</v>
      </c>
    </row>
    <row r="37" spans="1:12" x14ac:dyDescent="0.2">
      <c r="B37" t="s">
        <v>21</v>
      </c>
      <c r="D37" s="8">
        <v>15000</v>
      </c>
      <c r="G37" s="8">
        <f t="shared" si="8"/>
        <v>15059.183673469386</v>
      </c>
      <c r="H37" s="8">
        <f t="shared" si="8"/>
        <v>14144.591836734691</v>
      </c>
      <c r="I37" s="8">
        <f t="shared" si="8"/>
        <v>13291.892857142853</v>
      </c>
      <c r="J37" s="8">
        <f t="shared" si="8"/>
        <v>12496.375765306118</v>
      </c>
      <c r="K37" s="8">
        <f t="shared" si="8"/>
        <v>11753.726772959179</v>
      </c>
      <c r="L37" s="13">
        <f>D37/SUM(D$25:D$26)</f>
        <v>2.0408163265306121E-2</v>
      </c>
    </row>
    <row r="38" spans="1:12" x14ac:dyDescent="0.2">
      <c r="B38" t="s">
        <v>22</v>
      </c>
      <c r="D38" s="8">
        <v>13500</v>
      </c>
      <c r="G38" s="8">
        <f t="shared" si="8"/>
        <v>13553.26530612245</v>
      </c>
      <c r="H38" s="8">
        <f t="shared" si="8"/>
        <v>12730.132653061224</v>
      </c>
      <c r="I38" s="8">
        <f t="shared" si="8"/>
        <v>11962.70357142857</v>
      </c>
      <c r="J38" s="8">
        <f t="shared" si="8"/>
        <v>11246.738188775509</v>
      </c>
      <c r="K38" s="8">
        <f t="shared" si="8"/>
        <v>10578.354095663262</v>
      </c>
      <c r="L38" s="13">
        <f>D38/SUM(D$25:D$26)</f>
        <v>1.8367346938775512E-2</v>
      </c>
    </row>
    <row r="39" spans="1:12" x14ac:dyDescent="0.2">
      <c r="B39" t="s">
        <v>23</v>
      </c>
      <c r="D39" s="8">
        <v>15000</v>
      </c>
      <c r="G39" s="8">
        <f t="shared" si="8"/>
        <v>15059.183673469386</v>
      </c>
      <c r="H39" s="8">
        <f t="shared" si="8"/>
        <v>14144.591836734691</v>
      </c>
      <c r="I39" s="8">
        <f t="shared" si="8"/>
        <v>13291.892857142853</v>
      </c>
      <c r="J39" s="8">
        <f t="shared" si="8"/>
        <v>12496.375765306118</v>
      </c>
      <c r="K39" s="8">
        <f t="shared" si="8"/>
        <v>11753.726772959179</v>
      </c>
      <c r="L39" s="13">
        <f>D39/SUM(D$25:D$26)</f>
        <v>2.0408163265306121E-2</v>
      </c>
    </row>
    <row r="40" spans="1:12" x14ac:dyDescent="0.2">
      <c r="D40" s="8"/>
      <c r="G40" s="8"/>
    </row>
    <row r="41" spans="1:12" x14ac:dyDescent="0.2">
      <c r="B41" t="s">
        <v>24</v>
      </c>
      <c r="D41" s="8">
        <f>SUM(D33:D39)</f>
        <v>333000</v>
      </c>
      <c r="G41" s="8">
        <f t="shared" ref="G41:K41" si="9">SUM(G33:G39)</f>
        <v>424417.99319727893</v>
      </c>
      <c r="H41" s="8">
        <f t="shared" si="9"/>
        <v>398641.74659863935</v>
      </c>
      <c r="I41" s="8">
        <f t="shared" si="9"/>
        <v>374609.84702380945</v>
      </c>
      <c r="J41" s="8">
        <f t="shared" si="9"/>
        <v>352189.52365221077</v>
      </c>
      <c r="K41" s="8">
        <f t="shared" si="9"/>
        <v>331259.19955123286</v>
      </c>
    </row>
    <row r="42" spans="1:12" x14ac:dyDescent="0.2">
      <c r="D42" s="8"/>
      <c r="G42" s="8"/>
      <c r="H42" s="8"/>
      <c r="I42" s="8"/>
      <c r="J42" s="8"/>
      <c r="K42" s="8"/>
    </row>
    <row r="43" spans="1:12" x14ac:dyDescent="0.2">
      <c r="A43" t="s">
        <v>25</v>
      </c>
      <c r="D43" s="8">
        <f>D30-D41</f>
        <v>192000.00000000047</v>
      </c>
      <c r="G43" s="8">
        <f t="shared" ref="G43:K43" si="10">G30-G41</f>
        <v>74332.006802721473</v>
      </c>
      <c r="H43" s="8">
        <f t="shared" si="10"/>
        <v>75170.753401360998</v>
      </c>
      <c r="I43" s="8">
        <f t="shared" si="10"/>
        <v>75512.027976190846</v>
      </c>
      <c r="J43" s="8">
        <f t="shared" si="10"/>
        <v>75426.257597789459</v>
      </c>
      <c r="K43" s="8">
        <f t="shared" si="10"/>
        <v>74975.792636267317</v>
      </c>
    </row>
    <row r="44" spans="1:12" x14ac:dyDescent="0.2">
      <c r="D44" s="8"/>
      <c r="G44" s="8"/>
      <c r="H44" s="8"/>
      <c r="I44" s="8"/>
      <c r="J44" s="8"/>
      <c r="K44" s="8"/>
    </row>
    <row r="45" spans="1:12" x14ac:dyDescent="0.2">
      <c r="A45" t="s">
        <v>126</v>
      </c>
      <c r="D45" s="8">
        <f>D69*D17</f>
        <v>12000</v>
      </c>
      <c r="G45" s="8">
        <f t="shared" ref="G45:K45" si="11">G69*G17</f>
        <v>12000</v>
      </c>
      <c r="H45" s="8">
        <f t="shared" si="11"/>
        <v>12000</v>
      </c>
      <c r="I45" s="8">
        <f t="shared" si="11"/>
        <v>12000</v>
      </c>
      <c r="J45" s="8">
        <f t="shared" si="11"/>
        <v>12000</v>
      </c>
      <c r="K45" s="8">
        <f t="shared" si="11"/>
        <v>12000</v>
      </c>
    </row>
    <row r="46" spans="1:12" x14ac:dyDescent="0.2">
      <c r="A46" t="s">
        <v>125</v>
      </c>
      <c r="D46" s="8">
        <v>16666.666666666668</v>
      </c>
      <c r="G46" s="8">
        <v>16666.666666666668</v>
      </c>
      <c r="H46" s="8">
        <v>16666.666666666668</v>
      </c>
      <c r="I46" s="8">
        <v>16666.666666666668</v>
      </c>
      <c r="J46" s="8">
        <v>16666.666666666668</v>
      </c>
      <c r="K46" s="8">
        <v>16666.666666666668</v>
      </c>
    </row>
    <row r="47" spans="1:12" x14ac:dyDescent="0.2">
      <c r="D47" s="8"/>
      <c r="G47" s="8"/>
      <c r="H47" s="8"/>
      <c r="I47" s="8"/>
      <c r="J47" s="8"/>
      <c r="K47" s="8"/>
    </row>
    <row r="48" spans="1:12" x14ac:dyDescent="0.2">
      <c r="D48" s="8"/>
      <c r="G48" s="8"/>
      <c r="H48" s="8"/>
      <c r="I48" s="8"/>
      <c r="J48" s="8"/>
      <c r="K48" s="8"/>
    </row>
    <row r="49" spans="1:22" x14ac:dyDescent="0.2">
      <c r="A49" t="s">
        <v>111</v>
      </c>
      <c r="D49" s="8">
        <v>0</v>
      </c>
      <c r="G49" s="8">
        <v>54970.271910122421</v>
      </c>
      <c r="H49" s="8">
        <v>54333.994680285803</v>
      </c>
      <c r="I49" s="8">
        <v>53655.104785979958</v>
      </c>
      <c r="J49" s="8">
        <v>52930.748378146658</v>
      </c>
      <c r="K49" s="8">
        <v>52157.880480170817</v>
      </c>
    </row>
    <row r="50" spans="1:22" x14ac:dyDescent="0.2">
      <c r="A50" t="s">
        <v>106</v>
      </c>
      <c r="D50" s="8">
        <f>D80*D14</f>
        <v>5000</v>
      </c>
      <c r="G50" s="8">
        <f t="shared" ref="G50:K50" si="12">G80*G14</f>
        <v>5000</v>
      </c>
      <c r="H50" s="8">
        <f t="shared" si="12"/>
        <v>4000</v>
      </c>
      <c r="I50" s="8">
        <f t="shared" si="12"/>
        <v>3000</v>
      </c>
      <c r="J50" s="8">
        <f t="shared" si="12"/>
        <v>2000</v>
      </c>
      <c r="K50" s="8">
        <f t="shared" si="12"/>
        <v>1000</v>
      </c>
    </row>
    <row r="51" spans="1:22" x14ac:dyDescent="0.2">
      <c r="A51" t="s">
        <v>26</v>
      </c>
      <c r="D51" s="8">
        <f>D78*D15</f>
        <v>0</v>
      </c>
      <c r="G51" s="8">
        <f t="shared" ref="G51:K51" si="13">G78*G15</f>
        <v>0</v>
      </c>
      <c r="H51" s="8">
        <f t="shared" si="13"/>
        <v>26841.921748524248</v>
      </c>
      <c r="I51" s="8">
        <f t="shared" si="13"/>
        <v>29521.645141404952</v>
      </c>
      <c r="J51" s="8">
        <f t="shared" si="13"/>
        <v>32356.123879194347</v>
      </c>
      <c r="K51" s="8">
        <f t="shared" si="13"/>
        <v>35383.040115446427</v>
      </c>
    </row>
    <row r="52" spans="1:22" x14ac:dyDescent="0.2">
      <c r="D52" s="8"/>
      <c r="G52" s="8"/>
      <c r="H52" s="8"/>
      <c r="I52" s="8"/>
      <c r="J52" s="8"/>
      <c r="K52" s="8"/>
    </row>
    <row r="53" spans="1:22" x14ac:dyDescent="0.2">
      <c r="A53" t="s">
        <v>27</v>
      </c>
      <c r="D53" s="8">
        <f>D43-SUM(D45:D51)</f>
        <v>158333.33333333378</v>
      </c>
      <c r="G53" s="8">
        <f t="shared" ref="G53:K53" si="14">G43-SUM(G45:G51)</f>
        <v>-14304.93177406762</v>
      </c>
      <c r="H53" s="8">
        <f t="shared" si="14"/>
        <v>-38671.829694115731</v>
      </c>
      <c r="I53" s="8">
        <f t="shared" si="14"/>
        <v>-39331.388617860735</v>
      </c>
      <c r="J53" s="8">
        <f t="shared" si="14"/>
        <v>-40527.281326218217</v>
      </c>
      <c r="K53" s="8">
        <f t="shared" si="14"/>
        <v>-42231.794626016606</v>
      </c>
      <c r="M53" t="s">
        <v>112</v>
      </c>
      <c r="N53" t="s">
        <v>113</v>
      </c>
      <c r="O53" t="s">
        <v>114</v>
      </c>
      <c r="P53" t="s">
        <v>115</v>
      </c>
      <c r="Q53" t="s">
        <v>116</v>
      </c>
      <c r="R53" t="s">
        <v>117</v>
      </c>
      <c r="S53" t="s">
        <v>118</v>
      </c>
      <c r="T53" t="s">
        <v>119</v>
      </c>
      <c r="U53" t="s">
        <v>121</v>
      </c>
      <c r="V53" t="s">
        <v>120</v>
      </c>
    </row>
    <row r="54" spans="1:22" x14ac:dyDescent="0.2">
      <c r="A54" t="s">
        <v>28</v>
      </c>
      <c r="D54" s="8">
        <f>D53*D16</f>
        <v>55416.666666666817</v>
      </c>
      <c r="G54" s="8">
        <f t="shared" ref="G54:K54" si="15">G53*G16</f>
        <v>-5006.7261209236667</v>
      </c>
      <c r="H54" s="8">
        <f t="shared" si="15"/>
        <v>-13535.140392940506</v>
      </c>
      <c r="I54" s="8">
        <f t="shared" si="15"/>
        <v>-13765.986016251256</v>
      </c>
      <c r="J54" s="8">
        <f t="shared" si="15"/>
        <v>-14184.548464176376</v>
      </c>
      <c r="K54" s="8">
        <f t="shared" si="15"/>
        <v>-14781.128119105811</v>
      </c>
    </row>
    <row r="55" spans="1:22" x14ac:dyDescent="0.2">
      <c r="A55" s="2" t="s">
        <v>29</v>
      </c>
      <c r="D55" s="8">
        <f>D53-D54</f>
        <v>102916.66666666696</v>
      </c>
      <c r="G55" s="8">
        <f>G53-G54</f>
        <v>-9298.2056531439521</v>
      </c>
      <c r="H55" s="8">
        <f>H53-H54</f>
        <v>-25136.689301175225</v>
      </c>
      <c r="I55" s="8">
        <f t="shared" ref="I55:K55" si="16">I53-I54</f>
        <v>-25565.402601609479</v>
      </c>
      <c r="J55" s="8">
        <f t="shared" si="16"/>
        <v>-26342.732862041841</v>
      </c>
      <c r="K55" s="8">
        <f t="shared" si="16"/>
        <v>-27450.666506910795</v>
      </c>
    </row>
    <row r="56" spans="1:22" x14ac:dyDescent="0.2">
      <c r="D56" s="8"/>
      <c r="G56" s="8"/>
    </row>
    <row r="57" spans="1:22" ht="13.5" thickBot="1" x14ac:dyDescent="0.25">
      <c r="A57" s="2" t="s">
        <v>30</v>
      </c>
      <c r="D57" s="8"/>
      <c r="G57" s="8"/>
    </row>
    <row r="58" spans="1:22" x14ac:dyDescent="0.2">
      <c r="A58" s="2" t="s">
        <v>31</v>
      </c>
      <c r="D58" s="8"/>
      <c r="G58" s="8"/>
      <c r="M58" s="43"/>
      <c r="N58" s="44" t="s">
        <v>134</v>
      </c>
      <c r="O58" s="44" t="s">
        <v>135</v>
      </c>
      <c r="P58" s="44"/>
      <c r="Q58" s="44"/>
      <c r="R58" s="44"/>
      <c r="S58" s="44"/>
      <c r="T58" s="45"/>
    </row>
    <row r="59" spans="1:22" x14ac:dyDescent="0.2">
      <c r="B59" t="s">
        <v>32</v>
      </c>
      <c r="D59" s="8">
        <v>5000</v>
      </c>
      <c r="G59" s="8">
        <v>5000</v>
      </c>
      <c r="H59" s="8">
        <v>5000</v>
      </c>
      <c r="I59" s="8">
        <v>5000</v>
      </c>
      <c r="J59" s="8">
        <v>5000</v>
      </c>
      <c r="K59" s="8">
        <v>5000</v>
      </c>
      <c r="M59" s="46">
        <v>1</v>
      </c>
      <c r="N59" s="47"/>
      <c r="O59" s="48">
        <f>M59*K59</f>
        <v>5000</v>
      </c>
      <c r="P59" s="47"/>
      <c r="Q59" s="47"/>
      <c r="R59" s="47"/>
      <c r="S59" s="47"/>
      <c r="T59" s="49"/>
    </row>
    <row r="60" spans="1:22" x14ac:dyDescent="0.2">
      <c r="B60" t="s">
        <v>33</v>
      </c>
      <c r="D60" s="8">
        <v>125780.82191780869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M60" s="50"/>
      <c r="N60" s="47"/>
      <c r="O60" s="47"/>
      <c r="P60" s="47"/>
      <c r="Q60" s="47"/>
      <c r="R60" s="47"/>
      <c r="S60" s="47"/>
      <c r="T60" s="49"/>
    </row>
    <row r="61" spans="1:22" x14ac:dyDescent="0.2">
      <c r="B61" t="s">
        <v>34</v>
      </c>
      <c r="D61" s="8">
        <f>SUM(D25:D25)/365*D5</f>
        <v>11698.630136986301</v>
      </c>
      <c r="G61" s="8">
        <f t="shared" ref="G61:K61" si="17">SUM(G25:G25)/365*G5</f>
        <v>11113.698630136987</v>
      </c>
      <c r="H61" s="8">
        <f t="shared" si="17"/>
        <v>10558.013698630135</v>
      </c>
      <c r="I61" s="8">
        <f t="shared" si="17"/>
        <v>10030.113013698627</v>
      </c>
      <c r="J61" s="8">
        <f t="shared" si="17"/>
        <v>9528.6073630136962</v>
      </c>
      <c r="K61" s="8">
        <f t="shared" si="17"/>
        <v>9052.1769948630099</v>
      </c>
      <c r="M61" s="46">
        <v>0.6</v>
      </c>
      <c r="N61" s="47"/>
      <c r="O61" s="51">
        <f>M61*K61</f>
        <v>5431.3061969178061</v>
      </c>
      <c r="P61" s="47"/>
      <c r="Q61" s="47"/>
      <c r="R61" s="47"/>
      <c r="S61" s="47"/>
      <c r="T61" s="49"/>
    </row>
    <row r="62" spans="1:22" x14ac:dyDescent="0.2">
      <c r="B62" t="s">
        <v>35</v>
      </c>
      <c r="D62" s="8">
        <f>D28/365*D7</f>
        <v>51780.82191780812</v>
      </c>
      <c r="E62" s="8"/>
      <c r="F62" s="8"/>
      <c r="G62" s="8">
        <f t="shared" ref="G62:K62" si="18">G28/365*G7</f>
        <v>24595.890410958858</v>
      </c>
      <c r="H62" s="8">
        <f t="shared" si="18"/>
        <v>23366.09589041091</v>
      </c>
      <c r="I62" s="8">
        <f t="shared" si="18"/>
        <v>22197.791095890367</v>
      </c>
      <c r="J62" s="8">
        <f t="shared" si="18"/>
        <v>21087.901541095838</v>
      </c>
      <c r="K62" s="8">
        <f t="shared" si="18"/>
        <v>20033.506464041046</v>
      </c>
      <c r="M62" s="46">
        <v>0.6</v>
      </c>
      <c r="N62" s="47"/>
      <c r="O62" s="51">
        <f>M62*K62</f>
        <v>12020.103878424627</v>
      </c>
      <c r="P62" s="47"/>
      <c r="Q62" s="47"/>
      <c r="R62" s="47"/>
      <c r="S62" s="47"/>
      <c r="T62" s="49"/>
    </row>
    <row r="63" spans="1:22" x14ac:dyDescent="0.2">
      <c r="D63" s="8"/>
      <c r="G63" s="8"/>
      <c r="H63" s="8"/>
      <c r="I63" s="8"/>
      <c r="J63" s="8"/>
      <c r="K63" s="8"/>
      <c r="M63" s="50"/>
      <c r="N63" s="47"/>
      <c r="O63" s="47"/>
      <c r="P63" s="47"/>
      <c r="Q63" s="47"/>
      <c r="R63" s="47"/>
      <c r="S63" s="47"/>
      <c r="T63" s="49"/>
    </row>
    <row r="64" spans="1:22" x14ac:dyDescent="0.2">
      <c r="B64" t="s">
        <v>124</v>
      </c>
      <c r="D64" s="8">
        <v>350000</v>
      </c>
      <c r="G64" s="8">
        <f>$D$64</f>
        <v>350000</v>
      </c>
      <c r="H64" s="8">
        <f t="shared" ref="H64:K64" si="19">$D$64</f>
        <v>350000</v>
      </c>
      <c r="I64" s="8">
        <f t="shared" si="19"/>
        <v>350000</v>
      </c>
      <c r="J64" s="8">
        <f t="shared" si="19"/>
        <v>350000</v>
      </c>
      <c r="K64" s="8">
        <f t="shared" si="19"/>
        <v>350000</v>
      </c>
      <c r="M64" s="46">
        <v>0.7</v>
      </c>
      <c r="N64" s="48">
        <f>M64*K64</f>
        <v>244999.99999999997</v>
      </c>
      <c r="O64" s="47"/>
      <c r="P64" s="47"/>
      <c r="Q64" s="47"/>
      <c r="R64" s="47"/>
      <c r="S64" s="47"/>
      <c r="T64" s="49"/>
    </row>
    <row r="65" spans="1:20" x14ac:dyDescent="0.2">
      <c r="D65" s="8"/>
      <c r="G65" s="8"/>
      <c r="H65" s="8"/>
      <c r="I65" s="8"/>
      <c r="J65" s="8"/>
      <c r="K65" s="8"/>
      <c r="M65" s="50"/>
      <c r="N65" s="47"/>
      <c r="O65" s="47"/>
      <c r="P65" s="47"/>
      <c r="Q65" s="47"/>
      <c r="R65" s="47"/>
      <c r="S65" s="47"/>
      <c r="T65" s="49"/>
    </row>
    <row r="66" spans="1:20" x14ac:dyDescent="0.2">
      <c r="B66" t="s">
        <v>123</v>
      </c>
      <c r="D66" s="8">
        <v>500000</v>
      </c>
      <c r="G66" s="8">
        <f>G12*G11</f>
        <v>800000</v>
      </c>
      <c r="H66" s="8">
        <f t="shared" ref="H66:K66" si="20">H12*H11</f>
        <v>800000</v>
      </c>
      <c r="I66" s="8">
        <f t="shared" si="20"/>
        <v>800000</v>
      </c>
      <c r="J66" s="8">
        <f t="shared" si="20"/>
        <v>800000</v>
      </c>
      <c r="K66" s="8">
        <f t="shared" si="20"/>
        <v>800000</v>
      </c>
      <c r="M66" s="46">
        <v>0.7</v>
      </c>
      <c r="N66" s="48">
        <f>M66*K66</f>
        <v>560000</v>
      </c>
      <c r="O66" s="47"/>
      <c r="P66" s="47"/>
      <c r="Q66" s="47"/>
      <c r="R66" s="47"/>
      <c r="S66" s="47"/>
      <c r="T66" s="49"/>
    </row>
    <row r="67" spans="1:20" x14ac:dyDescent="0.2">
      <c r="B67" t="s">
        <v>36</v>
      </c>
      <c r="D67" s="8">
        <f>D46</f>
        <v>16666.666666666668</v>
      </c>
      <c r="G67" s="8">
        <f>D67+G46</f>
        <v>33333.333333333336</v>
      </c>
      <c r="H67" s="8">
        <f>G67+H46</f>
        <v>50000</v>
      </c>
      <c r="I67" s="8">
        <f t="shared" ref="I67:K67" si="21">H67+I46</f>
        <v>66666.666666666672</v>
      </c>
      <c r="J67" s="8">
        <f t="shared" si="21"/>
        <v>83333.333333333343</v>
      </c>
      <c r="K67" s="8">
        <f t="shared" si="21"/>
        <v>100000.00000000001</v>
      </c>
      <c r="M67" s="50"/>
      <c r="N67" s="47"/>
      <c r="O67" s="47"/>
      <c r="P67" s="47"/>
      <c r="Q67" s="47"/>
      <c r="R67" s="47"/>
      <c r="S67" s="47"/>
      <c r="T67" s="49"/>
    </row>
    <row r="68" spans="1:20" x14ac:dyDescent="0.2">
      <c r="D68" s="8"/>
      <c r="G68" s="8"/>
      <c r="H68" s="8"/>
      <c r="I68" s="8"/>
      <c r="J68" s="8"/>
      <c r="K68" s="8"/>
      <c r="M68" s="50"/>
      <c r="N68" s="47"/>
      <c r="O68" s="47"/>
      <c r="P68" s="47"/>
      <c r="Q68" s="47"/>
      <c r="R68" s="47"/>
      <c r="S68" s="47"/>
      <c r="T68" s="49"/>
    </row>
    <row r="69" spans="1:20" x14ac:dyDescent="0.2">
      <c r="B69" t="s">
        <v>94</v>
      </c>
      <c r="D69" s="8">
        <v>120000</v>
      </c>
      <c r="G69" s="8">
        <f>D69</f>
        <v>120000</v>
      </c>
      <c r="H69" s="8">
        <f>G69</f>
        <v>120000</v>
      </c>
      <c r="I69" s="8">
        <f t="shared" ref="I69:K69" si="22">H69</f>
        <v>120000</v>
      </c>
      <c r="J69" s="8">
        <f t="shared" si="22"/>
        <v>120000</v>
      </c>
      <c r="K69" s="8">
        <f t="shared" si="22"/>
        <v>120000</v>
      </c>
      <c r="M69" s="46">
        <v>0.65</v>
      </c>
      <c r="N69" s="47"/>
      <c r="O69" s="48">
        <f>K69*M69</f>
        <v>78000</v>
      </c>
      <c r="P69" s="47"/>
      <c r="Q69" s="47"/>
      <c r="R69" s="47"/>
      <c r="S69" s="47"/>
      <c r="T69" s="49"/>
    </row>
    <row r="70" spans="1:20" x14ac:dyDescent="0.2">
      <c r="B70" t="s">
        <v>36</v>
      </c>
      <c r="D70" s="8">
        <f>D45</f>
        <v>12000</v>
      </c>
      <c r="G70" s="8">
        <f t="shared" ref="G70:K70" si="23">F70+G45</f>
        <v>12000</v>
      </c>
      <c r="H70" s="8">
        <f t="shared" si="23"/>
        <v>24000</v>
      </c>
      <c r="I70" s="8">
        <f t="shared" si="23"/>
        <v>36000</v>
      </c>
      <c r="J70" s="8">
        <f t="shared" si="23"/>
        <v>48000</v>
      </c>
      <c r="K70" s="8">
        <f t="shared" si="23"/>
        <v>60000</v>
      </c>
      <c r="M70" s="50"/>
      <c r="N70" s="47"/>
      <c r="O70" s="47"/>
      <c r="P70" s="47"/>
      <c r="Q70" s="47"/>
      <c r="R70" s="47"/>
      <c r="S70" s="47"/>
      <c r="T70" s="49"/>
    </row>
    <row r="71" spans="1:20" x14ac:dyDescent="0.2">
      <c r="D71" s="8"/>
      <c r="G71" s="8"/>
      <c r="H71" s="8"/>
      <c r="I71" s="8"/>
      <c r="J71" s="8"/>
      <c r="K71" s="8"/>
      <c r="M71" s="50"/>
      <c r="N71" s="47"/>
      <c r="O71" s="47"/>
      <c r="P71" s="47"/>
      <c r="Q71" s="47"/>
      <c r="R71" s="47"/>
      <c r="S71" s="47"/>
      <c r="T71" s="49"/>
    </row>
    <row r="72" spans="1:20" x14ac:dyDescent="0.2">
      <c r="A72" s="2" t="s">
        <v>37</v>
      </c>
      <c r="D72" s="8">
        <f>SUM(D59:D69)-D70</f>
        <v>1168926.9406392698</v>
      </c>
      <c r="G72" s="8">
        <f>SUM(G59:G66)-G70+G69-G67</f>
        <v>1265376.2557077627</v>
      </c>
      <c r="H72" s="8">
        <f t="shared" ref="H72:K72" si="24">SUM(H59:H66)-H70+H69-H67</f>
        <v>1234924.109589041</v>
      </c>
      <c r="I72" s="8">
        <f t="shared" si="24"/>
        <v>1204561.2374429223</v>
      </c>
      <c r="J72" s="8">
        <f t="shared" si="24"/>
        <v>1174283.1755707762</v>
      </c>
      <c r="K72" s="8">
        <f t="shared" si="24"/>
        <v>1144085.683458904</v>
      </c>
      <c r="M72" s="50"/>
      <c r="N72" s="47"/>
      <c r="O72" s="47"/>
      <c r="P72" s="47"/>
      <c r="Q72" s="47"/>
      <c r="R72" s="47"/>
      <c r="S72" s="47"/>
      <c r="T72" s="49"/>
    </row>
    <row r="73" spans="1:20" x14ac:dyDescent="0.2">
      <c r="D73" s="8"/>
      <c r="G73" s="8"/>
      <c r="H73" s="8"/>
      <c r="I73" s="8"/>
      <c r="J73" s="8"/>
      <c r="K73" s="8"/>
      <c r="M73" s="50"/>
      <c r="N73" s="47"/>
      <c r="O73" s="47"/>
      <c r="P73" s="47"/>
      <c r="Q73" s="47"/>
      <c r="R73" s="47"/>
      <c r="S73" s="47"/>
      <c r="T73" s="49"/>
    </row>
    <row r="74" spans="1:20" x14ac:dyDescent="0.2">
      <c r="A74" s="2" t="s">
        <v>38</v>
      </c>
      <c r="D74" s="8"/>
      <c r="G74" s="8"/>
      <c r="H74" s="8"/>
      <c r="I74" s="8"/>
      <c r="J74" s="8"/>
      <c r="K74" s="8"/>
      <c r="M74" s="50"/>
      <c r="N74" s="47"/>
      <c r="O74" s="47"/>
      <c r="P74" s="47"/>
      <c r="Q74" s="47"/>
      <c r="R74" s="47"/>
      <c r="S74" s="47"/>
      <c r="T74" s="49"/>
    </row>
    <row r="75" spans="1:20" x14ac:dyDescent="0.2">
      <c r="B75" t="s">
        <v>39</v>
      </c>
      <c r="D75" s="8">
        <f>D28/365*D6</f>
        <v>17260.273972602707</v>
      </c>
      <c r="G75" s="8">
        <f t="shared" ref="G75:K75" si="25">G28/365*G6</f>
        <v>16397.260273972573</v>
      </c>
      <c r="H75" s="8">
        <f t="shared" si="25"/>
        <v>15577.39726027394</v>
      </c>
      <c r="I75" s="8">
        <f t="shared" si="25"/>
        <v>14798.527397260244</v>
      </c>
      <c r="J75" s="8">
        <f t="shared" si="25"/>
        <v>14058.601027397226</v>
      </c>
      <c r="K75" s="8">
        <f t="shared" si="25"/>
        <v>13355.670976027364</v>
      </c>
      <c r="M75" s="46">
        <v>-1</v>
      </c>
      <c r="N75" s="47"/>
      <c r="O75" s="51">
        <f>M75*K75</f>
        <v>-13355.670976027364</v>
      </c>
      <c r="P75" s="47"/>
      <c r="Q75" s="47"/>
      <c r="R75" s="47"/>
      <c r="S75" s="47"/>
      <c r="T75" s="49"/>
    </row>
    <row r="76" spans="1:20" x14ac:dyDescent="0.2">
      <c r="B76" t="s">
        <v>40</v>
      </c>
      <c r="D76" s="8">
        <f>D54</f>
        <v>55416.666666666817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M76" s="50"/>
      <c r="N76" s="47"/>
      <c r="O76" s="48"/>
      <c r="P76" s="47"/>
      <c r="Q76" s="47"/>
      <c r="R76" s="47"/>
      <c r="S76" s="47"/>
      <c r="T76" s="49"/>
    </row>
    <row r="77" spans="1:20" x14ac:dyDescent="0.2">
      <c r="D77" s="8"/>
      <c r="G77" s="8"/>
      <c r="M77" s="50" t="s">
        <v>24</v>
      </c>
      <c r="N77" s="52">
        <f>SUM(N59:N75)</f>
        <v>805000</v>
      </c>
      <c r="O77" s="52">
        <f>SUM(O59:O75)</f>
        <v>87095.739099315062</v>
      </c>
      <c r="P77" s="47"/>
      <c r="Q77" s="47"/>
      <c r="R77" s="47"/>
      <c r="S77" s="47"/>
      <c r="T77" s="49"/>
    </row>
    <row r="78" spans="1:20" x14ac:dyDescent="0.2">
      <c r="A78" t="s">
        <v>41</v>
      </c>
      <c r="D78" s="8">
        <v>0</v>
      </c>
      <c r="G78" s="8">
        <v>0</v>
      </c>
      <c r="H78" s="8">
        <v>268419.21748524247</v>
      </c>
      <c r="I78" s="8">
        <v>295216.45141404949</v>
      </c>
      <c r="J78" s="8">
        <v>323561.23879194347</v>
      </c>
      <c r="K78" s="8">
        <v>353830.40115446423</v>
      </c>
      <c r="M78" s="50" t="s">
        <v>136</v>
      </c>
      <c r="N78" s="47"/>
      <c r="O78" s="53">
        <f>N77-K79</f>
        <v>9306.691746706143</v>
      </c>
      <c r="P78" s="47"/>
      <c r="Q78" s="47"/>
      <c r="R78" s="47"/>
      <c r="S78" s="47"/>
      <c r="T78" s="49"/>
    </row>
    <row r="79" spans="1:20" x14ac:dyDescent="0.2">
      <c r="A79" t="s">
        <v>122</v>
      </c>
      <c r="D79" s="8"/>
      <c r="G79" s="8">
        <v>840499.33351383999</v>
      </c>
      <c r="H79" s="8">
        <v>830362.38979784353</v>
      </c>
      <c r="I79" s="8">
        <v>819546.55618754122</v>
      </c>
      <c r="J79" s="8">
        <v>808006.36616940552</v>
      </c>
      <c r="K79" s="8">
        <v>795693.30825329386</v>
      </c>
      <c r="M79" s="50" t="s">
        <v>137</v>
      </c>
      <c r="N79" s="48"/>
      <c r="O79" s="52">
        <v>1200</v>
      </c>
      <c r="P79" s="47"/>
      <c r="Q79" s="47"/>
      <c r="R79" s="47"/>
      <c r="S79" s="47"/>
      <c r="T79" s="49"/>
    </row>
    <row r="80" spans="1:20" x14ac:dyDescent="0.2">
      <c r="A80" t="s">
        <v>105</v>
      </c>
      <c r="D80" s="8">
        <v>100000</v>
      </c>
      <c r="G80" s="8">
        <f>D80</f>
        <v>100000</v>
      </c>
      <c r="H80" s="8">
        <v>80000</v>
      </c>
      <c r="I80" s="8">
        <v>60000</v>
      </c>
      <c r="J80" s="8">
        <v>40000</v>
      </c>
      <c r="K80" s="8">
        <v>20000</v>
      </c>
      <c r="M80" s="50" t="s">
        <v>24</v>
      </c>
      <c r="N80" s="53"/>
      <c r="O80" s="53">
        <f>O77+O78-O79</f>
        <v>95202.430846021205</v>
      </c>
      <c r="P80" s="47"/>
      <c r="Q80" s="47"/>
      <c r="R80" s="47"/>
      <c r="S80" s="47"/>
      <c r="T80" s="49"/>
    </row>
    <row r="81" spans="1:20" x14ac:dyDescent="0.2">
      <c r="D81" s="8"/>
      <c r="G81" s="8"/>
      <c r="M81" s="50"/>
      <c r="N81" s="47"/>
      <c r="O81" s="54"/>
      <c r="P81" s="47"/>
      <c r="Q81" s="47"/>
      <c r="R81" s="47"/>
      <c r="S81" s="47"/>
      <c r="T81" s="49"/>
    </row>
    <row r="82" spans="1:20" x14ac:dyDescent="0.2">
      <c r="A82" t="s">
        <v>108</v>
      </c>
      <c r="D82" s="8">
        <v>75000</v>
      </c>
      <c r="G82" s="8">
        <v>75000</v>
      </c>
      <c r="H82" s="8">
        <v>75000</v>
      </c>
      <c r="I82" s="8">
        <v>75000</v>
      </c>
      <c r="J82" s="8">
        <v>75000</v>
      </c>
      <c r="K82" s="8">
        <v>75000</v>
      </c>
      <c r="M82" s="50"/>
      <c r="N82" s="47"/>
      <c r="O82" s="55"/>
      <c r="P82" s="47"/>
      <c r="Q82" s="47"/>
      <c r="R82" s="47"/>
      <c r="S82" s="47"/>
      <c r="T82" s="49"/>
    </row>
    <row r="83" spans="1:20" x14ac:dyDescent="0.2">
      <c r="A83" t="s">
        <v>42</v>
      </c>
      <c r="D83" s="8">
        <f>C83+D55</f>
        <v>102916.66666666696</v>
      </c>
      <c r="G83" s="8">
        <f t="shared" ref="G83:K83" si="26">F83+G55</f>
        <v>-9298.2056531439521</v>
      </c>
      <c r="H83" s="8">
        <f t="shared" si="26"/>
        <v>-34434.894954319177</v>
      </c>
      <c r="I83" s="8">
        <f t="shared" si="26"/>
        <v>-60000.297555928657</v>
      </c>
      <c r="J83" s="8">
        <f t="shared" si="26"/>
        <v>-86343.030417970498</v>
      </c>
      <c r="K83" s="8">
        <f t="shared" si="26"/>
        <v>-113793.6969248813</v>
      </c>
      <c r="M83" s="50"/>
      <c r="N83" s="47"/>
      <c r="O83" s="47" t="s">
        <v>138</v>
      </c>
      <c r="P83" s="47" t="s">
        <v>139</v>
      </c>
      <c r="Q83" s="47" t="s">
        <v>140</v>
      </c>
      <c r="R83" s="47" t="s">
        <v>141</v>
      </c>
      <c r="S83" s="47" t="s">
        <v>24</v>
      </c>
      <c r="T83" s="49" t="s">
        <v>142</v>
      </c>
    </row>
    <row r="84" spans="1:20" x14ac:dyDescent="0.2">
      <c r="D84" s="8"/>
      <c r="G84" s="8"/>
      <c r="M84" s="50"/>
      <c r="N84" s="47" t="s">
        <v>122</v>
      </c>
      <c r="O84" s="56">
        <f>K79</f>
        <v>795693.30825329386</v>
      </c>
      <c r="P84" s="53">
        <v>0</v>
      </c>
      <c r="Q84" s="57">
        <f>P84/$P$87</f>
        <v>0</v>
      </c>
      <c r="R84" s="58">
        <f>Q84*O80</f>
        <v>0</v>
      </c>
      <c r="S84" s="48">
        <f>O84+R84</f>
        <v>795693.30825329386</v>
      </c>
      <c r="T84" s="59">
        <f>S84/K79</f>
        <v>1</v>
      </c>
    </row>
    <row r="85" spans="1:20" x14ac:dyDescent="0.2">
      <c r="A85" s="2" t="s">
        <v>43</v>
      </c>
      <c r="D85" s="8">
        <f>SUM(D75:D83)</f>
        <v>350593.60730593652</v>
      </c>
      <c r="G85" s="8">
        <f t="shared" ref="G85:K85" si="27">SUM(G75:G83)</f>
        <v>1022598.3881346686</v>
      </c>
      <c r="H85" s="8">
        <f t="shared" si="27"/>
        <v>1234924.1095890407</v>
      </c>
      <c r="I85" s="8">
        <f t="shared" si="27"/>
        <v>1204561.2374429223</v>
      </c>
      <c r="J85" s="8">
        <f t="shared" si="27"/>
        <v>1174283.1755707758</v>
      </c>
      <c r="K85" s="8">
        <f t="shared" si="27"/>
        <v>1144085.683458904</v>
      </c>
      <c r="M85" s="50"/>
      <c r="N85" s="47" t="s">
        <v>41</v>
      </c>
      <c r="O85" s="54"/>
      <c r="P85" s="48">
        <f>K78</f>
        <v>353830.40115446423</v>
      </c>
      <c r="Q85" s="57">
        <f>P85/$P$87</f>
        <v>0.94649980328449501</v>
      </c>
      <c r="R85" s="53">
        <f>Q85*$O$80</f>
        <v>90109.082067964817</v>
      </c>
      <c r="S85" s="56">
        <f>R85</f>
        <v>90109.082067964817</v>
      </c>
      <c r="T85" s="59">
        <f>S85/P85</f>
        <v>0.25466743890282001</v>
      </c>
    </row>
    <row r="86" spans="1:20" x14ac:dyDescent="0.2">
      <c r="D86" s="8"/>
      <c r="G86" s="8"/>
      <c r="M86" s="50"/>
      <c r="N86" s="47" t="s">
        <v>143</v>
      </c>
      <c r="O86" s="47"/>
      <c r="P86" s="48">
        <f>K80</f>
        <v>20000</v>
      </c>
      <c r="Q86" s="57">
        <f>P86/$P$87</f>
        <v>5.3500196715505044E-2</v>
      </c>
      <c r="R86" s="53">
        <f>Q86*$O$80</f>
        <v>5093.3487780564001</v>
      </c>
      <c r="S86" s="56">
        <f>R86</f>
        <v>5093.3487780564001</v>
      </c>
      <c r="T86" s="59">
        <f>S86/P86</f>
        <v>0.25466743890282001</v>
      </c>
    </row>
    <row r="87" spans="1:20" ht="13.5" thickBot="1" x14ac:dyDescent="0.25">
      <c r="A87" t="s">
        <v>44</v>
      </c>
      <c r="D87" s="8"/>
      <c r="G87" s="8">
        <v>0</v>
      </c>
      <c r="H87" s="8">
        <f t="shared" ref="H87:K87" si="28">H72-H85</f>
        <v>0</v>
      </c>
      <c r="I87" s="8">
        <f t="shared" si="28"/>
        <v>0</v>
      </c>
      <c r="J87" s="8">
        <f t="shared" si="28"/>
        <v>0</v>
      </c>
      <c r="K87" s="8">
        <f t="shared" si="28"/>
        <v>0</v>
      </c>
      <c r="M87" s="60"/>
      <c r="N87" s="61"/>
      <c r="O87" s="61" t="s">
        <v>144</v>
      </c>
      <c r="P87" s="62">
        <f>SUM(P84:P86)</f>
        <v>373830.40115446423</v>
      </c>
      <c r="Q87" s="61"/>
      <c r="R87" s="61"/>
      <c r="S87" s="61"/>
      <c r="T87" s="63"/>
    </row>
    <row r="88" spans="1:20" x14ac:dyDescent="0.2">
      <c r="A88" s="6"/>
      <c r="B88" s="6"/>
      <c r="C88" s="6"/>
      <c r="D88" s="7"/>
      <c r="E88" s="6"/>
      <c r="F88" s="6"/>
      <c r="G88" s="6"/>
      <c r="H88" s="6"/>
      <c r="I88" s="6"/>
      <c r="J88" s="6"/>
      <c r="K88" s="6"/>
      <c r="M88" s="20"/>
      <c r="N88" s="20"/>
      <c r="O88" s="23"/>
      <c r="P88" s="20"/>
      <c r="Q88" s="20"/>
      <c r="R88" s="20"/>
      <c r="S88" s="20"/>
      <c r="T88" s="20"/>
    </row>
    <row r="89" spans="1:20" x14ac:dyDescent="0.2">
      <c r="A89" s="2" t="s">
        <v>145</v>
      </c>
      <c r="M89" s="20"/>
      <c r="N89" s="20"/>
      <c r="O89" s="20"/>
      <c r="P89" s="20"/>
      <c r="Q89" s="20"/>
      <c r="R89" s="20"/>
      <c r="S89" s="20"/>
      <c r="T89" s="20"/>
    </row>
    <row r="90" spans="1:20" ht="13.5" thickBot="1" x14ac:dyDescent="0.25">
      <c r="M90" s="20"/>
      <c r="N90" s="64"/>
      <c r="O90" s="23"/>
      <c r="P90" s="23"/>
      <c r="Q90" s="23"/>
      <c r="R90" s="23"/>
      <c r="S90" s="20"/>
      <c r="T90" s="20"/>
    </row>
    <row r="91" spans="1:20" ht="13.5" thickBot="1" x14ac:dyDescent="0.25">
      <c r="A91" s="65" t="s">
        <v>146</v>
      </c>
      <c r="B91" s="66"/>
      <c r="C91" s="66"/>
      <c r="D91" s="67"/>
      <c r="E91" s="66"/>
      <c r="F91" s="68">
        <v>0.05</v>
      </c>
      <c r="M91" s="20"/>
      <c r="N91" s="64"/>
      <c r="O91" s="23"/>
      <c r="P91" s="23"/>
      <c r="Q91" s="23"/>
      <c r="R91" s="23"/>
      <c r="S91" s="20"/>
      <c r="T91" s="20"/>
    </row>
    <row r="92" spans="1:20" ht="13.5" thickBot="1" x14ac:dyDescent="0.25">
      <c r="M92" s="20"/>
      <c r="N92" s="64"/>
      <c r="O92" s="23"/>
      <c r="P92" s="23"/>
      <c r="Q92" s="23"/>
      <c r="R92" s="23"/>
      <c r="S92" s="20"/>
      <c r="T92" s="20"/>
    </row>
    <row r="93" spans="1:20" x14ac:dyDescent="0.2">
      <c r="A93" s="43" t="s">
        <v>147</v>
      </c>
      <c r="B93" s="44"/>
      <c r="C93" s="44"/>
      <c r="D93" s="69"/>
      <c r="E93" s="44"/>
      <c r="F93" s="44"/>
      <c r="G93" s="70"/>
      <c r="H93" s="70"/>
      <c r="I93" s="70"/>
      <c r="J93" s="70"/>
      <c r="K93" s="70"/>
      <c r="L93" s="45"/>
      <c r="M93" s="20"/>
      <c r="N93" s="64"/>
      <c r="O93" s="23"/>
      <c r="P93" s="23"/>
      <c r="Q93" s="23"/>
      <c r="R93" s="23"/>
      <c r="S93" s="20"/>
      <c r="T93" s="20"/>
    </row>
    <row r="94" spans="1:20" x14ac:dyDescent="0.2">
      <c r="A94" s="50"/>
      <c r="B94" s="47" t="s">
        <v>148</v>
      </c>
      <c r="C94" s="47"/>
      <c r="D94" s="71"/>
      <c r="E94" s="47"/>
      <c r="F94" s="48">
        <f>-(G79-F79)</f>
        <v>-840499.33351383999</v>
      </c>
      <c r="G94" s="48">
        <f>-(H79-G79)</f>
        <v>10136.943715996458</v>
      </c>
      <c r="H94" s="48">
        <f>-(I79-H79)</f>
        <v>10815.833610302303</v>
      </c>
      <c r="I94" s="48">
        <f>-(J79-I79)</f>
        <v>11540.190018135705</v>
      </c>
      <c r="J94" s="48">
        <f>-(K79-J79)</f>
        <v>12313.057916111662</v>
      </c>
      <c r="K94" s="48"/>
      <c r="L94" s="49"/>
      <c r="M94" s="20"/>
      <c r="N94" s="64"/>
      <c r="O94" s="23"/>
      <c r="P94" s="23"/>
      <c r="Q94" s="23"/>
      <c r="R94" s="23"/>
      <c r="S94" s="20"/>
      <c r="T94" s="20"/>
    </row>
    <row r="95" spans="1:20" x14ac:dyDescent="0.2">
      <c r="A95" s="50"/>
      <c r="B95" s="47" t="s">
        <v>149</v>
      </c>
      <c r="C95" s="47"/>
      <c r="D95" s="71"/>
      <c r="E95" s="47"/>
      <c r="F95" s="47"/>
      <c r="G95" s="48"/>
      <c r="H95" s="48"/>
      <c r="I95" s="48"/>
      <c r="J95" s="48"/>
      <c r="K95" s="48">
        <f>S84</f>
        <v>795693.30825329386</v>
      </c>
      <c r="L95" s="49"/>
      <c r="M95" s="20"/>
      <c r="N95" s="64"/>
      <c r="O95" s="23"/>
      <c r="P95" s="23"/>
      <c r="Q95" s="23"/>
      <c r="R95" s="23"/>
      <c r="S95" s="20"/>
      <c r="T95" s="20"/>
    </row>
    <row r="96" spans="1:20" x14ac:dyDescent="0.2">
      <c r="A96" s="50"/>
      <c r="B96" s="47" t="s">
        <v>150</v>
      </c>
      <c r="C96" s="47"/>
      <c r="D96" s="71"/>
      <c r="E96" s="47"/>
      <c r="F96" s="47"/>
      <c r="G96" s="48">
        <f>G49</f>
        <v>54970.271910122421</v>
      </c>
      <c r="H96" s="48">
        <f>H49</f>
        <v>54333.994680285803</v>
      </c>
      <c r="I96" s="48">
        <f>I49</f>
        <v>53655.104785979958</v>
      </c>
      <c r="J96" s="48">
        <f>J49</f>
        <v>52930.748378146658</v>
      </c>
      <c r="K96" s="48">
        <f>K49</f>
        <v>52157.880480170817</v>
      </c>
      <c r="L96" s="49"/>
      <c r="M96" s="20"/>
      <c r="N96" s="64"/>
      <c r="O96" s="23"/>
      <c r="P96" s="23"/>
      <c r="Q96" s="23"/>
      <c r="R96" s="23"/>
      <c r="S96" s="20"/>
      <c r="T96" s="20"/>
    </row>
    <row r="97" spans="1:20" s="20" customFormat="1" x14ac:dyDescent="0.2">
      <c r="A97" s="50" t="s">
        <v>151</v>
      </c>
      <c r="B97" s="47"/>
      <c r="C97" s="47"/>
      <c r="D97" s="71"/>
      <c r="E97" s="47"/>
      <c r="F97" s="48">
        <f>SUM(F94:F96)</f>
        <v>-840499.33351383999</v>
      </c>
      <c r="G97" s="48">
        <f t="shared" ref="G97:K97" si="29">SUM(G94:G96)</f>
        <v>65107.215626118879</v>
      </c>
      <c r="H97" s="48">
        <f t="shared" si="29"/>
        <v>65149.828290588106</v>
      </c>
      <c r="I97" s="48">
        <f t="shared" si="29"/>
        <v>65195.294804115663</v>
      </c>
      <c r="J97" s="48">
        <f t="shared" si="29"/>
        <v>65243.80629425832</v>
      </c>
      <c r="K97" s="48">
        <f t="shared" si="29"/>
        <v>847851.18873346469</v>
      </c>
      <c r="L97" s="49" t="s">
        <v>152</v>
      </c>
      <c r="N97" s="64"/>
      <c r="O97" s="23"/>
      <c r="P97" s="23"/>
      <c r="Q97" s="23"/>
      <c r="R97" s="72"/>
      <c r="S97" s="73"/>
    </row>
    <row r="98" spans="1:20" x14ac:dyDescent="0.2">
      <c r="A98" s="50" t="s">
        <v>55</v>
      </c>
      <c r="B98" s="47"/>
      <c r="C98" s="47"/>
      <c r="D98" s="71"/>
      <c r="E98" s="47"/>
      <c r="F98" s="54">
        <f>IRR(F97:K97)</f>
        <v>6.5466983686176761E-2</v>
      </c>
      <c r="G98" s="47"/>
      <c r="H98" s="47"/>
      <c r="I98" s="47"/>
      <c r="J98" s="47"/>
      <c r="K98" s="47"/>
      <c r="L98" s="74">
        <f>F91</f>
        <v>0.05</v>
      </c>
      <c r="M98" s="20"/>
      <c r="N98" s="20"/>
      <c r="O98" s="20"/>
      <c r="P98" s="20"/>
      <c r="Q98" s="20"/>
      <c r="R98" s="20"/>
      <c r="S98" s="20"/>
      <c r="T98" s="20"/>
    </row>
    <row r="99" spans="1:20" x14ac:dyDescent="0.2">
      <c r="A99" s="50" t="s">
        <v>153</v>
      </c>
      <c r="B99" s="47"/>
      <c r="C99" s="47"/>
      <c r="D99" s="71"/>
      <c r="E99" s="47"/>
      <c r="F99" s="54"/>
      <c r="G99" s="47"/>
      <c r="H99" s="47"/>
      <c r="I99" s="47"/>
      <c r="J99" s="47"/>
      <c r="K99" s="47"/>
      <c r="L99" s="74"/>
      <c r="M99" s="20"/>
      <c r="N99" s="20"/>
      <c r="O99" s="20"/>
      <c r="P99" s="20"/>
      <c r="Q99" s="20"/>
      <c r="R99" s="20"/>
      <c r="S99" s="20"/>
      <c r="T99" s="20"/>
    </row>
    <row r="100" spans="1:20" x14ac:dyDescent="0.2">
      <c r="A100" s="50" t="s">
        <v>154</v>
      </c>
      <c r="B100" s="47"/>
      <c r="C100" s="47"/>
      <c r="D100" s="71"/>
      <c r="E100" s="47"/>
      <c r="F100" s="54">
        <v>6.5000000000000002E-2</v>
      </c>
      <c r="G100" s="47"/>
      <c r="H100" s="47"/>
      <c r="I100" s="47"/>
      <c r="J100" s="47"/>
      <c r="K100" s="47"/>
      <c r="L100" s="74">
        <f>100%-L98</f>
        <v>0.95</v>
      </c>
    </row>
    <row r="101" spans="1:20" ht="13.5" thickBot="1" x14ac:dyDescent="0.25">
      <c r="A101" s="60" t="s">
        <v>155</v>
      </c>
      <c r="B101" s="61"/>
      <c r="C101" s="61"/>
      <c r="D101" s="75"/>
      <c r="E101" s="61"/>
      <c r="F101" s="76">
        <f>L98*F98+L100*F100</f>
        <v>6.502334918430884E-2</v>
      </c>
      <c r="G101" s="77"/>
      <c r="H101" s="77"/>
      <c r="I101" s="77"/>
      <c r="J101" s="77"/>
      <c r="K101" s="77"/>
      <c r="L101" s="63"/>
    </row>
    <row r="102" spans="1:20" ht="13.5" thickBot="1" x14ac:dyDescent="0.25">
      <c r="F102" s="11"/>
      <c r="G102" s="11"/>
      <c r="H102" s="11"/>
      <c r="I102" s="11"/>
      <c r="J102" s="11"/>
      <c r="K102" s="11"/>
    </row>
    <row r="103" spans="1:20" x14ac:dyDescent="0.2">
      <c r="A103" s="43" t="s">
        <v>156</v>
      </c>
      <c r="B103" s="44"/>
      <c r="C103" s="44"/>
      <c r="D103" s="69"/>
      <c r="E103" s="44"/>
      <c r="F103" s="44"/>
      <c r="G103" s="44"/>
      <c r="H103" s="44"/>
      <c r="I103" s="44"/>
      <c r="J103" s="44"/>
      <c r="K103" s="44"/>
      <c r="L103" s="45"/>
    </row>
    <row r="104" spans="1:20" x14ac:dyDescent="0.2">
      <c r="A104" s="50"/>
      <c r="B104" s="47" t="s">
        <v>148</v>
      </c>
      <c r="C104" s="47"/>
      <c r="D104" s="71"/>
      <c r="E104" s="47"/>
      <c r="F104" s="48">
        <f>-(G78-F78)</f>
        <v>0</v>
      </c>
      <c r="G104" s="48">
        <f>-(H78-G78)</f>
        <v>-268419.21748524247</v>
      </c>
      <c r="H104" s="48">
        <f>-(I78-H78)</f>
        <v>-26797.233928807022</v>
      </c>
      <c r="I104" s="48">
        <f>-(J78-I78)</f>
        <v>-28344.787377893983</v>
      </c>
      <c r="J104" s="48">
        <f>-(K78-J78)</f>
        <v>-30269.162362520758</v>
      </c>
      <c r="K104" s="48"/>
      <c r="L104" s="49"/>
    </row>
    <row r="105" spans="1:20" x14ac:dyDescent="0.2">
      <c r="A105" s="50"/>
      <c r="B105" s="47" t="s">
        <v>149</v>
      </c>
      <c r="C105" s="47"/>
      <c r="D105" s="71"/>
      <c r="E105" s="47"/>
      <c r="F105" s="48"/>
      <c r="G105" s="48"/>
      <c r="H105" s="48"/>
      <c r="I105" s="48"/>
      <c r="J105" s="48"/>
      <c r="K105" s="48">
        <f>S85</f>
        <v>90109.082067964817</v>
      </c>
      <c r="L105" s="49"/>
      <c r="M105" s="12"/>
    </row>
    <row r="106" spans="1:20" x14ac:dyDescent="0.2">
      <c r="A106" s="50"/>
      <c r="B106" s="47" t="s">
        <v>150</v>
      </c>
      <c r="C106" s="47"/>
      <c r="D106" s="71"/>
      <c r="E106" s="47"/>
      <c r="F106" s="47"/>
      <c r="G106" s="48">
        <f>G51</f>
        <v>0</v>
      </c>
      <c r="H106" s="48">
        <f>H51</f>
        <v>26841.921748524248</v>
      </c>
      <c r="I106" s="48">
        <f>I51</f>
        <v>29521.645141404952</v>
      </c>
      <c r="J106" s="48">
        <f>J51</f>
        <v>32356.123879194347</v>
      </c>
      <c r="K106" s="48">
        <f>K51</f>
        <v>35383.040115446427</v>
      </c>
      <c r="L106" s="49"/>
      <c r="M106" s="11"/>
    </row>
    <row r="107" spans="1:20" x14ac:dyDescent="0.2">
      <c r="A107" s="50" t="s">
        <v>151</v>
      </c>
      <c r="B107" s="47"/>
      <c r="C107" s="47"/>
      <c r="D107" s="71"/>
      <c r="E107" s="47"/>
      <c r="F107" s="48">
        <f>SUM(F104:F106)</f>
        <v>0</v>
      </c>
      <c r="G107" s="48">
        <f t="shared" ref="G107:K107" si="30">SUM(G104:G106)</f>
        <v>-268419.21748524247</v>
      </c>
      <c r="H107" s="48">
        <f t="shared" si="30"/>
        <v>44.687819717226375</v>
      </c>
      <c r="I107" s="48">
        <f t="shared" si="30"/>
        <v>1176.8577635109687</v>
      </c>
      <c r="J107" s="48">
        <f t="shared" si="30"/>
        <v>2086.9615166735894</v>
      </c>
      <c r="K107" s="48">
        <f t="shared" si="30"/>
        <v>125492.12218341124</v>
      </c>
      <c r="L107" s="49" t="s">
        <v>152</v>
      </c>
      <c r="M107" s="11"/>
    </row>
    <row r="108" spans="1:20" x14ac:dyDescent="0.2">
      <c r="A108" s="50" t="s">
        <v>55</v>
      </c>
      <c r="B108" s="47"/>
      <c r="C108" s="47"/>
      <c r="D108" s="71"/>
      <c r="E108" s="47"/>
      <c r="F108" s="54">
        <f>IRR(F107:K107)</f>
        <v>-0.16889798476985729</v>
      </c>
      <c r="G108" s="47"/>
      <c r="H108" s="47"/>
      <c r="I108" s="47"/>
      <c r="J108" s="47"/>
      <c r="K108" s="47"/>
      <c r="L108" s="74">
        <f>F91</f>
        <v>0.05</v>
      </c>
      <c r="M108" s="11"/>
    </row>
    <row r="109" spans="1:20" x14ac:dyDescent="0.2">
      <c r="A109" s="50" t="s">
        <v>153</v>
      </c>
      <c r="B109" s="47"/>
      <c r="C109" s="47"/>
      <c r="D109" s="71"/>
      <c r="E109" s="47"/>
      <c r="F109" s="54"/>
      <c r="G109" s="47"/>
      <c r="H109" s="47"/>
      <c r="I109" s="47"/>
      <c r="J109" s="47"/>
      <c r="K109" s="47"/>
      <c r="L109" s="74"/>
      <c r="M109" s="11"/>
    </row>
    <row r="110" spans="1:20" x14ac:dyDescent="0.2">
      <c r="A110" s="50" t="s">
        <v>154</v>
      </c>
      <c r="B110" s="47"/>
      <c r="C110" s="47"/>
      <c r="D110" s="71"/>
      <c r="E110" s="47"/>
      <c r="F110" s="57">
        <f>D15</f>
        <v>0.1</v>
      </c>
      <c r="G110" s="48"/>
      <c r="H110" s="48"/>
      <c r="I110" s="48"/>
      <c r="J110" s="48"/>
      <c r="K110" s="48"/>
      <c r="L110" s="74">
        <f>100%-L108</f>
        <v>0.95</v>
      </c>
      <c r="M110" s="12"/>
    </row>
    <row r="111" spans="1:20" ht="13.5" thickBot="1" x14ac:dyDescent="0.25">
      <c r="A111" s="60" t="s">
        <v>155</v>
      </c>
      <c r="B111" s="61"/>
      <c r="C111" s="61"/>
      <c r="D111" s="75"/>
      <c r="E111" s="61"/>
      <c r="F111" s="76">
        <f>L108*F108+L110*F110</f>
        <v>8.6555100761507131E-2</v>
      </c>
      <c r="G111" s="61"/>
      <c r="H111" s="61"/>
      <c r="I111" s="61"/>
      <c r="J111" s="61"/>
      <c r="K111" s="61"/>
      <c r="L111" s="63"/>
      <c r="M111" s="11"/>
    </row>
    <row r="112" spans="1:20" ht="13.5" thickBot="1" x14ac:dyDescent="0.25">
      <c r="M112" s="11"/>
    </row>
    <row r="113" spans="1:13" x14ac:dyDescent="0.2">
      <c r="A113" s="43" t="s">
        <v>143</v>
      </c>
      <c r="B113" s="44"/>
      <c r="C113" s="44"/>
      <c r="D113" s="69"/>
      <c r="E113" s="44"/>
      <c r="F113" s="44"/>
      <c r="G113" s="44"/>
      <c r="H113" s="44"/>
      <c r="I113" s="44"/>
      <c r="J113" s="44"/>
      <c r="K113" s="44"/>
      <c r="L113" s="45"/>
      <c r="M113" s="11"/>
    </row>
    <row r="114" spans="1:13" x14ac:dyDescent="0.2">
      <c r="A114" s="50"/>
      <c r="B114" s="47" t="s">
        <v>148</v>
      </c>
      <c r="C114" s="47"/>
      <c r="D114" s="71"/>
      <c r="E114" s="47"/>
      <c r="F114" s="48">
        <f>-(G80-F80)</f>
        <v>-100000</v>
      </c>
      <c r="G114" s="48">
        <f t="shared" ref="G114:J114" si="31">-(H80-G80)</f>
        <v>20000</v>
      </c>
      <c r="H114" s="48">
        <f t="shared" si="31"/>
        <v>20000</v>
      </c>
      <c r="I114" s="48">
        <f t="shared" si="31"/>
        <v>20000</v>
      </c>
      <c r="J114" s="48">
        <f t="shared" si="31"/>
        <v>20000</v>
      </c>
      <c r="K114" s="48"/>
      <c r="L114" s="49"/>
      <c r="M114" s="12"/>
    </row>
    <row r="115" spans="1:13" x14ac:dyDescent="0.2">
      <c r="A115" s="50"/>
      <c r="B115" s="47" t="s">
        <v>149</v>
      </c>
      <c r="C115" s="47"/>
      <c r="D115" s="71"/>
      <c r="E115" s="47"/>
      <c r="F115" s="47"/>
      <c r="G115" s="47"/>
      <c r="H115" s="47"/>
      <c r="I115" s="47"/>
      <c r="J115" s="47"/>
      <c r="K115" s="53">
        <f>R86</f>
        <v>5093.3487780564001</v>
      </c>
      <c r="L115" s="49"/>
      <c r="M115" s="11"/>
    </row>
    <row r="116" spans="1:13" x14ac:dyDescent="0.2">
      <c r="A116" s="50"/>
      <c r="B116" s="47" t="s">
        <v>150</v>
      </c>
      <c r="C116" s="47"/>
      <c r="D116" s="71"/>
      <c r="E116" s="47"/>
      <c r="F116" s="47"/>
      <c r="G116" s="48">
        <f>G50</f>
        <v>5000</v>
      </c>
      <c r="H116" s="48">
        <f t="shared" ref="H116:K116" si="32">H50</f>
        <v>4000</v>
      </c>
      <c r="I116" s="48">
        <f t="shared" si="32"/>
        <v>3000</v>
      </c>
      <c r="J116" s="48">
        <f t="shared" si="32"/>
        <v>2000</v>
      </c>
      <c r="K116" s="48">
        <f t="shared" si="32"/>
        <v>1000</v>
      </c>
      <c r="L116" s="49"/>
      <c r="M116" s="11"/>
    </row>
    <row r="117" spans="1:13" x14ac:dyDescent="0.2">
      <c r="A117" s="50" t="s">
        <v>151</v>
      </c>
      <c r="B117" s="47"/>
      <c r="C117" s="47"/>
      <c r="D117" s="71"/>
      <c r="E117" s="47"/>
      <c r="F117" s="48">
        <f>SUM(F114:F116)</f>
        <v>-100000</v>
      </c>
      <c r="G117" s="48">
        <f t="shared" ref="G117:K117" si="33">SUM(G114:G116)</f>
        <v>25000</v>
      </c>
      <c r="H117" s="48">
        <f t="shared" si="33"/>
        <v>24000</v>
      </c>
      <c r="I117" s="48">
        <f t="shared" si="33"/>
        <v>23000</v>
      </c>
      <c r="J117" s="48">
        <f t="shared" si="33"/>
        <v>22000</v>
      </c>
      <c r="K117" s="48">
        <f t="shared" si="33"/>
        <v>6093.3487780564001</v>
      </c>
      <c r="L117" s="49" t="s">
        <v>152</v>
      </c>
    </row>
    <row r="118" spans="1:13" x14ac:dyDescent="0.2">
      <c r="A118" s="50" t="s">
        <v>55</v>
      </c>
      <c r="B118" s="47"/>
      <c r="C118" s="47"/>
      <c r="D118" s="71"/>
      <c r="E118" s="47"/>
      <c r="F118" s="54">
        <f>IRR(F117:K117)</f>
        <v>3.5866006426443775E-4</v>
      </c>
      <c r="G118" s="48"/>
      <c r="H118" s="48"/>
      <c r="I118" s="48"/>
      <c r="J118" s="48"/>
      <c r="K118" s="48"/>
      <c r="L118" s="74">
        <f>F91</f>
        <v>0.05</v>
      </c>
    </row>
    <row r="119" spans="1:13" x14ac:dyDescent="0.2">
      <c r="A119" s="50" t="s">
        <v>153</v>
      </c>
      <c r="B119" s="47"/>
      <c r="C119" s="47"/>
      <c r="D119" s="71"/>
      <c r="E119" s="47"/>
      <c r="F119" s="54"/>
      <c r="G119" s="48"/>
      <c r="H119" s="48"/>
      <c r="I119" s="48"/>
      <c r="J119" s="48"/>
      <c r="K119" s="48"/>
      <c r="L119" s="74"/>
    </row>
    <row r="120" spans="1:13" x14ac:dyDescent="0.2">
      <c r="A120" s="50" t="s">
        <v>154</v>
      </c>
      <c r="B120" s="47"/>
      <c r="C120" s="47"/>
      <c r="D120" s="71"/>
      <c r="E120" s="47"/>
      <c r="F120" s="57">
        <f>D14</f>
        <v>0.05</v>
      </c>
      <c r="G120" s="56"/>
      <c r="H120" s="56"/>
      <c r="I120" s="56"/>
      <c r="J120" s="56"/>
      <c r="K120" s="56"/>
      <c r="L120" s="74">
        <f>100%-L118</f>
        <v>0.95</v>
      </c>
    </row>
    <row r="121" spans="1:13" ht="13.5" thickBot="1" x14ac:dyDescent="0.25">
      <c r="A121" s="60" t="s">
        <v>155</v>
      </c>
      <c r="B121" s="61"/>
      <c r="C121" s="61"/>
      <c r="D121" s="75"/>
      <c r="E121" s="61"/>
      <c r="F121" s="76">
        <f>L118*F118+L120*F120</f>
        <v>4.751793300321322E-2</v>
      </c>
      <c r="G121" s="61"/>
      <c r="H121" s="61"/>
      <c r="I121" s="61"/>
      <c r="J121" s="61"/>
      <c r="K121" s="61"/>
      <c r="L121" s="63"/>
    </row>
    <row r="122" spans="1:13" x14ac:dyDescent="0.2">
      <c r="A122" s="2"/>
      <c r="F122" s="8"/>
      <c r="G122" s="8"/>
      <c r="H122" s="8"/>
      <c r="I122" s="8"/>
      <c r="J122" s="8"/>
      <c r="K122" s="8"/>
    </row>
    <row r="123" spans="1:13" x14ac:dyDescent="0.2">
      <c r="A123" s="2"/>
      <c r="F123" s="5"/>
    </row>
    <row r="124" spans="1:13" x14ac:dyDescent="0.2">
      <c r="A124" s="2"/>
    </row>
    <row r="125" spans="1:13" x14ac:dyDescent="0.2">
      <c r="A125" s="2"/>
      <c r="F125" s="5"/>
    </row>
    <row r="126" spans="1:13" x14ac:dyDescent="0.2">
      <c r="A126" s="2"/>
      <c r="F126" s="29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orientation="portrait" useFirstPageNumber="1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5"/>
  <sheetViews>
    <sheetView tabSelected="1" topLeftCell="A79" zoomScale="80" zoomScaleNormal="80" zoomScalePageLayoutView="80" workbookViewId="0">
      <selection activeCell="L145" sqref="L145"/>
    </sheetView>
  </sheetViews>
  <sheetFormatPr defaultColWidth="11.42578125" defaultRowHeight="12.75" x14ac:dyDescent="0.2"/>
  <cols>
    <col min="1" max="1" width="4" customWidth="1"/>
    <col min="2" max="2" width="35.28515625" customWidth="1"/>
    <col min="3" max="3" width="3.28515625" customWidth="1"/>
    <col min="4" max="4" width="20.42578125" style="1" customWidth="1"/>
    <col min="5" max="5" width="2.42578125" customWidth="1"/>
    <col min="6" max="6" width="17.28515625" customWidth="1"/>
    <col min="7" max="7" width="19.7109375" customWidth="1"/>
    <col min="8" max="8" width="14.85546875" customWidth="1"/>
    <col min="9" max="9" width="15.85546875" bestFit="1" customWidth="1"/>
    <col min="10" max="16" width="14.85546875" customWidth="1"/>
    <col min="18" max="18" width="13.85546875" customWidth="1"/>
    <col min="19" max="19" width="14.85546875" customWidth="1"/>
    <col min="22" max="22" width="13.42578125" customWidth="1"/>
  </cols>
  <sheetData>
    <row r="1" spans="1:16" x14ac:dyDescent="0.2">
      <c r="A1" s="2" t="s">
        <v>131</v>
      </c>
      <c r="D1" s="3" t="s">
        <v>72</v>
      </c>
      <c r="F1" s="2" t="s">
        <v>71</v>
      </c>
    </row>
    <row r="2" spans="1:16" x14ac:dyDescent="0.2">
      <c r="D2" s="3" t="s">
        <v>0</v>
      </c>
      <c r="E2" s="2"/>
      <c r="F2" s="2"/>
      <c r="G2" s="2" t="s">
        <v>1</v>
      </c>
      <c r="H2" s="2" t="s">
        <v>2</v>
      </c>
      <c r="I2" s="2" t="s">
        <v>3</v>
      </c>
      <c r="J2" s="2" t="s">
        <v>98</v>
      </c>
      <c r="K2" s="2" t="s">
        <v>99</v>
      </c>
      <c r="L2" s="2" t="s">
        <v>100</v>
      </c>
      <c r="M2" s="2" t="s">
        <v>101</v>
      </c>
      <c r="N2" s="2" t="s">
        <v>102</v>
      </c>
      <c r="O2" s="2" t="s">
        <v>103</v>
      </c>
      <c r="P2" s="2" t="s">
        <v>104</v>
      </c>
    </row>
    <row r="3" spans="1:16" x14ac:dyDescent="0.2">
      <c r="A3" s="2" t="s">
        <v>4</v>
      </c>
    </row>
    <row r="4" spans="1:16" x14ac:dyDescent="0.2">
      <c r="A4" s="30" t="s">
        <v>90</v>
      </c>
      <c r="D4" s="31">
        <v>299000</v>
      </c>
      <c r="G4" s="31">
        <v>299000</v>
      </c>
      <c r="H4" s="31">
        <v>299000</v>
      </c>
      <c r="I4" s="31">
        <v>299000</v>
      </c>
      <c r="J4" s="31">
        <v>299000</v>
      </c>
      <c r="K4" s="31">
        <v>299000</v>
      </c>
      <c r="L4" s="31">
        <v>299000</v>
      </c>
      <c r="M4" s="31">
        <v>299000</v>
      </c>
      <c r="N4" s="31">
        <v>299000</v>
      </c>
      <c r="O4" s="31">
        <v>299000</v>
      </c>
      <c r="P4" s="31">
        <v>299000</v>
      </c>
    </row>
    <row r="5" spans="1:16" x14ac:dyDescent="0.2">
      <c r="A5" t="s">
        <v>5</v>
      </c>
      <c r="D5" s="4">
        <v>7</v>
      </c>
      <c r="G5" s="4">
        <v>7</v>
      </c>
      <c r="H5">
        <f>G5</f>
        <v>7</v>
      </c>
      <c r="I5">
        <f t="shared" ref="I5:P5" si="0">H5</f>
        <v>7</v>
      </c>
      <c r="J5">
        <f t="shared" si="0"/>
        <v>7</v>
      </c>
      <c r="K5">
        <f t="shared" si="0"/>
        <v>7</v>
      </c>
      <c r="L5">
        <f t="shared" si="0"/>
        <v>7</v>
      </c>
      <c r="M5">
        <f t="shared" si="0"/>
        <v>7</v>
      </c>
      <c r="N5">
        <f t="shared" si="0"/>
        <v>7</v>
      </c>
      <c r="O5">
        <f t="shared" si="0"/>
        <v>7</v>
      </c>
      <c r="P5">
        <f t="shared" si="0"/>
        <v>7</v>
      </c>
    </row>
    <row r="6" spans="1:16" x14ac:dyDescent="0.2">
      <c r="A6" t="s">
        <v>6</v>
      </c>
      <c r="D6" s="4">
        <v>30</v>
      </c>
      <c r="G6" s="4">
        <v>30</v>
      </c>
      <c r="H6" s="4">
        <v>30</v>
      </c>
      <c r="I6" s="4">
        <v>30</v>
      </c>
      <c r="J6" s="4">
        <v>30</v>
      </c>
      <c r="K6" s="4">
        <v>30</v>
      </c>
      <c r="L6" s="4">
        <v>30</v>
      </c>
      <c r="M6" s="4">
        <v>30</v>
      </c>
      <c r="N6" s="4">
        <v>30</v>
      </c>
      <c r="O6" s="4">
        <v>30</v>
      </c>
      <c r="P6" s="4">
        <v>30</v>
      </c>
    </row>
    <row r="7" spans="1:16" x14ac:dyDescent="0.2">
      <c r="A7" t="s">
        <v>7</v>
      </c>
      <c r="D7" s="4">
        <v>90</v>
      </c>
      <c r="G7" s="4">
        <v>45</v>
      </c>
      <c r="H7" s="4">
        <v>45</v>
      </c>
      <c r="I7" s="4">
        <v>45</v>
      </c>
      <c r="J7" s="4">
        <v>45</v>
      </c>
      <c r="K7" s="4">
        <v>45</v>
      </c>
      <c r="L7" s="4">
        <v>45</v>
      </c>
      <c r="M7" s="4">
        <v>45</v>
      </c>
      <c r="N7" s="4">
        <v>45</v>
      </c>
      <c r="O7" s="4">
        <v>45</v>
      </c>
      <c r="P7" s="4">
        <v>45</v>
      </c>
    </row>
    <row r="8" spans="1:16" x14ac:dyDescent="0.2">
      <c r="A8" t="s">
        <v>8</v>
      </c>
      <c r="D8" s="34">
        <f>D25/D30</f>
        <v>1.1619047619047609</v>
      </c>
      <c r="G8" s="33">
        <f>D8</f>
        <v>1.1619047619047609</v>
      </c>
      <c r="H8" s="33">
        <f>G8</f>
        <v>1.1619047619047609</v>
      </c>
      <c r="I8" s="33">
        <f t="shared" ref="I8:P8" si="1">H8</f>
        <v>1.1619047619047609</v>
      </c>
      <c r="J8" s="33">
        <f t="shared" si="1"/>
        <v>1.1619047619047609</v>
      </c>
      <c r="K8" s="33">
        <f t="shared" si="1"/>
        <v>1.1619047619047609</v>
      </c>
      <c r="L8" s="33">
        <f t="shared" si="1"/>
        <v>1.1619047619047609</v>
      </c>
      <c r="M8" s="33">
        <f t="shared" si="1"/>
        <v>1.1619047619047609</v>
      </c>
      <c r="N8" s="33">
        <f t="shared" si="1"/>
        <v>1.1619047619047609</v>
      </c>
      <c r="O8" s="33">
        <f t="shared" si="1"/>
        <v>1.1619047619047609</v>
      </c>
      <c r="P8" s="33">
        <f t="shared" si="1"/>
        <v>1.1619047619047609</v>
      </c>
    </row>
    <row r="9" spans="1:16" x14ac:dyDescent="0.2">
      <c r="A9" t="s">
        <v>109</v>
      </c>
      <c r="D9" s="40">
        <v>100</v>
      </c>
      <c r="F9" s="12">
        <v>0.1</v>
      </c>
      <c r="G9" s="40">
        <f>D9*(1+F9)</f>
        <v>110.00000000000001</v>
      </c>
      <c r="H9" s="40">
        <f>G9*(1-0.1)</f>
        <v>99.000000000000014</v>
      </c>
      <c r="I9" s="40">
        <f t="shared" ref="I9:P9" si="2">H9*(1-0.1)</f>
        <v>89.100000000000009</v>
      </c>
      <c r="J9" s="40">
        <f t="shared" si="2"/>
        <v>80.190000000000012</v>
      </c>
      <c r="K9" s="40">
        <f t="shared" si="2"/>
        <v>72.171000000000006</v>
      </c>
      <c r="L9" s="40">
        <f t="shared" si="2"/>
        <v>64.953900000000004</v>
      </c>
      <c r="M9" s="40">
        <f t="shared" si="2"/>
        <v>58.458510000000004</v>
      </c>
      <c r="N9" s="40">
        <f t="shared" si="2"/>
        <v>52.612659000000008</v>
      </c>
      <c r="O9" s="40">
        <f t="shared" si="2"/>
        <v>47.35139310000001</v>
      </c>
      <c r="P9" s="40">
        <f t="shared" si="2"/>
        <v>42.616253790000009</v>
      </c>
    </row>
    <row r="10" spans="1:16" x14ac:dyDescent="0.2">
      <c r="A10" t="s">
        <v>110</v>
      </c>
      <c r="D10" s="8">
        <v>120</v>
      </c>
      <c r="G10" s="8">
        <v>120</v>
      </c>
      <c r="H10" s="8">
        <v>120</v>
      </c>
      <c r="I10" s="8">
        <v>120</v>
      </c>
      <c r="J10" s="8">
        <v>120</v>
      </c>
      <c r="K10" s="8">
        <v>120</v>
      </c>
      <c r="L10" s="8">
        <v>135</v>
      </c>
      <c r="M10" s="8">
        <v>135</v>
      </c>
      <c r="N10" s="8">
        <v>135</v>
      </c>
      <c r="O10" s="8">
        <v>135</v>
      </c>
      <c r="P10" s="8">
        <v>135</v>
      </c>
    </row>
    <row r="11" spans="1:16" x14ac:dyDescent="0.2">
      <c r="A11" t="s">
        <v>132</v>
      </c>
      <c r="D11" s="8"/>
      <c r="G11" s="8">
        <v>250</v>
      </c>
      <c r="H11" s="8">
        <v>250</v>
      </c>
      <c r="I11" s="8">
        <v>250</v>
      </c>
      <c r="J11" s="8">
        <v>250</v>
      </c>
      <c r="K11" s="8">
        <v>250</v>
      </c>
      <c r="L11" s="8">
        <v>250</v>
      </c>
      <c r="M11" s="8">
        <v>250</v>
      </c>
      <c r="N11" s="8">
        <v>250</v>
      </c>
      <c r="O11" s="8">
        <v>250</v>
      </c>
      <c r="P11" s="8">
        <v>250</v>
      </c>
    </row>
    <row r="12" spans="1:16" x14ac:dyDescent="0.2">
      <c r="A12" t="s">
        <v>133</v>
      </c>
      <c r="D12" s="8"/>
      <c r="G12" s="40">
        <v>3200</v>
      </c>
      <c r="H12" s="40">
        <v>3200</v>
      </c>
      <c r="I12" s="40">
        <v>3200</v>
      </c>
      <c r="J12" s="40">
        <v>3200</v>
      </c>
      <c r="K12" s="40">
        <v>3200</v>
      </c>
      <c r="L12" s="40">
        <v>3200</v>
      </c>
      <c r="M12" s="40">
        <v>3200</v>
      </c>
      <c r="N12" s="40">
        <v>3200</v>
      </c>
      <c r="O12" s="40">
        <v>3200</v>
      </c>
      <c r="P12" s="40">
        <v>3200</v>
      </c>
    </row>
    <row r="13" spans="1:16" x14ac:dyDescent="0.2">
      <c r="A13" t="s">
        <v>9</v>
      </c>
      <c r="D13" s="41">
        <v>2.9047619047619104</v>
      </c>
      <c r="G13" s="36">
        <f>D13</f>
        <v>2.9047619047619104</v>
      </c>
      <c r="H13" s="41">
        <f t="shared" ref="H13:P18" si="3">G13</f>
        <v>2.9047619047619104</v>
      </c>
      <c r="I13" s="41">
        <f t="shared" si="3"/>
        <v>2.9047619047619104</v>
      </c>
      <c r="J13" s="41">
        <f t="shared" si="3"/>
        <v>2.9047619047619104</v>
      </c>
      <c r="K13" s="41">
        <f t="shared" si="3"/>
        <v>2.9047619047619104</v>
      </c>
      <c r="L13" s="41">
        <f t="shared" si="3"/>
        <v>2.9047619047619104</v>
      </c>
      <c r="M13" s="41">
        <f t="shared" si="3"/>
        <v>2.9047619047619104</v>
      </c>
      <c r="N13" s="41">
        <f t="shared" si="3"/>
        <v>2.9047619047619104</v>
      </c>
      <c r="O13" s="41">
        <f t="shared" si="3"/>
        <v>2.9047619047619104</v>
      </c>
      <c r="P13" s="41">
        <f t="shared" si="3"/>
        <v>2.9047619047619104</v>
      </c>
    </row>
    <row r="14" spans="1:16" x14ac:dyDescent="0.2">
      <c r="A14" t="s">
        <v>107</v>
      </c>
      <c r="D14" s="9">
        <v>0.05</v>
      </c>
      <c r="G14" s="9">
        <v>0.05</v>
      </c>
      <c r="H14" s="9">
        <f t="shared" si="3"/>
        <v>0.05</v>
      </c>
      <c r="I14" s="9">
        <f t="shared" si="3"/>
        <v>0.05</v>
      </c>
      <c r="J14" s="9">
        <f t="shared" si="3"/>
        <v>0.05</v>
      </c>
      <c r="K14" s="9">
        <f t="shared" si="3"/>
        <v>0.05</v>
      </c>
      <c r="L14" s="9">
        <f t="shared" si="3"/>
        <v>0.05</v>
      </c>
      <c r="M14" s="9">
        <f t="shared" si="3"/>
        <v>0.05</v>
      </c>
      <c r="N14" s="9">
        <f t="shared" si="3"/>
        <v>0.05</v>
      </c>
      <c r="O14" s="9">
        <f t="shared" si="3"/>
        <v>0.05</v>
      </c>
      <c r="P14" s="9">
        <f t="shared" si="3"/>
        <v>0.05</v>
      </c>
    </row>
    <row r="15" spans="1:16" x14ac:dyDescent="0.2">
      <c r="A15" t="s">
        <v>10</v>
      </c>
      <c r="D15" s="9">
        <v>0.1</v>
      </c>
      <c r="G15" s="9">
        <v>0.1</v>
      </c>
      <c r="H15" s="9">
        <f t="shared" si="3"/>
        <v>0.1</v>
      </c>
      <c r="I15" s="9">
        <f t="shared" si="3"/>
        <v>0.1</v>
      </c>
      <c r="J15" s="9">
        <f t="shared" si="3"/>
        <v>0.1</v>
      </c>
      <c r="K15" s="9">
        <f t="shared" si="3"/>
        <v>0.1</v>
      </c>
      <c r="L15" s="9">
        <f t="shared" si="3"/>
        <v>0.1</v>
      </c>
      <c r="M15" s="9">
        <f t="shared" si="3"/>
        <v>0.1</v>
      </c>
      <c r="N15" s="9">
        <f t="shared" si="3"/>
        <v>0.1</v>
      </c>
      <c r="O15" s="9">
        <f t="shared" si="3"/>
        <v>0.1</v>
      </c>
      <c r="P15" s="9">
        <f t="shared" si="3"/>
        <v>0.1</v>
      </c>
    </row>
    <row r="16" spans="1:16" x14ac:dyDescent="0.2">
      <c r="A16" t="s">
        <v>11</v>
      </c>
      <c r="D16" s="9">
        <v>0.35</v>
      </c>
      <c r="G16" s="9">
        <v>0.35</v>
      </c>
      <c r="H16" s="9">
        <f t="shared" si="3"/>
        <v>0.35</v>
      </c>
      <c r="I16" s="9">
        <f t="shared" si="3"/>
        <v>0.35</v>
      </c>
      <c r="J16" s="9">
        <f t="shared" si="3"/>
        <v>0.35</v>
      </c>
      <c r="K16" s="9">
        <f t="shared" si="3"/>
        <v>0.35</v>
      </c>
      <c r="L16" s="9">
        <f t="shared" si="3"/>
        <v>0.35</v>
      </c>
      <c r="M16" s="9">
        <f t="shared" si="3"/>
        <v>0.35</v>
      </c>
      <c r="N16" s="9">
        <f t="shared" si="3"/>
        <v>0.35</v>
      </c>
      <c r="O16" s="9">
        <f t="shared" si="3"/>
        <v>0.35</v>
      </c>
      <c r="P16" s="9">
        <f t="shared" si="3"/>
        <v>0.35</v>
      </c>
    </row>
    <row r="17" spans="1:16" x14ac:dyDescent="0.2">
      <c r="A17" t="s">
        <v>95</v>
      </c>
      <c r="D17" s="9">
        <v>0.1</v>
      </c>
      <c r="G17" s="9">
        <v>0.1</v>
      </c>
      <c r="H17" s="9">
        <v>0.1</v>
      </c>
      <c r="I17" s="9">
        <v>0.1</v>
      </c>
      <c r="J17" s="9">
        <v>0.1</v>
      </c>
      <c r="K17" s="9">
        <v>0.1</v>
      </c>
      <c r="L17" s="9">
        <v>0.1</v>
      </c>
      <c r="M17" s="9">
        <v>0.1</v>
      </c>
      <c r="N17" s="9">
        <v>0.1</v>
      </c>
      <c r="O17" s="9">
        <v>0.1</v>
      </c>
      <c r="P17" s="9">
        <v>0.1</v>
      </c>
    </row>
    <row r="18" spans="1:16" x14ac:dyDescent="0.2">
      <c r="A18" t="s">
        <v>12</v>
      </c>
      <c r="D18" s="9">
        <v>0.88900000000000001</v>
      </c>
      <c r="G18" s="9">
        <v>0.88900000000000001</v>
      </c>
      <c r="H18" s="9">
        <f t="shared" si="3"/>
        <v>0.88900000000000001</v>
      </c>
      <c r="I18" s="9">
        <f t="shared" si="3"/>
        <v>0.88900000000000001</v>
      </c>
      <c r="J18" s="9">
        <f t="shared" si="3"/>
        <v>0.88900000000000001</v>
      </c>
      <c r="K18" s="9">
        <f t="shared" si="3"/>
        <v>0.88900000000000001</v>
      </c>
      <c r="L18" s="9">
        <f t="shared" si="3"/>
        <v>0.88900000000000001</v>
      </c>
      <c r="M18" s="9">
        <f t="shared" si="3"/>
        <v>0.88900000000000001</v>
      </c>
      <c r="N18" s="9">
        <f t="shared" si="3"/>
        <v>0.88900000000000001</v>
      </c>
      <c r="O18" s="9">
        <f t="shared" si="3"/>
        <v>0.88900000000000001</v>
      </c>
      <c r="P18" s="9">
        <f t="shared" si="3"/>
        <v>0.88900000000000001</v>
      </c>
    </row>
    <row r="19" spans="1:16" x14ac:dyDescent="0.2">
      <c r="A19" t="s">
        <v>70</v>
      </c>
      <c r="D19" s="4"/>
      <c r="G19" s="37">
        <v>7.4999999999999997E-2</v>
      </c>
    </row>
    <row r="20" spans="1:16" x14ac:dyDescent="0.2">
      <c r="A20" t="s">
        <v>93</v>
      </c>
      <c r="D20" s="42">
        <v>0.74</v>
      </c>
      <c r="G20" s="12"/>
    </row>
    <row r="21" spans="1:16" x14ac:dyDescent="0.2">
      <c r="A21" t="s">
        <v>91</v>
      </c>
      <c r="D21" s="5">
        <v>0.03</v>
      </c>
      <c r="G21" s="12"/>
    </row>
    <row r="22" spans="1:16" x14ac:dyDescent="0.2">
      <c r="A22" t="s">
        <v>92</v>
      </c>
      <c r="D22" s="5">
        <v>0.1</v>
      </c>
      <c r="G22" s="12"/>
    </row>
    <row r="24" spans="1:16" x14ac:dyDescent="0.2">
      <c r="A24" s="2" t="s">
        <v>13</v>
      </c>
    </row>
    <row r="25" spans="1:16" x14ac:dyDescent="0.2">
      <c r="A25" t="s">
        <v>14</v>
      </c>
      <c r="D25" s="8">
        <v>610000</v>
      </c>
      <c r="G25" s="8">
        <f>G8*G30</f>
        <v>655750</v>
      </c>
      <c r="H25" s="8">
        <f t="shared" ref="H25:P25" si="4">H8*H30</f>
        <v>704931.24999999988</v>
      </c>
      <c r="I25" s="8">
        <f t="shared" si="4"/>
        <v>757801.09374999988</v>
      </c>
      <c r="J25" s="8">
        <f t="shared" si="4"/>
        <v>814636.17578124988</v>
      </c>
      <c r="K25" s="8">
        <f t="shared" si="4"/>
        <v>875733.88896484347</v>
      </c>
      <c r="L25" s="8">
        <f t="shared" si="4"/>
        <v>941413.93063720677</v>
      </c>
      <c r="M25" s="8">
        <f t="shared" si="4"/>
        <v>1012019.9754349972</v>
      </c>
      <c r="N25" s="8">
        <f t="shared" si="4"/>
        <v>1087921.473592622</v>
      </c>
      <c r="O25" s="8">
        <f t="shared" si="4"/>
        <v>1169515.5841120686</v>
      </c>
      <c r="P25" s="8">
        <f t="shared" si="4"/>
        <v>1257229.2529204737</v>
      </c>
    </row>
    <row r="26" spans="1:16" x14ac:dyDescent="0.2">
      <c r="A26" t="s">
        <v>96</v>
      </c>
      <c r="D26" s="8">
        <v>125000</v>
      </c>
      <c r="G26" s="8">
        <f>G9*G10*12</f>
        <v>158400.00000000003</v>
      </c>
      <c r="H26" s="8">
        <f t="shared" ref="H26:P26" si="5">H9*H10*12</f>
        <v>142560.00000000003</v>
      </c>
      <c r="I26" s="8">
        <f t="shared" si="5"/>
        <v>128304.00000000003</v>
      </c>
      <c r="J26" s="8">
        <f t="shared" si="5"/>
        <v>115473.60000000001</v>
      </c>
      <c r="K26" s="8">
        <f t="shared" si="5"/>
        <v>103926.24</v>
      </c>
      <c r="L26" s="8">
        <f t="shared" si="5"/>
        <v>105225.318</v>
      </c>
      <c r="M26" s="8">
        <f t="shared" si="5"/>
        <v>94702.786200000002</v>
      </c>
      <c r="N26" s="8">
        <f t="shared" si="5"/>
        <v>85232.507580000005</v>
      </c>
      <c r="O26" s="8">
        <f t="shared" si="5"/>
        <v>76709.256822000025</v>
      </c>
      <c r="P26" s="8">
        <f t="shared" si="5"/>
        <v>69038.331139800008</v>
      </c>
    </row>
    <row r="27" spans="1:16" x14ac:dyDescent="0.2">
      <c r="D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8" spans="1:16" x14ac:dyDescent="0.2">
      <c r="A28" t="s">
        <v>15</v>
      </c>
      <c r="D28" s="8">
        <f>D25/D13</f>
        <v>209999.99999999959</v>
      </c>
      <c r="G28" s="8">
        <f>G25/G13</f>
        <v>225749.99999999956</v>
      </c>
      <c r="H28" s="8">
        <f>H25/H13</f>
        <v>242681.24999999948</v>
      </c>
      <c r="I28" s="8">
        <f t="shared" ref="I28:P28" si="6">I25/I13</f>
        <v>260882.34374999945</v>
      </c>
      <c r="J28" s="8">
        <f t="shared" si="6"/>
        <v>280448.51953124942</v>
      </c>
      <c r="K28" s="8">
        <f t="shared" si="6"/>
        <v>301482.15849609306</v>
      </c>
      <c r="L28" s="8">
        <f t="shared" si="6"/>
        <v>324093.32038330007</v>
      </c>
      <c r="M28" s="8">
        <f t="shared" si="6"/>
        <v>348400.31941204757</v>
      </c>
      <c r="N28" s="8">
        <f t="shared" si="6"/>
        <v>374530.34336795111</v>
      </c>
      <c r="O28" s="8">
        <f t="shared" si="6"/>
        <v>402620.11912054743</v>
      </c>
      <c r="P28" s="8">
        <f t="shared" si="6"/>
        <v>432816.62805458845</v>
      </c>
    </row>
    <row r="29" spans="1:16" x14ac:dyDescent="0.2">
      <c r="D29" s="8"/>
      <c r="G29" s="8"/>
    </row>
    <row r="30" spans="1:16" x14ac:dyDescent="0.2">
      <c r="A30" t="s">
        <v>16</v>
      </c>
      <c r="D30" s="8">
        <f>D25+D26-D28</f>
        <v>525000.00000000047</v>
      </c>
      <c r="G30" s="8">
        <f>D30*(1+G19)</f>
        <v>564375.00000000047</v>
      </c>
      <c r="H30" s="8">
        <f>G30*(1+$G$19)</f>
        <v>606703.12500000047</v>
      </c>
      <c r="I30" s="8">
        <f t="shared" ref="I30:P30" si="7">H30*(1+$G$19)</f>
        <v>652205.85937500047</v>
      </c>
      <c r="J30" s="8">
        <f t="shared" si="7"/>
        <v>701121.29882812547</v>
      </c>
      <c r="K30" s="8">
        <f t="shared" si="7"/>
        <v>753705.39624023484</v>
      </c>
      <c r="L30" s="8">
        <f t="shared" si="7"/>
        <v>810233.3009582524</v>
      </c>
      <c r="M30" s="8">
        <f t="shared" si="7"/>
        <v>871000.79853012133</v>
      </c>
      <c r="N30" s="8">
        <f t="shared" si="7"/>
        <v>936325.85841988039</v>
      </c>
      <c r="O30" s="8">
        <f t="shared" si="7"/>
        <v>1006550.2978013714</v>
      </c>
      <c r="P30" s="8">
        <f t="shared" si="7"/>
        <v>1082041.5701364742</v>
      </c>
    </row>
    <row r="31" spans="1:16" x14ac:dyDescent="0.2">
      <c r="D31" s="8"/>
      <c r="G31" s="8"/>
    </row>
    <row r="32" spans="1:16" x14ac:dyDescent="0.2">
      <c r="A32" t="s">
        <v>17</v>
      </c>
      <c r="D32" s="8"/>
      <c r="G32" s="8"/>
    </row>
    <row r="33" spans="1:17" x14ac:dyDescent="0.2">
      <c r="B33" t="s">
        <v>18</v>
      </c>
      <c r="D33" s="8">
        <v>22500</v>
      </c>
      <c r="G33" s="8">
        <f>SUM(G$25:G$26)*$Q33</f>
        <v>81415</v>
      </c>
      <c r="H33" s="8">
        <f t="shared" ref="H33:P33" si="8">SUM(H$25:H$26)*$Q33</f>
        <v>84749.125</v>
      </c>
      <c r="I33" s="8">
        <f t="shared" si="8"/>
        <v>88610.509374999994</v>
      </c>
      <c r="J33" s="8">
        <f t="shared" si="8"/>
        <v>93010.977578124992</v>
      </c>
      <c r="K33" s="8">
        <f t="shared" si="8"/>
        <v>97966.012896484346</v>
      </c>
      <c r="L33" s="8">
        <f t="shared" si="8"/>
        <v>104663.92486372068</v>
      </c>
      <c r="M33" s="8">
        <f t="shared" si="8"/>
        <v>110672.27616349974</v>
      </c>
      <c r="N33" s="8">
        <f t="shared" si="8"/>
        <v>117315.3981172622</v>
      </c>
      <c r="O33" s="8">
        <f t="shared" si="8"/>
        <v>124622.48409340688</v>
      </c>
      <c r="P33" s="8">
        <f t="shared" si="8"/>
        <v>132626.75840602737</v>
      </c>
      <c r="Q33" s="13">
        <v>0.1</v>
      </c>
    </row>
    <row r="34" spans="1:17" x14ac:dyDescent="0.2">
      <c r="B34" t="s">
        <v>97</v>
      </c>
      <c r="D34" s="8">
        <v>145000</v>
      </c>
      <c r="G34" s="8">
        <f t="shared" ref="G34:P39" si="9">SUM(G$25:G$26)*$Q34</f>
        <v>203537.5</v>
      </c>
      <c r="H34" s="8">
        <f t="shared" si="9"/>
        <v>211872.81249999997</v>
      </c>
      <c r="I34" s="8">
        <f t="shared" si="9"/>
        <v>221526.27343749997</v>
      </c>
      <c r="J34" s="8">
        <f t="shared" si="9"/>
        <v>232527.44394531247</v>
      </c>
      <c r="K34" s="8">
        <f t="shared" si="9"/>
        <v>244915.03224121087</v>
      </c>
      <c r="L34" s="8">
        <f t="shared" si="9"/>
        <v>261659.81215930168</v>
      </c>
      <c r="M34" s="8">
        <f t="shared" si="9"/>
        <v>276680.69040874933</v>
      </c>
      <c r="N34" s="8">
        <f t="shared" si="9"/>
        <v>293288.49529315549</v>
      </c>
      <c r="O34" s="8">
        <f t="shared" si="9"/>
        <v>311556.21023351717</v>
      </c>
      <c r="P34" s="8">
        <f t="shared" si="9"/>
        <v>331566.8960150684</v>
      </c>
      <c r="Q34" s="13">
        <v>0.25</v>
      </c>
    </row>
    <row r="35" spans="1:17" x14ac:dyDescent="0.2">
      <c r="B35" t="s">
        <v>19</v>
      </c>
      <c r="D35" s="8">
        <f>5*10*40*52</f>
        <v>104000</v>
      </c>
      <c r="G35" s="8">
        <f t="shared" si="9"/>
        <v>115199.45578231293</v>
      </c>
      <c r="H35" s="8">
        <f t="shared" si="9"/>
        <v>119917.12925170068</v>
      </c>
      <c r="I35" s="8">
        <f t="shared" si="9"/>
        <v>125380.85680272109</v>
      </c>
      <c r="J35" s="8">
        <f t="shared" si="9"/>
        <v>131607.36963435373</v>
      </c>
      <c r="K35" s="8">
        <f t="shared" si="9"/>
        <v>138618.57607121597</v>
      </c>
      <c r="L35" s="8">
        <f t="shared" si="9"/>
        <v>148095.89368472042</v>
      </c>
      <c r="M35" s="8">
        <f t="shared" si="9"/>
        <v>156597.50640821733</v>
      </c>
      <c r="N35" s="8">
        <f t="shared" si="9"/>
        <v>165997.29801626218</v>
      </c>
      <c r="O35" s="8">
        <f t="shared" si="9"/>
        <v>176336.57613216757</v>
      </c>
      <c r="P35" s="8">
        <f t="shared" si="9"/>
        <v>187662.35203029725</v>
      </c>
      <c r="Q35" s="13">
        <f t="shared" ref="Q35:Q39" si="10">D35/SUM(D$25:D$26)</f>
        <v>0.1414965986394558</v>
      </c>
    </row>
    <row r="36" spans="1:17" x14ac:dyDescent="0.2">
      <c r="B36" t="s">
        <v>20</v>
      </c>
      <c r="D36" s="8">
        <v>18000</v>
      </c>
      <c r="G36" s="8">
        <f t="shared" si="9"/>
        <v>19938.367346938776</v>
      </c>
      <c r="H36" s="8">
        <f t="shared" si="9"/>
        <v>20754.887755102038</v>
      </c>
      <c r="I36" s="8">
        <f t="shared" si="9"/>
        <v>21700.532908163263</v>
      </c>
      <c r="J36" s="8">
        <f t="shared" si="9"/>
        <v>22778.19859056122</v>
      </c>
      <c r="K36" s="8">
        <f t="shared" si="9"/>
        <v>23991.676627710451</v>
      </c>
      <c r="L36" s="8">
        <f t="shared" si="9"/>
        <v>25631.98159927853</v>
      </c>
      <c r="M36" s="8">
        <f t="shared" si="9"/>
        <v>27103.414570652993</v>
      </c>
      <c r="N36" s="8">
        <f t="shared" si="9"/>
        <v>28730.301579737679</v>
      </c>
      <c r="O36" s="8">
        <f t="shared" si="9"/>
        <v>30519.79202287515</v>
      </c>
      <c r="P36" s="8">
        <f t="shared" si="9"/>
        <v>32480.022466782208</v>
      </c>
      <c r="Q36" s="13">
        <f t="shared" si="10"/>
        <v>2.4489795918367346E-2</v>
      </c>
    </row>
    <row r="37" spans="1:17" x14ac:dyDescent="0.2">
      <c r="B37" t="s">
        <v>21</v>
      </c>
      <c r="D37" s="8">
        <v>15000</v>
      </c>
      <c r="G37" s="8">
        <f t="shared" si="9"/>
        <v>16615.306122448979</v>
      </c>
      <c r="H37" s="8">
        <f t="shared" si="9"/>
        <v>17295.739795918362</v>
      </c>
      <c r="I37" s="8">
        <f t="shared" si="9"/>
        <v>18083.777423469382</v>
      </c>
      <c r="J37" s="8">
        <f t="shared" si="9"/>
        <v>18981.832158801015</v>
      </c>
      <c r="K37" s="8">
        <f t="shared" si="9"/>
        <v>19993.063856425375</v>
      </c>
      <c r="L37" s="8">
        <f t="shared" si="9"/>
        <v>21359.98466606544</v>
      </c>
      <c r="M37" s="8">
        <f t="shared" si="9"/>
        <v>22586.178808877496</v>
      </c>
      <c r="N37" s="8">
        <f t="shared" si="9"/>
        <v>23941.91798311473</v>
      </c>
      <c r="O37" s="8">
        <f t="shared" si="9"/>
        <v>25433.160019062623</v>
      </c>
      <c r="P37" s="8">
        <f t="shared" si="9"/>
        <v>27066.685388985174</v>
      </c>
      <c r="Q37" s="13">
        <f t="shared" si="10"/>
        <v>2.0408163265306121E-2</v>
      </c>
    </row>
    <row r="38" spans="1:17" x14ac:dyDescent="0.2">
      <c r="B38" t="s">
        <v>22</v>
      </c>
      <c r="D38" s="8">
        <v>13500</v>
      </c>
      <c r="G38" s="8">
        <f t="shared" si="9"/>
        <v>14953.775510204083</v>
      </c>
      <c r="H38" s="8">
        <f t="shared" si="9"/>
        <v>15566.165816326529</v>
      </c>
      <c r="I38" s="8">
        <f t="shared" si="9"/>
        <v>16275.399681122448</v>
      </c>
      <c r="J38" s="8">
        <f t="shared" si="9"/>
        <v>17083.648942920918</v>
      </c>
      <c r="K38" s="8">
        <f t="shared" si="9"/>
        <v>17993.757470782839</v>
      </c>
      <c r="L38" s="8">
        <f t="shared" si="9"/>
        <v>19223.986199458901</v>
      </c>
      <c r="M38" s="8">
        <f t="shared" si="9"/>
        <v>20327.560927989747</v>
      </c>
      <c r="N38" s="8">
        <f t="shared" si="9"/>
        <v>21547.726184803261</v>
      </c>
      <c r="O38" s="8">
        <f t="shared" si="9"/>
        <v>22889.844017156367</v>
      </c>
      <c r="P38" s="8">
        <f t="shared" si="9"/>
        <v>24360.01685008666</v>
      </c>
      <c r="Q38" s="13">
        <f t="shared" si="10"/>
        <v>1.8367346938775512E-2</v>
      </c>
    </row>
    <row r="39" spans="1:17" x14ac:dyDescent="0.2">
      <c r="B39" t="s">
        <v>23</v>
      </c>
      <c r="D39" s="8">
        <v>15000</v>
      </c>
      <c r="G39" s="8">
        <f t="shared" si="9"/>
        <v>16615.306122448979</v>
      </c>
      <c r="H39" s="8">
        <f t="shared" si="9"/>
        <v>17295.739795918362</v>
      </c>
      <c r="I39" s="8">
        <f t="shared" si="9"/>
        <v>18083.777423469382</v>
      </c>
      <c r="J39" s="8">
        <f t="shared" si="9"/>
        <v>18981.832158801015</v>
      </c>
      <c r="K39" s="8">
        <f t="shared" si="9"/>
        <v>19993.063856425375</v>
      </c>
      <c r="L39" s="8">
        <f t="shared" si="9"/>
        <v>21359.98466606544</v>
      </c>
      <c r="M39" s="8">
        <f t="shared" si="9"/>
        <v>22586.178808877496</v>
      </c>
      <c r="N39" s="8">
        <f t="shared" si="9"/>
        <v>23941.91798311473</v>
      </c>
      <c r="O39" s="8">
        <f t="shared" si="9"/>
        <v>25433.160019062623</v>
      </c>
      <c r="P39" s="8">
        <f t="shared" si="9"/>
        <v>27066.685388985174</v>
      </c>
      <c r="Q39" s="13">
        <f t="shared" si="10"/>
        <v>2.0408163265306121E-2</v>
      </c>
    </row>
    <row r="40" spans="1:17" x14ac:dyDescent="0.2">
      <c r="D40" s="8"/>
      <c r="G40" s="8"/>
    </row>
    <row r="41" spans="1:17" x14ac:dyDescent="0.2">
      <c r="B41" t="s">
        <v>24</v>
      </c>
      <c r="D41" s="8">
        <f>SUM(D33:D39)</f>
        <v>333000</v>
      </c>
      <c r="G41" s="8">
        <f t="shared" ref="G41:P41" si="11">SUM(G33:G39)</f>
        <v>468274.71088435373</v>
      </c>
      <c r="H41" s="8">
        <f t="shared" si="11"/>
        <v>487451.59991496592</v>
      </c>
      <c r="I41" s="8">
        <f t="shared" si="11"/>
        <v>509661.1270514456</v>
      </c>
      <c r="J41" s="8">
        <f t="shared" si="11"/>
        <v>534971.30300887534</v>
      </c>
      <c r="K41" s="8">
        <f t="shared" si="11"/>
        <v>563471.18302025518</v>
      </c>
      <c r="L41" s="8">
        <f t="shared" si="11"/>
        <v>601995.56783861108</v>
      </c>
      <c r="M41" s="8">
        <f t="shared" si="11"/>
        <v>636553.80609686417</v>
      </c>
      <c r="N41" s="8">
        <f t="shared" si="11"/>
        <v>674763.05515745038</v>
      </c>
      <c r="O41" s="8">
        <f t="shared" si="11"/>
        <v>716791.22653724835</v>
      </c>
      <c r="P41" s="8">
        <f t="shared" si="11"/>
        <v>762829.4165462323</v>
      </c>
    </row>
    <row r="42" spans="1:17" x14ac:dyDescent="0.2">
      <c r="D42" s="8"/>
      <c r="G42" s="8"/>
      <c r="H42" s="8"/>
      <c r="I42" s="8"/>
      <c r="J42" s="8"/>
      <c r="K42" s="8"/>
      <c r="L42" s="8"/>
      <c r="M42" s="8"/>
      <c r="N42" s="8"/>
      <c r="O42" s="8"/>
      <c r="P42" s="8"/>
    </row>
    <row r="43" spans="1:17" x14ac:dyDescent="0.2">
      <c r="A43" t="s">
        <v>25</v>
      </c>
      <c r="D43" s="8">
        <f>D30-D41</f>
        <v>192000.00000000047</v>
      </c>
      <c r="G43" s="8">
        <f t="shared" ref="G43:P43" si="12">G30-G41</f>
        <v>96100.289115646738</v>
      </c>
      <c r="H43" s="8">
        <f t="shared" si="12"/>
        <v>119251.52508503455</v>
      </c>
      <c r="I43" s="8">
        <f t="shared" si="12"/>
        <v>142544.73232355487</v>
      </c>
      <c r="J43" s="8">
        <f t="shared" si="12"/>
        <v>166149.99581925012</v>
      </c>
      <c r="K43" s="8">
        <f t="shared" si="12"/>
        <v>190234.21321997966</v>
      </c>
      <c r="L43" s="8">
        <f t="shared" si="12"/>
        <v>208237.73311964131</v>
      </c>
      <c r="M43" s="8">
        <f t="shared" si="12"/>
        <v>234446.99243325717</v>
      </c>
      <c r="N43" s="8">
        <f t="shared" si="12"/>
        <v>261562.80326243001</v>
      </c>
      <c r="O43" s="8">
        <f t="shared" si="12"/>
        <v>289759.07126412308</v>
      </c>
      <c r="P43" s="8">
        <f t="shared" si="12"/>
        <v>319212.15359024191</v>
      </c>
    </row>
    <row r="44" spans="1:17" x14ac:dyDescent="0.2">
      <c r="D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1:17" x14ac:dyDescent="0.2">
      <c r="A45" t="s">
        <v>126</v>
      </c>
      <c r="D45" s="8">
        <f>D69*D17</f>
        <v>12000</v>
      </c>
      <c r="G45" s="8">
        <f t="shared" ref="G45:P45" si="13">G69*G17</f>
        <v>12000</v>
      </c>
      <c r="H45" s="8">
        <f t="shared" si="13"/>
        <v>12000</v>
      </c>
      <c r="I45" s="8">
        <f t="shared" si="13"/>
        <v>12000</v>
      </c>
      <c r="J45" s="8">
        <f t="shared" si="13"/>
        <v>12000</v>
      </c>
      <c r="K45" s="8">
        <f t="shared" si="13"/>
        <v>12000</v>
      </c>
      <c r="L45" s="8">
        <f t="shared" si="13"/>
        <v>12000</v>
      </c>
      <c r="M45" s="8">
        <f t="shared" si="13"/>
        <v>12000</v>
      </c>
      <c r="N45" s="8">
        <f t="shared" si="13"/>
        <v>12000</v>
      </c>
      <c r="O45" s="8">
        <f t="shared" si="13"/>
        <v>12000</v>
      </c>
      <c r="P45" s="8">
        <f t="shared" si="13"/>
        <v>12000</v>
      </c>
    </row>
    <row r="46" spans="1:17" x14ac:dyDescent="0.2">
      <c r="A46" t="s">
        <v>125</v>
      </c>
      <c r="D46" s="8">
        <v>16666.666666666668</v>
      </c>
      <c r="G46" s="8">
        <v>16666.666666666668</v>
      </c>
      <c r="H46" s="8">
        <v>16666.666666666668</v>
      </c>
      <c r="I46" s="8">
        <v>16666.666666666668</v>
      </c>
      <c r="J46" s="8">
        <v>16666.666666666668</v>
      </c>
      <c r="K46" s="8">
        <v>16666.666666666668</v>
      </c>
      <c r="L46" s="8">
        <v>16666.666666666668</v>
      </c>
      <c r="M46" s="8">
        <v>16666.666666666668</v>
      </c>
      <c r="N46" s="8">
        <v>16666.666666666668</v>
      </c>
      <c r="O46" s="8">
        <v>16666.666666666668</v>
      </c>
      <c r="P46" s="8">
        <v>16666.666666666668</v>
      </c>
    </row>
    <row r="47" spans="1:17" x14ac:dyDescent="0.2">
      <c r="D47" s="8"/>
      <c r="G47" s="8"/>
      <c r="H47" s="8"/>
      <c r="I47" s="8"/>
      <c r="J47" s="8"/>
      <c r="K47" s="8"/>
      <c r="L47" s="8"/>
      <c r="M47" s="8"/>
      <c r="N47" s="8"/>
      <c r="O47" s="8"/>
      <c r="P47" s="8"/>
    </row>
    <row r="48" spans="1:17" x14ac:dyDescent="0.2">
      <c r="D48" s="8"/>
      <c r="G48" s="8"/>
      <c r="H48" s="8"/>
      <c r="I48" s="8"/>
      <c r="J48" s="8"/>
      <c r="K48" s="8"/>
      <c r="L48" s="8"/>
      <c r="M48" s="8"/>
      <c r="N48" s="8"/>
      <c r="O48" s="8"/>
      <c r="P48" s="8"/>
    </row>
    <row r="49" spans="1:16" x14ac:dyDescent="0.2">
      <c r="A49" t="s">
        <v>111</v>
      </c>
      <c r="D49" s="8">
        <v>0</v>
      </c>
      <c r="G49" s="8">
        <v>54970.271910122421</v>
      </c>
      <c r="H49" s="8">
        <v>54333.994680285803</v>
      </c>
      <c r="I49" s="8">
        <v>53655.104785979958</v>
      </c>
      <c r="J49" s="8">
        <v>52930.748378146658</v>
      </c>
      <c r="K49" s="8">
        <v>52157.880480170817</v>
      </c>
      <c r="L49" s="8">
        <v>51333.252187714264</v>
      </c>
      <c r="M49" s="8">
        <v>50453.397011298192</v>
      </c>
      <c r="N49" s="8">
        <v>49514.616304223498</v>
      </c>
      <c r="O49" s="8">
        <v>48512.963714571772</v>
      </c>
      <c r="P49" s="8">
        <v>47444.228595927911</v>
      </c>
    </row>
    <row r="50" spans="1:16" x14ac:dyDescent="0.2">
      <c r="A50" t="s">
        <v>106</v>
      </c>
      <c r="D50" s="8">
        <f>D80*D14</f>
        <v>5000</v>
      </c>
      <c r="G50" s="8">
        <f t="shared" ref="G50:P50" si="14">G80*G14</f>
        <v>5000</v>
      </c>
      <c r="H50" s="8">
        <f t="shared" si="14"/>
        <v>4000</v>
      </c>
      <c r="I50" s="8">
        <f t="shared" si="14"/>
        <v>3000</v>
      </c>
      <c r="J50" s="8">
        <f t="shared" si="14"/>
        <v>2000</v>
      </c>
      <c r="K50" s="8">
        <f t="shared" si="14"/>
        <v>1000</v>
      </c>
      <c r="L50" s="8">
        <f t="shared" si="14"/>
        <v>0</v>
      </c>
      <c r="M50" s="8">
        <f t="shared" si="14"/>
        <v>0</v>
      </c>
      <c r="N50" s="8">
        <f t="shared" si="14"/>
        <v>0</v>
      </c>
      <c r="O50" s="8">
        <f t="shared" si="14"/>
        <v>0</v>
      </c>
      <c r="P50" s="8">
        <f t="shared" si="14"/>
        <v>0</v>
      </c>
    </row>
    <row r="51" spans="1:16" x14ac:dyDescent="0.2">
      <c r="A51" t="s">
        <v>26</v>
      </c>
      <c r="D51" s="8">
        <f>D78*D15</f>
        <v>0</v>
      </c>
      <c r="G51" s="8">
        <f t="shared" ref="G51:P51" si="15">G78*G15</f>
        <v>0</v>
      </c>
      <c r="H51" s="8">
        <f t="shared" si="15"/>
        <v>22447.5555689629</v>
      </c>
      <c r="I51" s="8">
        <f t="shared" si="15"/>
        <v>19399.427998284616</v>
      </c>
      <c r="J51" s="8">
        <f t="shared" si="15"/>
        <v>14383.059595059676</v>
      </c>
      <c r="K51" s="8">
        <f t="shared" si="15"/>
        <v>7218.0874029654478</v>
      </c>
      <c r="L51" s="8">
        <f t="shared" si="15"/>
        <v>0</v>
      </c>
      <c r="M51" s="8">
        <f t="shared" si="15"/>
        <v>0</v>
      </c>
      <c r="N51" s="8">
        <f t="shared" si="15"/>
        <v>0</v>
      </c>
      <c r="O51" s="8">
        <f t="shared" si="15"/>
        <v>0</v>
      </c>
      <c r="P51" s="8">
        <f t="shared" si="15"/>
        <v>0</v>
      </c>
    </row>
    <row r="52" spans="1:16" x14ac:dyDescent="0.2">
      <c r="D52" s="8"/>
      <c r="G52" s="8"/>
      <c r="H52" s="8"/>
      <c r="I52" s="8"/>
      <c r="J52" s="8"/>
      <c r="K52" s="8"/>
      <c r="L52" s="8"/>
      <c r="M52" s="8"/>
      <c r="N52" s="8"/>
      <c r="O52" s="8"/>
      <c r="P52" s="8"/>
    </row>
    <row r="53" spans="1:16" x14ac:dyDescent="0.2">
      <c r="A53" t="s">
        <v>27</v>
      </c>
      <c r="D53" s="8">
        <f>D43-SUM(D45:D51)</f>
        <v>158333.33333333378</v>
      </c>
      <c r="G53" s="8">
        <f t="shared" ref="G53:P53" si="16">G43-SUM(G45:G51)</f>
        <v>7463.350538857645</v>
      </c>
      <c r="H53" s="8">
        <f t="shared" si="16"/>
        <v>9803.3081691191765</v>
      </c>
      <c r="I53" s="8">
        <f t="shared" si="16"/>
        <v>37823.532872623618</v>
      </c>
      <c r="J53" s="8">
        <f t="shared" si="16"/>
        <v>68169.521179377116</v>
      </c>
      <c r="K53" s="8">
        <f t="shared" si="16"/>
        <v>101191.57867017672</v>
      </c>
      <c r="L53" s="8">
        <f t="shared" si="16"/>
        <v>128237.81426526039</v>
      </c>
      <c r="M53" s="8">
        <f t="shared" si="16"/>
        <v>155326.92875529232</v>
      </c>
      <c r="N53" s="8">
        <f t="shared" si="16"/>
        <v>183381.52029153984</v>
      </c>
      <c r="O53" s="8">
        <f t="shared" si="16"/>
        <v>212579.44088288464</v>
      </c>
      <c r="P53" s="8">
        <f t="shared" si="16"/>
        <v>243101.25832764735</v>
      </c>
    </row>
    <row r="54" spans="1:16" x14ac:dyDescent="0.2">
      <c r="A54" t="s">
        <v>28</v>
      </c>
      <c r="D54" s="8">
        <f>D53*D16</f>
        <v>55416.666666666817</v>
      </c>
      <c r="G54" s="8">
        <f t="shared" ref="G54:P54" si="17">G53*G16</f>
        <v>2612.1726886001757</v>
      </c>
      <c r="H54" s="8">
        <f t="shared" si="17"/>
        <v>3431.1578591917114</v>
      </c>
      <c r="I54" s="8">
        <f t="shared" si="17"/>
        <v>13238.236505418266</v>
      </c>
      <c r="J54" s="8">
        <f t="shared" si="17"/>
        <v>23859.332412781991</v>
      </c>
      <c r="K54" s="8">
        <f t="shared" si="17"/>
        <v>35417.052534561852</v>
      </c>
      <c r="L54" s="8">
        <f t="shared" si="17"/>
        <v>44883.234992841135</v>
      </c>
      <c r="M54" s="8">
        <f t="shared" si="17"/>
        <v>54364.425064352312</v>
      </c>
      <c r="N54" s="8">
        <f t="shared" si="17"/>
        <v>64183.532102038938</v>
      </c>
      <c r="O54" s="8">
        <f t="shared" si="17"/>
        <v>74402.804309009618</v>
      </c>
      <c r="P54" s="8">
        <f t="shared" si="17"/>
        <v>85085.440414676559</v>
      </c>
    </row>
    <row r="55" spans="1:16" x14ac:dyDescent="0.2">
      <c r="A55" s="2" t="s">
        <v>29</v>
      </c>
      <c r="D55" s="8">
        <f>D53-D54</f>
        <v>102916.66666666696</v>
      </c>
      <c r="G55" s="8">
        <f>G53-G54</f>
        <v>4851.1778502574689</v>
      </c>
      <c r="H55" s="8">
        <f>H53-H54</f>
        <v>6372.1503099274651</v>
      </c>
      <c r="I55" s="8">
        <f t="shared" ref="I55:P55" si="18">I53-I54</f>
        <v>24585.296367205352</v>
      </c>
      <c r="J55" s="8">
        <f t="shared" si="18"/>
        <v>44310.188766595122</v>
      </c>
      <c r="K55" s="8">
        <f t="shared" si="18"/>
        <v>65774.526135614869</v>
      </c>
      <c r="L55" s="8">
        <f t="shared" si="18"/>
        <v>83354.579272419243</v>
      </c>
      <c r="M55" s="8">
        <f t="shared" si="18"/>
        <v>100962.50369094001</v>
      </c>
      <c r="N55" s="8">
        <f t="shared" si="18"/>
        <v>119197.9881895009</v>
      </c>
      <c r="O55" s="8">
        <f t="shared" si="18"/>
        <v>138176.63657387503</v>
      </c>
      <c r="P55" s="8">
        <f t="shared" si="18"/>
        <v>158015.81791297079</v>
      </c>
    </row>
    <row r="56" spans="1:16" x14ac:dyDescent="0.2">
      <c r="D56" s="8"/>
      <c r="G56" s="8"/>
    </row>
    <row r="57" spans="1:16" x14ac:dyDescent="0.2">
      <c r="A57" s="2" t="s">
        <v>30</v>
      </c>
      <c r="D57" s="8"/>
      <c r="G57" s="8"/>
    </row>
    <row r="58" spans="1:16" x14ac:dyDescent="0.2">
      <c r="A58" s="2" t="s">
        <v>31</v>
      </c>
      <c r="D58" s="8"/>
      <c r="G58" s="8"/>
    </row>
    <row r="59" spans="1:16" x14ac:dyDescent="0.2">
      <c r="B59" t="s">
        <v>32</v>
      </c>
      <c r="D59" s="8">
        <v>5000</v>
      </c>
      <c r="G59" s="8">
        <v>5000</v>
      </c>
      <c r="H59" s="8">
        <v>5000</v>
      </c>
      <c r="I59" s="8">
        <v>5000</v>
      </c>
      <c r="J59" s="8">
        <v>5000</v>
      </c>
      <c r="K59" s="8">
        <v>5000</v>
      </c>
      <c r="L59" s="8">
        <v>5000</v>
      </c>
      <c r="M59" s="8">
        <v>5000</v>
      </c>
      <c r="N59" s="8">
        <v>5000</v>
      </c>
      <c r="O59" s="8">
        <v>5000</v>
      </c>
      <c r="P59" s="8">
        <v>5000</v>
      </c>
    </row>
    <row r="60" spans="1:16" x14ac:dyDescent="0.2">
      <c r="B60" t="s">
        <v>33</v>
      </c>
      <c r="D60" s="8">
        <v>125780.82191780869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13980</v>
      </c>
      <c r="M60" s="8">
        <v>136720</v>
      </c>
      <c r="N60" s="8">
        <v>276918</v>
      </c>
      <c r="O60" s="8">
        <v>435303</v>
      </c>
      <c r="P60" s="8">
        <v>612718</v>
      </c>
    </row>
    <row r="61" spans="1:16" x14ac:dyDescent="0.2">
      <c r="B61" t="s">
        <v>34</v>
      </c>
      <c r="D61" s="8">
        <f>SUM(D25:D25)/365*D5</f>
        <v>11698.630136986301</v>
      </c>
      <c r="G61" s="8">
        <f t="shared" ref="G61:P61" si="19">SUM(G25:G25)/365*G5</f>
        <v>12576.027397260274</v>
      </c>
      <c r="H61" s="8">
        <f t="shared" si="19"/>
        <v>13519.229452054793</v>
      </c>
      <c r="I61" s="8">
        <f t="shared" si="19"/>
        <v>14533.171660958902</v>
      </c>
      <c r="J61" s="8">
        <f t="shared" si="19"/>
        <v>15623.159535530818</v>
      </c>
      <c r="K61" s="8">
        <f t="shared" si="19"/>
        <v>16794.896500695628</v>
      </c>
      <c r="L61" s="8">
        <f t="shared" si="19"/>
        <v>18054.513738247802</v>
      </c>
      <c r="M61" s="8">
        <f t="shared" si="19"/>
        <v>19408.602268616385</v>
      </c>
      <c r="N61" s="8">
        <f t="shared" si="19"/>
        <v>20864.247438762613</v>
      </c>
      <c r="O61" s="8">
        <f t="shared" si="19"/>
        <v>22429.065996669808</v>
      </c>
      <c r="P61" s="8">
        <f t="shared" si="19"/>
        <v>24111.245946420044</v>
      </c>
    </row>
    <row r="62" spans="1:16" x14ac:dyDescent="0.2">
      <c r="B62" t="s">
        <v>35</v>
      </c>
      <c r="D62" s="8">
        <f>D28/365*D7</f>
        <v>51780.82191780812</v>
      </c>
      <c r="E62" s="8"/>
      <c r="F62" s="8"/>
      <c r="G62" s="8">
        <f t="shared" ref="G62:P62" si="20">G28/365*G7</f>
        <v>27832.191780821868</v>
      </c>
      <c r="H62" s="8">
        <f t="shared" si="20"/>
        <v>29919.606164383498</v>
      </c>
      <c r="I62" s="8">
        <f t="shared" si="20"/>
        <v>32163.57662671226</v>
      </c>
      <c r="J62" s="8">
        <f t="shared" si="20"/>
        <v>34575.844873715687</v>
      </c>
      <c r="K62" s="8">
        <f t="shared" si="20"/>
        <v>37169.033239244352</v>
      </c>
      <c r="L62" s="8">
        <f t="shared" si="20"/>
        <v>39956.710732187676</v>
      </c>
      <c r="M62" s="8">
        <f t="shared" si="20"/>
        <v>42953.464037101752</v>
      </c>
      <c r="N62" s="8">
        <f t="shared" si="20"/>
        <v>46174.973839884384</v>
      </c>
      <c r="O62" s="8">
        <f t="shared" si="20"/>
        <v>49638.096877875716</v>
      </c>
      <c r="P62" s="8">
        <f t="shared" si="20"/>
        <v>53360.954143716386</v>
      </c>
    </row>
    <row r="63" spans="1:16" x14ac:dyDescent="0.2">
      <c r="D63" s="8"/>
      <c r="G63" s="8"/>
      <c r="H63" s="8"/>
      <c r="I63" s="8"/>
      <c r="J63" s="8"/>
      <c r="K63" s="8"/>
      <c r="L63" s="8"/>
      <c r="M63" s="8"/>
      <c r="N63" s="8"/>
      <c r="O63" s="8"/>
      <c r="P63" s="8"/>
    </row>
    <row r="64" spans="1:16" x14ac:dyDescent="0.2">
      <c r="B64" t="s">
        <v>124</v>
      </c>
      <c r="D64" s="8">
        <v>350000</v>
      </c>
      <c r="G64" s="8">
        <f>$D$64</f>
        <v>350000</v>
      </c>
      <c r="H64" s="8">
        <f t="shared" ref="H64:P64" si="21">$D$64</f>
        <v>350000</v>
      </c>
      <c r="I64" s="8">
        <f t="shared" si="21"/>
        <v>350000</v>
      </c>
      <c r="J64" s="8">
        <f t="shared" si="21"/>
        <v>350000</v>
      </c>
      <c r="K64" s="8">
        <f t="shared" si="21"/>
        <v>350000</v>
      </c>
      <c r="L64" s="8">
        <f t="shared" si="21"/>
        <v>350000</v>
      </c>
      <c r="M64" s="8">
        <f t="shared" si="21"/>
        <v>350000</v>
      </c>
      <c r="N64" s="8">
        <f t="shared" si="21"/>
        <v>350000</v>
      </c>
      <c r="O64" s="8">
        <f t="shared" si="21"/>
        <v>350000</v>
      </c>
      <c r="P64" s="8">
        <f t="shared" si="21"/>
        <v>350000</v>
      </c>
    </row>
    <row r="65" spans="1:24" x14ac:dyDescent="0.2">
      <c r="D65" s="8"/>
      <c r="G65" s="8"/>
      <c r="H65" s="8"/>
      <c r="I65" s="8"/>
      <c r="J65" s="8"/>
      <c r="K65" s="8"/>
      <c r="L65" s="8"/>
      <c r="M65" s="8"/>
      <c r="N65" s="8"/>
      <c r="O65" s="8"/>
      <c r="P65" s="8"/>
    </row>
    <row r="66" spans="1:24" x14ac:dyDescent="0.2">
      <c r="B66" t="s">
        <v>123</v>
      </c>
      <c r="D66" s="8">
        <v>500000</v>
      </c>
      <c r="G66" s="8">
        <f>G12*G11</f>
        <v>800000</v>
      </c>
      <c r="H66" s="8">
        <f t="shared" ref="H66:P66" si="22">H12*H11</f>
        <v>800000</v>
      </c>
      <c r="I66" s="8">
        <f t="shared" si="22"/>
        <v>800000</v>
      </c>
      <c r="J66" s="8">
        <f t="shared" si="22"/>
        <v>800000</v>
      </c>
      <c r="K66" s="8">
        <f t="shared" si="22"/>
        <v>800000</v>
      </c>
      <c r="L66" s="8">
        <f t="shared" si="22"/>
        <v>800000</v>
      </c>
      <c r="M66" s="8">
        <f t="shared" si="22"/>
        <v>800000</v>
      </c>
      <c r="N66" s="8">
        <f t="shared" si="22"/>
        <v>800000</v>
      </c>
      <c r="O66" s="8">
        <f t="shared" si="22"/>
        <v>800000</v>
      </c>
      <c r="P66" s="8">
        <f t="shared" si="22"/>
        <v>800000</v>
      </c>
    </row>
    <row r="67" spans="1:24" x14ac:dyDescent="0.2">
      <c r="B67" t="s">
        <v>36</v>
      </c>
      <c r="D67" s="8">
        <f>D46</f>
        <v>16666.666666666668</v>
      </c>
      <c r="G67" s="8">
        <f>D67+G46</f>
        <v>33333.333333333336</v>
      </c>
      <c r="H67" s="8">
        <f>G67+H46</f>
        <v>50000</v>
      </c>
      <c r="I67" s="8">
        <f t="shared" ref="I67:P67" si="23">H67+I46</f>
        <v>66666.666666666672</v>
      </c>
      <c r="J67" s="8">
        <f t="shared" si="23"/>
        <v>83333.333333333343</v>
      </c>
      <c r="K67" s="8">
        <f>J67+K46</f>
        <v>100000.00000000001</v>
      </c>
      <c r="L67" s="8">
        <f t="shared" si="23"/>
        <v>116666.66666666669</v>
      </c>
      <c r="M67" s="8">
        <f t="shared" si="23"/>
        <v>133333.33333333334</v>
      </c>
      <c r="N67" s="8">
        <f t="shared" si="23"/>
        <v>150000</v>
      </c>
      <c r="O67" s="8">
        <f t="shared" si="23"/>
        <v>166666.66666666666</v>
      </c>
      <c r="P67" s="8">
        <f t="shared" si="23"/>
        <v>183333.33333333331</v>
      </c>
    </row>
    <row r="68" spans="1:24" x14ac:dyDescent="0.2">
      <c r="D68" s="8"/>
      <c r="G68" s="8"/>
      <c r="H68" s="8"/>
      <c r="I68" s="8"/>
      <c r="J68" s="8"/>
      <c r="K68" s="8"/>
      <c r="L68" s="8"/>
      <c r="M68" s="8"/>
      <c r="N68" s="8"/>
      <c r="O68" s="8"/>
      <c r="P68" s="8"/>
    </row>
    <row r="69" spans="1:24" x14ac:dyDescent="0.2">
      <c r="B69" t="s">
        <v>94</v>
      </c>
      <c r="D69" s="8">
        <v>120000</v>
      </c>
      <c r="G69" s="8">
        <f>D69</f>
        <v>120000</v>
      </c>
      <c r="H69" s="8">
        <f>G69</f>
        <v>120000</v>
      </c>
      <c r="I69" s="8">
        <f t="shared" ref="I69:P69" si="24">H69</f>
        <v>120000</v>
      </c>
      <c r="J69" s="8">
        <f t="shared" si="24"/>
        <v>120000</v>
      </c>
      <c r="K69" s="8">
        <f t="shared" si="24"/>
        <v>120000</v>
      </c>
      <c r="L69" s="8">
        <f t="shared" si="24"/>
        <v>120000</v>
      </c>
      <c r="M69" s="8">
        <f t="shared" si="24"/>
        <v>120000</v>
      </c>
      <c r="N69" s="8">
        <f t="shared" si="24"/>
        <v>120000</v>
      </c>
      <c r="O69" s="8">
        <f t="shared" si="24"/>
        <v>120000</v>
      </c>
      <c r="P69" s="8">
        <f t="shared" si="24"/>
        <v>120000</v>
      </c>
    </row>
    <row r="70" spans="1:24" x14ac:dyDescent="0.2">
      <c r="B70" t="s">
        <v>36</v>
      </c>
      <c r="D70" s="8">
        <f>D45</f>
        <v>12000</v>
      </c>
      <c r="G70" s="8">
        <f t="shared" ref="G70:P70" si="25">F70+G45</f>
        <v>12000</v>
      </c>
      <c r="H70" s="8">
        <f t="shared" si="25"/>
        <v>24000</v>
      </c>
      <c r="I70" s="8">
        <f t="shared" si="25"/>
        <v>36000</v>
      </c>
      <c r="J70" s="8">
        <f t="shared" si="25"/>
        <v>48000</v>
      </c>
      <c r="K70" s="8">
        <f t="shared" si="25"/>
        <v>60000</v>
      </c>
      <c r="L70" s="8">
        <f t="shared" si="25"/>
        <v>72000</v>
      </c>
      <c r="M70" s="8">
        <f t="shared" si="25"/>
        <v>84000</v>
      </c>
      <c r="N70" s="8">
        <f t="shared" si="25"/>
        <v>96000</v>
      </c>
      <c r="O70" s="8">
        <f t="shared" si="25"/>
        <v>108000</v>
      </c>
      <c r="P70" s="8">
        <f t="shared" si="25"/>
        <v>120000</v>
      </c>
    </row>
    <row r="71" spans="1:24" x14ac:dyDescent="0.2">
      <c r="D71" s="8"/>
      <c r="G71" s="8"/>
      <c r="H71" s="8"/>
      <c r="I71" s="8"/>
      <c r="J71" s="8"/>
      <c r="K71" s="8"/>
      <c r="L71" s="8"/>
      <c r="M71" s="8"/>
      <c r="N71" s="8"/>
      <c r="O71" s="8"/>
      <c r="P71" s="8"/>
    </row>
    <row r="72" spans="1:24" x14ac:dyDescent="0.2">
      <c r="A72" s="2" t="s">
        <v>37</v>
      </c>
      <c r="D72" s="8">
        <f>SUM(D59:D69)-D70</f>
        <v>1168926.9406392698</v>
      </c>
      <c r="G72" s="8">
        <f>SUM(G59:G66)-G70+G69-G67</f>
        <v>1270074.8858447489</v>
      </c>
      <c r="H72" s="8">
        <f t="shared" ref="H72:P72" si="26">SUM(H59:H66)-H70+H69-H67</f>
        <v>1244438.8356164382</v>
      </c>
      <c r="I72" s="8">
        <f t="shared" si="26"/>
        <v>1219030.0816210045</v>
      </c>
      <c r="J72" s="8">
        <f t="shared" si="26"/>
        <v>1193865.6710759134</v>
      </c>
      <c r="K72" s="8">
        <f t="shared" si="26"/>
        <v>1168963.92973994</v>
      </c>
      <c r="L72" s="8">
        <f t="shared" si="26"/>
        <v>1158324.5578037687</v>
      </c>
      <c r="M72" s="8">
        <f t="shared" si="26"/>
        <v>1256748.7329723849</v>
      </c>
      <c r="N72" s="8">
        <f t="shared" si="26"/>
        <v>1372957.221278647</v>
      </c>
      <c r="O72" s="8">
        <f t="shared" si="26"/>
        <v>1507703.4962078787</v>
      </c>
      <c r="P72" s="8">
        <f t="shared" si="26"/>
        <v>1661856.8667568031</v>
      </c>
    </row>
    <row r="73" spans="1:24" x14ac:dyDescent="0.2">
      <c r="D73" s="8"/>
      <c r="G73" s="8"/>
      <c r="H73" s="8"/>
      <c r="I73" s="8"/>
      <c r="J73" s="8"/>
      <c r="K73" s="8"/>
      <c r="L73" s="8"/>
      <c r="M73" s="8"/>
      <c r="N73" s="8"/>
      <c r="O73" s="8"/>
      <c r="P73" s="8"/>
    </row>
    <row r="74" spans="1:24" x14ac:dyDescent="0.2">
      <c r="A74" s="2" t="s">
        <v>38</v>
      </c>
      <c r="D74" s="8"/>
      <c r="G74" s="8"/>
      <c r="H74" s="8"/>
      <c r="I74" s="8"/>
      <c r="J74" s="8"/>
      <c r="K74" s="8"/>
      <c r="L74" s="8"/>
      <c r="M74" s="8"/>
      <c r="N74" s="8"/>
      <c r="O74" s="8"/>
      <c r="P74" s="8"/>
    </row>
    <row r="75" spans="1:24" x14ac:dyDescent="0.2">
      <c r="B75" t="s">
        <v>39</v>
      </c>
      <c r="D75" s="8">
        <f>D28/365*D6</f>
        <v>17260.273972602707</v>
      </c>
      <c r="G75" s="8">
        <f t="shared" ref="G75:P75" si="27">G28/365*G6</f>
        <v>18554.794520547912</v>
      </c>
      <c r="H75" s="8">
        <f t="shared" si="27"/>
        <v>19946.404109588999</v>
      </c>
      <c r="I75" s="8">
        <f t="shared" si="27"/>
        <v>21442.384417808174</v>
      </c>
      <c r="J75" s="8">
        <f t="shared" si="27"/>
        <v>23050.56324914379</v>
      </c>
      <c r="K75" s="8">
        <f t="shared" si="27"/>
        <v>24779.355492829567</v>
      </c>
      <c r="L75" s="8">
        <f t="shared" si="27"/>
        <v>26637.807154791786</v>
      </c>
      <c r="M75" s="8">
        <f t="shared" si="27"/>
        <v>28635.642691401168</v>
      </c>
      <c r="N75" s="8">
        <f t="shared" si="27"/>
        <v>30783.315893256255</v>
      </c>
      <c r="O75" s="8">
        <f t="shared" si="27"/>
        <v>33092.064585250475</v>
      </c>
      <c r="P75" s="8">
        <f t="shared" si="27"/>
        <v>35573.969429144257</v>
      </c>
    </row>
    <row r="76" spans="1:24" x14ac:dyDescent="0.2">
      <c r="B76" t="s">
        <v>40</v>
      </c>
      <c r="D76" s="8">
        <f>D54</f>
        <v>55416.666666666817</v>
      </c>
      <c r="G76" s="8">
        <f t="shared" ref="G76:P76" si="28">G54</f>
        <v>2612.1726886001757</v>
      </c>
      <c r="H76" s="8">
        <f t="shared" si="28"/>
        <v>3431.1578591917114</v>
      </c>
      <c r="I76" s="8">
        <f t="shared" si="28"/>
        <v>13238.236505418266</v>
      </c>
      <c r="J76" s="8">
        <f t="shared" si="28"/>
        <v>23859.332412781991</v>
      </c>
      <c r="K76" s="8">
        <f t="shared" si="28"/>
        <v>35417.052534561852</v>
      </c>
      <c r="L76" s="8">
        <f t="shared" si="28"/>
        <v>44883.234992841135</v>
      </c>
      <c r="M76" s="8">
        <f t="shared" si="28"/>
        <v>54364.425064352312</v>
      </c>
      <c r="N76" s="8">
        <f t="shared" si="28"/>
        <v>64183.532102038938</v>
      </c>
      <c r="O76" s="8">
        <f t="shared" si="28"/>
        <v>74402.804309009618</v>
      </c>
      <c r="P76" s="8">
        <f t="shared" si="28"/>
        <v>85085.440414676559</v>
      </c>
    </row>
    <row r="77" spans="1:24" x14ac:dyDescent="0.2">
      <c r="D77" s="8"/>
      <c r="G77" s="8"/>
      <c r="S77" s="14" t="s">
        <v>84</v>
      </c>
      <c r="T77" s="78">
        <f>D20</f>
        <v>0.74</v>
      </c>
      <c r="U77" s="16"/>
      <c r="V77" s="16"/>
      <c r="W77" s="16"/>
      <c r="X77" s="17"/>
    </row>
    <row r="78" spans="1:24" x14ac:dyDescent="0.2">
      <c r="A78" t="s">
        <v>41</v>
      </c>
      <c r="D78" s="8">
        <v>0</v>
      </c>
      <c r="G78" s="8">
        <v>0</v>
      </c>
      <c r="H78" s="8">
        <v>224475.55568962899</v>
      </c>
      <c r="I78" s="8">
        <v>193994.27998284617</v>
      </c>
      <c r="J78" s="8">
        <v>143830.59595059676</v>
      </c>
      <c r="K78" s="8">
        <v>72180.874029654471</v>
      </c>
      <c r="L78" s="8">
        <v>0</v>
      </c>
      <c r="M78" s="8">
        <v>0</v>
      </c>
      <c r="N78" s="8">
        <v>0</v>
      </c>
      <c r="O78" s="8">
        <v>0</v>
      </c>
      <c r="P78" s="8">
        <v>0</v>
      </c>
      <c r="S78" s="18" t="s">
        <v>87</v>
      </c>
      <c r="T78" s="19">
        <f>T90</f>
        <v>2.4668144537323685E-2</v>
      </c>
      <c r="U78" s="20"/>
      <c r="V78" s="20"/>
      <c r="W78" s="20"/>
      <c r="X78" s="21"/>
    </row>
    <row r="79" spans="1:24" x14ac:dyDescent="0.2">
      <c r="A79" t="s">
        <v>122</v>
      </c>
      <c r="D79" s="8"/>
      <c r="G79" s="8">
        <v>840499.33351383999</v>
      </c>
      <c r="H79" s="8">
        <v>830362.38979784353</v>
      </c>
      <c r="I79" s="8">
        <v>819546.55618754122</v>
      </c>
      <c r="J79" s="8">
        <v>808006.36616940552</v>
      </c>
      <c r="K79" s="8">
        <v>795693.30825329386</v>
      </c>
      <c r="L79" s="8">
        <v>782555.62204472604</v>
      </c>
      <c r="M79" s="8">
        <v>768538.080659742</v>
      </c>
      <c r="N79" s="8">
        <v>753581.75856768317</v>
      </c>
      <c r="O79" s="8">
        <v>737623.78388597257</v>
      </c>
      <c r="P79" s="8">
        <v>720597.07408561825</v>
      </c>
      <c r="S79" s="18"/>
      <c r="T79" s="19"/>
      <c r="U79" s="20"/>
      <c r="V79" s="20"/>
      <c r="W79" s="20"/>
      <c r="X79" s="21"/>
    </row>
    <row r="80" spans="1:24" x14ac:dyDescent="0.2">
      <c r="A80" t="s">
        <v>105</v>
      </c>
      <c r="D80" s="8">
        <v>100000</v>
      </c>
      <c r="G80" s="8">
        <f>D80</f>
        <v>100000</v>
      </c>
      <c r="H80" s="8">
        <v>80000</v>
      </c>
      <c r="I80" s="8">
        <v>60000</v>
      </c>
      <c r="J80" s="8">
        <v>40000</v>
      </c>
      <c r="K80" s="8">
        <v>20000</v>
      </c>
      <c r="L80" s="8">
        <v>0</v>
      </c>
      <c r="M80" s="8">
        <f>L80</f>
        <v>0</v>
      </c>
      <c r="N80" s="8">
        <f>M80</f>
        <v>0</v>
      </c>
      <c r="O80" s="8">
        <f>N80</f>
        <v>0</v>
      </c>
      <c r="P80" s="8">
        <f>O80</f>
        <v>0</v>
      </c>
      <c r="S80" s="18"/>
      <c r="T80" s="19"/>
      <c r="U80" s="20"/>
      <c r="V80" s="20"/>
      <c r="W80" s="20"/>
      <c r="X80" s="21"/>
    </row>
    <row r="81" spans="1:24" x14ac:dyDescent="0.2">
      <c r="D81" s="8"/>
      <c r="G81" s="8"/>
      <c r="S81" s="18" t="s">
        <v>88</v>
      </c>
      <c r="T81" s="19">
        <f>T93</f>
        <v>0.2771012101463704</v>
      </c>
      <c r="U81" s="20"/>
      <c r="V81" s="20"/>
      <c r="W81" s="20"/>
      <c r="X81" s="21"/>
    </row>
    <row r="82" spans="1:24" x14ac:dyDescent="0.2">
      <c r="A82" t="s">
        <v>108</v>
      </c>
      <c r="D82" s="8">
        <v>75000</v>
      </c>
      <c r="G82" s="8">
        <v>75000</v>
      </c>
      <c r="H82" s="8">
        <v>75000</v>
      </c>
      <c r="I82" s="8">
        <v>75000</v>
      </c>
      <c r="J82" s="8">
        <v>75000</v>
      </c>
      <c r="K82" s="8">
        <v>75000</v>
      </c>
      <c r="L82" s="8">
        <v>75000</v>
      </c>
      <c r="M82" s="8">
        <v>75000</v>
      </c>
      <c r="N82" s="8">
        <v>75000</v>
      </c>
      <c r="O82" s="8">
        <v>75000</v>
      </c>
      <c r="P82" s="8">
        <v>75000</v>
      </c>
      <c r="S82" s="18" t="s">
        <v>83</v>
      </c>
      <c r="T82" s="79">
        <f>T77*(1+(1-P16)/(T78/T81))</f>
        <v>6.1431498752870821</v>
      </c>
      <c r="U82" s="20"/>
      <c r="V82" s="20"/>
      <c r="W82" s="20"/>
      <c r="X82" s="21"/>
    </row>
    <row r="83" spans="1:24" x14ac:dyDescent="0.2">
      <c r="A83" t="s">
        <v>42</v>
      </c>
      <c r="D83" s="8">
        <f>C83+D55</f>
        <v>102916.66666666696</v>
      </c>
      <c r="G83" s="8">
        <f t="shared" ref="G83:P83" si="29">F83+G55</f>
        <v>4851.1778502574689</v>
      </c>
      <c r="H83" s="8">
        <f t="shared" si="29"/>
        <v>11223.328160184934</v>
      </c>
      <c r="I83" s="8">
        <f t="shared" si="29"/>
        <v>35808.62452739029</v>
      </c>
      <c r="J83" s="8">
        <f t="shared" si="29"/>
        <v>80118.813293985411</v>
      </c>
      <c r="K83" s="8">
        <f t="shared" si="29"/>
        <v>145893.33942960028</v>
      </c>
      <c r="L83" s="8">
        <f t="shared" si="29"/>
        <v>229247.91870201952</v>
      </c>
      <c r="M83" s="8">
        <f t="shared" si="29"/>
        <v>330210.42239295953</v>
      </c>
      <c r="N83" s="8">
        <f t="shared" si="29"/>
        <v>449408.41058246046</v>
      </c>
      <c r="O83" s="8">
        <f t="shared" si="29"/>
        <v>587585.04715633555</v>
      </c>
      <c r="P83" s="8">
        <f t="shared" si="29"/>
        <v>745600.86506930634</v>
      </c>
      <c r="S83" s="18"/>
      <c r="T83" s="20"/>
      <c r="U83" s="20"/>
      <c r="V83" s="20"/>
      <c r="W83" s="20"/>
      <c r="X83" s="21"/>
    </row>
    <row r="84" spans="1:24" x14ac:dyDescent="0.2">
      <c r="D84" s="8"/>
      <c r="G84" s="8"/>
      <c r="S84" s="18" t="s">
        <v>85</v>
      </c>
      <c r="T84" s="19">
        <f>D21</f>
        <v>0.03</v>
      </c>
      <c r="U84" s="20"/>
      <c r="V84" s="20"/>
      <c r="W84" s="20"/>
      <c r="X84" s="21"/>
    </row>
    <row r="85" spans="1:24" x14ac:dyDescent="0.2">
      <c r="A85" s="2" t="s">
        <v>43</v>
      </c>
      <c r="D85" s="8">
        <f>SUM(D75:D83)</f>
        <v>350593.60730593652</v>
      </c>
      <c r="G85" s="8">
        <f t="shared" ref="G85:P85" si="30">SUM(G75:G83)</f>
        <v>1041517.4785732456</v>
      </c>
      <c r="H85" s="8">
        <f t="shared" si="30"/>
        <v>1244438.8356164382</v>
      </c>
      <c r="I85" s="8">
        <f t="shared" si="30"/>
        <v>1219030.081621004</v>
      </c>
      <c r="J85" s="8">
        <f t="shared" si="30"/>
        <v>1193865.6710759134</v>
      </c>
      <c r="K85" s="8">
        <f t="shared" si="30"/>
        <v>1168963.92973994</v>
      </c>
      <c r="L85" s="8">
        <f t="shared" si="30"/>
        <v>1158324.5828943786</v>
      </c>
      <c r="M85" s="8">
        <f t="shared" si="30"/>
        <v>1256748.5708084551</v>
      </c>
      <c r="N85" s="8">
        <f t="shared" si="30"/>
        <v>1372957.0171454388</v>
      </c>
      <c r="O85" s="8">
        <f t="shared" si="30"/>
        <v>1507703.6999365683</v>
      </c>
      <c r="P85" s="8">
        <f t="shared" si="30"/>
        <v>1661857.3489987454</v>
      </c>
      <c r="S85" s="18" t="s">
        <v>86</v>
      </c>
      <c r="T85" s="19">
        <v>0.08</v>
      </c>
      <c r="U85" s="20"/>
      <c r="V85" s="20"/>
      <c r="W85" s="20"/>
      <c r="X85" s="21"/>
    </row>
    <row r="86" spans="1:24" x14ac:dyDescent="0.2">
      <c r="D86" s="8"/>
      <c r="G86" s="8"/>
      <c r="S86" s="18"/>
      <c r="T86" s="20"/>
      <c r="U86" s="20"/>
      <c r="V86" s="20"/>
      <c r="W86" s="20"/>
      <c r="X86" s="21"/>
    </row>
    <row r="87" spans="1:24" x14ac:dyDescent="0.2">
      <c r="A87" t="s">
        <v>44</v>
      </c>
      <c r="D87" s="8"/>
      <c r="G87" s="8">
        <v>0</v>
      </c>
      <c r="H87" s="8">
        <f t="shared" ref="H87:P87" si="31">H72-H85</f>
        <v>0</v>
      </c>
      <c r="I87" s="8">
        <f t="shared" si="31"/>
        <v>0</v>
      </c>
      <c r="J87" s="8">
        <f t="shared" si="31"/>
        <v>0</v>
      </c>
      <c r="K87" s="8">
        <f t="shared" si="31"/>
        <v>0</v>
      </c>
      <c r="L87" s="8">
        <f t="shared" si="31"/>
        <v>-2.5090609909966588E-2</v>
      </c>
      <c r="M87" s="8">
        <f t="shared" si="31"/>
        <v>0.16216392978094518</v>
      </c>
      <c r="N87" s="8">
        <f t="shared" si="31"/>
        <v>0.2041332081425935</v>
      </c>
      <c r="O87" s="8">
        <f t="shared" si="31"/>
        <v>-0.20372868957929313</v>
      </c>
      <c r="P87" s="8">
        <f t="shared" si="31"/>
        <v>-0.48224194231443107</v>
      </c>
      <c r="S87" s="18" t="s">
        <v>82</v>
      </c>
      <c r="T87" s="23">
        <f>T84+T82*(T85-T84)</f>
        <v>0.33715749376435411</v>
      </c>
      <c r="U87" s="20"/>
      <c r="V87" s="20"/>
      <c r="W87" s="20"/>
      <c r="X87" s="21"/>
    </row>
    <row r="88" spans="1:24" x14ac:dyDescent="0.2">
      <c r="A88" s="6"/>
      <c r="B88" s="6"/>
      <c r="C88" s="6"/>
      <c r="D88" s="7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S88" s="18"/>
      <c r="T88" s="20"/>
      <c r="U88" s="20"/>
      <c r="V88" s="20"/>
      <c r="W88" s="20"/>
      <c r="X88" s="21"/>
    </row>
    <row r="89" spans="1:24" x14ac:dyDescent="0.2">
      <c r="A89" s="2" t="s">
        <v>45</v>
      </c>
      <c r="S89" s="18" t="s">
        <v>78</v>
      </c>
      <c r="T89" s="20" t="s">
        <v>79</v>
      </c>
      <c r="U89" s="20" t="s">
        <v>66</v>
      </c>
      <c r="V89" s="20" t="s">
        <v>80</v>
      </c>
      <c r="W89" s="20" t="s">
        <v>81</v>
      </c>
      <c r="X89" s="21"/>
    </row>
    <row r="90" spans="1:24" x14ac:dyDescent="0.2">
      <c r="R90" t="s">
        <v>94</v>
      </c>
      <c r="S90" s="24">
        <f>AVERAGE(G80:P80)</f>
        <v>30000</v>
      </c>
      <c r="T90" s="23">
        <f>S90/S95</f>
        <v>2.4668144537323685E-2</v>
      </c>
      <c r="U90" s="23">
        <f>P14</f>
        <v>0.05</v>
      </c>
      <c r="V90" s="23">
        <f>U90*(1-$P$16)</f>
        <v>3.2500000000000001E-2</v>
      </c>
      <c r="W90" s="23">
        <f>T90*V90</f>
        <v>8.0171469746301977E-4</v>
      </c>
      <c r="X90" s="21"/>
    </row>
    <row r="91" spans="1:24" x14ac:dyDescent="0.2">
      <c r="B91" t="s">
        <v>25</v>
      </c>
      <c r="G91" s="11">
        <f t="shared" ref="G91:P91" si="32">G43</f>
        <v>96100.289115646738</v>
      </c>
      <c r="H91" s="11">
        <f t="shared" si="32"/>
        <v>119251.52508503455</v>
      </c>
      <c r="I91" s="11">
        <f t="shared" si="32"/>
        <v>142544.73232355487</v>
      </c>
      <c r="J91" s="11">
        <f t="shared" si="32"/>
        <v>166149.99581925012</v>
      </c>
      <c r="K91" s="11">
        <f t="shared" si="32"/>
        <v>190234.21321997966</v>
      </c>
      <c r="L91" s="11">
        <f t="shared" si="32"/>
        <v>208237.73311964131</v>
      </c>
      <c r="M91" s="11">
        <f t="shared" si="32"/>
        <v>234446.99243325717</v>
      </c>
      <c r="N91" s="11">
        <f t="shared" si="32"/>
        <v>261562.80326243001</v>
      </c>
      <c r="O91" s="11">
        <f t="shared" si="32"/>
        <v>289759.07126412308</v>
      </c>
      <c r="P91" s="11">
        <f t="shared" si="32"/>
        <v>319212.15359024191</v>
      </c>
      <c r="R91" t="s">
        <v>122</v>
      </c>
      <c r="S91" s="24">
        <f>AVERAGE(G79:P79)</f>
        <v>785700.4273165667</v>
      </c>
      <c r="T91" s="23">
        <f>S91/S95</f>
        <v>0.64605905680273501</v>
      </c>
      <c r="U91" s="23">
        <v>6.5000000000000002E-2</v>
      </c>
      <c r="V91" s="23">
        <f t="shared" ref="V91:V92" si="33">U91*(1-$P$16)</f>
        <v>4.2250000000000003E-2</v>
      </c>
      <c r="W91" s="23">
        <f>T91*V91</f>
        <v>2.7295995149915556E-2</v>
      </c>
      <c r="X91" s="21"/>
    </row>
    <row r="92" spans="1:24" x14ac:dyDescent="0.2">
      <c r="B92" t="s">
        <v>46</v>
      </c>
      <c r="G92" s="11">
        <f t="shared" ref="G92:P92" si="34">G45+G46</f>
        <v>28666.666666666668</v>
      </c>
      <c r="H92" s="11">
        <f t="shared" si="34"/>
        <v>28666.666666666668</v>
      </c>
      <c r="I92" s="11">
        <f t="shared" si="34"/>
        <v>28666.666666666668</v>
      </c>
      <c r="J92" s="11">
        <f t="shared" si="34"/>
        <v>28666.666666666668</v>
      </c>
      <c r="K92" s="11">
        <f t="shared" si="34"/>
        <v>28666.666666666668</v>
      </c>
      <c r="L92" s="11">
        <f t="shared" si="34"/>
        <v>28666.666666666668</v>
      </c>
      <c r="M92" s="11">
        <f t="shared" si="34"/>
        <v>28666.666666666668</v>
      </c>
      <c r="N92" s="11">
        <f t="shared" si="34"/>
        <v>28666.666666666668</v>
      </c>
      <c r="O92" s="11">
        <f t="shared" si="34"/>
        <v>28666.666666666668</v>
      </c>
      <c r="P92" s="11">
        <f t="shared" si="34"/>
        <v>28666.666666666668</v>
      </c>
      <c r="R92" t="s">
        <v>128</v>
      </c>
      <c r="S92" s="24">
        <f>AVERAGE(G78:P78)</f>
        <v>63448.13056527263</v>
      </c>
      <c r="T92" s="23">
        <f>S92/S95</f>
        <v>5.2171588513570996E-2</v>
      </c>
      <c r="U92" s="23">
        <f>D15</f>
        <v>0.1</v>
      </c>
      <c r="V92" s="23">
        <f t="shared" si="33"/>
        <v>6.5000000000000002E-2</v>
      </c>
      <c r="W92" s="23">
        <f>T92*V92</f>
        <v>3.3911532533821148E-3</v>
      </c>
      <c r="X92" s="21"/>
    </row>
    <row r="93" spans="1:24" x14ac:dyDescent="0.2">
      <c r="B93" t="s">
        <v>47</v>
      </c>
      <c r="G93" s="11">
        <f>G91-G92</f>
        <v>67433.622448980066</v>
      </c>
      <c r="H93" s="11">
        <f>H91-H92</f>
        <v>90584.858418367876</v>
      </c>
      <c r="I93" s="11">
        <f t="shared" ref="I93:P93" si="35">I91-I92</f>
        <v>113878.0656568882</v>
      </c>
      <c r="J93" s="11">
        <f t="shared" si="35"/>
        <v>137483.32915258346</v>
      </c>
      <c r="K93" s="11">
        <f t="shared" si="35"/>
        <v>161567.546553313</v>
      </c>
      <c r="L93" s="11">
        <f t="shared" si="35"/>
        <v>179571.06645297466</v>
      </c>
      <c r="M93" s="11">
        <f t="shared" si="35"/>
        <v>205780.32576659051</v>
      </c>
      <c r="N93" s="11">
        <f t="shared" si="35"/>
        <v>232896.13659576335</v>
      </c>
      <c r="O93" s="11">
        <f t="shared" si="35"/>
        <v>261092.40459745642</v>
      </c>
      <c r="P93" s="11">
        <f t="shared" si="35"/>
        <v>290545.48692357523</v>
      </c>
      <c r="R93" t="s">
        <v>129</v>
      </c>
      <c r="S93" s="24">
        <f>AVERAGE(G82:P82)</f>
        <v>75000</v>
      </c>
      <c r="T93" s="23">
        <f>SUM(S93:S94)/S95</f>
        <v>0.2771012101463704</v>
      </c>
      <c r="U93" s="23">
        <f>T87</f>
        <v>0.33715749376435411</v>
      </c>
      <c r="V93" s="23">
        <f>U93</f>
        <v>0.33715749376435411</v>
      </c>
      <c r="W93" s="23">
        <f>T93*V93</f>
        <v>9.3426749532019862E-2</v>
      </c>
      <c r="X93" s="21"/>
    </row>
    <row r="94" spans="1:24" x14ac:dyDescent="0.2">
      <c r="B94" t="s">
        <v>48</v>
      </c>
      <c r="G94" s="11">
        <f t="shared" ref="G94:P94" si="36">G93*G16</f>
        <v>23601.767857143022</v>
      </c>
      <c r="H94" s="11">
        <f t="shared" si="36"/>
        <v>31704.700446428753</v>
      </c>
      <c r="I94" s="11">
        <f t="shared" si="36"/>
        <v>39857.322979910867</v>
      </c>
      <c r="J94" s="11">
        <f t="shared" si="36"/>
        <v>48119.165203404213</v>
      </c>
      <c r="K94" s="11">
        <f t="shared" si="36"/>
        <v>56548.641293659552</v>
      </c>
      <c r="L94" s="11">
        <f t="shared" si="36"/>
        <v>62849.873258541127</v>
      </c>
      <c r="M94" s="11">
        <f t="shared" si="36"/>
        <v>72023.114018306675</v>
      </c>
      <c r="N94" s="11">
        <f t="shared" si="36"/>
        <v>81513.647808517169</v>
      </c>
      <c r="O94" s="11">
        <f t="shared" si="36"/>
        <v>91382.341609109746</v>
      </c>
      <c r="P94" s="11">
        <f t="shared" si="36"/>
        <v>101690.92042325133</v>
      </c>
      <c r="R94" t="s">
        <v>130</v>
      </c>
      <c r="S94" s="24">
        <f>AVERAGE(G83:P83)</f>
        <v>261994.79471644998</v>
      </c>
      <c r="T94" s="23"/>
      <c r="U94" s="23"/>
      <c r="V94" s="23"/>
      <c r="W94" s="23"/>
      <c r="X94" s="21"/>
    </row>
    <row r="95" spans="1:24" s="20" customFormat="1" x14ac:dyDescent="0.2">
      <c r="A95"/>
      <c r="B95" t="s">
        <v>49</v>
      </c>
      <c r="C95"/>
      <c r="D95" s="1"/>
      <c r="E95"/>
      <c r="F95"/>
      <c r="G95" s="11">
        <f>G91-G94</f>
        <v>72498.521258503722</v>
      </c>
      <c r="H95" s="11">
        <f>H91-H94</f>
        <v>87546.824638605787</v>
      </c>
      <c r="I95" s="11">
        <f t="shared" ref="I95:P95" si="37">I91-I94</f>
        <v>102687.409343644</v>
      </c>
      <c r="J95" s="11">
        <f t="shared" si="37"/>
        <v>118030.83061584592</v>
      </c>
      <c r="K95" s="11">
        <f t="shared" si="37"/>
        <v>133685.57192632012</v>
      </c>
      <c r="L95" s="11">
        <f t="shared" si="37"/>
        <v>145387.85986110018</v>
      </c>
      <c r="M95" s="11">
        <f t="shared" si="37"/>
        <v>162423.87841495051</v>
      </c>
      <c r="N95" s="11">
        <f t="shared" si="37"/>
        <v>180049.15545391286</v>
      </c>
      <c r="O95" s="11">
        <f t="shared" si="37"/>
        <v>198376.72965501333</v>
      </c>
      <c r="P95" s="11">
        <f t="shared" si="37"/>
        <v>217521.23316699057</v>
      </c>
      <c r="S95" s="25">
        <f>SUM(S90:S94)</f>
        <v>1216143.3525982893</v>
      </c>
      <c r="T95" s="26">
        <f>SUM(T90:T94)</f>
        <v>1</v>
      </c>
      <c r="U95" s="26"/>
      <c r="V95" s="26"/>
      <c r="W95" s="27">
        <f>SUM(W90:W94)</f>
        <v>0.12491561263278056</v>
      </c>
      <c r="X95" s="28" t="s">
        <v>89</v>
      </c>
    </row>
    <row r="97" spans="1:18" x14ac:dyDescent="0.2">
      <c r="A97" t="s">
        <v>50</v>
      </c>
    </row>
    <row r="98" spans="1:18" x14ac:dyDescent="0.2">
      <c r="A98" t="s">
        <v>73</v>
      </c>
      <c r="B98" t="s">
        <v>32</v>
      </c>
      <c r="F98" s="11">
        <f t="shared" ref="F98:P98" si="38">-(G59-F59)</f>
        <v>-5000</v>
      </c>
      <c r="G98" s="11">
        <f t="shared" si="38"/>
        <v>0</v>
      </c>
      <c r="H98" s="11">
        <f t="shared" si="38"/>
        <v>0</v>
      </c>
      <c r="I98" s="11">
        <f t="shared" si="38"/>
        <v>0</v>
      </c>
      <c r="J98" s="11">
        <f t="shared" si="38"/>
        <v>0</v>
      </c>
      <c r="K98" s="11">
        <f t="shared" si="38"/>
        <v>0</v>
      </c>
      <c r="L98" s="11">
        <f t="shared" si="38"/>
        <v>0</v>
      </c>
      <c r="M98" s="11">
        <f t="shared" si="38"/>
        <v>0</v>
      </c>
      <c r="N98" s="11">
        <f t="shared" si="38"/>
        <v>0</v>
      </c>
      <c r="O98" s="11">
        <f t="shared" si="38"/>
        <v>0</v>
      </c>
      <c r="P98" s="11">
        <f t="shared" si="38"/>
        <v>5000</v>
      </c>
    </row>
    <row r="99" spans="1:18" x14ac:dyDescent="0.2">
      <c r="A99" t="s">
        <v>73</v>
      </c>
      <c r="B99" t="s">
        <v>34</v>
      </c>
      <c r="F99" s="11">
        <f t="shared" ref="F99:P100" si="39">-(G61-F61)</f>
        <v>-12576.027397260274</v>
      </c>
      <c r="G99" s="11">
        <f t="shared" si="39"/>
        <v>-943.20205479451943</v>
      </c>
      <c r="H99" s="11">
        <f t="shared" si="39"/>
        <v>-1013.9422089041091</v>
      </c>
      <c r="I99" s="11">
        <f t="shared" si="39"/>
        <v>-1089.9878745719161</v>
      </c>
      <c r="J99" s="11">
        <f t="shared" si="39"/>
        <v>-1171.7369651648096</v>
      </c>
      <c r="K99" s="11">
        <f t="shared" si="39"/>
        <v>-1259.6172375521746</v>
      </c>
      <c r="L99" s="11">
        <f t="shared" si="39"/>
        <v>-1354.0885303685827</v>
      </c>
      <c r="M99" s="11">
        <f t="shared" si="39"/>
        <v>-1455.6451701462283</v>
      </c>
      <c r="N99" s="11">
        <f t="shared" si="39"/>
        <v>-1564.8185579071942</v>
      </c>
      <c r="O99" s="11">
        <f t="shared" si="39"/>
        <v>-1682.1799497502361</v>
      </c>
      <c r="P99" s="11">
        <f t="shared" si="39"/>
        <v>24111.245946420044</v>
      </c>
    </row>
    <row r="100" spans="1:18" x14ac:dyDescent="0.2">
      <c r="A100" t="s">
        <v>73</v>
      </c>
      <c r="B100" t="s">
        <v>35</v>
      </c>
      <c r="F100" s="11">
        <f t="shared" si="39"/>
        <v>-27832.191780821868</v>
      </c>
      <c r="G100" s="11">
        <f t="shared" si="39"/>
        <v>-2087.4143835616305</v>
      </c>
      <c r="H100" s="11">
        <f t="shared" si="39"/>
        <v>-2243.9704623287616</v>
      </c>
      <c r="I100" s="11">
        <f t="shared" si="39"/>
        <v>-2412.2682470034269</v>
      </c>
      <c r="J100" s="11">
        <f t="shared" si="39"/>
        <v>-2593.1883655286656</v>
      </c>
      <c r="K100" s="11">
        <f t="shared" si="39"/>
        <v>-2787.6774929433232</v>
      </c>
      <c r="L100" s="11">
        <f t="shared" si="39"/>
        <v>-2996.7533049140766</v>
      </c>
      <c r="M100" s="11">
        <f t="shared" si="39"/>
        <v>-3221.5098027826316</v>
      </c>
      <c r="N100" s="11">
        <f t="shared" si="39"/>
        <v>-3463.1230379913322</v>
      </c>
      <c r="O100" s="11">
        <f t="shared" si="39"/>
        <v>-3722.8572658406702</v>
      </c>
      <c r="P100" s="11">
        <f t="shared" si="39"/>
        <v>53360.954143716386</v>
      </c>
    </row>
    <row r="102" spans="1:18" x14ac:dyDescent="0.2">
      <c r="A102" t="s">
        <v>73</v>
      </c>
      <c r="B102" t="s">
        <v>124</v>
      </c>
      <c r="F102" s="11">
        <f t="shared" ref="F102:P102" si="40">-(G64-F64)</f>
        <v>-350000</v>
      </c>
      <c r="G102" s="11">
        <f t="shared" si="40"/>
        <v>0</v>
      </c>
      <c r="H102" s="11">
        <f t="shared" si="40"/>
        <v>0</v>
      </c>
      <c r="I102" s="11">
        <f t="shared" si="40"/>
        <v>0</v>
      </c>
      <c r="J102" s="11">
        <f t="shared" si="40"/>
        <v>0</v>
      </c>
      <c r="K102" s="11">
        <f t="shared" si="40"/>
        <v>0</v>
      </c>
      <c r="L102" s="11">
        <f t="shared" si="40"/>
        <v>0</v>
      </c>
      <c r="M102" s="11">
        <f t="shared" si="40"/>
        <v>0</v>
      </c>
      <c r="N102" s="11">
        <f t="shared" si="40"/>
        <v>0</v>
      </c>
      <c r="O102" s="11">
        <f t="shared" si="40"/>
        <v>0</v>
      </c>
      <c r="P102" s="11">
        <f t="shared" si="40"/>
        <v>350000</v>
      </c>
      <c r="Q102" t="s">
        <v>76</v>
      </c>
      <c r="R102" s="12">
        <v>1.1000000000000001</v>
      </c>
    </row>
    <row r="103" spans="1:18" x14ac:dyDescent="0.2">
      <c r="B103" t="s">
        <v>51</v>
      </c>
      <c r="P103" s="11">
        <f>(R102-100%)*P102</f>
        <v>35000.000000000029</v>
      </c>
      <c r="Q103" t="s">
        <v>75</v>
      </c>
      <c r="R103" s="11">
        <f>P64</f>
        <v>350000</v>
      </c>
    </row>
    <row r="104" spans="1:18" x14ac:dyDescent="0.2">
      <c r="A104" t="s">
        <v>73</v>
      </c>
      <c r="B104" t="s">
        <v>52</v>
      </c>
      <c r="P104" s="11">
        <f>-R104*$D$16</f>
        <v>-12250</v>
      </c>
      <c r="Q104" t="s">
        <v>77</v>
      </c>
      <c r="R104" s="11">
        <f>SUM(P102:P103)-R103</f>
        <v>35000</v>
      </c>
    </row>
    <row r="105" spans="1:18" x14ac:dyDescent="0.2">
      <c r="P105" s="11"/>
      <c r="R105" s="11"/>
    </row>
    <row r="106" spans="1:18" x14ac:dyDescent="0.2">
      <c r="A106" t="s">
        <v>73</v>
      </c>
      <c r="B106" t="s">
        <v>127</v>
      </c>
      <c r="F106" s="11">
        <f t="shared" ref="F106:P106" si="41">-(G66-F66)</f>
        <v>-800000</v>
      </c>
      <c r="G106" s="11">
        <f t="shared" si="41"/>
        <v>0</v>
      </c>
      <c r="H106" s="11">
        <f t="shared" si="41"/>
        <v>0</v>
      </c>
      <c r="I106" s="11">
        <f t="shared" si="41"/>
        <v>0</v>
      </c>
      <c r="J106" s="11">
        <f t="shared" si="41"/>
        <v>0</v>
      </c>
      <c r="K106" s="11">
        <f t="shared" si="41"/>
        <v>0</v>
      </c>
      <c r="L106" s="11">
        <f t="shared" si="41"/>
        <v>0</v>
      </c>
      <c r="M106" s="11">
        <f t="shared" si="41"/>
        <v>0</v>
      </c>
      <c r="N106" s="11">
        <f t="shared" si="41"/>
        <v>0</v>
      </c>
      <c r="O106" s="11">
        <f t="shared" si="41"/>
        <v>0</v>
      </c>
      <c r="P106" s="11">
        <f t="shared" si="41"/>
        <v>800000</v>
      </c>
      <c r="Q106" t="s">
        <v>76</v>
      </c>
      <c r="R106" s="12">
        <v>0.9</v>
      </c>
    </row>
    <row r="107" spans="1:18" x14ac:dyDescent="0.2">
      <c r="B107" t="s">
        <v>51</v>
      </c>
      <c r="P107" s="11">
        <f>(R106-100%)*P106</f>
        <v>-79999.999999999985</v>
      </c>
      <c r="Q107" t="s">
        <v>75</v>
      </c>
      <c r="R107" s="11">
        <f>P66-P67</f>
        <v>616666.66666666674</v>
      </c>
    </row>
    <row r="108" spans="1:18" x14ac:dyDescent="0.2">
      <c r="A108" t="s">
        <v>73</v>
      </c>
      <c r="B108" t="s">
        <v>52</v>
      </c>
      <c r="P108" s="11">
        <f>-R108*$D$16</f>
        <v>-36166.666666666635</v>
      </c>
      <c r="Q108" t="s">
        <v>77</v>
      </c>
      <c r="R108" s="11">
        <f>SUM(P106:P107)-R107</f>
        <v>103333.33333333326</v>
      </c>
    </row>
    <row r="109" spans="1:18" x14ac:dyDescent="0.2">
      <c r="P109" s="11"/>
      <c r="R109" s="11"/>
    </row>
    <row r="110" spans="1:18" x14ac:dyDescent="0.2">
      <c r="A110" t="s">
        <v>73</v>
      </c>
      <c r="B110" t="s">
        <v>94</v>
      </c>
      <c r="F110" s="11">
        <f t="shared" ref="F110:P110" si="42">-(G69-F69)</f>
        <v>-120000</v>
      </c>
      <c r="G110" s="11">
        <f t="shared" si="42"/>
        <v>0</v>
      </c>
      <c r="H110" s="11">
        <f t="shared" si="42"/>
        <v>0</v>
      </c>
      <c r="I110" s="11">
        <f t="shared" si="42"/>
        <v>0</v>
      </c>
      <c r="J110" s="11">
        <f t="shared" si="42"/>
        <v>0</v>
      </c>
      <c r="K110" s="11">
        <f t="shared" si="42"/>
        <v>0</v>
      </c>
      <c r="L110" s="11">
        <f t="shared" si="42"/>
        <v>0</v>
      </c>
      <c r="M110" s="11">
        <f t="shared" si="42"/>
        <v>0</v>
      </c>
      <c r="N110" s="11">
        <f t="shared" si="42"/>
        <v>0</v>
      </c>
      <c r="O110" s="11">
        <f t="shared" si="42"/>
        <v>0</v>
      </c>
      <c r="P110" s="11">
        <f t="shared" si="42"/>
        <v>120000</v>
      </c>
      <c r="Q110" t="s">
        <v>76</v>
      </c>
      <c r="R110" s="12">
        <v>0.8</v>
      </c>
    </row>
    <row r="111" spans="1:18" x14ac:dyDescent="0.2">
      <c r="B111" t="s">
        <v>51</v>
      </c>
      <c r="P111" s="11">
        <f>(R110-100%)*P110</f>
        <v>-23999.999999999996</v>
      </c>
      <c r="Q111" t="s">
        <v>75</v>
      </c>
      <c r="R111" s="11">
        <f>P69-P70</f>
        <v>0</v>
      </c>
    </row>
    <row r="112" spans="1:18" x14ac:dyDescent="0.2">
      <c r="A112" t="s">
        <v>73</v>
      </c>
      <c r="B112" t="s">
        <v>52</v>
      </c>
      <c r="P112" s="11">
        <f>-R112*$D$16</f>
        <v>-33600</v>
      </c>
      <c r="Q112" t="s">
        <v>77</v>
      </c>
      <c r="R112" s="11">
        <f>SUM(P110:P111)-R111</f>
        <v>96000</v>
      </c>
    </row>
    <row r="114" spans="1:17" x14ac:dyDescent="0.2">
      <c r="A114" t="s">
        <v>74</v>
      </c>
      <c r="B114" t="s">
        <v>39</v>
      </c>
      <c r="F114" s="11">
        <f t="shared" ref="F114:P114" si="43">(G75-F75)</f>
        <v>18554.794520547912</v>
      </c>
      <c r="G114" s="11">
        <f t="shared" si="43"/>
        <v>1391.609589041087</v>
      </c>
      <c r="H114" s="11">
        <f t="shared" si="43"/>
        <v>1495.9803082191756</v>
      </c>
      <c r="I114" s="11">
        <f t="shared" si="43"/>
        <v>1608.1788313356155</v>
      </c>
      <c r="J114" s="11">
        <f t="shared" si="43"/>
        <v>1728.7922436857771</v>
      </c>
      <c r="K114" s="11">
        <f t="shared" si="43"/>
        <v>1858.4516619622191</v>
      </c>
      <c r="L114" s="11">
        <f t="shared" si="43"/>
        <v>1997.835536609382</v>
      </c>
      <c r="M114" s="11">
        <f t="shared" si="43"/>
        <v>2147.6732018550865</v>
      </c>
      <c r="N114" s="11">
        <f t="shared" si="43"/>
        <v>2308.7486919942203</v>
      </c>
      <c r="O114" s="11">
        <f t="shared" si="43"/>
        <v>2481.9048438937825</v>
      </c>
      <c r="P114" s="11">
        <f t="shared" si="43"/>
        <v>-35573.969429144257</v>
      </c>
    </row>
    <row r="115" spans="1:17" x14ac:dyDescent="0.2">
      <c r="A115" t="s">
        <v>74</v>
      </c>
      <c r="B115" t="s">
        <v>53</v>
      </c>
      <c r="F115" s="8">
        <f t="shared" ref="F115:P115" si="44">(G94-F94)</f>
        <v>23601.767857143022</v>
      </c>
      <c r="G115" s="8">
        <f t="shared" si="44"/>
        <v>8102.9325892857305</v>
      </c>
      <c r="H115" s="8">
        <f t="shared" si="44"/>
        <v>8152.6225334821138</v>
      </c>
      <c r="I115" s="8">
        <f t="shared" si="44"/>
        <v>8261.842223493346</v>
      </c>
      <c r="J115" s="8">
        <f t="shared" si="44"/>
        <v>8429.4760902553389</v>
      </c>
      <c r="K115" s="8">
        <f t="shared" si="44"/>
        <v>6301.2319648815755</v>
      </c>
      <c r="L115" s="8">
        <f t="shared" si="44"/>
        <v>9173.2407597655474</v>
      </c>
      <c r="M115" s="8">
        <f t="shared" si="44"/>
        <v>9490.5337902104948</v>
      </c>
      <c r="N115" s="8">
        <f t="shared" si="44"/>
        <v>9868.6938005925767</v>
      </c>
      <c r="O115" s="8">
        <f t="shared" si="44"/>
        <v>10308.578814141583</v>
      </c>
      <c r="P115" s="8">
        <f t="shared" si="44"/>
        <v>-101690.92042325133</v>
      </c>
    </row>
    <row r="117" spans="1:17" x14ac:dyDescent="0.2">
      <c r="A117" s="2" t="s">
        <v>54</v>
      </c>
      <c r="F117" s="8">
        <f>SUM(F95:F115)</f>
        <v>-1273251.6568003914</v>
      </c>
      <c r="G117" s="8">
        <f>SUM(G95:G115)</f>
        <v>78962.446998474406</v>
      </c>
      <c r="H117" s="8">
        <f t="shared" ref="H117:P117" si="45">SUM(H95:H115)</f>
        <v>93937.51480907423</v>
      </c>
      <c r="I117" s="8">
        <f t="shared" si="45"/>
        <v>109055.17427689763</v>
      </c>
      <c r="J117" s="8">
        <f t="shared" si="45"/>
        <v>124424.17361909356</v>
      </c>
      <c r="K117" s="8">
        <f t="shared" si="45"/>
        <v>137797.96082266839</v>
      </c>
      <c r="L117" s="8">
        <f t="shared" si="45"/>
        <v>152208.09432219245</v>
      </c>
      <c r="M117" s="8">
        <f t="shared" si="45"/>
        <v>169384.93043408723</v>
      </c>
      <c r="N117" s="8">
        <f t="shared" si="45"/>
        <v>187198.65635060112</v>
      </c>
      <c r="O117" s="8">
        <f t="shared" si="45"/>
        <v>205762.17609745782</v>
      </c>
      <c r="P117" s="8">
        <f t="shared" si="45"/>
        <v>1281711.8767380647</v>
      </c>
    </row>
    <row r="118" spans="1:17" x14ac:dyDescent="0.2">
      <c r="A118" s="2" t="s">
        <v>55</v>
      </c>
      <c r="F118" s="5">
        <f>IRR(F117:P117)</f>
        <v>9.6333302357986206E-2</v>
      </c>
    </row>
    <row r="119" spans="1:17" x14ac:dyDescent="0.2">
      <c r="A119" s="2"/>
    </row>
    <row r="120" spans="1:17" x14ac:dyDescent="0.2">
      <c r="A120" s="2" t="s">
        <v>56</v>
      </c>
      <c r="F120" s="5">
        <f>W95</f>
        <v>0.12491561263278056</v>
      </c>
    </row>
    <row r="121" spans="1:17" x14ac:dyDescent="0.2">
      <c r="A121" s="2" t="s">
        <v>57</v>
      </c>
      <c r="F121" s="29">
        <f>NPV(F120,G117:P117)</f>
        <v>1063986.6774473581</v>
      </c>
    </row>
    <row r="123" spans="1:17" x14ac:dyDescent="0.2">
      <c r="B123" s="80"/>
      <c r="C123" s="80"/>
      <c r="D123" s="81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80"/>
      <c r="Q123" s="82"/>
    </row>
    <row r="124" spans="1:17" x14ac:dyDescent="0.2">
      <c r="B124" s="80"/>
      <c r="C124" s="80"/>
      <c r="D124" s="83" t="s">
        <v>157</v>
      </c>
      <c r="E124" s="84"/>
      <c r="F124" s="85">
        <v>7.0000000000000007E-2</v>
      </c>
      <c r="G124" s="80"/>
      <c r="H124" s="84" t="s">
        <v>158</v>
      </c>
      <c r="I124" s="86">
        <f>-G66+-G64</f>
        <v>-1150000</v>
      </c>
      <c r="J124" s="80"/>
      <c r="K124" s="80"/>
      <c r="L124" s="80"/>
      <c r="M124" s="80"/>
      <c r="N124" s="80"/>
      <c r="O124" s="80"/>
      <c r="P124" s="80"/>
      <c r="Q124" s="82"/>
    </row>
    <row r="125" spans="1:17" x14ac:dyDescent="0.2">
      <c r="B125" s="80"/>
      <c r="C125" s="80"/>
      <c r="D125" s="81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2"/>
    </row>
    <row r="126" spans="1:17" x14ac:dyDescent="0.2">
      <c r="B126" s="80"/>
      <c r="C126" s="80"/>
      <c r="D126" s="81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2"/>
    </row>
    <row r="127" spans="1:17" x14ac:dyDescent="0.2">
      <c r="B127" s="80"/>
      <c r="C127" s="80"/>
      <c r="D127" s="81"/>
      <c r="E127" s="80"/>
      <c r="F127" s="80"/>
      <c r="G127" s="80"/>
      <c r="H127" s="80"/>
      <c r="I127" s="80" t="s">
        <v>159</v>
      </c>
      <c r="J127" s="80"/>
      <c r="K127" s="80"/>
      <c r="L127" s="80"/>
      <c r="M127" s="80" t="s">
        <v>160</v>
      </c>
      <c r="N127" s="80"/>
      <c r="O127" s="80"/>
      <c r="P127" s="80"/>
      <c r="Q127" s="82"/>
    </row>
    <row r="128" spans="1:17" x14ac:dyDescent="0.2">
      <c r="B128" s="80" t="s">
        <v>161</v>
      </c>
      <c r="C128" s="80"/>
      <c r="D128" s="81"/>
      <c r="E128" s="80"/>
      <c r="F128" s="87">
        <v>-1264111.6115459881</v>
      </c>
      <c r="G128" s="87">
        <v>116998.89952940124</v>
      </c>
      <c r="H128" s="87">
        <v>171500.87632699707</v>
      </c>
      <c r="I128" s="88">
        <f>240112.215469994+I124</f>
        <v>-909887.784530006</v>
      </c>
      <c r="J128" s="87">
        <v>327289.84873140079</v>
      </c>
      <c r="K128" s="87">
        <v>436451.72414704564</v>
      </c>
      <c r="L128" s="87">
        <v>578006.00124813872</v>
      </c>
      <c r="M128" s="87">
        <f>763286.325137393+I124</f>
        <v>-386713.67486260703</v>
      </c>
      <c r="N128" s="87">
        <v>1002661.8938419413</v>
      </c>
      <c r="O128" s="87">
        <v>1312510.1660415218</v>
      </c>
      <c r="P128" s="87">
        <v>2132612.8999439008</v>
      </c>
      <c r="Q128" s="89">
        <v>0.4</v>
      </c>
    </row>
    <row r="129" spans="2:17" x14ac:dyDescent="0.2">
      <c r="B129" s="80" t="s">
        <v>162</v>
      </c>
      <c r="C129" s="80"/>
      <c r="D129" s="90" t="s">
        <v>163</v>
      </c>
      <c r="E129" s="80"/>
      <c r="F129" s="91">
        <f>NPV($F$124,G128:P128)+F128</f>
        <v>1339074.2397850084</v>
      </c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2"/>
    </row>
    <row r="130" spans="2:17" x14ac:dyDescent="0.2">
      <c r="B130" s="84" t="s">
        <v>164</v>
      </c>
      <c r="C130" s="80"/>
      <c r="D130" s="90"/>
      <c r="E130" s="80"/>
      <c r="F130" s="92">
        <f>F129*Q128</f>
        <v>535629.69591400342</v>
      </c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2"/>
    </row>
    <row r="131" spans="2:17" x14ac:dyDescent="0.2">
      <c r="B131" s="80"/>
      <c r="C131" s="80"/>
      <c r="D131" s="9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2"/>
    </row>
    <row r="132" spans="2:17" x14ac:dyDescent="0.2">
      <c r="B132" s="80"/>
      <c r="C132" s="80"/>
      <c r="D132" s="9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2"/>
    </row>
    <row r="133" spans="2:17" x14ac:dyDescent="0.2">
      <c r="B133" s="80" t="s">
        <v>165</v>
      </c>
      <c r="C133" s="80"/>
      <c r="D133" s="90"/>
      <c r="E133" s="80"/>
      <c r="F133" s="87">
        <v>-1273251.6568003914</v>
      </c>
      <c r="G133" s="87">
        <v>78962.446998474406</v>
      </c>
      <c r="H133" s="87">
        <v>93937.51480907423</v>
      </c>
      <c r="I133" s="87">
        <v>109055.17427689763</v>
      </c>
      <c r="J133" s="87">
        <v>124424.17361909356</v>
      </c>
      <c r="K133" s="87">
        <v>137797.96082266839</v>
      </c>
      <c r="L133" s="87">
        <v>152208.09432219245</v>
      </c>
      <c r="M133" s="87">
        <v>169384.93043408723</v>
      </c>
      <c r="N133" s="87">
        <v>187198.65635060112</v>
      </c>
      <c r="O133" s="87">
        <v>205762.17609745782</v>
      </c>
      <c r="P133" s="87">
        <v>1281711.8767380647</v>
      </c>
      <c r="Q133" s="89">
        <v>0.35</v>
      </c>
    </row>
    <row r="134" spans="2:17" x14ac:dyDescent="0.2">
      <c r="B134" s="80" t="s">
        <v>166</v>
      </c>
      <c r="C134" s="80"/>
      <c r="D134" s="90" t="s">
        <v>163</v>
      </c>
      <c r="E134" s="80"/>
      <c r="F134" s="91">
        <f>NPV($F$124,G133:P133)+F133</f>
        <v>244122.58118646964</v>
      </c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2"/>
    </row>
    <row r="135" spans="2:17" x14ac:dyDescent="0.2">
      <c r="B135" s="84" t="s">
        <v>167</v>
      </c>
      <c r="C135" s="80"/>
      <c r="D135" s="90"/>
      <c r="E135" s="80"/>
      <c r="F135" s="92">
        <f>F134*Q133</f>
        <v>85442.903415264373</v>
      </c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2"/>
    </row>
    <row r="136" spans="2:17" x14ac:dyDescent="0.2">
      <c r="B136" s="80"/>
      <c r="C136" s="80"/>
      <c r="D136" s="90"/>
      <c r="E136" s="80"/>
      <c r="F136" s="80"/>
      <c r="G136" s="80"/>
      <c r="H136" s="80"/>
      <c r="I136" s="91"/>
      <c r="J136" s="91"/>
      <c r="K136" s="91"/>
      <c r="L136" s="91"/>
      <c r="M136" s="91"/>
      <c r="N136" s="91"/>
      <c r="O136" s="91"/>
      <c r="P136" s="91"/>
      <c r="Q136" s="82"/>
    </row>
    <row r="137" spans="2:17" x14ac:dyDescent="0.2">
      <c r="B137" s="80"/>
      <c r="C137" s="80"/>
      <c r="D137" s="90"/>
      <c r="E137" s="80"/>
      <c r="F137" s="80"/>
      <c r="G137" s="80"/>
      <c r="H137" s="80"/>
      <c r="I137" s="93"/>
      <c r="J137" s="80"/>
      <c r="K137" s="80"/>
      <c r="L137" s="80"/>
      <c r="M137" s="80"/>
      <c r="N137" s="80"/>
      <c r="O137" s="80"/>
      <c r="P137" s="80"/>
      <c r="Q137" s="82"/>
    </row>
    <row r="138" spans="2:17" x14ac:dyDescent="0.2">
      <c r="B138" s="80" t="s">
        <v>168</v>
      </c>
      <c r="C138" s="80"/>
      <c r="D138" s="90"/>
      <c r="E138" s="80"/>
      <c r="F138" s="87">
        <v>-1286453.9443900848</v>
      </c>
      <c r="G138" s="87">
        <v>31282.16262813365</v>
      </c>
      <c r="H138" s="87">
        <v>17565.340202392734</v>
      </c>
      <c r="I138" s="87">
        <v>8118.1848932911453</v>
      </c>
      <c r="J138" s="87">
        <v>1789.233770648616</v>
      </c>
      <c r="K138" s="87">
        <v>-4630.35671021081</v>
      </c>
      <c r="L138" s="87">
        <v>-8849.1649225033452</v>
      </c>
      <c r="M138" s="87">
        <v>-9711.7366765987699</v>
      </c>
      <c r="N138" s="87">
        <v>-9800.3458603648833</v>
      </c>
      <c r="O138" s="87">
        <v>-9364.3150795645597</v>
      </c>
      <c r="P138" s="87">
        <v>1136224.1862079229</v>
      </c>
      <c r="Q138" s="89">
        <v>0.25</v>
      </c>
    </row>
    <row r="139" spans="2:17" x14ac:dyDescent="0.2">
      <c r="B139" s="80" t="s">
        <v>169</v>
      </c>
      <c r="C139" s="80"/>
      <c r="D139" s="90" t="s">
        <v>163</v>
      </c>
      <c r="E139" s="80"/>
      <c r="F139" s="91">
        <f>NPV($F$124,G138:P138)+F138</f>
        <v>-682328.80578883959</v>
      </c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2"/>
    </row>
    <row r="140" spans="2:17" x14ac:dyDescent="0.2">
      <c r="B140" s="84" t="s">
        <v>170</v>
      </c>
      <c r="C140" s="80"/>
      <c r="D140" s="81"/>
      <c r="E140" s="80"/>
      <c r="F140" s="92">
        <f>F139*Q138</f>
        <v>-170582.2014472099</v>
      </c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2"/>
    </row>
    <row r="141" spans="2:17" x14ac:dyDescent="0.2">
      <c r="B141" s="80"/>
      <c r="C141" s="80"/>
      <c r="D141" s="81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2"/>
    </row>
    <row r="142" spans="2:17" x14ac:dyDescent="0.2">
      <c r="B142" s="80"/>
      <c r="C142" s="80"/>
      <c r="D142" s="81" t="s">
        <v>24</v>
      </c>
      <c r="E142" s="80"/>
      <c r="F142" s="94">
        <f>F130+F135+F140</f>
        <v>450490.39788205782</v>
      </c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9">
        <f>SUM(Q128:Q140)</f>
        <v>1</v>
      </c>
    </row>
    <row r="143" spans="2:17" x14ac:dyDescent="0.2">
      <c r="B143" s="80"/>
      <c r="C143" s="80"/>
      <c r="D143" s="81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2"/>
    </row>
    <row r="151" spans="7:7" x14ac:dyDescent="0.2">
      <c r="G151" s="95"/>
    </row>
    <row r="152" spans="7:7" x14ac:dyDescent="0.2">
      <c r="G152" s="96"/>
    </row>
    <row r="154" spans="7:7" x14ac:dyDescent="0.2">
      <c r="G154" s="5"/>
    </row>
    <row r="155" spans="7:7" x14ac:dyDescent="0.2">
      <c r="G155" s="97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orientation="portrait" useFirstPageNumber="1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0"/>
  <sheetViews>
    <sheetView workbookViewId="0">
      <selection activeCell="E144" sqref="E144"/>
    </sheetView>
  </sheetViews>
  <sheetFormatPr defaultColWidth="11.42578125" defaultRowHeight="12.75" x14ac:dyDescent="0.2"/>
  <cols>
    <col min="2" max="2" width="14.140625" bestFit="1" customWidth="1"/>
    <col min="3" max="3" width="14.42578125" customWidth="1"/>
    <col min="4" max="4" width="12.140625" customWidth="1"/>
    <col min="5" max="5" width="13.140625" customWidth="1"/>
    <col min="6" max="6" width="16.28515625" customWidth="1"/>
    <col min="8" max="8" width="13.85546875" customWidth="1"/>
    <col min="9" max="9" width="16.42578125" customWidth="1"/>
  </cols>
  <sheetData>
    <row r="1" spans="1:9" x14ac:dyDescent="0.2">
      <c r="A1" s="2" t="s">
        <v>58</v>
      </c>
      <c r="H1" s="2" t="s">
        <v>59</v>
      </c>
    </row>
    <row r="2" spans="1:9" x14ac:dyDescent="0.2">
      <c r="B2" s="2" t="s">
        <v>60</v>
      </c>
      <c r="C2" s="2" t="s">
        <v>61</v>
      </c>
      <c r="D2" s="2" t="s">
        <v>62</v>
      </c>
      <c r="E2" s="2" t="s">
        <v>63</v>
      </c>
      <c r="F2" s="2" t="s">
        <v>64</v>
      </c>
      <c r="H2" s="2" t="s">
        <v>65</v>
      </c>
      <c r="I2">
        <v>30</v>
      </c>
    </row>
    <row r="3" spans="1:9" x14ac:dyDescent="0.2">
      <c r="B3" s="2" t="s">
        <v>112</v>
      </c>
      <c r="C3" s="2"/>
      <c r="D3" s="2"/>
      <c r="E3" s="2"/>
      <c r="F3" s="2"/>
      <c r="H3" s="2" t="s">
        <v>66</v>
      </c>
      <c r="I3" s="5">
        <v>6.5000000000000002E-2</v>
      </c>
    </row>
    <row r="4" spans="1:9" x14ac:dyDescent="0.2">
      <c r="A4">
        <v>1</v>
      </c>
      <c r="B4" s="10">
        <f>I4</f>
        <v>850000</v>
      </c>
      <c r="C4" s="10">
        <f t="shared" ref="C4:C15" si="0">$I$7</f>
        <v>5372.5781996901924</v>
      </c>
      <c r="D4" s="10">
        <f t="shared" ref="D4:D15" si="1">B4*$I$6</f>
        <v>4604.166666666667</v>
      </c>
      <c r="E4" s="10">
        <f t="shared" ref="E4:E15" si="2">C4-D4</f>
        <v>768.41153302352541</v>
      </c>
      <c r="F4" s="10">
        <f t="shared" ref="F4:F15" si="3">B4-E4</f>
        <v>849231.58846697642</v>
      </c>
      <c r="H4" s="2" t="s">
        <v>67</v>
      </c>
      <c r="I4" s="10">
        <v>850000</v>
      </c>
    </row>
    <row r="5" spans="1:9" x14ac:dyDescent="0.2">
      <c r="A5">
        <v>2</v>
      </c>
      <c r="B5" s="10">
        <f t="shared" ref="B5:B15" si="4">F4</f>
        <v>849231.58846697642</v>
      </c>
      <c r="C5" s="10">
        <f t="shared" si="0"/>
        <v>5372.5781996901924</v>
      </c>
      <c r="D5" s="10">
        <f t="shared" si="1"/>
        <v>4600.0044375294556</v>
      </c>
      <c r="E5" s="10">
        <f t="shared" si="2"/>
        <v>772.57376216073681</v>
      </c>
      <c r="F5" s="10">
        <f t="shared" si="3"/>
        <v>848459.01470481569</v>
      </c>
      <c r="H5" s="2" t="s">
        <v>68</v>
      </c>
      <c r="I5">
        <f>I2*12</f>
        <v>360</v>
      </c>
    </row>
    <row r="6" spans="1:9" x14ac:dyDescent="0.2">
      <c r="A6">
        <v>3</v>
      </c>
      <c r="B6" s="10">
        <f t="shared" si="4"/>
        <v>848459.01470481569</v>
      </c>
      <c r="C6" s="10">
        <f t="shared" si="0"/>
        <v>5372.5781996901924</v>
      </c>
      <c r="D6" s="10">
        <f t="shared" si="1"/>
        <v>4595.8196629844188</v>
      </c>
      <c r="E6" s="10">
        <f t="shared" si="2"/>
        <v>776.75853670577362</v>
      </c>
      <c r="F6" s="10">
        <f t="shared" si="3"/>
        <v>847682.25616810995</v>
      </c>
      <c r="H6" s="2" t="s">
        <v>69</v>
      </c>
      <c r="I6" s="5">
        <f>I3/12</f>
        <v>5.4166666666666669E-3</v>
      </c>
    </row>
    <row r="7" spans="1:9" x14ac:dyDescent="0.2">
      <c r="A7">
        <v>4</v>
      </c>
      <c r="B7" s="10">
        <f t="shared" si="4"/>
        <v>847682.25616810995</v>
      </c>
      <c r="C7" s="10">
        <f t="shared" si="0"/>
        <v>5372.5781996901924</v>
      </c>
      <c r="D7" s="10">
        <f t="shared" si="1"/>
        <v>4591.6122209105961</v>
      </c>
      <c r="E7" s="10">
        <f t="shared" si="2"/>
        <v>780.9659787795963</v>
      </c>
      <c r="F7" s="10">
        <f t="shared" si="3"/>
        <v>846901.29018933035</v>
      </c>
      <c r="H7" s="2" t="s">
        <v>61</v>
      </c>
      <c r="I7" s="1">
        <f>-PMT(I6,I5,I4)</f>
        <v>5372.5781996901924</v>
      </c>
    </row>
    <row r="8" spans="1:9" x14ac:dyDescent="0.2">
      <c r="A8">
        <v>5</v>
      </c>
      <c r="B8" s="10">
        <f t="shared" si="4"/>
        <v>846901.29018933035</v>
      </c>
      <c r="C8" s="10">
        <f t="shared" si="0"/>
        <v>5372.5781996901924</v>
      </c>
      <c r="D8" s="10">
        <f t="shared" si="1"/>
        <v>4587.3819885255398</v>
      </c>
      <c r="E8" s="10">
        <f t="shared" si="2"/>
        <v>785.1962111646526</v>
      </c>
      <c r="F8" s="10">
        <f t="shared" si="3"/>
        <v>846116.09397816565</v>
      </c>
    </row>
    <row r="9" spans="1:9" x14ac:dyDescent="0.2">
      <c r="A9">
        <v>6</v>
      </c>
      <c r="B9" s="10">
        <f t="shared" si="4"/>
        <v>846116.09397816565</v>
      </c>
      <c r="C9" s="10">
        <f t="shared" si="0"/>
        <v>5372.5781996901924</v>
      </c>
      <c r="D9" s="10">
        <f t="shared" si="1"/>
        <v>4583.1288423817305</v>
      </c>
      <c r="E9" s="10">
        <f t="shared" si="2"/>
        <v>789.44935730846191</v>
      </c>
      <c r="F9" s="10">
        <f t="shared" si="3"/>
        <v>845326.6446208572</v>
      </c>
    </row>
    <row r="10" spans="1:9" x14ac:dyDescent="0.2">
      <c r="A10">
        <v>7</v>
      </c>
      <c r="B10" s="10">
        <f t="shared" si="4"/>
        <v>845326.6446208572</v>
      </c>
      <c r="C10" s="10">
        <f t="shared" si="0"/>
        <v>5372.5781996901924</v>
      </c>
      <c r="D10" s="10">
        <f t="shared" si="1"/>
        <v>4578.8526583629764</v>
      </c>
      <c r="E10" s="10">
        <f t="shared" si="2"/>
        <v>793.72554132721598</v>
      </c>
      <c r="F10" s="10">
        <f t="shared" si="3"/>
        <v>844532.91907952994</v>
      </c>
    </row>
    <row r="11" spans="1:9" x14ac:dyDescent="0.2">
      <c r="A11">
        <v>8</v>
      </c>
      <c r="B11" s="10">
        <f t="shared" si="4"/>
        <v>844532.91907952994</v>
      </c>
      <c r="C11" s="10">
        <f t="shared" si="0"/>
        <v>5372.5781996901924</v>
      </c>
      <c r="D11" s="10">
        <f t="shared" si="1"/>
        <v>4574.5533116807874</v>
      </c>
      <c r="E11" s="10">
        <f t="shared" si="2"/>
        <v>798.024888009405</v>
      </c>
      <c r="F11" s="10">
        <f t="shared" si="3"/>
        <v>843734.89419152052</v>
      </c>
    </row>
    <row r="12" spans="1:9" x14ac:dyDescent="0.2">
      <c r="A12">
        <v>9</v>
      </c>
      <c r="B12" s="10">
        <f t="shared" si="4"/>
        <v>843734.89419152052</v>
      </c>
      <c r="C12" s="10">
        <f t="shared" si="0"/>
        <v>5372.5781996901924</v>
      </c>
      <c r="D12" s="10">
        <f t="shared" si="1"/>
        <v>4570.2306768707367</v>
      </c>
      <c r="E12" s="10">
        <f t="shared" si="2"/>
        <v>802.34752281945566</v>
      </c>
      <c r="F12" s="10">
        <f t="shared" si="3"/>
        <v>842932.54666870111</v>
      </c>
    </row>
    <row r="13" spans="1:9" x14ac:dyDescent="0.2">
      <c r="A13">
        <v>10</v>
      </c>
      <c r="B13" s="10">
        <f t="shared" si="4"/>
        <v>842932.54666870111</v>
      </c>
      <c r="C13" s="10">
        <f t="shared" si="0"/>
        <v>5372.5781996901924</v>
      </c>
      <c r="D13" s="10">
        <f t="shared" si="1"/>
        <v>4565.8846277887978</v>
      </c>
      <c r="E13" s="10">
        <f t="shared" si="2"/>
        <v>806.69357190139453</v>
      </c>
      <c r="F13" s="10">
        <f t="shared" si="3"/>
        <v>842125.85309679969</v>
      </c>
    </row>
    <row r="14" spans="1:9" x14ac:dyDescent="0.2">
      <c r="A14">
        <v>11</v>
      </c>
      <c r="B14" s="10">
        <f t="shared" si="4"/>
        <v>842125.85309679969</v>
      </c>
      <c r="C14" s="10">
        <f t="shared" si="0"/>
        <v>5372.5781996901924</v>
      </c>
      <c r="D14" s="10">
        <f t="shared" si="1"/>
        <v>4561.5150376076654</v>
      </c>
      <c r="E14" s="10">
        <f t="shared" si="2"/>
        <v>811.06316208252701</v>
      </c>
      <c r="F14" s="10">
        <f t="shared" si="3"/>
        <v>841314.78993471712</v>
      </c>
    </row>
    <row r="15" spans="1:9" x14ac:dyDescent="0.2">
      <c r="A15">
        <v>12</v>
      </c>
      <c r="B15" s="10">
        <f t="shared" si="4"/>
        <v>841314.78993471712</v>
      </c>
      <c r="C15" s="10">
        <f t="shared" si="0"/>
        <v>5372.5781996901924</v>
      </c>
      <c r="D15" s="10">
        <f t="shared" si="1"/>
        <v>4557.1217788130516</v>
      </c>
      <c r="E15" s="10">
        <f t="shared" si="2"/>
        <v>815.45642087714077</v>
      </c>
      <c r="F15" s="10">
        <f t="shared" si="3"/>
        <v>840499.33351383999</v>
      </c>
    </row>
    <row r="16" spans="1:9" x14ac:dyDescent="0.2">
      <c r="B16" s="10"/>
      <c r="C16" s="10">
        <f>SUM(C4:C15)</f>
        <v>64470.938396282312</v>
      </c>
      <c r="D16" s="10">
        <f>SUM(D4:D15)</f>
        <v>54970.271910122421</v>
      </c>
      <c r="E16" s="10"/>
      <c r="F16" s="10"/>
    </row>
    <row r="17" spans="1:6" x14ac:dyDescent="0.2">
      <c r="B17" s="39" t="s">
        <v>113</v>
      </c>
      <c r="C17" s="10"/>
      <c r="D17" s="10"/>
      <c r="E17" s="10"/>
      <c r="F17" s="10"/>
    </row>
    <row r="18" spans="1:6" x14ac:dyDescent="0.2">
      <c r="A18">
        <v>1</v>
      </c>
      <c r="B18" s="10">
        <f>F15</f>
        <v>840499.33351383999</v>
      </c>
      <c r="C18" s="10">
        <f t="shared" ref="C18:C29" si="5">$I$7</f>
        <v>5372.5781996901924</v>
      </c>
      <c r="D18" s="10">
        <f t="shared" ref="D18:D29" si="6">B18*$I$6</f>
        <v>4552.7047231999668</v>
      </c>
      <c r="E18" s="10">
        <f t="shared" ref="E18:E29" si="7">C18-D18</f>
        <v>819.87347649022558</v>
      </c>
      <c r="F18" s="10">
        <f t="shared" ref="F18:F29" si="8">B18-E18</f>
        <v>839679.46003734972</v>
      </c>
    </row>
    <row r="19" spans="1:6" x14ac:dyDescent="0.2">
      <c r="A19">
        <v>2</v>
      </c>
      <c r="B19" s="10">
        <f t="shared" ref="B19:B29" si="9">F18</f>
        <v>839679.46003734972</v>
      </c>
      <c r="C19" s="10">
        <f t="shared" si="5"/>
        <v>5372.5781996901924</v>
      </c>
      <c r="D19" s="10">
        <f t="shared" si="6"/>
        <v>4548.2637418689774</v>
      </c>
      <c r="E19" s="10">
        <f t="shared" si="7"/>
        <v>824.314457821215</v>
      </c>
      <c r="F19" s="10">
        <f t="shared" si="8"/>
        <v>838855.14557952853</v>
      </c>
    </row>
    <row r="20" spans="1:6" x14ac:dyDescent="0.2">
      <c r="A20">
        <v>3</v>
      </c>
      <c r="B20" s="10">
        <f t="shared" si="9"/>
        <v>838855.14557952853</v>
      </c>
      <c r="C20" s="10">
        <f t="shared" si="5"/>
        <v>5372.5781996901924</v>
      </c>
      <c r="D20" s="10">
        <f t="shared" si="6"/>
        <v>4543.7987052224462</v>
      </c>
      <c r="E20" s="10">
        <f t="shared" si="7"/>
        <v>828.77949446774619</v>
      </c>
      <c r="F20" s="10">
        <f t="shared" si="8"/>
        <v>838026.36608506076</v>
      </c>
    </row>
    <row r="21" spans="1:6" x14ac:dyDescent="0.2">
      <c r="A21">
        <v>4</v>
      </c>
      <c r="B21" s="10">
        <f t="shared" si="9"/>
        <v>838026.36608506076</v>
      </c>
      <c r="C21" s="10">
        <f t="shared" si="5"/>
        <v>5372.5781996901924</v>
      </c>
      <c r="D21" s="10">
        <f t="shared" si="6"/>
        <v>4539.3094829607462</v>
      </c>
      <c r="E21" s="10">
        <f t="shared" si="7"/>
        <v>833.26871672944617</v>
      </c>
      <c r="F21" s="10">
        <f t="shared" si="8"/>
        <v>837193.09736833128</v>
      </c>
    </row>
    <row r="22" spans="1:6" x14ac:dyDescent="0.2">
      <c r="A22">
        <v>5</v>
      </c>
      <c r="B22" s="10">
        <f t="shared" si="9"/>
        <v>837193.09736833128</v>
      </c>
      <c r="C22" s="10">
        <f t="shared" si="5"/>
        <v>5372.5781996901924</v>
      </c>
      <c r="D22" s="10">
        <f t="shared" si="6"/>
        <v>4534.7959440784616</v>
      </c>
      <c r="E22" s="10">
        <f t="shared" si="7"/>
        <v>837.78225561173076</v>
      </c>
      <c r="F22" s="10">
        <f t="shared" si="8"/>
        <v>836355.31511271955</v>
      </c>
    </row>
    <row r="23" spans="1:6" x14ac:dyDescent="0.2">
      <c r="A23">
        <v>6</v>
      </c>
      <c r="B23" s="10">
        <f t="shared" si="9"/>
        <v>836355.31511271955</v>
      </c>
      <c r="C23" s="10">
        <f t="shared" si="5"/>
        <v>5372.5781996901924</v>
      </c>
      <c r="D23" s="10">
        <f t="shared" si="6"/>
        <v>4530.2579568605643</v>
      </c>
      <c r="E23" s="10">
        <f t="shared" si="7"/>
        <v>842.32024282962811</v>
      </c>
      <c r="F23" s="10">
        <f t="shared" si="8"/>
        <v>835512.99486988992</v>
      </c>
    </row>
    <row r="24" spans="1:6" x14ac:dyDescent="0.2">
      <c r="A24">
        <v>7</v>
      </c>
      <c r="B24" s="10">
        <f t="shared" si="9"/>
        <v>835512.99486988992</v>
      </c>
      <c r="C24" s="10">
        <f t="shared" si="5"/>
        <v>5372.5781996901924</v>
      </c>
      <c r="D24" s="10">
        <f t="shared" si="6"/>
        <v>4525.6953888785702</v>
      </c>
      <c r="E24" s="10">
        <f t="shared" si="7"/>
        <v>846.88281081162222</v>
      </c>
      <c r="F24" s="10">
        <f t="shared" si="8"/>
        <v>834666.1120590783</v>
      </c>
    </row>
    <row r="25" spans="1:6" x14ac:dyDescent="0.2">
      <c r="A25">
        <v>8</v>
      </c>
      <c r="B25" s="10">
        <f t="shared" si="9"/>
        <v>834666.1120590783</v>
      </c>
      <c r="C25" s="10">
        <f t="shared" si="5"/>
        <v>5372.5781996901924</v>
      </c>
      <c r="D25" s="10">
        <f t="shared" si="6"/>
        <v>4521.1081069866741</v>
      </c>
      <c r="E25" s="10">
        <f t="shared" si="7"/>
        <v>851.47009270351828</v>
      </c>
      <c r="F25" s="10">
        <f t="shared" si="8"/>
        <v>833814.64196637482</v>
      </c>
    </row>
    <row r="26" spans="1:6" x14ac:dyDescent="0.2">
      <c r="A26">
        <v>9</v>
      </c>
      <c r="B26" s="10">
        <f t="shared" si="9"/>
        <v>833814.64196637482</v>
      </c>
      <c r="C26" s="10">
        <f t="shared" si="5"/>
        <v>5372.5781996901924</v>
      </c>
      <c r="D26" s="10">
        <f t="shared" si="6"/>
        <v>4516.4959773178634</v>
      </c>
      <c r="E26" s="10">
        <f t="shared" si="7"/>
        <v>856.08222237232894</v>
      </c>
      <c r="F26" s="10">
        <f t="shared" si="8"/>
        <v>832958.55974400253</v>
      </c>
    </row>
    <row r="27" spans="1:6" x14ac:dyDescent="0.2">
      <c r="A27">
        <v>10</v>
      </c>
      <c r="B27" s="10">
        <f t="shared" si="9"/>
        <v>832958.55974400253</v>
      </c>
      <c r="C27" s="10">
        <f t="shared" si="5"/>
        <v>5372.5781996901924</v>
      </c>
      <c r="D27" s="10">
        <f t="shared" si="6"/>
        <v>4511.8588652800136</v>
      </c>
      <c r="E27" s="10">
        <f t="shared" si="7"/>
        <v>860.71933441017882</v>
      </c>
      <c r="F27" s="10">
        <f t="shared" si="8"/>
        <v>832097.84040959238</v>
      </c>
    </row>
    <row r="28" spans="1:6" x14ac:dyDescent="0.2">
      <c r="A28">
        <v>11</v>
      </c>
      <c r="B28" s="10">
        <f t="shared" si="9"/>
        <v>832097.84040959238</v>
      </c>
      <c r="C28" s="10">
        <f t="shared" si="5"/>
        <v>5372.5781996901924</v>
      </c>
      <c r="D28" s="10">
        <f t="shared" si="6"/>
        <v>4507.1966355519589</v>
      </c>
      <c r="E28" s="10">
        <f t="shared" si="7"/>
        <v>865.38156413823344</v>
      </c>
      <c r="F28" s="10">
        <f t="shared" si="8"/>
        <v>831232.45884545415</v>
      </c>
    </row>
    <row r="29" spans="1:6" x14ac:dyDescent="0.2">
      <c r="A29">
        <v>12</v>
      </c>
      <c r="B29" s="10">
        <f t="shared" si="9"/>
        <v>831232.45884545415</v>
      </c>
      <c r="C29" s="10">
        <f t="shared" si="5"/>
        <v>5372.5781996901924</v>
      </c>
      <c r="D29" s="10">
        <f t="shared" si="6"/>
        <v>4502.5091520795431</v>
      </c>
      <c r="E29" s="10">
        <f t="shared" si="7"/>
        <v>870.06904761064925</v>
      </c>
      <c r="F29" s="10">
        <f t="shared" si="8"/>
        <v>830362.38979784353</v>
      </c>
    </row>
    <row r="30" spans="1:6" x14ac:dyDescent="0.2">
      <c r="B30" s="10"/>
      <c r="C30" s="10"/>
      <c r="D30" s="10">
        <f>SUM(D18:D29)</f>
        <v>54333.994680285803</v>
      </c>
      <c r="E30" s="10"/>
      <c r="F30" s="10"/>
    </row>
    <row r="31" spans="1:6" x14ac:dyDescent="0.2">
      <c r="B31" s="39" t="s">
        <v>114</v>
      </c>
      <c r="C31" s="10"/>
      <c r="D31" s="10"/>
      <c r="E31" s="10"/>
      <c r="F31" s="10"/>
    </row>
    <row r="32" spans="1:6" x14ac:dyDescent="0.2">
      <c r="A32">
        <v>1</v>
      </c>
      <c r="B32" s="10">
        <f>F29</f>
        <v>830362.38979784353</v>
      </c>
      <c r="C32" s="10">
        <f t="shared" ref="C32:C43" si="10">$I$7</f>
        <v>5372.5781996901924</v>
      </c>
      <c r="D32" s="10">
        <f t="shared" ref="D32:D43" si="11">B32*$I$6</f>
        <v>4497.7962780716525</v>
      </c>
      <c r="E32" s="10">
        <f t="shared" ref="E32:E43" si="12">C32-D32</f>
        <v>874.78192161853985</v>
      </c>
      <c r="F32" s="10">
        <f t="shared" ref="F32:F43" si="13">B32-E32</f>
        <v>829487.60787622503</v>
      </c>
    </row>
    <row r="33" spans="1:6" x14ac:dyDescent="0.2">
      <c r="A33">
        <v>2</v>
      </c>
      <c r="B33" s="10">
        <f t="shared" ref="B33:B43" si="14">F32</f>
        <v>829487.60787622503</v>
      </c>
      <c r="C33" s="10">
        <f t="shared" si="10"/>
        <v>5372.5781996901924</v>
      </c>
      <c r="D33" s="10">
        <f t="shared" si="11"/>
        <v>4493.0578759962191</v>
      </c>
      <c r="E33" s="10">
        <f t="shared" si="12"/>
        <v>879.5203236939733</v>
      </c>
      <c r="F33" s="10">
        <f t="shared" si="13"/>
        <v>828608.08755253104</v>
      </c>
    </row>
    <row r="34" spans="1:6" x14ac:dyDescent="0.2">
      <c r="A34">
        <v>3</v>
      </c>
      <c r="B34" s="10">
        <f t="shared" si="14"/>
        <v>828608.08755253104</v>
      </c>
      <c r="C34" s="10">
        <f t="shared" si="10"/>
        <v>5372.5781996901924</v>
      </c>
      <c r="D34" s="10">
        <f t="shared" si="11"/>
        <v>4488.2938075762104</v>
      </c>
      <c r="E34" s="10">
        <f t="shared" si="12"/>
        <v>884.28439211398199</v>
      </c>
      <c r="F34" s="10">
        <f t="shared" si="13"/>
        <v>827723.80316041701</v>
      </c>
    </row>
    <row r="35" spans="1:6" x14ac:dyDescent="0.2">
      <c r="A35">
        <v>4</v>
      </c>
      <c r="B35" s="10">
        <f t="shared" si="14"/>
        <v>827723.80316041701</v>
      </c>
      <c r="C35" s="10">
        <f t="shared" si="10"/>
        <v>5372.5781996901924</v>
      </c>
      <c r="D35" s="10">
        <f t="shared" si="11"/>
        <v>4483.5039337855924</v>
      </c>
      <c r="E35" s="10">
        <f t="shared" si="12"/>
        <v>889.0742659046</v>
      </c>
      <c r="F35" s="10">
        <f t="shared" si="13"/>
        <v>826834.7288945124</v>
      </c>
    </row>
    <row r="36" spans="1:6" x14ac:dyDescent="0.2">
      <c r="A36">
        <v>5</v>
      </c>
      <c r="B36" s="10">
        <f t="shared" si="14"/>
        <v>826834.7288945124</v>
      </c>
      <c r="C36" s="10">
        <f t="shared" si="10"/>
        <v>5372.5781996901924</v>
      </c>
      <c r="D36" s="10">
        <f t="shared" si="11"/>
        <v>4478.6881148452758</v>
      </c>
      <c r="E36" s="10">
        <f t="shared" si="12"/>
        <v>893.8900848449166</v>
      </c>
      <c r="F36" s="10">
        <f t="shared" si="13"/>
        <v>825940.8388096675</v>
      </c>
    </row>
    <row r="37" spans="1:6" x14ac:dyDescent="0.2">
      <c r="A37">
        <v>6</v>
      </c>
      <c r="B37" s="10">
        <f t="shared" si="14"/>
        <v>825940.8388096675</v>
      </c>
      <c r="C37" s="10">
        <f t="shared" si="10"/>
        <v>5372.5781996901924</v>
      </c>
      <c r="D37" s="10">
        <f t="shared" si="11"/>
        <v>4473.8462102190324</v>
      </c>
      <c r="E37" s="10">
        <f t="shared" si="12"/>
        <v>898.73198947115998</v>
      </c>
      <c r="F37" s="10">
        <f t="shared" si="13"/>
        <v>825042.10682019638</v>
      </c>
    </row>
    <row r="38" spans="1:6" x14ac:dyDescent="0.2">
      <c r="A38">
        <v>7</v>
      </c>
      <c r="B38" s="10">
        <f t="shared" si="14"/>
        <v>825042.10682019638</v>
      </c>
      <c r="C38" s="10">
        <f t="shared" si="10"/>
        <v>5372.5781996901924</v>
      </c>
      <c r="D38" s="10">
        <f t="shared" si="11"/>
        <v>4468.978078609397</v>
      </c>
      <c r="E38" s="10">
        <f t="shared" si="12"/>
        <v>903.60012108079536</v>
      </c>
      <c r="F38" s="10">
        <f t="shared" si="13"/>
        <v>824138.50669911562</v>
      </c>
    </row>
    <row r="39" spans="1:6" x14ac:dyDescent="0.2">
      <c r="A39">
        <v>8</v>
      </c>
      <c r="B39" s="10">
        <f t="shared" si="14"/>
        <v>824138.50669911562</v>
      </c>
      <c r="C39" s="10">
        <f t="shared" si="10"/>
        <v>5372.5781996901924</v>
      </c>
      <c r="D39" s="10">
        <f t="shared" si="11"/>
        <v>4464.0835779535428</v>
      </c>
      <c r="E39" s="10">
        <f t="shared" si="12"/>
        <v>908.49462173664961</v>
      </c>
      <c r="F39" s="10">
        <f t="shared" si="13"/>
        <v>823230.01207737892</v>
      </c>
    </row>
    <row r="40" spans="1:6" x14ac:dyDescent="0.2">
      <c r="A40">
        <v>9</v>
      </c>
      <c r="B40" s="10">
        <f t="shared" si="14"/>
        <v>823230.01207737892</v>
      </c>
      <c r="C40" s="10">
        <f t="shared" si="10"/>
        <v>5372.5781996901924</v>
      </c>
      <c r="D40" s="10">
        <f t="shared" si="11"/>
        <v>4459.1625654191357</v>
      </c>
      <c r="E40" s="10">
        <f t="shared" si="12"/>
        <v>913.41563427105666</v>
      </c>
      <c r="F40" s="10">
        <f t="shared" si="13"/>
        <v>822316.59644310782</v>
      </c>
    </row>
    <row r="41" spans="1:6" x14ac:dyDescent="0.2">
      <c r="A41">
        <v>10</v>
      </c>
      <c r="B41" s="10">
        <f t="shared" si="14"/>
        <v>822316.59644310782</v>
      </c>
      <c r="C41" s="10">
        <f t="shared" si="10"/>
        <v>5372.5781996901924</v>
      </c>
      <c r="D41" s="10">
        <f t="shared" si="11"/>
        <v>4454.2148974001675</v>
      </c>
      <c r="E41" s="10">
        <f t="shared" si="12"/>
        <v>918.36330229002488</v>
      </c>
      <c r="F41" s="10">
        <f t="shared" si="13"/>
        <v>821398.23314081784</v>
      </c>
    </row>
    <row r="42" spans="1:6" x14ac:dyDescent="0.2">
      <c r="A42">
        <v>11</v>
      </c>
      <c r="B42" s="10">
        <f t="shared" si="14"/>
        <v>821398.23314081784</v>
      </c>
      <c r="C42" s="10">
        <f t="shared" si="10"/>
        <v>5372.5781996901924</v>
      </c>
      <c r="D42" s="10">
        <f t="shared" si="11"/>
        <v>4449.2404295127635</v>
      </c>
      <c r="E42" s="10">
        <f t="shared" si="12"/>
        <v>923.33777017742887</v>
      </c>
      <c r="F42" s="10">
        <f t="shared" si="13"/>
        <v>820474.89537064044</v>
      </c>
    </row>
    <row r="43" spans="1:6" x14ac:dyDescent="0.2">
      <c r="A43">
        <v>12</v>
      </c>
      <c r="B43" s="10">
        <f t="shared" si="14"/>
        <v>820474.89537064044</v>
      </c>
      <c r="C43" s="10">
        <f t="shared" si="10"/>
        <v>5372.5781996901924</v>
      </c>
      <c r="D43" s="10">
        <f t="shared" si="11"/>
        <v>4444.2390165909692</v>
      </c>
      <c r="E43" s="10">
        <f t="shared" si="12"/>
        <v>928.33918309922319</v>
      </c>
      <c r="F43" s="10">
        <f t="shared" si="13"/>
        <v>819546.55618754122</v>
      </c>
    </row>
    <row r="44" spans="1:6" x14ac:dyDescent="0.2">
      <c r="B44" s="10"/>
      <c r="C44" s="10"/>
      <c r="D44" s="10">
        <f>SUM(D32:D43)</f>
        <v>53655.104785979958</v>
      </c>
      <c r="E44" s="10"/>
      <c r="F44" s="10"/>
    </row>
    <row r="45" spans="1:6" x14ac:dyDescent="0.2">
      <c r="B45" s="39" t="s">
        <v>115</v>
      </c>
      <c r="C45" s="10"/>
      <c r="D45" s="10"/>
      <c r="E45" s="10"/>
      <c r="F45" s="10"/>
    </row>
    <row r="46" spans="1:6" x14ac:dyDescent="0.2">
      <c r="A46">
        <v>1</v>
      </c>
      <c r="B46" s="10">
        <f>F43</f>
        <v>819546.55618754122</v>
      </c>
      <c r="C46" s="10">
        <f t="shared" ref="C46:C57" si="15">$I$7</f>
        <v>5372.5781996901924</v>
      </c>
      <c r="D46" s="10">
        <f t="shared" ref="D46:D57" si="16">B46*$I$6</f>
        <v>4439.2105126825154</v>
      </c>
      <c r="E46" s="10">
        <f t="shared" ref="E46:E55" si="17">C46-D46</f>
        <v>933.36768700767698</v>
      </c>
      <c r="F46" s="10">
        <f t="shared" ref="F46:F55" si="18">B46-E46</f>
        <v>818613.18850053358</v>
      </c>
    </row>
    <row r="47" spans="1:6" x14ac:dyDescent="0.2">
      <c r="A47">
        <v>2</v>
      </c>
      <c r="B47" s="10">
        <f t="shared" ref="B47:B55" si="19">F46</f>
        <v>818613.18850053358</v>
      </c>
      <c r="C47" s="10">
        <f t="shared" si="15"/>
        <v>5372.5781996901924</v>
      </c>
      <c r="D47" s="10">
        <f t="shared" si="16"/>
        <v>4434.1547710445575</v>
      </c>
      <c r="E47" s="10">
        <f t="shared" si="17"/>
        <v>938.42342864563489</v>
      </c>
      <c r="F47" s="10">
        <f t="shared" si="18"/>
        <v>817674.76507188799</v>
      </c>
    </row>
    <row r="48" spans="1:6" x14ac:dyDescent="0.2">
      <c r="A48">
        <v>3</v>
      </c>
      <c r="B48" s="10">
        <f t="shared" si="19"/>
        <v>817674.76507188799</v>
      </c>
      <c r="C48" s="10">
        <f t="shared" si="15"/>
        <v>5372.5781996901924</v>
      </c>
      <c r="D48" s="10">
        <f t="shared" si="16"/>
        <v>4429.0716441393934</v>
      </c>
      <c r="E48" s="10">
        <f t="shared" si="17"/>
        <v>943.50655555079902</v>
      </c>
      <c r="F48" s="10">
        <f t="shared" si="18"/>
        <v>816731.25851633714</v>
      </c>
    </row>
    <row r="49" spans="1:6" x14ac:dyDescent="0.2">
      <c r="A49">
        <v>4</v>
      </c>
      <c r="B49" s="10">
        <f t="shared" si="19"/>
        <v>816731.25851633714</v>
      </c>
      <c r="C49" s="10">
        <f t="shared" si="15"/>
        <v>5372.5781996901924</v>
      </c>
      <c r="D49" s="10">
        <f t="shared" si="16"/>
        <v>4423.9609836301597</v>
      </c>
      <c r="E49" s="10">
        <f t="shared" si="17"/>
        <v>948.61721606003266</v>
      </c>
      <c r="F49" s="10">
        <f t="shared" si="18"/>
        <v>815782.64130027709</v>
      </c>
    </row>
    <row r="50" spans="1:6" x14ac:dyDescent="0.2">
      <c r="A50">
        <v>5</v>
      </c>
      <c r="B50" s="10">
        <f t="shared" si="19"/>
        <v>815782.64130027709</v>
      </c>
      <c r="C50" s="10">
        <f t="shared" si="15"/>
        <v>5372.5781996901924</v>
      </c>
      <c r="D50" s="10">
        <f t="shared" si="16"/>
        <v>4418.8226403765011</v>
      </c>
      <c r="E50" s="10">
        <f t="shared" si="17"/>
        <v>953.75555931369126</v>
      </c>
      <c r="F50" s="10">
        <f t="shared" si="18"/>
        <v>814828.88574096339</v>
      </c>
    </row>
    <row r="51" spans="1:6" x14ac:dyDescent="0.2">
      <c r="A51">
        <v>6</v>
      </c>
      <c r="B51" s="10">
        <f t="shared" si="19"/>
        <v>814828.88574096339</v>
      </c>
      <c r="C51" s="10">
        <f t="shared" si="15"/>
        <v>5372.5781996901924</v>
      </c>
      <c r="D51" s="10">
        <f t="shared" si="16"/>
        <v>4413.6564644302189</v>
      </c>
      <c r="E51" s="10">
        <f t="shared" si="17"/>
        <v>958.9217352599735</v>
      </c>
      <c r="F51" s="10">
        <f t="shared" si="18"/>
        <v>813869.96400570346</v>
      </c>
    </row>
    <row r="52" spans="1:6" x14ac:dyDescent="0.2">
      <c r="A52">
        <v>7</v>
      </c>
      <c r="B52" s="10">
        <f t="shared" si="19"/>
        <v>813869.96400570346</v>
      </c>
      <c r="C52" s="10">
        <f t="shared" si="15"/>
        <v>5372.5781996901924</v>
      </c>
      <c r="D52" s="10">
        <f t="shared" si="16"/>
        <v>4408.4623050308937</v>
      </c>
      <c r="E52" s="10">
        <f t="shared" si="17"/>
        <v>964.11589465929865</v>
      </c>
      <c r="F52" s="10">
        <f t="shared" si="18"/>
        <v>812905.84811104415</v>
      </c>
    </row>
    <row r="53" spans="1:6" x14ac:dyDescent="0.2">
      <c r="A53">
        <v>8</v>
      </c>
      <c r="B53" s="10">
        <f t="shared" si="19"/>
        <v>812905.84811104415</v>
      </c>
      <c r="C53" s="10">
        <f t="shared" si="15"/>
        <v>5372.5781996901924</v>
      </c>
      <c r="D53" s="10">
        <f t="shared" si="16"/>
        <v>4403.2400106014893</v>
      </c>
      <c r="E53" s="10">
        <f t="shared" si="17"/>
        <v>969.33818908870307</v>
      </c>
      <c r="F53" s="10">
        <f t="shared" si="18"/>
        <v>811936.50992195541</v>
      </c>
    </row>
    <row r="54" spans="1:6" x14ac:dyDescent="0.2">
      <c r="A54">
        <v>9</v>
      </c>
      <c r="B54" s="10">
        <f t="shared" si="19"/>
        <v>811936.50992195541</v>
      </c>
      <c r="C54" s="10">
        <f t="shared" si="15"/>
        <v>5372.5781996901924</v>
      </c>
      <c r="D54" s="10">
        <f t="shared" si="16"/>
        <v>4397.9894287439256</v>
      </c>
      <c r="E54" s="10">
        <f t="shared" si="17"/>
        <v>974.58877094626678</v>
      </c>
      <c r="F54" s="10">
        <f t="shared" si="18"/>
        <v>810961.92115100916</v>
      </c>
    </row>
    <row r="55" spans="1:6" x14ac:dyDescent="0.2">
      <c r="A55">
        <v>10</v>
      </c>
      <c r="B55" s="10">
        <f t="shared" si="19"/>
        <v>810961.92115100916</v>
      </c>
      <c r="C55" s="10">
        <f t="shared" si="15"/>
        <v>5372.5781996901924</v>
      </c>
      <c r="D55" s="10">
        <f t="shared" si="16"/>
        <v>4392.7104062346334</v>
      </c>
      <c r="E55" s="10">
        <f t="shared" si="17"/>
        <v>979.86779345555897</v>
      </c>
      <c r="F55" s="10">
        <f t="shared" si="18"/>
        <v>809982.05335755355</v>
      </c>
    </row>
    <row r="56" spans="1:6" x14ac:dyDescent="0.2">
      <c r="A56">
        <v>11</v>
      </c>
      <c r="B56" s="10">
        <f t="shared" ref="B56:B92" si="20">F55</f>
        <v>809982.05335755355</v>
      </c>
      <c r="C56" s="10">
        <f t="shared" si="15"/>
        <v>5372.5781996901924</v>
      </c>
      <c r="D56" s="10">
        <f t="shared" si="16"/>
        <v>4387.4027890200823</v>
      </c>
      <c r="E56" s="10">
        <f t="shared" ref="E56:E92" si="21">C56-D56</f>
        <v>985.17541067011007</v>
      </c>
      <c r="F56" s="10">
        <f t="shared" ref="F56:F92" si="22">B56-E56</f>
        <v>808996.87794688344</v>
      </c>
    </row>
    <row r="57" spans="1:6" x14ac:dyDescent="0.2">
      <c r="A57">
        <v>12</v>
      </c>
      <c r="B57" s="10">
        <f t="shared" si="20"/>
        <v>808996.87794688344</v>
      </c>
      <c r="C57" s="10">
        <f t="shared" si="15"/>
        <v>5372.5781996901924</v>
      </c>
      <c r="D57" s="10">
        <f t="shared" si="16"/>
        <v>4382.066422212285</v>
      </c>
      <c r="E57" s="10">
        <f t="shared" si="21"/>
        <v>990.51177747790734</v>
      </c>
      <c r="F57" s="10">
        <f t="shared" si="22"/>
        <v>808006.36616940552</v>
      </c>
    </row>
    <row r="58" spans="1:6" x14ac:dyDescent="0.2">
      <c r="B58" s="10"/>
      <c r="C58" s="10"/>
      <c r="D58" s="10">
        <f>SUM(D46:D57)</f>
        <v>52930.748378146658</v>
      </c>
      <c r="E58" s="10"/>
      <c r="F58" s="10"/>
    </row>
    <row r="59" spans="1:6" x14ac:dyDescent="0.2">
      <c r="B59" s="39" t="s">
        <v>116</v>
      </c>
      <c r="C59" s="10"/>
      <c r="D59" s="10"/>
      <c r="E59" s="10"/>
      <c r="F59" s="10"/>
    </row>
    <row r="60" spans="1:6" x14ac:dyDescent="0.2">
      <c r="A60">
        <v>1</v>
      </c>
      <c r="B60" s="10">
        <f>F57</f>
        <v>808006.36616940552</v>
      </c>
      <c r="C60" s="10">
        <f t="shared" ref="C60:C71" si="23">$I$7</f>
        <v>5372.5781996901924</v>
      </c>
      <c r="D60" s="10">
        <f t="shared" ref="D60:D71" si="24">B60*$I$6</f>
        <v>4376.70115008428</v>
      </c>
      <c r="E60" s="10">
        <f t="shared" si="21"/>
        <v>995.87704960591236</v>
      </c>
      <c r="F60" s="10">
        <f t="shared" si="22"/>
        <v>807010.48911979957</v>
      </c>
    </row>
    <row r="61" spans="1:6" x14ac:dyDescent="0.2">
      <c r="A61">
        <v>2</v>
      </c>
      <c r="B61" s="10">
        <f t="shared" si="20"/>
        <v>807010.48911979957</v>
      </c>
      <c r="C61" s="10">
        <f t="shared" si="23"/>
        <v>5372.5781996901924</v>
      </c>
      <c r="D61" s="10">
        <f t="shared" si="24"/>
        <v>4371.3068160655812</v>
      </c>
      <c r="E61" s="10">
        <f t="shared" si="21"/>
        <v>1001.2713836246112</v>
      </c>
      <c r="F61" s="10">
        <f t="shared" si="22"/>
        <v>806009.21773617493</v>
      </c>
    </row>
    <row r="62" spans="1:6" x14ac:dyDescent="0.2">
      <c r="A62">
        <v>3</v>
      </c>
      <c r="B62" s="10">
        <f t="shared" si="20"/>
        <v>806009.21773617493</v>
      </c>
      <c r="C62" s="10">
        <f t="shared" si="23"/>
        <v>5372.5781996901924</v>
      </c>
      <c r="D62" s="10">
        <f t="shared" si="24"/>
        <v>4365.8832627376141</v>
      </c>
      <c r="E62" s="10">
        <f t="shared" si="21"/>
        <v>1006.6949369525782</v>
      </c>
      <c r="F62" s="10">
        <f t="shared" si="22"/>
        <v>805002.52279922238</v>
      </c>
    </row>
    <row r="63" spans="1:6" x14ac:dyDescent="0.2">
      <c r="A63">
        <v>4</v>
      </c>
      <c r="B63" s="10">
        <f t="shared" si="20"/>
        <v>805002.52279922238</v>
      </c>
      <c r="C63" s="10">
        <f t="shared" si="23"/>
        <v>5372.5781996901924</v>
      </c>
      <c r="D63" s="10">
        <f t="shared" si="24"/>
        <v>4360.4303318291213</v>
      </c>
      <c r="E63" s="10">
        <f t="shared" si="21"/>
        <v>1012.1478678610711</v>
      </c>
      <c r="F63" s="10">
        <f t="shared" si="22"/>
        <v>803990.37493136129</v>
      </c>
    </row>
    <row r="64" spans="1:6" x14ac:dyDescent="0.2">
      <c r="A64">
        <v>5</v>
      </c>
      <c r="B64" s="10">
        <f t="shared" si="20"/>
        <v>803990.37493136129</v>
      </c>
      <c r="C64" s="10">
        <f t="shared" si="23"/>
        <v>5372.5781996901924</v>
      </c>
      <c r="D64" s="10">
        <f t="shared" si="24"/>
        <v>4354.94786421154</v>
      </c>
      <c r="E64" s="10">
        <f t="shared" si="21"/>
        <v>1017.6303354786523</v>
      </c>
      <c r="F64" s="10">
        <f t="shared" si="22"/>
        <v>802972.7445958826</v>
      </c>
    </row>
    <row r="65" spans="1:6" x14ac:dyDescent="0.2">
      <c r="A65">
        <v>6</v>
      </c>
      <c r="B65" s="10">
        <f t="shared" si="20"/>
        <v>802972.7445958826</v>
      </c>
      <c r="C65" s="10">
        <f t="shared" si="23"/>
        <v>5372.5781996901924</v>
      </c>
      <c r="D65" s="10">
        <f t="shared" si="24"/>
        <v>4349.435699894364</v>
      </c>
      <c r="E65" s="10">
        <f t="shared" si="21"/>
        <v>1023.1424997958284</v>
      </c>
      <c r="F65" s="10">
        <f t="shared" si="22"/>
        <v>801949.60209608672</v>
      </c>
    </row>
    <row r="66" spans="1:6" x14ac:dyDescent="0.2">
      <c r="A66">
        <v>7</v>
      </c>
      <c r="B66" s="10">
        <f t="shared" si="20"/>
        <v>801949.60209608672</v>
      </c>
      <c r="C66" s="10">
        <f t="shared" si="23"/>
        <v>5372.5781996901924</v>
      </c>
      <c r="D66" s="10">
        <f t="shared" si="24"/>
        <v>4343.8936780204695</v>
      </c>
      <c r="E66" s="10">
        <f t="shared" si="21"/>
        <v>1028.6845216697229</v>
      </c>
      <c r="F66" s="10">
        <f t="shared" si="22"/>
        <v>800920.91757441696</v>
      </c>
    </row>
    <row r="67" spans="1:6" x14ac:dyDescent="0.2">
      <c r="A67">
        <v>8</v>
      </c>
      <c r="B67" s="10">
        <f t="shared" si="20"/>
        <v>800920.91757441696</v>
      </c>
      <c r="C67" s="10">
        <f t="shared" si="23"/>
        <v>5372.5781996901924</v>
      </c>
      <c r="D67" s="10">
        <f t="shared" si="24"/>
        <v>4338.3216368614258</v>
      </c>
      <c r="E67" s="10">
        <f t="shared" si="21"/>
        <v>1034.2565628287666</v>
      </c>
      <c r="F67" s="10">
        <f t="shared" si="22"/>
        <v>799886.66101158818</v>
      </c>
    </row>
    <row r="68" spans="1:6" x14ac:dyDescent="0.2">
      <c r="A68">
        <v>9</v>
      </c>
      <c r="B68" s="10">
        <f t="shared" si="20"/>
        <v>799886.66101158818</v>
      </c>
      <c r="C68" s="10">
        <f t="shared" si="23"/>
        <v>5372.5781996901924</v>
      </c>
      <c r="D68" s="10">
        <f t="shared" si="24"/>
        <v>4332.7194138127697</v>
      </c>
      <c r="E68" s="10">
        <f t="shared" si="21"/>
        <v>1039.8587858774226</v>
      </c>
      <c r="F68" s="10">
        <f t="shared" si="22"/>
        <v>798846.80222571071</v>
      </c>
    </row>
    <row r="69" spans="1:6" x14ac:dyDescent="0.2">
      <c r="A69">
        <v>10</v>
      </c>
      <c r="B69" s="10">
        <f t="shared" si="20"/>
        <v>798846.80222571071</v>
      </c>
      <c r="C69" s="10">
        <f t="shared" si="23"/>
        <v>5372.5781996901924</v>
      </c>
      <c r="D69" s="10">
        <f t="shared" si="24"/>
        <v>4327.0868453892663</v>
      </c>
      <c r="E69" s="10">
        <f t="shared" si="21"/>
        <v>1045.4913543009261</v>
      </c>
      <c r="F69" s="10">
        <f t="shared" si="22"/>
        <v>797801.31087140983</v>
      </c>
    </row>
    <row r="70" spans="1:6" x14ac:dyDescent="0.2">
      <c r="A70">
        <v>11</v>
      </c>
      <c r="B70" s="10">
        <f t="shared" si="20"/>
        <v>797801.31087140983</v>
      </c>
      <c r="C70" s="10">
        <f t="shared" si="23"/>
        <v>5372.5781996901924</v>
      </c>
      <c r="D70" s="10">
        <f t="shared" si="24"/>
        <v>4321.4237672201371</v>
      </c>
      <c r="E70" s="10">
        <f t="shared" si="21"/>
        <v>1051.1544324700553</v>
      </c>
      <c r="F70" s="10">
        <f t="shared" si="22"/>
        <v>796750.15643893974</v>
      </c>
    </row>
    <row r="71" spans="1:6" x14ac:dyDescent="0.2">
      <c r="A71">
        <v>12</v>
      </c>
      <c r="B71" s="10">
        <f t="shared" si="20"/>
        <v>796750.15643893974</v>
      </c>
      <c r="C71" s="10">
        <f t="shared" si="23"/>
        <v>5372.5781996901924</v>
      </c>
      <c r="D71" s="10">
        <f t="shared" si="24"/>
        <v>4315.7300140442567</v>
      </c>
      <c r="E71" s="10">
        <f t="shared" si="21"/>
        <v>1056.8481856459357</v>
      </c>
      <c r="F71" s="10">
        <f t="shared" si="22"/>
        <v>795693.30825329386</v>
      </c>
    </row>
    <row r="72" spans="1:6" x14ac:dyDescent="0.2">
      <c r="B72" s="10"/>
      <c r="C72" s="10"/>
      <c r="D72" s="10">
        <f>SUM(D60:D71)</f>
        <v>52157.880480170817</v>
      </c>
      <c r="E72" s="10"/>
      <c r="F72" s="10"/>
    </row>
    <row r="73" spans="1:6" x14ac:dyDescent="0.2">
      <c r="B73" s="39" t="s">
        <v>117</v>
      </c>
      <c r="C73" s="10"/>
      <c r="D73" s="10"/>
      <c r="E73" s="10"/>
      <c r="F73" s="10"/>
    </row>
    <row r="74" spans="1:6" x14ac:dyDescent="0.2">
      <c r="A74">
        <v>1</v>
      </c>
      <c r="B74" s="10">
        <f>F71</f>
        <v>795693.30825329386</v>
      </c>
      <c r="C74" s="10">
        <f t="shared" ref="C74:C85" si="25">$I$7</f>
        <v>5372.5781996901924</v>
      </c>
      <c r="D74" s="10">
        <f t="shared" ref="D74:D85" si="26">B74*$I$6</f>
        <v>4310.0054197053423</v>
      </c>
      <c r="E74" s="10">
        <f t="shared" si="21"/>
        <v>1062.5727799848501</v>
      </c>
      <c r="F74" s="10">
        <f t="shared" si="22"/>
        <v>794630.73547330906</v>
      </c>
    </row>
    <row r="75" spans="1:6" x14ac:dyDescent="0.2">
      <c r="A75">
        <v>2</v>
      </c>
      <c r="B75" s="10">
        <f t="shared" si="20"/>
        <v>794630.73547330906</v>
      </c>
      <c r="C75" s="10">
        <f t="shared" si="25"/>
        <v>5372.5781996901924</v>
      </c>
      <c r="D75" s="10">
        <f t="shared" si="26"/>
        <v>4304.2498171470907</v>
      </c>
      <c r="E75" s="10">
        <f t="shared" si="21"/>
        <v>1068.3283825431017</v>
      </c>
      <c r="F75" s="10">
        <f t="shared" si="22"/>
        <v>793562.40709076601</v>
      </c>
    </row>
    <row r="76" spans="1:6" x14ac:dyDescent="0.2">
      <c r="A76">
        <v>3</v>
      </c>
      <c r="B76" s="10">
        <f t="shared" si="20"/>
        <v>793562.40709076601</v>
      </c>
      <c r="C76" s="10">
        <f t="shared" si="25"/>
        <v>5372.5781996901924</v>
      </c>
      <c r="D76" s="10">
        <f t="shared" si="26"/>
        <v>4298.4630384083157</v>
      </c>
      <c r="E76" s="10">
        <f t="shared" si="21"/>
        <v>1074.1151612818767</v>
      </c>
      <c r="F76" s="10">
        <f t="shared" si="22"/>
        <v>792488.29192948411</v>
      </c>
    </row>
    <row r="77" spans="1:6" x14ac:dyDescent="0.2">
      <c r="A77">
        <v>4</v>
      </c>
      <c r="B77" s="10">
        <f t="shared" si="20"/>
        <v>792488.29192948411</v>
      </c>
      <c r="C77" s="10">
        <f t="shared" si="25"/>
        <v>5372.5781996901924</v>
      </c>
      <c r="D77" s="10">
        <f t="shared" si="26"/>
        <v>4292.6449146180394</v>
      </c>
      <c r="E77" s="10">
        <f t="shared" si="21"/>
        <v>1079.933285072153</v>
      </c>
      <c r="F77" s="10">
        <f t="shared" si="22"/>
        <v>791408.35864441202</v>
      </c>
    </row>
    <row r="78" spans="1:6" x14ac:dyDescent="0.2">
      <c r="A78">
        <v>5</v>
      </c>
      <c r="B78" s="10">
        <f t="shared" si="20"/>
        <v>791408.35864441202</v>
      </c>
      <c r="C78" s="10">
        <f t="shared" si="25"/>
        <v>5372.5781996901924</v>
      </c>
      <c r="D78" s="10">
        <f t="shared" si="26"/>
        <v>4286.7952759905656</v>
      </c>
      <c r="E78" s="10">
        <f t="shared" si="21"/>
        <v>1085.7829236996267</v>
      </c>
      <c r="F78" s="10">
        <f t="shared" si="22"/>
        <v>790322.57572071243</v>
      </c>
    </row>
    <row r="79" spans="1:6" x14ac:dyDescent="0.2">
      <c r="A79">
        <v>6</v>
      </c>
      <c r="B79" s="10">
        <f t="shared" si="20"/>
        <v>790322.57572071243</v>
      </c>
      <c r="C79" s="10">
        <f t="shared" si="25"/>
        <v>5372.5781996901924</v>
      </c>
      <c r="D79" s="10">
        <f t="shared" si="26"/>
        <v>4280.9139518205257</v>
      </c>
      <c r="E79" s="10">
        <f t="shared" si="21"/>
        <v>1091.6642478696667</v>
      </c>
      <c r="F79" s="10">
        <f t="shared" si="22"/>
        <v>789230.9114728428</v>
      </c>
    </row>
    <row r="80" spans="1:6" x14ac:dyDescent="0.2">
      <c r="A80">
        <v>7</v>
      </c>
      <c r="B80" s="10">
        <f t="shared" si="20"/>
        <v>789230.9114728428</v>
      </c>
      <c r="C80" s="10">
        <f t="shared" si="25"/>
        <v>5372.5781996901924</v>
      </c>
      <c r="D80" s="10">
        <f t="shared" si="26"/>
        <v>4275.0007704778982</v>
      </c>
      <c r="E80" s="10">
        <f t="shared" si="21"/>
        <v>1097.5774292122942</v>
      </c>
      <c r="F80" s="10">
        <f t="shared" si="22"/>
        <v>788133.33404363052</v>
      </c>
    </row>
    <row r="81" spans="1:6" x14ac:dyDescent="0.2">
      <c r="A81">
        <v>8</v>
      </c>
      <c r="B81" s="10">
        <f t="shared" si="20"/>
        <v>788133.33404363052</v>
      </c>
      <c r="C81" s="10">
        <f t="shared" si="25"/>
        <v>5372.5781996901924</v>
      </c>
      <c r="D81" s="10">
        <f t="shared" si="26"/>
        <v>4269.0555594029984</v>
      </c>
      <c r="E81" s="10">
        <f t="shared" si="21"/>
        <v>1103.522640287194</v>
      </c>
      <c r="F81" s="10">
        <f t="shared" si="22"/>
        <v>787029.81140334334</v>
      </c>
    </row>
    <row r="82" spans="1:6" x14ac:dyDescent="0.2">
      <c r="A82">
        <v>9</v>
      </c>
      <c r="B82" s="10">
        <f t="shared" si="20"/>
        <v>787029.81140334334</v>
      </c>
      <c r="C82" s="10">
        <f t="shared" si="25"/>
        <v>5372.5781996901924</v>
      </c>
      <c r="D82" s="10">
        <f t="shared" si="26"/>
        <v>4263.0781451014436</v>
      </c>
      <c r="E82" s="10">
        <f t="shared" si="21"/>
        <v>1109.5000545887488</v>
      </c>
      <c r="F82" s="10">
        <f t="shared" si="22"/>
        <v>785920.31134875456</v>
      </c>
    </row>
    <row r="83" spans="1:6" x14ac:dyDescent="0.2">
      <c r="A83">
        <v>10</v>
      </c>
      <c r="B83" s="10">
        <f t="shared" si="20"/>
        <v>785920.31134875456</v>
      </c>
      <c r="C83" s="10">
        <f t="shared" si="25"/>
        <v>5372.5781996901924</v>
      </c>
      <c r="D83" s="10">
        <f t="shared" si="26"/>
        <v>4257.0683531390878</v>
      </c>
      <c r="E83" s="10">
        <f t="shared" si="21"/>
        <v>1115.5098465511046</v>
      </c>
      <c r="F83" s="10">
        <f t="shared" si="22"/>
        <v>784804.80150220345</v>
      </c>
    </row>
    <row r="84" spans="1:6" x14ac:dyDescent="0.2">
      <c r="A84">
        <v>11</v>
      </c>
      <c r="B84" s="10">
        <f t="shared" si="20"/>
        <v>784804.80150220345</v>
      </c>
      <c r="C84" s="10">
        <f t="shared" si="25"/>
        <v>5372.5781996901924</v>
      </c>
      <c r="D84" s="10">
        <f t="shared" si="26"/>
        <v>4251.0260081369352</v>
      </c>
      <c r="E84" s="10">
        <f t="shared" si="21"/>
        <v>1121.5521915532572</v>
      </c>
      <c r="F84" s="10">
        <f t="shared" si="22"/>
        <v>783683.24931065016</v>
      </c>
    </row>
    <row r="85" spans="1:6" x14ac:dyDescent="0.2">
      <c r="A85">
        <v>12</v>
      </c>
      <c r="B85" s="10">
        <f t="shared" si="20"/>
        <v>783683.24931065016</v>
      </c>
      <c r="C85" s="10">
        <f t="shared" si="25"/>
        <v>5372.5781996901924</v>
      </c>
      <c r="D85" s="10">
        <f t="shared" si="26"/>
        <v>4244.950933766022</v>
      </c>
      <c r="E85" s="10">
        <f t="shared" si="21"/>
        <v>1127.6272659241704</v>
      </c>
      <c r="F85" s="10">
        <f t="shared" si="22"/>
        <v>782555.62204472604</v>
      </c>
    </row>
    <row r="86" spans="1:6" x14ac:dyDescent="0.2">
      <c r="B86" s="10"/>
      <c r="C86" s="10"/>
      <c r="D86" s="10">
        <f>SUM(D74:D85)</f>
        <v>51333.252187714264</v>
      </c>
      <c r="E86" s="10"/>
      <c r="F86" s="10"/>
    </row>
    <row r="87" spans="1:6" x14ac:dyDescent="0.2">
      <c r="B87" s="39" t="s">
        <v>118</v>
      </c>
      <c r="C87" s="10"/>
      <c r="D87" s="10"/>
      <c r="E87" s="10"/>
      <c r="F87" s="10"/>
    </row>
    <row r="88" spans="1:6" x14ac:dyDescent="0.2">
      <c r="A88">
        <v>1</v>
      </c>
      <c r="B88" s="10">
        <f>F85</f>
        <v>782555.62204472604</v>
      </c>
      <c r="C88" s="10">
        <f t="shared" ref="C88:C99" si="27">$I$7</f>
        <v>5372.5781996901924</v>
      </c>
      <c r="D88" s="10">
        <f t="shared" ref="D88:D99" si="28">B88*$I$6</f>
        <v>4238.8429527422659</v>
      </c>
      <c r="E88" s="10">
        <f t="shared" si="21"/>
        <v>1133.7352469479265</v>
      </c>
      <c r="F88" s="10">
        <f t="shared" si="22"/>
        <v>781421.88679777808</v>
      </c>
    </row>
    <row r="89" spans="1:6" x14ac:dyDescent="0.2">
      <c r="A89">
        <v>2</v>
      </c>
      <c r="B89" s="10">
        <f t="shared" si="20"/>
        <v>781421.88679777808</v>
      </c>
      <c r="C89" s="10">
        <f t="shared" si="27"/>
        <v>5372.5781996901924</v>
      </c>
      <c r="D89" s="10">
        <f t="shared" si="28"/>
        <v>4232.7018868212981</v>
      </c>
      <c r="E89" s="10">
        <f t="shared" si="21"/>
        <v>1139.8763128688943</v>
      </c>
      <c r="F89" s="10">
        <f t="shared" si="22"/>
        <v>780282.01048490917</v>
      </c>
    </row>
    <row r="90" spans="1:6" x14ac:dyDescent="0.2">
      <c r="A90">
        <v>3</v>
      </c>
      <c r="B90" s="10">
        <f t="shared" si="20"/>
        <v>780282.01048490917</v>
      </c>
      <c r="C90" s="10">
        <f t="shared" si="27"/>
        <v>5372.5781996901924</v>
      </c>
      <c r="D90" s="10">
        <f t="shared" si="28"/>
        <v>4226.5275567932586</v>
      </c>
      <c r="E90" s="10">
        <f t="shared" si="21"/>
        <v>1146.0506428969338</v>
      </c>
      <c r="F90" s="10">
        <f t="shared" si="22"/>
        <v>779135.95984201226</v>
      </c>
    </row>
    <row r="91" spans="1:6" x14ac:dyDescent="0.2">
      <c r="A91">
        <v>4</v>
      </c>
      <c r="B91" s="10">
        <f t="shared" si="20"/>
        <v>779135.95984201226</v>
      </c>
      <c r="C91" s="10">
        <f t="shared" si="27"/>
        <v>5372.5781996901924</v>
      </c>
      <c r="D91" s="10">
        <f t="shared" si="28"/>
        <v>4220.3197824775662</v>
      </c>
      <c r="E91" s="10">
        <f t="shared" si="21"/>
        <v>1152.2584172126262</v>
      </c>
      <c r="F91" s="10">
        <f t="shared" si="22"/>
        <v>777983.70142479963</v>
      </c>
    </row>
    <row r="92" spans="1:6" x14ac:dyDescent="0.2">
      <c r="A92">
        <v>5</v>
      </c>
      <c r="B92" s="10">
        <f t="shared" si="20"/>
        <v>777983.70142479963</v>
      </c>
      <c r="C92" s="10">
        <f t="shared" si="27"/>
        <v>5372.5781996901924</v>
      </c>
      <c r="D92" s="10">
        <f t="shared" si="28"/>
        <v>4214.0783827176647</v>
      </c>
      <c r="E92" s="10">
        <f t="shared" si="21"/>
        <v>1158.4998169725277</v>
      </c>
      <c r="F92" s="10">
        <f t="shared" si="22"/>
        <v>776825.2016078271</v>
      </c>
    </row>
    <row r="93" spans="1:6" x14ac:dyDescent="0.2">
      <c r="A93">
        <v>6</v>
      </c>
      <c r="B93" s="10">
        <f t="shared" ref="B93:B127" si="29">F92</f>
        <v>776825.2016078271</v>
      </c>
      <c r="C93" s="10">
        <f t="shared" si="27"/>
        <v>5372.5781996901924</v>
      </c>
      <c r="D93" s="10">
        <f t="shared" si="28"/>
        <v>4207.8031753757305</v>
      </c>
      <c r="E93" s="10">
        <f t="shared" ref="E93:E127" si="30">C93-D93</f>
        <v>1164.7750243144619</v>
      </c>
      <c r="F93" s="10">
        <f t="shared" ref="F93:F127" si="31">B93-E93</f>
        <v>775660.42658351269</v>
      </c>
    </row>
    <row r="94" spans="1:6" x14ac:dyDescent="0.2">
      <c r="A94">
        <v>7</v>
      </c>
      <c r="B94" s="10">
        <f t="shared" si="29"/>
        <v>775660.42658351269</v>
      </c>
      <c r="C94" s="10">
        <f t="shared" si="27"/>
        <v>5372.5781996901924</v>
      </c>
      <c r="D94" s="10">
        <f t="shared" si="28"/>
        <v>4201.4939773273609</v>
      </c>
      <c r="E94" s="10">
        <f t="shared" si="30"/>
        <v>1171.0842223628315</v>
      </c>
      <c r="F94" s="10">
        <f t="shared" si="31"/>
        <v>774489.34236114984</v>
      </c>
    </row>
    <row r="95" spans="1:6" x14ac:dyDescent="0.2">
      <c r="A95">
        <v>8</v>
      </c>
      <c r="B95" s="10">
        <f t="shared" si="29"/>
        <v>774489.34236114984</v>
      </c>
      <c r="C95" s="10">
        <f t="shared" si="27"/>
        <v>5372.5781996901924</v>
      </c>
      <c r="D95" s="10">
        <f t="shared" si="28"/>
        <v>4195.1506044562284</v>
      </c>
      <c r="E95" s="10">
        <f t="shared" si="30"/>
        <v>1177.427595233964</v>
      </c>
      <c r="F95" s="10">
        <f t="shared" si="31"/>
        <v>773311.91476591583</v>
      </c>
    </row>
    <row r="96" spans="1:6" x14ac:dyDescent="0.2">
      <c r="A96">
        <v>9</v>
      </c>
      <c r="B96" s="10">
        <f t="shared" si="29"/>
        <v>773311.91476591583</v>
      </c>
      <c r="C96" s="10">
        <f t="shared" si="27"/>
        <v>5372.5781996901924</v>
      </c>
      <c r="D96" s="10">
        <f t="shared" si="28"/>
        <v>4188.7728716487109</v>
      </c>
      <c r="E96" s="10">
        <f t="shared" si="30"/>
        <v>1183.8053280414815</v>
      </c>
      <c r="F96" s="10">
        <f t="shared" si="31"/>
        <v>772128.1094378744</v>
      </c>
    </row>
    <row r="97" spans="1:6" x14ac:dyDescent="0.2">
      <c r="A97">
        <v>10</v>
      </c>
      <c r="B97" s="10">
        <f t="shared" si="29"/>
        <v>772128.1094378744</v>
      </c>
      <c r="C97" s="10">
        <f t="shared" si="27"/>
        <v>5372.5781996901924</v>
      </c>
      <c r="D97" s="10">
        <f t="shared" si="28"/>
        <v>4182.3605927884864</v>
      </c>
      <c r="E97" s="10">
        <f t="shared" si="30"/>
        <v>1190.2176069017059</v>
      </c>
      <c r="F97" s="10">
        <f t="shared" si="31"/>
        <v>770937.89183097275</v>
      </c>
    </row>
    <row r="98" spans="1:6" x14ac:dyDescent="0.2">
      <c r="A98">
        <v>11</v>
      </c>
      <c r="B98" s="10">
        <f t="shared" si="29"/>
        <v>770937.89183097275</v>
      </c>
      <c r="C98" s="10">
        <f t="shared" si="27"/>
        <v>5372.5781996901924</v>
      </c>
      <c r="D98" s="10">
        <f t="shared" si="28"/>
        <v>4175.9135807511029</v>
      </c>
      <c r="E98" s="10">
        <f t="shared" si="30"/>
        <v>1196.6646189390895</v>
      </c>
      <c r="F98" s="10">
        <f t="shared" si="31"/>
        <v>769741.2272120337</v>
      </c>
    </row>
    <row r="99" spans="1:6" x14ac:dyDescent="0.2">
      <c r="A99">
        <v>12</v>
      </c>
      <c r="B99" s="10">
        <f t="shared" si="29"/>
        <v>769741.2272120337</v>
      </c>
      <c r="C99" s="10">
        <f t="shared" si="27"/>
        <v>5372.5781996901924</v>
      </c>
      <c r="D99" s="10">
        <f t="shared" si="28"/>
        <v>4169.4316473985164</v>
      </c>
      <c r="E99" s="10">
        <f t="shared" si="30"/>
        <v>1203.146552291676</v>
      </c>
      <c r="F99" s="10">
        <f t="shared" si="31"/>
        <v>768538.080659742</v>
      </c>
    </row>
    <row r="100" spans="1:6" x14ac:dyDescent="0.2">
      <c r="B100" s="10"/>
      <c r="C100" s="10"/>
      <c r="D100" s="10">
        <f>SUM(D88:D99)</f>
        <v>50453.397011298192</v>
      </c>
      <c r="E100" s="10"/>
      <c r="F100" s="10"/>
    </row>
    <row r="101" spans="1:6" x14ac:dyDescent="0.2">
      <c r="B101" s="39" t="s">
        <v>119</v>
      </c>
      <c r="C101" s="10"/>
      <c r="D101" s="10"/>
      <c r="E101" s="10"/>
      <c r="F101" s="10"/>
    </row>
    <row r="102" spans="1:6" x14ac:dyDescent="0.2">
      <c r="A102">
        <v>1</v>
      </c>
      <c r="B102" s="10">
        <f>F99</f>
        <v>768538.080659742</v>
      </c>
      <c r="C102" s="10">
        <f t="shared" ref="C102:C113" si="32">$I$7</f>
        <v>5372.5781996901924</v>
      </c>
      <c r="D102" s="10">
        <f t="shared" ref="D102:D113" si="33">B102*$I$6</f>
        <v>4162.914603573603</v>
      </c>
      <c r="E102" s="10">
        <f t="shared" si="30"/>
        <v>1209.6635961165894</v>
      </c>
      <c r="F102" s="10">
        <f t="shared" si="31"/>
        <v>767328.41706362541</v>
      </c>
    </row>
    <row r="103" spans="1:6" x14ac:dyDescent="0.2">
      <c r="A103">
        <v>2</v>
      </c>
      <c r="B103" s="10">
        <f t="shared" si="29"/>
        <v>767328.41706362541</v>
      </c>
      <c r="C103" s="10">
        <f t="shared" si="32"/>
        <v>5372.5781996901924</v>
      </c>
      <c r="D103" s="10">
        <f t="shared" si="33"/>
        <v>4156.3622590946379</v>
      </c>
      <c r="E103" s="10">
        <f t="shared" si="30"/>
        <v>1216.2159405955545</v>
      </c>
      <c r="F103" s="10">
        <f t="shared" si="31"/>
        <v>766112.20112302981</v>
      </c>
    </row>
    <row r="104" spans="1:6" x14ac:dyDescent="0.2">
      <c r="A104">
        <v>3</v>
      </c>
      <c r="B104" s="10">
        <f t="shared" si="29"/>
        <v>766112.20112302981</v>
      </c>
      <c r="C104" s="10">
        <f t="shared" si="32"/>
        <v>5372.5781996901924</v>
      </c>
      <c r="D104" s="10">
        <f t="shared" si="33"/>
        <v>4149.7744227497451</v>
      </c>
      <c r="E104" s="10">
        <f t="shared" si="30"/>
        <v>1222.8037769404473</v>
      </c>
      <c r="F104" s="10">
        <f t="shared" si="31"/>
        <v>764889.39734608936</v>
      </c>
    </row>
    <row r="105" spans="1:6" x14ac:dyDescent="0.2">
      <c r="A105">
        <v>4</v>
      </c>
      <c r="B105" s="10">
        <f t="shared" si="29"/>
        <v>764889.39734608936</v>
      </c>
      <c r="C105" s="10">
        <f t="shared" si="32"/>
        <v>5372.5781996901924</v>
      </c>
      <c r="D105" s="10">
        <f t="shared" si="33"/>
        <v>4143.1509022913178</v>
      </c>
      <c r="E105" s="10">
        <f t="shared" si="30"/>
        <v>1229.4272973988745</v>
      </c>
      <c r="F105" s="10">
        <f t="shared" si="31"/>
        <v>763659.97004869045</v>
      </c>
    </row>
    <row r="106" spans="1:6" x14ac:dyDescent="0.2">
      <c r="A106">
        <v>5</v>
      </c>
      <c r="B106" s="10">
        <f t="shared" si="29"/>
        <v>763659.97004869045</v>
      </c>
      <c r="C106" s="10">
        <f t="shared" si="32"/>
        <v>5372.5781996901924</v>
      </c>
      <c r="D106" s="10">
        <f t="shared" si="33"/>
        <v>4136.4915044304071</v>
      </c>
      <c r="E106" s="10">
        <f t="shared" si="30"/>
        <v>1236.0866952597853</v>
      </c>
      <c r="F106" s="10">
        <f t="shared" si="31"/>
        <v>762423.88335343066</v>
      </c>
    </row>
    <row r="107" spans="1:6" x14ac:dyDescent="0.2">
      <c r="A107">
        <v>6</v>
      </c>
      <c r="B107" s="10">
        <f t="shared" si="29"/>
        <v>762423.88335343066</v>
      </c>
      <c r="C107" s="10">
        <f t="shared" si="32"/>
        <v>5372.5781996901924</v>
      </c>
      <c r="D107" s="10">
        <f t="shared" si="33"/>
        <v>4129.7960348310826</v>
      </c>
      <c r="E107" s="10">
        <f t="shared" si="30"/>
        <v>1242.7821648591098</v>
      </c>
      <c r="F107" s="10">
        <f t="shared" si="31"/>
        <v>761181.10118857154</v>
      </c>
    </row>
    <row r="108" spans="1:6" x14ac:dyDescent="0.2">
      <c r="A108">
        <v>7</v>
      </c>
      <c r="B108" s="10">
        <f t="shared" si="29"/>
        <v>761181.10118857154</v>
      </c>
      <c r="C108" s="10">
        <f t="shared" si="32"/>
        <v>5372.5781996901924</v>
      </c>
      <c r="D108" s="10">
        <f t="shared" si="33"/>
        <v>4123.0642981047631</v>
      </c>
      <c r="E108" s="10">
        <f t="shared" si="30"/>
        <v>1249.5139015854293</v>
      </c>
      <c r="F108" s="10">
        <f t="shared" si="31"/>
        <v>759931.58728698606</v>
      </c>
    </row>
    <row r="109" spans="1:6" x14ac:dyDescent="0.2">
      <c r="A109">
        <v>8</v>
      </c>
      <c r="B109" s="10">
        <f t="shared" si="29"/>
        <v>759931.58728698606</v>
      </c>
      <c r="C109" s="10">
        <f t="shared" si="32"/>
        <v>5372.5781996901924</v>
      </c>
      <c r="D109" s="10">
        <f t="shared" si="33"/>
        <v>4116.2960978045076</v>
      </c>
      <c r="E109" s="10">
        <f t="shared" si="30"/>
        <v>1256.2821018856848</v>
      </c>
      <c r="F109" s="10">
        <f t="shared" si="31"/>
        <v>758675.30518510041</v>
      </c>
    </row>
    <row r="110" spans="1:6" x14ac:dyDescent="0.2">
      <c r="A110">
        <v>9</v>
      </c>
      <c r="B110" s="10">
        <f t="shared" si="29"/>
        <v>758675.30518510041</v>
      </c>
      <c r="C110" s="10">
        <f t="shared" si="32"/>
        <v>5372.5781996901924</v>
      </c>
      <c r="D110" s="10">
        <f t="shared" si="33"/>
        <v>4109.4912364192942</v>
      </c>
      <c r="E110" s="10">
        <f t="shared" si="30"/>
        <v>1263.0869632708982</v>
      </c>
      <c r="F110" s="10">
        <f t="shared" si="31"/>
        <v>757412.21822182951</v>
      </c>
    </row>
    <row r="111" spans="1:6" x14ac:dyDescent="0.2">
      <c r="A111">
        <v>10</v>
      </c>
      <c r="B111" s="10">
        <f t="shared" si="29"/>
        <v>757412.21822182951</v>
      </c>
      <c r="C111" s="10">
        <f t="shared" si="32"/>
        <v>5372.5781996901924</v>
      </c>
      <c r="D111" s="10">
        <f t="shared" si="33"/>
        <v>4102.6495153682436</v>
      </c>
      <c r="E111" s="10">
        <f t="shared" si="30"/>
        <v>1269.9286843219488</v>
      </c>
      <c r="F111" s="10">
        <f t="shared" si="31"/>
        <v>756142.28953750758</v>
      </c>
    </row>
    <row r="112" spans="1:6" x14ac:dyDescent="0.2">
      <c r="A112">
        <v>11</v>
      </c>
      <c r="B112" s="10">
        <f t="shared" si="29"/>
        <v>756142.28953750758</v>
      </c>
      <c r="C112" s="10">
        <f t="shared" si="32"/>
        <v>5372.5781996901924</v>
      </c>
      <c r="D112" s="10">
        <f t="shared" si="33"/>
        <v>4095.7707349948328</v>
      </c>
      <c r="E112" s="10">
        <f t="shared" si="30"/>
        <v>1276.8074646953596</v>
      </c>
      <c r="F112" s="10">
        <f t="shared" si="31"/>
        <v>754865.48207281227</v>
      </c>
    </row>
    <row r="113" spans="1:6" x14ac:dyDescent="0.2">
      <c r="A113">
        <v>12</v>
      </c>
      <c r="B113" s="10">
        <f t="shared" si="29"/>
        <v>754865.48207281227</v>
      </c>
      <c r="C113" s="10">
        <f t="shared" si="32"/>
        <v>5372.5781996901924</v>
      </c>
      <c r="D113" s="10">
        <f t="shared" si="33"/>
        <v>4088.8546945610665</v>
      </c>
      <c r="E113" s="10">
        <f t="shared" si="30"/>
        <v>1283.7235051291259</v>
      </c>
      <c r="F113" s="10">
        <f t="shared" si="31"/>
        <v>753581.75856768317</v>
      </c>
    </row>
    <row r="114" spans="1:6" x14ac:dyDescent="0.2">
      <c r="B114" s="10"/>
      <c r="C114" s="10"/>
      <c r="D114" s="10">
        <f>SUM(D102:D113)</f>
        <v>49514.616304223498</v>
      </c>
      <c r="E114" s="10"/>
      <c r="F114" s="10"/>
    </row>
    <row r="115" spans="1:6" x14ac:dyDescent="0.2">
      <c r="B115" s="39" t="s">
        <v>121</v>
      </c>
      <c r="C115" s="10"/>
      <c r="D115" s="10"/>
      <c r="E115" s="10"/>
      <c r="F115" s="10"/>
    </row>
    <row r="116" spans="1:6" x14ac:dyDescent="0.2">
      <c r="A116">
        <v>1</v>
      </c>
      <c r="B116" s="10">
        <f>F113</f>
        <v>753581.75856768317</v>
      </c>
      <c r="C116" s="10">
        <f t="shared" ref="C116:C127" si="34">$I$7</f>
        <v>5372.5781996901924</v>
      </c>
      <c r="D116" s="10">
        <f t="shared" ref="D116:D127" si="35">B116*$I$6</f>
        <v>4081.9011922416171</v>
      </c>
      <c r="E116" s="10">
        <f t="shared" si="30"/>
        <v>1290.6770074485753</v>
      </c>
      <c r="F116" s="10">
        <f t="shared" si="31"/>
        <v>752291.08156023454</v>
      </c>
    </row>
    <row r="117" spans="1:6" x14ac:dyDescent="0.2">
      <c r="A117">
        <v>2</v>
      </c>
      <c r="B117" s="10">
        <f t="shared" si="29"/>
        <v>752291.08156023454</v>
      </c>
      <c r="C117" s="10">
        <f t="shared" si="34"/>
        <v>5372.5781996901924</v>
      </c>
      <c r="D117" s="10">
        <f t="shared" si="35"/>
        <v>4074.910025117937</v>
      </c>
      <c r="E117" s="10">
        <f t="shared" si="30"/>
        <v>1297.6681745722553</v>
      </c>
      <c r="F117" s="10">
        <f t="shared" si="31"/>
        <v>750993.41338566225</v>
      </c>
    </row>
    <row r="118" spans="1:6" x14ac:dyDescent="0.2">
      <c r="A118">
        <v>3</v>
      </c>
      <c r="B118" s="10">
        <f t="shared" si="29"/>
        <v>750993.41338566225</v>
      </c>
      <c r="C118" s="10">
        <f t="shared" si="34"/>
        <v>5372.5781996901924</v>
      </c>
      <c r="D118" s="10">
        <f t="shared" si="35"/>
        <v>4067.8809891723372</v>
      </c>
      <c r="E118" s="10">
        <f t="shared" si="30"/>
        <v>1304.6972105178552</v>
      </c>
      <c r="F118" s="10">
        <f t="shared" si="31"/>
        <v>749688.71617514442</v>
      </c>
    </row>
    <row r="119" spans="1:6" x14ac:dyDescent="0.2">
      <c r="A119">
        <v>4</v>
      </c>
      <c r="B119" s="10">
        <f t="shared" si="29"/>
        <v>749688.71617514442</v>
      </c>
      <c r="C119" s="10">
        <f t="shared" si="34"/>
        <v>5372.5781996901924</v>
      </c>
      <c r="D119" s="10">
        <f t="shared" si="35"/>
        <v>4060.8138792820323</v>
      </c>
      <c r="E119" s="10">
        <f t="shared" si="30"/>
        <v>1311.7643204081601</v>
      </c>
      <c r="F119" s="10">
        <f t="shared" si="31"/>
        <v>748376.95185473631</v>
      </c>
    </row>
    <row r="120" spans="1:6" x14ac:dyDescent="0.2">
      <c r="A120">
        <v>5</v>
      </c>
      <c r="B120" s="10">
        <f t="shared" si="29"/>
        <v>748376.95185473631</v>
      </c>
      <c r="C120" s="10">
        <f t="shared" si="34"/>
        <v>5372.5781996901924</v>
      </c>
      <c r="D120" s="10">
        <f t="shared" si="35"/>
        <v>4053.7084892131552</v>
      </c>
      <c r="E120" s="10">
        <f t="shared" si="30"/>
        <v>1318.8697104770372</v>
      </c>
      <c r="F120" s="10">
        <f t="shared" si="31"/>
        <v>747058.08214425924</v>
      </c>
    </row>
    <row r="121" spans="1:6" x14ac:dyDescent="0.2">
      <c r="A121">
        <v>6</v>
      </c>
      <c r="B121" s="10">
        <f t="shared" si="29"/>
        <v>747058.08214425924</v>
      </c>
      <c r="C121" s="10">
        <f t="shared" si="34"/>
        <v>5372.5781996901924</v>
      </c>
      <c r="D121" s="10">
        <f t="shared" si="35"/>
        <v>4046.5646116147377</v>
      </c>
      <c r="E121" s="10">
        <f t="shared" si="30"/>
        <v>1326.0135880754547</v>
      </c>
      <c r="F121" s="10">
        <f t="shared" si="31"/>
        <v>745732.06855618383</v>
      </c>
    </row>
    <row r="122" spans="1:6" x14ac:dyDescent="0.2">
      <c r="A122">
        <v>7</v>
      </c>
      <c r="B122" s="10">
        <f t="shared" si="29"/>
        <v>745732.06855618383</v>
      </c>
      <c r="C122" s="10">
        <f t="shared" si="34"/>
        <v>5372.5781996901924</v>
      </c>
      <c r="D122" s="10">
        <f t="shared" si="35"/>
        <v>4039.3820380126626</v>
      </c>
      <c r="E122" s="10">
        <f t="shared" si="30"/>
        <v>1333.1961616775297</v>
      </c>
      <c r="F122" s="10">
        <f t="shared" si="31"/>
        <v>744398.87239450635</v>
      </c>
    </row>
    <row r="123" spans="1:6" x14ac:dyDescent="0.2">
      <c r="A123">
        <v>8</v>
      </c>
      <c r="B123" s="10">
        <f t="shared" si="29"/>
        <v>744398.87239450635</v>
      </c>
      <c r="C123" s="10">
        <f t="shared" si="34"/>
        <v>5372.5781996901924</v>
      </c>
      <c r="D123" s="10">
        <f t="shared" si="35"/>
        <v>4032.1605588035764</v>
      </c>
      <c r="E123" s="10">
        <f t="shared" si="30"/>
        <v>1340.417640886616</v>
      </c>
      <c r="F123" s="10">
        <f t="shared" si="31"/>
        <v>743058.45475361974</v>
      </c>
    </row>
    <row r="124" spans="1:6" x14ac:dyDescent="0.2">
      <c r="A124">
        <v>9</v>
      </c>
      <c r="B124" s="10">
        <f t="shared" si="29"/>
        <v>743058.45475361974</v>
      </c>
      <c r="C124" s="10">
        <f t="shared" si="34"/>
        <v>5372.5781996901924</v>
      </c>
      <c r="D124" s="10">
        <f t="shared" si="35"/>
        <v>4024.8999632487739</v>
      </c>
      <c r="E124" s="10">
        <f t="shared" si="30"/>
        <v>1347.6782364414184</v>
      </c>
      <c r="F124" s="10">
        <f t="shared" si="31"/>
        <v>741710.77651717828</v>
      </c>
    </row>
    <row r="125" spans="1:6" x14ac:dyDescent="0.2">
      <c r="A125">
        <v>10</v>
      </c>
      <c r="B125" s="10">
        <f t="shared" si="29"/>
        <v>741710.77651717828</v>
      </c>
      <c r="C125" s="10">
        <f t="shared" si="34"/>
        <v>5372.5781996901924</v>
      </c>
      <c r="D125" s="10">
        <f t="shared" si="35"/>
        <v>4017.6000394680491</v>
      </c>
      <c r="E125" s="10">
        <f t="shared" si="30"/>
        <v>1354.9781602221433</v>
      </c>
      <c r="F125" s="10">
        <f t="shared" si="31"/>
        <v>740355.7983569561</v>
      </c>
    </row>
    <row r="126" spans="1:6" x14ac:dyDescent="0.2">
      <c r="A126">
        <v>11</v>
      </c>
      <c r="B126" s="10">
        <f t="shared" si="29"/>
        <v>740355.7983569561</v>
      </c>
      <c r="C126" s="10">
        <f t="shared" si="34"/>
        <v>5372.5781996901924</v>
      </c>
      <c r="D126" s="10">
        <f t="shared" si="35"/>
        <v>4010.2605744335124</v>
      </c>
      <c r="E126" s="10">
        <f t="shared" si="30"/>
        <v>1362.31762525668</v>
      </c>
      <c r="F126" s="10">
        <f t="shared" si="31"/>
        <v>738993.48073169938</v>
      </c>
    </row>
    <row r="127" spans="1:6" x14ac:dyDescent="0.2">
      <c r="A127">
        <v>12</v>
      </c>
      <c r="B127" s="10">
        <f t="shared" si="29"/>
        <v>738993.48073169938</v>
      </c>
      <c r="C127" s="10">
        <f t="shared" si="34"/>
        <v>5372.5781996901924</v>
      </c>
      <c r="D127" s="10">
        <f t="shared" si="35"/>
        <v>4002.881353963372</v>
      </c>
      <c r="E127" s="10">
        <f t="shared" si="30"/>
        <v>1369.6968457268204</v>
      </c>
      <c r="F127" s="10">
        <f t="shared" si="31"/>
        <v>737623.78388597257</v>
      </c>
    </row>
    <row r="128" spans="1:6" x14ac:dyDescent="0.2">
      <c r="B128" s="10"/>
      <c r="C128" s="10"/>
      <c r="D128" s="10">
        <f>SUM(D116:D127)</f>
        <v>48512.963714571772</v>
      </c>
      <c r="E128" s="10"/>
      <c r="F128" s="10"/>
    </row>
    <row r="129" spans="1:6" x14ac:dyDescent="0.2">
      <c r="B129" s="39" t="s">
        <v>120</v>
      </c>
      <c r="C129" s="10"/>
      <c r="D129" s="10"/>
      <c r="E129" s="10"/>
      <c r="F129" s="10"/>
    </row>
    <row r="130" spans="1:6" x14ac:dyDescent="0.2">
      <c r="A130">
        <v>1</v>
      </c>
      <c r="B130" s="10">
        <f>F127</f>
        <v>737623.78388597257</v>
      </c>
      <c r="C130" s="10">
        <f t="shared" ref="C130:C141" si="36">$I$7</f>
        <v>5372.5781996901924</v>
      </c>
      <c r="D130" s="10">
        <f t="shared" ref="D130:D141" si="37">B130*$I$6</f>
        <v>3995.4621627156848</v>
      </c>
      <c r="E130" s="10">
        <f t="shared" ref="E130:E141" si="38">C130-D130</f>
        <v>1377.1160369745076</v>
      </c>
      <c r="F130" s="10">
        <f t="shared" ref="F130:F141" si="39">B130-E130</f>
        <v>736246.6678489981</v>
      </c>
    </row>
    <row r="131" spans="1:6" x14ac:dyDescent="0.2">
      <c r="A131">
        <v>2</v>
      </c>
      <c r="B131" s="10">
        <f t="shared" ref="B131:B141" si="40">F130</f>
        <v>736246.6678489981</v>
      </c>
      <c r="C131" s="10">
        <f t="shared" si="36"/>
        <v>5372.5781996901924</v>
      </c>
      <c r="D131" s="10">
        <f t="shared" si="37"/>
        <v>3988.0027841820734</v>
      </c>
      <c r="E131" s="10">
        <f t="shared" si="38"/>
        <v>1384.575415508119</v>
      </c>
      <c r="F131" s="10">
        <f t="shared" si="39"/>
        <v>734862.09243348998</v>
      </c>
    </row>
    <row r="132" spans="1:6" x14ac:dyDescent="0.2">
      <c r="A132">
        <v>3</v>
      </c>
      <c r="B132" s="10">
        <f t="shared" si="40"/>
        <v>734862.09243348998</v>
      </c>
      <c r="C132" s="10">
        <f t="shared" si="36"/>
        <v>5372.5781996901924</v>
      </c>
      <c r="D132" s="10">
        <f t="shared" si="37"/>
        <v>3980.503000681404</v>
      </c>
      <c r="E132" s="10">
        <f t="shared" si="38"/>
        <v>1392.0751990087883</v>
      </c>
      <c r="F132" s="10">
        <f t="shared" si="39"/>
        <v>733470.01723448117</v>
      </c>
    </row>
    <row r="133" spans="1:6" x14ac:dyDescent="0.2">
      <c r="A133">
        <v>4</v>
      </c>
      <c r="B133" s="10">
        <f t="shared" si="40"/>
        <v>733470.01723448117</v>
      </c>
      <c r="C133" s="10">
        <f t="shared" si="36"/>
        <v>5372.5781996901924</v>
      </c>
      <c r="D133" s="10">
        <f t="shared" si="37"/>
        <v>3972.9625933534398</v>
      </c>
      <c r="E133" s="10">
        <f t="shared" si="38"/>
        <v>1399.6156063367525</v>
      </c>
      <c r="F133" s="10">
        <f t="shared" si="39"/>
        <v>732070.40162814443</v>
      </c>
    </row>
    <row r="134" spans="1:6" x14ac:dyDescent="0.2">
      <c r="A134">
        <v>5</v>
      </c>
      <c r="B134" s="10">
        <f t="shared" si="40"/>
        <v>732070.40162814443</v>
      </c>
      <c r="C134" s="10">
        <f t="shared" si="36"/>
        <v>5372.5781996901924</v>
      </c>
      <c r="D134" s="10">
        <f t="shared" si="37"/>
        <v>3965.3813421524492</v>
      </c>
      <c r="E134" s="10">
        <f t="shared" si="38"/>
        <v>1407.1968575377432</v>
      </c>
      <c r="F134" s="10">
        <f t="shared" si="39"/>
        <v>730663.20477060671</v>
      </c>
    </row>
    <row r="135" spans="1:6" x14ac:dyDescent="0.2">
      <c r="A135">
        <v>6</v>
      </c>
      <c r="B135" s="10">
        <f t="shared" si="40"/>
        <v>730663.20477060671</v>
      </c>
      <c r="C135" s="10">
        <f t="shared" si="36"/>
        <v>5372.5781996901924</v>
      </c>
      <c r="D135" s="10">
        <f t="shared" si="37"/>
        <v>3957.7590258407863</v>
      </c>
      <c r="E135" s="10">
        <f t="shared" si="38"/>
        <v>1414.8191738494061</v>
      </c>
      <c r="F135" s="10">
        <f t="shared" si="39"/>
        <v>729248.38559675729</v>
      </c>
    </row>
    <row r="136" spans="1:6" x14ac:dyDescent="0.2">
      <c r="A136">
        <v>7</v>
      </c>
      <c r="B136" s="10">
        <f t="shared" si="40"/>
        <v>729248.38559675729</v>
      </c>
      <c r="C136" s="10">
        <f t="shared" si="36"/>
        <v>5372.5781996901924</v>
      </c>
      <c r="D136" s="10">
        <f t="shared" si="37"/>
        <v>3950.0954219824353</v>
      </c>
      <c r="E136" s="10">
        <f t="shared" si="38"/>
        <v>1422.4827777077571</v>
      </c>
      <c r="F136" s="10">
        <f t="shared" si="39"/>
        <v>727825.90281904954</v>
      </c>
    </row>
    <row r="137" spans="1:6" x14ac:dyDescent="0.2">
      <c r="A137">
        <v>8</v>
      </c>
      <c r="B137" s="10">
        <f t="shared" si="40"/>
        <v>727825.90281904954</v>
      </c>
      <c r="C137" s="10">
        <f t="shared" si="36"/>
        <v>5372.5781996901924</v>
      </c>
      <c r="D137" s="10">
        <f t="shared" si="37"/>
        <v>3942.3903069365183</v>
      </c>
      <c r="E137" s="10">
        <f t="shared" si="38"/>
        <v>1430.1878927536741</v>
      </c>
      <c r="F137" s="10">
        <f t="shared" si="39"/>
        <v>726395.71492629591</v>
      </c>
    </row>
    <row r="138" spans="1:6" x14ac:dyDescent="0.2">
      <c r="A138">
        <v>9</v>
      </c>
      <c r="B138" s="10">
        <f t="shared" si="40"/>
        <v>726395.71492629591</v>
      </c>
      <c r="C138" s="10">
        <f t="shared" si="36"/>
        <v>5372.5781996901924</v>
      </c>
      <c r="D138" s="10">
        <f t="shared" si="37"/>
        <v>3934.6434558507694</v>
      </c>
      <c r="E138" s="10">
        <f t="shared" si="38"/>
        <v>1437.9347438394229</v>
      </c>
      <c r="F138" s="10">
        <f t="shared" si="39"/>
        <v>724957.78018245648</v>
      </c>
    </row>
    <row r="139" spans="1:6" x14ac:dyDescent="0.2">
      <c r="A139">
        <v>10</v>
      </c>
      <c r="B139" s="10">
        <f t="shared" si="40"/>
        <v>724957.78018245648</v>
      </c>
      <c r="C139" s="10">
        <f t="shared" si="36"/>
        <v>5372.5781996901924</v>
      </c>
      <c r="D139" s="10">
        <f t="shared" si="37"/>
        <v>3926.8546426549728</v>
      </c>
      <c r="E139" s="10">
        <f t="shared" si="38"/>
        <v>1445.7235570352195</v>
      </c>
      <c r="F139" s="10">
        <f t="shared" si="39"/>
        <v>723512.05662542128</v>
      </c>
    </row>
    <row r="140" spans="1:6" x14ac:dyDescent="0.2">
      <c r="A140">
        <v>11</v>
      </c>
      <c r="B140" s="10">
        <f t="shared" si="40"/>
        <v>723512.05662542128</v>
      </c>
      <c r="C140" s="10">
        <f t="shared" si="36"/>
        <v>5372.5781996901924</v>
      </c>
      <c r="D140" s="10">
        <f t="shared" si="37"/>
        <v>3919.0236400543654</v>
      </c>
      <c r="E140" s="10">
        <f t="shared" si="38"/>
        <v>1453.554559635827</v>
      </c>
      <c r="F140" s="10">
        <f t="shared" si="39"/>
        <v>722058.50206578546</v>
      </c>
    </row>
    <row r="141" spans="1:6" x14ac:dyDescent="0.2">
      <c r="A141">
        <v>12</v>
      </c>
      <c r="B141" s="10">
        <f t="shared" si="40"/>
        <v>722058.50206578546</v>
      </c>
      <c r="C141" s="10">
        <f t="shared" si="36"/>
        <v>5372.5781996901924</v>
      </c>
      <c r="D141" s="10">
        <f t="shared" si="37"/>
        <v>3911.1502195230046</v>
      </c>
      <c r="E141" s="10">
        <f t="shared" si="38"/>
        <v>1461.4279801671878</v>
      </c>
      <c r="F141" s="10">
        <f t="shared" si="39"/>
        <v>720597.07408561825</v>
      </c>
    </row>
    <row r="142" spans="1:6" x14ac:dyDescent="0.2">
      <c r="B142" s="10"/>
      <c r="C142" s="10"/>
      <c r="D142" s="10">
        <f>SUM(D130:D141)</f>
        <v>47444.228595927911</v>
      </c>
      <c r="E142" s="10"/>
      <c r="F142" s="10"/>
    </row>
    <row r="143" spans="1:6" x14ac:dyDescent="0.2">
      <c r="B143" s="10"/>
      <c r="C143" s="10"/>
      <c r="D143" s="10"/>
      <c r="E143" s="10"/>
      <c r="F143" s="10"/>
    </row>
    <row r="144" spans="1:6" x14ac:dyDescent="0.2">
      <c r="B144" s="10"/>
      <c r="C144" s="10"/>
      <c r="D144" s="10"/>
      <c r="E144" s="10"/>
      <c r="F144" s="10"/>
    </row>
    <row r="145" spans="2:6" x14ac:dyDescent="0.2">
      <c r="B145" s="10"/>
      <c r="C145" s="10"/>
      <c r="D145" s="10"/>
      <c r="E145" s="10"/>
      <c r="F145" s="10"/>
    </row>
    <row r="146" spans="2:6" x14ac:dyDescent="0.2">
      <c r="B146" s="10"/>
      <c r="C146" s="10"/>
      <c r="D146" s="10"/>
      <c r="E146" s="10"/>
      <c r="F146" s="10"/>
    </row>
    <row r="147" spans="2:6" x14ac:dyDescent="0.2">
      <c r="B147" s="10"/>
      <c r="C147" s="10"/>
      <c r="D147" s="10"/>
      <c r="E147" s="10"/>
      <c r="F147" s="10"/>
    </row>
    <row r="148" spans="2:6" x14ac:dyDescent="0.2">
      <c r="B148" s="10"/>
      <c r="C148" s="10"/>
      <c r="D148" s="10"/>
      <c r="E148" s="10"/>
      <c r="F148" s="10"/>
    </row>
    <row r="149" spans="2:6" x14ac:dyDescent="0.2">
      <c r="B149" s="10"/>
      <c r="C149" s="10"/>
      <c r="D149" s="10"/>
      <c r="E149" s="10"/>
      <c r="F149" s="10"/>
    </row>
    <row r="150" spans="2:6" x14ac:dyDescent="0.2">
      <c r="B150" s="10"/>
      <c r="C150" s="10"/>
      <c r="D150" s="10"/>
      <c r="E150" s="10"/>
      <c r="F150" s="10"/>
    </row>
    <row r="151" spans="2:6" x14ac:dyDescent="0.2">
      <c r="B151" s="10"/>
      <c r="C151" s="10"/>
      <c r="D151" s="10"/>
      <c r="E151" s="10"/>
      <c r="F151" s="10"/>
    </row>
    <row r="152" spans="2:6" x14ac:dyDescent="0.2">
      <c r="B152" s="10"/>
      <c r="C152" s="10"/>
      <c r="D152" s="10"/>
      <c r="E152" s="10"/>
      <c r="F152" s="10"/>
    </row>
    <row r="153" spans="2:6" x14ac:dyDescent="0.2">
      <c r="B153" s="10"/>
      <c r="C153" s="10"/>
      <c r="D153" s="10"/>
      <c r="E153" s="10"/>
      <c r="F153" s="10"/>
    </row>
    <row r="154" spans="2:6" x14ac:dyDescent="0.2">
      <c r="B154" s="10"/>
      <c r="C154" s="10"/>
      <c r="D154" s="10"/>
      <c r="E154" s="10"/>
      <c r="F154" s="10"/>
    </row>
    <row r="155" spans="2:6" x14ac:dyDescent="0.2">
      <c r="B155" s="10"/>
      <c r="C155" s="10"/>
      <c r="D155" s="10"/>
      <c r="E155" s="10"/>
      <c r="F155" s="10"/>
    </row>
    <row r="156" spans="2:6" x14ac:dyDescent="0.2">
      <c r="B156" s="10"/>
      <c r="C156" s="10"/>
      <c r="D156" s="10"/>
      <c r="E156" s="10"/>
      <c r="F156" s="10"/>
    </row>
    <row r="157" spans="2:6" x14ac:dyDescent="0.2">
      <c r="B157" s="10"/>
      <c r="C157" s="10"/>
      <c r="D157" s="10"/>
      <c r="E157" s="10"/>
      <c r="F157" s="10"/>
    </row>
    <row r="158" spans="2:6" x14ac:dyDescent="0.2">
      <c r="B158" s="10"/>
      <c r="C158" s="10"/>
      <c r="D158" s="10"/>
      <c r="E158" s="10"/>
      <c r="F158" s="10"/>
    </row>
    <row r="159" spans="2:6" x14ac:dyDescent="0.2">
      <c r="B159" s="10"/>
      <c r="C159" s="10"/>
      <c r="D159" s="10"/>
      <c r="E159" s="10"/>
      <c r="F159" s="10"/>
    </row>
    <row r="160" spans="2:6" x14ac:dyDescent="0.2">
      <c r="B160" s="10"/>
      <c r="C160" s="10"/>
      <c r="D160" s="10"/>
      <c r="E160" s="10"/>
      <c r="F160" s="10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Original Forecast</vt:lpstr>
      <vt:lpstr>Bankruptcy</vt:lpstr>
      <vt:lpstr>Option</vt:lpstr>
      <vt:lpstr>Mortgage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2019-08-22T21:33:48Z</dcterms:created>
  <dcterms:modified xsi:type="dcterms:W3CDTF">2019-08-22T21:34:02Z</dcterms:modified>
</cp:coreProperties>
</file>