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45" yWindow="15" windowWidth="15600" windowHeight="11760" activeTab="4"/>
  </bookViews>
  <sheets>
    <sheet name="Original" sheetId="10" r:id="rId1"/>
    <sheet name="Original Mortgage" sheetId="11" r:id="rId2"/>
    <sheet name="Good" sheetId="1" r:id="rId3"/>
    <sheet name="Medium" sheetId="8" r:id="rId4"/>
    <sheet name="Bankrupt" sheetId="7" r:id="rId5"/>
    <sheet name="Options" sheetId="9" r:id="rId6"/>
    <sheet name="Mortgage" sheetId="2" r:id="rId7"/>
  </sheets>
  <externalReferences>
    <externalReference r:id="rId8"/>
  </externalReference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5" i="7" l="1"/>
  <c r="C137" i="7"/>
  <c r="C128" i="7"/>
  <c r="N103" i="10"/>
  <c r="E43" i="10"/>
  <c r="F43" i="10"/>
  <c r="G43" i="10"/>
  <c r="H43" i="10"/>
  <c r="I43" i="10"/>
  <c r="J43" i="10"/>
  <c r="K43" i="10"/>
  <c r="L43" i="10"/>
  <c r="M43" i="10"/>
  <c r="N43" i="10"/>
  <c r="D43" i="10"/>
  <c r="R68" i="10"/>
  <c r="R69" i="10"/>
  <c r="D47" i="10"/>
  <c r="D48" i="10"/>
  <c r="D49" i="10"/>
  <c r="D72" i="10"/>
  <c r="E47" i="10"/>
  <c r="E48" i="10"/>
  <c r="E49" i="10"/>
  <c r="E72" i="10"/>
  <c r="F47" i="10"/>
  <c r="F48" i="10"/>
  <c r="F49" i="10"/>
  <c r="F72" i="10"/>
  <c r="G47" i="10"/>
  <c r="G48" i="10"/>
  <c r="G49" i="10"/>
  <c r="G72" i="10"/>
  <c r="H47" i="10"/>
  <c r="H48" i="10"/>
  <c r="H49" i="10"/>
  <c r="H72" i="10"/>
  <c r="I47" i="10"/>
  <c r="I48" i="10"/>
  <c r="I49" i="10"/>
  <c r="I72" i="10"/>
  <c r="J47" i="10"/>
  <c r="J48" i="10"/>
  <c r="J49" i="10"/>
  <c r="J72" i="10"/>
  <c r="K47" i="10"/>
  <c r="K48" i="10"/>
  <c r="K49" i="10"/>
  <c r="K72" i="10"/>
  <c r="L47" i="10"/>
  <c r="L48" i="10"/>
  <c r="L49" i="10"/>
  <c r="L72" i="10"/>
  <c r="M47" i="10"/>
  <c r="M48" i="10"/>
  <c r="M49" i="10"/>
  <c r="M72" i="10"/>
  <c r="N47" i="10"/>
  <c r="N48" i="10"/>
  <c r="N49" i="10"/>
  <c r="N72" i="10"/>
  <c r="R72" i="10"/>
  <c r="R73" i="10"/>
  <c r="S71" i="10"/>
  <c r="O72" i="10"/>
  <c r="L1" i="11"/>
  <c r="L4" i="11"/>
  <c r="D82" i="10"/>
  <c r="D83" i="10"/>
  <c r="D84" i="10"/>
  <c r="C101" i="10"/>
  <c r="D65" i="10"/>
  <c r="C100" i="10"/>
  <c r="C96" i="10"/>
  <c r="D58" i="10"/>
  <c r="C92" i="10"/>
  <c r="D56" i="10"/>
  <c r="C90" i="10"/>
  <c r="D55" i="10"/>
  <c r="C89" i="10"/>
  <c r="D53" i="10"/>
  <c r="C88" i="10"/>
  <c r="I6" i="11"/>
  <c r="B2" i="11"/>
  <c r="D2" i="11"/>
  <c r="I8" i="11"/>
  <c r="E2" i="11"/>
  <c r="C2" i="11"/>
  <c r="F2" i="11"/>
  <c r="B3" i="11"/>
  <c r="D3" i="11"/>
  <c r="E3" i="11"/>
  <c r="C3" i="11"/>
  <c r="F3" i="11"/>
  <c r="B4" i="11"/>
  <c r="D4" i="11"/>
  <c r="E4" i="11"/>
  <c r="C4" i="11"/>
  <c r="F4" i="11"/>
  <c r="B5" i="11"/>
  <c r="D5" i="11"/>
  <c r="E5" i="11"/>
  <c r="C5" i="11"/>
  <c r="F5" i="11"/>
  <c r="B6" i="11"/>
  <c r="D6" i="11"/>
  <c r="E6" i="11"/>
  <c r="C6" i="11"/>
  <c r="F6" i="11"/>
  <c r="B7" i="11"/>
  <c r="D7" i="11"/>
  <c r="E7" i="11"/>
  <c r="C7" i="11"/>
  <c r="F7" i="11"/>
  <c r="B8" i="11"/>
  <c r="D8" i="11"/>
  <c r="E8" i="11"/>
  <c r="C8" i="11"/>
  <c r="F8" i="11"/>
  <c r="B9" i="11"/>
  <c r="D9" i="11"/>
  <c r="E9" i="11"/>
  <c r="C9" i="11"/>
  <c r="F9" i="11"/>
  <c r="B10" i="11"/>
  <c r="D10" i="11"/>
  <c r="E10" i="11"/>
  <c r="C10" i="11"/>
  <c r="F10" i="11"/>
  <c r="B11" i="11"/>
  <c r="D11" i="11"/>
  <c r="E11" i="11"/>
  <c r="C11" i="11"/>
  <c r="F11" i="11"/>
  <c r="B12" i="11"/>
  <c r="D12" i="11"/>
  <c r="E12" i="11"/>
  <c r="C12" i="11"/>
  <c r="F12" i="11"/>
  <c r="B13" i="11"/>
  <c r="D13" i="11"/>
  <c r="D14" i="11"/>
  <c r="D44" i="10"/>
  <c r="D45" i="10"/>
  <c r="D81" i="10"/>
  <c r="F71" i="10"/>
  <c r="G71" i="10"/>
  <c r="H71" i="10"/>
  <c r="I71" i="10"/>
  <c r="J71" i="10"/>
  <c r="K71" i="10"/>
  <c r="L71" i="10"/>
  <c r="M71" i="10"/>
  <c r="N71" i="10"/>
  <c r="E71" i="10"/>
  <c r="D71" i="10"/>
  <c r="D41" i="10"/>
  <c r="D40" i="10"/>
  <c r="E17" i="10"/>
  <c r="F17" i="10"/>
  <c r="G17" i="10"/>
  <c r="H17" i="10"/>
  <c r="I17" i="10"/>
  <c r="J17" i="10"/>
  <c r="K17" i="10"/>
  <c r="L17" i="10"/>
  <c r="M17" i="10"/>
  <c r="N17" i="10"/>
  <c r="N53" i="10"/>
  <c r="M53" i="10"/>
  <c r="L53" i="10"/>
  <c r="K53" i="10"/>
  <c r="J53" i="10"/>
  <c r="I53" i="10"/>
  <c r="H53" i="10"/>
  <c r="G53" i="10"/>
  <c r="F53" i="10"/>
  <c r="E53" i="10"/>
  <c r="E15" i="10"/>
  <c r="F15" i="10"/>
  <c r="G15" i="10"/>
  <c r="H15" i="10"/>
  <c r="I15" i="10"/>
  <c r="J15" i="10"/>
  <c r="K15" i="10"/>
  <c r="L15" i="10"/>
  <c r="M15" i="10"/>
  <c r="N15" i="10"/>
  <c r="F12" i="10"/>
  <c r="G12" i="10"/>
  <c r="H12" i="10"/>
  <c r="I12" i="10"/>
  <c r="J12" i="10"/>
  <c r="K12" i="10"/>
  <c r="L12" i="10"/>
  <c r="M12" i="10"/>
  <c r="N12" i="10"/>
  <c r="J13" i="10"/>
  <c r="K13" i="10"/>
  <c r="L13" i="10"/>
  <c r="M13" i="10"/>
  <c r="N13" i="10"/>
  <c r="N14" i="10"/>
  <c r="N59" i="10"/>
  <c r="E59" i="10"/>
  <c r="F13" i="10"/>
  <c r="F14" i="10"/>
  <c r="F59" i="10"/>
  <c r="G13" i="10"/>
  <c r="G14" i="10"/>
  <c r="G59" i="10"/>
  <c r="H13" i="10"/>
  <c r="H14" i="10"/>
  <c r="H59" i="10"/>
  <c r="I14" i="10"/>
  <c r="I59" i="10"/>
  <c r="J14" i="10"/>
  <c r="J59" i="10"/>
  <c r="K14" i="10"/>
  <c r="K59" i="10"/>
  <c r="L14" i="10"/>
  <c r="L59" i="10"/>
  <c r="M14" i="10"/>
  <c r="M59" i="10"/>
  <c r="E13" i="10"/>
  <c r="E13" i="11"/>
  <c r="C13" i="11"/>
  <c r="F13" i="11"/>
  <c r="B16" i="11"/>
  <c r="E16" i="11"/>
  <c r="D16" i="11"/>
  <c r="C16" i="11"/>
  <c r="F16" i="11"/>
  <c r="B17" i="11"/>
  <c r="E17" i="11"/>
  <c r="D17" i="11"/>
  <c r="C17" i="11"/>
  <c r="F17" i="11"/>
  <c r="B18" i="11"/>
  <c r="E18" i="11"/>
  <c r="D18" i="11"/>
  <c r="C18" i="11"/>
  <c r="F18" i="11"/>
  <c r="B19" i="11"/>
  <c r="E19" i="11"/>
  <c r="D19" i="11"/>
  <c r="C19" i="11"/>
  <c r="F19" i="11"/>
  <c r="B20" i="11"/>
  <c r="E20" i="11"/>
  <c r="D20" i="11"/>
  <c r="C20" i="11"/>
  <c r="F20" i="11"/>
  <c r="B21" i="11"/>
  <c r="E21" i="11"/>
  <c r="D21" i="11"/>
  <c r="C21" i="11"/>
  <c r="F21" i="11"/>
  <c r="B22" i="11"/>
  <c r="E22" i="11"/>
  <c r="D22" i="11"/>
  <c r="C22" i="11"/>
  <c r="F22" i="11"/>
  <c r="B23" i="11"/>
  <c r="E23" i="11"/>
  <c r="D23" i="11"/>
  <c r="C23" i="11"/>
  <c r="F23" i="11"/>
  <c r="B24" i="11"/>
  <c r="E24" i="11"/>
  <c r="D24" i="11"/>
  <c r="C24" i="11"/>
  <c r="F24" i="11"/>
  <c r="B25" i="11"/>
  <c r="E25" i="11"/>
  <c r="D25" i="11"/>
  <c r="C25" i="11"/>
  <c r="F25" i="11"/>
  <c r="B26" i="11"/>
  <c r="E26" i="11"/>
  <c r="D26" i="11"/>
  <c r="C26" i="11"/>
  <c r="F26" i="11"/>
  <c r="B27" i="11"/>
  <c r="E27" i="11"/>
  <c r="D27" i="11"/>
  <c r="C27" i="11"/>
  <c r="F27" i="11"/>
  <c r="B30" i="11"/>
  <c r="E30" i="11"/>
  <c r="D30" i="11"/>
  <c r="C30" i="11"/>
  <c r="F30" i="11"/>
  <c r="B31" i="11"/>
  <c r="E31" i="11"/>
  <c r="D31" i="11"/>
  <c r="C31" i="11"/>
  <c r="F31" i="11"/>
  <c r="B32" i="11"/>
  <c r="E32" i="11"/>
  <c r="D32" i="11"/>
  <c r="C32" i="11"/>
  <c r="F32" i="11"/>
  <c r="B33" i="11"/>
  <c r="E33" i="11"/>
  <c r="D33" i="11"/>
  <c r="C33" i="11"/>
  <c r="F33" i="11"/>
  <c r="B34" i="11"/>
  <c r="E34" i="11"/>
  <c r="D34" i="11"/>
  <c r="C34" i="11"/>
  <c r="F34" i="11"/>
  <c r="B35" i="11"/>
  <c r="E35" i="11"/>
  <c r="D35" i="11"/>
  <c r="C35" i="11"/>
  <c r="F35" i="11"/>
  <c r="B36" i="11"/>
  <c r="E36" i="11"/>
  <c r="D36" i="11"/>
  <c r="C36" i="11"/>
  <c r="F36" i="11"/>
  <c r="B37" i="11"/>
  <c r="E37" i="11"/>
  <c r="D37" i="11"/>
  <c r="C37" i="11"/>
  <c r="F37" i="11"/>
  <c r="B38" i="11"/>
  <c r="E38" i="11"/>
  <c r="D38" i="11"/>
  <c r="C38" i="11"/>
  <c r="F38" i="11"/>
  <c r="B39" i="11"/>
  <c r="E39" i="11"/>
  <c r="D39" i="11"/>
  <c r="C39" i="11"/>
  <c r="F39" i="11"/>
  <c r="B40" i="11"/>
  <c r="E40" i="11"/>
  <c r="D40" i="11"/>
  <c r="C40" i="11"/>
  <c r="F40" i="11"/>
  <c r="B41" i="11"/>
  <c r="E41" i="11"/>
  <c r="D41" i="11"/>
  <c r="C41" i="11"/>
  <c r="F41" i="11"/>
  <c r="B44" i="11"/>
  <c r="E44" i="11"/>
  <c r="D44" i="11"/>
  <c r="C44" i="11"/>
  <c r="F44" i="11"/>
  <c r="B45" i="11"/>
  <c r="E45" i="11"/>
  <c r="D45" i="11"/>
  <c r="C45" i="11"/>
  <c r="F45" i="11"/>
  <c r="B46" i="11"/>
  <c r="E46" i="11"/>
  <c r="D46" i="11"/>
  <c r="C46" i="11"/>
  <c r="F46" i="11"/>
  <c r="B47" i="11"/>
  <c r="E47" i="11"/>
  <c r="D47" i="11"/>
  <c r="C47" i="11"/>
  <c r="F47" i="11"/>
  <c r="B48" i="11"/>
  <c r="E48" i="11"/>
  <c r="D48" i="11"/>
  <c r="C48" i="11"/>
  <c r="F48" i="11"/>
  <c r="B49" i="11"/>
  <c r="E49" i="11"/>
  <c r="D49" i="11"/>
  <c r="C49" i="11"/>
  <c r="F49" i="11"/>
  <c r="B50" i="11"/>
  <c r="E50" i="11"/>
  <c r="D50" i="11"/>
  <c r="C50" i="11"/>
  <c r="F50" i="11"/>
  <c r="B51" i="11"/>
  <c r="E51" i="11"/>
  <c r="D51" i="11"/>
  <c r="C51" i="11"/>
  <c r="F51" i="11"/>
  <c r="B52" i="11"/>
  <c r="E52" i="11"/>
  <c r="D52" i="11"/>
  <c r="C52" i="11"/>
  <c r="F52" i="11"/>
  <c r="B53" i="11"/>
  <c r="E53" i="11"/>
  <c r="D53" i="11"/>
  <c r="C53" i="11"/>
  <c r="F53" i="11"/>
  <c r="B54" i="11"/>
  <c r="E54" i="11"/>
  <c r="D54" i="11"/>
  <c r="C54" i="11"/>
  <c r="F54" i="11"/>
  <c r="B55" i="11"/>
  <c r="E55" i="11"/>
  <c r="D55" i="11"/>
  <c r="C55" i="11"/>
  <c r="F55" i="11"/>
  <c r="B58" i="11"/>
  <c r="E58" i="11"/>
  <c r="D58" i="11"/>
  <c r="C58" i="11"/>
  <c r="F58" i="11"/>
  <c r="B59" i="11"/>
  <c r="E59" i="11"/>
  <c r="D59" i="11"/>
  <c r="C59" i="11"/>
  <c r="F59" i="11"/>
  <c r="B60" i="11"/>
  <c r="E60" i="11"/>
  <c r="D60" i="11"/>
  <c r="C60" i="11"/>
  <c r="F60" i="11"/>
  <c r="B61" i="11"/>
  <c r="E61" i="11"/>
  <c r="D61" i="11"/>
  <c r="C61" i="11"/>
  <c r="F61" i="11"/>
  <c r="B62" i="11"/>
  <c r="E62" i="11"/>
  <c r="D62" i="11"/>
  <c r="C62" i="11"/>
  <c r="F62" i="11"/>
  <c r="B63" i="11"/>
  <c r="E63" i="11"/>
  <c r="D63" i="11"/>
  <c r="C63" i="11"/>
  <c r="F63" i="11"/>
  <c r="B64" i="11"/>
  <c r="E64" i="11"/>
  <c r="D64" i="11"/>
  <c r="C64" i="11"/>
  <c r="F64" i="11"/>
  <c r="B65" i="11"/>
  <c r="E65" i="11"/>
  <c r="D65" i="11"/>
  <c r="C65" i="11"/>
  <c r="F65" i="11"/>
  <c r="B66" i="11"/>
  <c r="E66" i="11"/>
  <c r="D66" i="11"/>
  <c r="C66" i="11"/>
  <c r="F66" i="11"/>
  <c r="B67" i="11"/>
  <c r="E67" i="11"/>
  <c r="D67" i="11"/>
  <c r="C67" i="11"/>
  <c r="F67" i="11"/>
  <c r="B68" i="11"/>
  <c r="E68" i="11"/>
  <c r="D68" i="11"/>
  <c r="C68" i="11"/>
  <c r="F68" i="11"/>
  <c r="B69" i="11"/>
  <c r="E69" i="11"/>
  <c r="D69" i="11"/>
  <c r="C69" i="11"/>
  <c r="F69" i="11"/>
  <c r="B72" i="11"/>
  <c r="E72" i="11"/>
  <c r="D72" i="11"/>
  <c r="C72" i="11"/>
  <c r="F72" i="11"/>
  <c r="B73" i="11"/>
  <c r="E73" i="11"/>
  <c r="D73" i="11"/>
  <c r="C73" i="11"/>
  <c r="F73" i="11"/>
  <c r="B74" i="11"/>
  <c r="E74" i="11"/>
  <c r="D74" i="11"/>
  <c r="C74" i="11"/>
  <c r="F74" i="11"/>
  <c r="B75" i="11"/>
  <c r="E75" i="11"/>
  <c r="D75" i="11"/>
  <c r="C75" i="11"/>
  <c r="F75" i="11"/>
  <c r="B76" i="11"/>
  <c r="E76" i="11"/>
  <c r="D76" i="11"/>
  <c r="C76" i="11"/>
  <c r="F76" i="11"/>
  <c r="B77" i="11"/>
  <c r="E77" i="11"/>
  <c r="D77" i="11"/>
  <c r="C77" i="11"/>
  <c r="F77" i="11"/>
  <c r="B78" i="11"/>
  <c r="E78" i="11"/>
  <c r="D78" i="11"/>
  <c r="C78" i="11"/>
  <c r="F78" i="11"/>
  <c r="B79" i="11"/>
  <c r="E79" i="11"/>
  <c r="D79" i="11"/>
  <c r="C79" i="11"/>
  <c r="F79" i="11"/>
  <c r="B80" i="11"/>
  <c r="E80" i="11"/>
  <c r="D80" i="11"/>
  <c r="C80" i="11"/>
  <c r="F80" i="11"/>
  <c r="B81" i="11"/>
  <c r="E81" i="11"/>
  <c r="D81" i="11"/>
  <c r="C81" i="11"/>
  <c r="F81" i="11"/>
  <c r="B82" i="11"/>
  <c r="E82" i="11"/>
  <c r="D82" i="11"/>
  <c r="C82" i="11"/>
  <c r="F82" i="11"/>
  <c r="B83" i="11"/>
  <c r="E83" i="11"/>
  <c r="D83" i="11"/>
  <c r="C83" i="11"/>
  <c r="F83" i="11"/>
  <c r="B86" i="11"/>
  <c r="E86" i="11"/>
  <c r="D86" i="11"/>
  <c r="C86" i="11"/>
  <c r="F86" i="11"/>
  <c r="B87" i="11"/>
  <c r="E87" i="11"/>
  <c r="D87" i="11"/>
  <c r="C87" i="11"/>
  <c r="F87" i="11"/>
  <c r="B88" i="11"/>
  <c r="E88" i="11"/>
  <c r="D88" i="11"/>
  <c r="C88" i="11"/>
  <c r="F88" i="11"/>
  <c r="B89" i="11"/>
  <c r="E89" i="11"/>
  <c r="D89" i="11"/>
  <c r="C89" i="11"/>
  <c r="F89" i="11"/>
  <c r="B90" i="11"/>
  <c r="E90" i="11"/>
  <c r="D90" i="11"/>
  <c r="C90" i="11"/>
  <c r="F90" i="11"/>
  <c r="B91" i="11"/>
  <c r="E91" i="11"/>
  <c r="D91" i="11"/>
  <c r="C91" i="11"/>
  <c r="F91" i="11"/>
  <c r="B92" i="11"/>
  <c r="E92" i="11"/>
  <c r="D92" i="11"/>
  <c r="C92" i="11"/>
  <c r="F92" i="11"/>
  <c r="B93" i="11"/>
  <c r="E93" i="11"/>
  <c r="D93" i="11"/>
  <c r="C93" i="11"/>
  <c r="F93" i="11"/>
  <c r="B94" i="11"/>
  <c r="E94" i="11"/>
  <c r="D94" i="11"/>
  <c r="C94" i="11"/>
  <c r="F94" i="11"/>
  <c r="B95" i="11"/>
  <c r="E95" i="11"/>
  <c r="D95" i="11"/>
  <c r="C95" i="11"/>
  <c r="F95" i="11"/>
  <c r="B96" i="11"/>
  <c r="E96" i="11"/>
  <c r="D96" i="11"/>
  <c r="C96" i="11"/>
  <c r="F96" i="11"/>
  <c r="B97" i="11"/>
  <c r="E97" i="11"/>
  <c r="D97" i="11"/>
  <c r="C97" i="11"/>
  <c r="F97" i="11"/>
  <c r="B100" i="11"/>
  <c r="E100" i="11"/>
  <c r="D100" i="11"/>
  <c r="C100" i="11"/>
  <c r="F100" i="11"/>
  <c r="B101" i="11"/>
  <c r="E101" i="11"/>
  <c r="D101" i="11"/>
  <c r="C101" i="11"/>
  <c r="F101" i="11"/>
  <c r="B102" i="11"/>
  <c r="E102" i="11"/>
  <c r="D102" i="11"/>
  <c r="C102" i="11"/>
  <c r="F102" i="11"/>
  <c r="B103" i="11"/>
  <c r="E103" i="11"/>
  <c r="D103" i="11"/>
  <c r="C103" i="11"/>
  <c r="F103" i="11"/>
  <c r="B104" i="11"/>
  <c r="E104" i="11"/>
  <c r="D104" i="11"/>
  <c r="C104" i="11"/>
  <c r="F104" i="11"/>
  <c r="B105" i="11"/>
  <c r="E105" i="11"/>
  <c r="D105" i="11"/>
  <c r="C105" i="11"/>
  <c r="F105" i="11"/>
  <c r="B106" i="11"/>
  <c r="E106" i="11"/>
  <c r="D106" i="11"/>
  <c r="C106" i="11"/>
  <c r="F106" i="11"/>
  <c r="B107" i="11"/>
  <c r="E107" i="11"/>
  <c r="D107" i="11"/>
  <c r="C107" i="11"/>
  <c r="F107" i="11"/>
  <c r="B108" i="11"/>
  <c r="E108" i="11"/>
  <c r="D108" i="11"/>
  <c r="C108" i="11"/>
  <c r="F108" i="11"/>
  <c r="B109" i="11"/>
  <c r="E109" i="11"/>
  <c r="D109" i="11"/>
  <c r="C109" i="11"/>
  <c r="F109" i="11"/>
  <c r="B110" i="11"/>
  <c r="E110" i="11"/>
  <c r="D110" i="11"/>
  <c r="C110" i="11"/>
  <c r="F110" i="11"/>
  <c r="B111" i="11"/>
  <c r="E111" i="11"/>
  <c r="D111" i="11"/>
  <c r="C111" i="11"/>
  <c r="F111" i="11"/>
  <c r="B114" i="11"/>
  <c r="E114" i="11"/>
  <c r="D114" i="11"/>
  <c r="C114" i="11"/>
  <c r="F114" i="11"/>
  <c r="B115" i="11"/>
  <c r="E115" i="11"/>
  <c r="D115" i="11"/>
  <c r="C115" i="11"/>
  <c r="F115" i="11"/>
  <c r="B116" i="11"/>
  <c r="E116" i="11"/>
  <c r="D116" i="11"/>
  <c r="C116" i="11"/>
  <c r="F116" i="11"/>
  <c r="B117" i="11"/>
  <c r="E117" i="11"/>
  <c r="D117" i="11"/>
  <c r="C117" i="11"/>
  <c r="F117" i="11"/>
  <c r="B118" i="11"/>
  <c r="E118" i="11"/>
  <c r="D118" i="11"/>
  <c r="C118" i="11"/>
  <c r="F118" i="11"/>
  <c r="B119" i="11"/>
  <c r="E119" i="11"/>
  <c r="D119" i="11"/>
  <c r="C119" i="11"/>
  <c r="F119" i="11"/>
  <c r="B120" i="11"/>
  <c r="E120" i="11"/>
  <c r="D120" i="11"/>
  <c r="C120" i="11"/>
  <c r="F120" i="11"/>
  <c r="B121" i="11"/>
  <c r="E121" i="11"/>
  <c r="D121" i="11"/>
  <c r="C121" i="11"/>
  <c r="F121" i="11"/>
  <c r="B122" i="11"/>
  <c r="E122" i="11"/>
  <c r="D122" i="11"/>
  <c r="C122" i="11"/>
  <c r="F122" i="11"/>
  <c r="B123" i="11"/>
  <c r="E123" i="11"/>
  <c r="D123" i="11"/>
  <c r="C123" i="11"/>
  <c r="F123" i="11"/>
  <c r="B124" i="11"/>
  <c r="E124" i="11"/>
  <c r="D124" i="11"/>
  <c r="C124" i="11"/>
  <c r="F124" i="11"/>
  <c r="B125" i="11"/>
  <c r="E125" i="11"/>
  <c r="D125" i="11"/>
  <c r="C125" i="11"/>
  <c r="F125" i="11"/>
  <c r="B128" i="11"/>
  <c r="E128" i="11"/>
  <c r="D128" i="11"/>
  <c r="C128" i="11"/>
  <c r="F128" i="11"/>
  <c r="B129" i="11"/>
  <c r="E129" i="11"/>
  <c r="D129" i="11"/>
  <c r="C129" i="11"/>
  <c r="F129" i="11"/>
  <c r="B130" i="11"/>
  <c r="E130" i="11"/>
  <c r="D130" i="11"/>
  <c r="C130" i="11"/>
  <c r="F130" i="11"/>
  <c r="B131" i="11"/>
  <c r="E131" i="11"/>
  <c r="D131" i="11"/>
  <c r="C131" i="11"/>
  <c r="F131" i="11"/>
  <c r="B132" i="11"/>
  <c r="E132" i="11"/>
  <c r="D132" i="11"/>
  <c r="C132" i="11"/>
  <c r="F132" i="11"/>
  <c r="B133" i="11"/>
  <c r="E133" i="11"/>
  <c r="D133" i="11"/>
  <c r="C133" i="11"/>
  <c r="F133" i="11"/>
  <c r="B134" i="11"/>
  <c r="E134" i="11"/>
  <c r="D134" i="11"/>
  <c r="C134" i="11"/>
  <c r="F134" i="11"/>
  <c r="B135" i="11"/>
  <c r="E135" i="11"/>
  <c r="D135" i="11"/>
  <c r="C135" i="11"/>
  <c r="F135" i="11"/>
  <c r="B136" i="11"/>
  <c r="E136" i="11"/>
  <c r="D136" i="11"/>
  <c r="C136" i="11"/>
  <c r="F136" i="11"/>
  <c r="B137" i="11"/>
  <c r="E137" i="11"/>
  <c r="D137" i="11"/>
  <c r="C137" i="11"/>
  <c r="F137" i="11"/>
  <c r="B138" i="11"/>
  <c r="E138" i="11"/>
  <c r="D138" i="11"/>
  <c r="C138" i="11"/>
  <c r="F138" i="11"/>
  <c r="B139" i="11"/>
  <c r="E139" i="11"/>
  <c r="D139" i="11"/>
  <c r="C139" i="11"/>
  <c r="F139" i="11"/>
  <c r="B142" i="11"/>
  <c r="E142" i="11"/>
  <c r="D142" i="11"/>
  <c r="C142" i="11"/>
  <c r="F142" i="11"/>
  <c r="B143" i="11"/>
  <c r="E143" i="11"/>
  <c r="D143" i="11"/>
  <c r="C143" i="11"/>
  <c r="F143" i="11"/>
  <c r="B144" i="11"/>
  <c r="E144" i="11"/>
  <c r="D144" i="11"/>
  <c r="C144" i="11"/>
  <c r="F144" i="11"/>
  <c r="B145" i="11"/>
  <c r="E145" i="11"/>
  <c r="D145" i="11"/>
  <c r="C145" i="11"/>
  <c r="F145" i="11"/>
  <c r="B146" i="11"/>
  <c r="E146" i="11"/>
  <c r="D146" i="11"/>
  <c r="C146" i="11"/>
  <c r="F146" i="11"/>
  <c r="B147" i="11"/>
  <c r="E147" i="11"/>
  <c r="D147" i="11"/>
  <c r="C147" i="11"/>
  <c r="F147" i="11"/>
  <c r="B148" i="11"/>
  <c r="E148" i="11"/>
  <c r="D148" i="11"/>
  <c r="C148" i="11"/>
  <c r="F148" i="11"/>
  <c r="B149" i="11"/>
  <c r="E149" i="11"/>
  <c r="D149" i="11"/>
  <c r="C149" i="11"/>
  <c r="F149" i="11"/>
  <c r="B150" i="11"/>
  <c r="E150" i="11"/>
  <c r="D150" i="11"/>
  <c r="C150" i="11"/>
  <c r="F150" i="11"/>
  <c r="B151" i="11"/>
  <c r="E151" i="11"/>
  <c r="D151" i="11"/>
  <c r="C151" i="11"/>
  <c r="F151" i="11"/>
  <c r="B152" i="11"/>
  <c r="E152" i="11"/>
  <c r="D152" i="11"/>
  <c r="C152" i="11"/>
  <c r="F152" i="11"/>
  <c r="B153" i="11"/>
  <c r="E153" i="11"/>
  <c r="D153" i="11"/>
  <c r="C153" i="11"/>
  <c r="F153" i="11"/>
  <c r="N68" i="10"/>
  <c r="M68" i="10"/>
  <c r="L68" i="10"/>
  <c r="K68" i="10"/>
  <c r="J68" i="10"/>
  <c r="I68" i="10"/>
  <c r="H68" i="10"/>
  <c r="G68" i="10"/>
  <c r="F68" i="10"/>
  <c r="E68" i="10"/>
  <c r="D68" i="10"/>
  <c r="D154" i="11"/>
  <c r="N44" i="10"/>
  <c r="D140" i="11"/>
  <c r="M44" i="10"/>
  <c r="D126" i="11"/>
  <c r="L44" i="10"/>
  <c r="D112" i="11"/>
  <c r="K44" i="10"/>
  <c r="D98" i="11"/>
  <c r="J44" i="10"/>
  <c r="D84" i="11"/>
  <c r="I44" i="10"/>
  <c r="D70" i="11"/>
  <c r="H44" i="10"/>
  <c r="D56" i="11"/>
  <c r="G44" i="10"/>
  <c r="D42" i="11"/>
  <c r="F44" i="10"/>
  <c r="I2" i="11"/>
  <c r="I4" i="11"/>
  <c r="B156" i="11"/>
  <c r="E156" i="11"/>
  <c r="D156" i="11"/>
  <c r="C156" i="11"/>
  <c r="F156" i="11"/>
  <c r="B157" i="11"/>
  <c r="E157" i="11"/>
  <c r="D157" i="11"/>
  <c r="C157" i="11"/>
  <c r="F157" i="11"/>
  <c r="B158" i="11"/>
  <c r="E158" i="11"/>
  <c r="D158" i="11"/>
  <c r="C158" i="11"/>
  <c r="F158" i="11"/>
  <c r="B159" i="11"/>
  <c r="E159" i="11"/>
  <c r="D159" i="11"/>
  <c r="C159" i="11"/>
  <c r="F159" i="11"/>
  <c r="B160" i="11"/>
  <c r="E160" i="11"/>
  <c r="D160" i="11"/>
  <c r="C160" i="11"/>
  <c r="F160" i="11"/>
  <c r="B161" i="11"/>
  <c r="E161" i="11"/>
  <c r="D161" i="11"/>
  <c r="C161" i="11"/>
  <c r="F161" i="11"/>
  <c r="B162" i="11"/>
  <c r="E162" i="11"/>
  <c r="D162" i="11"/>
  <c r="C162" i="11"/>
  <c r="F162" i="11"/>
  <c r="B163" i="11"/>
  <c r="E163" i="11"/>
  <c r="D163" i="11"/>
  <c r="C163" i="11"/>
  <c r="F163" i="11"/>
  <c r="B164" i="11"/>
  <c r="E164" i="11"/>
  <c r="D164" i="11"/>
  <c r="C164" i="11"/>
  <c r="F164" i="11"/>
  <c r="B165" i="11"/>
  <c r="E165" i="11"/>
  <c r="D165" i="11"/>
  <c r="C165" i="11"/>
  <c r="F165" i="11"/>
  <c r="B166" i="11"/>
  <c r="E166" i="11"/>
  <c r="D166" i="11"/>
  <c r="C166" i="11"/>
  <c r="F166" i="11"/>
  <c r="B167" i="11"/>
  <c r="E167" i="11"/>
  <c r="D167" i="11"/>
  <c r="C167" i="11"/>
  <c r="F167" i="11"/>
  <c r="B170" i="11"/>
  <c r="D170" i="11"/>
  <c r="E170" i="11"/>
  <c r="C170" i="11"/>
  <c r="F170" i="11"/>
  <c r="B171" i="11"/>
  <c r="D171" i="11"/>
  <c r="E171" i="11"/>
  <c r="C171" i="11"/>
  <c r="F171" i="11"/>
  <c r="B172" i="11"/>
  <c r="D172" i="11"/>
  <c r="E172" i="11"/>
  <c r="C172" i="11"/>
  <c r="F172" i="11"/>
  <c r="B173" i="11"/>
  <c r="D173" i="11"/>
  <c r="E173" i="11"/>
  <c r="C173" i="11"/>
  <c r="F173" i="11"/>
  <c r="B174" i="11"/>
  <c r="D174" i="11"/>
  <c r="E174" i="11"/>
  <c r="C174" i="11"/>
  <c r="F174" i="11"/>
  <c r="B175" i="11"/>
  <c r="D175" i="11"/>
  <c r="E175" i="11"/>
  <c r="C175" i="11"/>
  <c r="F175" i="11"/>
  <c r="B176" i="11"/>
  <c r="D176" i="11"/>
  <c r="E176" i="11"/>
  <c r="C176" i="11"/>
  <c r="F176" i="11"/>
  <c r="B177" i="11"/>
  <c r="D177" i="11"/>
  <c r="E177" i="11"/>
  <c r="C177" i="11"/>
  <c r="F177" i="11"/>
  <c r="B178" i="11"/>
  <c r="D178" i="11"/>
  <c r="E178" i="11"/>
  <c r="C178" i="11"/>
  <c r="F178" i="11"/>
  <c r="B179" i="11"/>
  <c r="D179" i="11"/>
  <c r="E179" i="11"/>
  <c r="C179" i="11"/>
  <c r="F179" i="11"/>
  <c r="B180" i="11"/>
  <c r="D180" i="11"/>
  <c r="E180" i="11"/>
  <c r="C180" i="11"/>
  <c r="F180" i="11"/>
  <c r="B181" i="11"/>
  <c r="D181" i="11"/>
  <c r="D182" i="11"/>
  <c r="E181" i="11"/>
  <c r="C181" i="11"/>
  <c r="C182" i="11"/>
  <c r="F181" i="11"/>
  <c r="D168" i="11"/>
  <c r="C168" i="11"/>
  <c r="C154" i="11"/>
  <c r="C140" i="11"/>
  <c r="C126" i="11"/>
  <c r="C112" i="11"/>
  <c r="C98" i="11"/>
  <c r="C84" i="11"/>
  <c r="C70" i="11"/>
  <c r="C56" i="11"/>
  <c r="C42" i="11"/>
  <c r="D28" i="11"/>
  <c r="C28" i="11"/>
  <c r="C14" i="11"/>
  <c r="E44" i="10"/>
  <c r="R71" i="10"/>
  <c r="D31" i="10"/>
  <c r="D32" i="10"/>
  <c r="D33" i="10"/>
  <c r="D5" i="10"/>
  <c r="D35" i="10"/>
  <c r="D8" i="10"/>
  <c r="D36" i="10"/>
  <c r="D11" i="10"/>
  <c r="D37" i="10"/>
  <c r="D14" i="10"/>
  <c r="D59" i="10"/>
  <c r="P60" i="10"/>
  <c r="E3" i="10"/>
  <c r="E4" i="10"/>
  <c r="E31" i="10"/>
  <c r="E6" i="10"/>
  <c r="E7" i="10"/>
  <c r="E32" i="10"/>
  <c r="E9" i="10"/>
  <c r="E10" i="10"/>
  <c r="E33" i="10"/>
  <c r="E5" i="10"/>
  <c r="E35" i="10"/>
  <c r="E8" i="10"/>
  <c r="E36" i="10"/>
  <c r="E11" i="10"/>
  <c r="E37" i="10"/>
  <c r="O40" i="10"/>
  <c r="E40" i="10"/>
  <c r="E41" i="10"/>
  <c r="E45" i="10"/>
  <c r="F3" i="10"/>
  <c r="F4" i="10"/>
  <c r="F31" i="10"/>
  <c r="F6" i="10"/>
  <c r="F7" i="10"/>
  <c r="F32" i="10"/>
  <c r="F9" i="10"/>
  <c r="F10" i="10"/>
  <c r="F33" i="10"/>
  <c r="F5" i="10"/>
  <c r="F35" i="10"/>
  <c r="F8" i="10"/>
  <c r="F36" i="10"/>
  <c r="F11" i="10"/>
  <c r="F37" i="10"/>
  <c r="F40" i="10"/>
  <c r="F41" i="10"/>
  <c r="F45" i="10"/>
  <c r="G3" i="10"/>
  <c r="G4" i="10"/>
  <c r="G31" i="10"/>
  <c r="G6" i="10"/>
  <c r="G7" i="10"/>
  <c r="G32" i="10"/>
  <c r="G9" i="10"/>
  <c r="G10" i="10"/>
  <c r="G33" i="10"/>
  <c r="G5" i="10"/>
  <c r="G35" i="10"/>
  <c r="G8" i="10"/>
  <c r="G36" i="10"/>
  <c r="G11" i="10"/>
  <c r="G37" i="10"/>
  <c r="G40" i="10"/>
  <c r="G41" i="10"/>
  <c r="G45" i="10"/>
  <c r="H3" i="10"/>
  <c r="H4" i="10"/>
  <c r="H31" i="10"/>
  <c r="H6" i="10"/>
  <c r="H7" i="10"/>
  <c r="H32" i="10"/>
  <c r="H9" i="10"/>
  <c r="H10" i="10"/>
  <c r="H33" i="10"/>
  <c r="H5" i="10"/>
  <c r="H35" i="10"/>
  <c r="H8" i="10"/>
  <c r="H36" i="10"/>
  <c r="H11" i="10"/>
  <c r="H37" i="10"/>
  <c r="H40" i="10"/>
  <c r="H41" i="10"/>
  <c r="H45" i="10"/>
  <c r="I3" i="10"/>
  <c r="I4" i="10"/>
  <c r="I31" i="10"/>
  <c r="I6" i="10"/>
  <c r="I7" i="10"/>
  <c r="I32" i="10"/>
  <c r="I9" i="10"/>
  <c r="I10" i="10"/>
  <c r="I33" i="10"/>
  <c r="I5" i="10"/>
  <c r="I35" i="10"/>
  <c r="I8" i="10"/>
  <c r="I36" i="10"/>
  <c r="I11" i="10"/>
  <c r="I37" i="10"/>
  <c r="I40" i="10"/>
  <c r="I41" i="10"/>
  <c r="I45" i="10"/>
  <c r="J3" i="10"/>
  <c r="J4" i="10"/>
  <c r="J31" i="10"/>
  <c r="J6" i="10"/>
  <c r="J7" i="10"/>
  <c r="J32" i="10"/>
  <c r="J9" i="10"/>
  <c r="J10" i="10"/>
  <c r="J33" i="10"/>
  <c r="J5" i="10"/>
  <c r="J35" i="10"/>
  <c r="J8" i="10"/>
  <c r="J36" i="10"/>
  <c r="J11" i="10"/>
  <c r="J37" i="10"/>
  <c r="J40" i="10"/>
  <c r="J41" i="10"/>
  <c r="J45" i="10"/>
  <c r="K3" i="10"/>
  <c r="K4" i="10"/>
  <c r="K31" i="10"/>
  <c r="K6" i="10"/>
  <c r="K7" i="10"/>
  <c r="K32" i="10"/>
  <c r="K9" i="10"/>
  <c r="K10" i="10"/>
  <c r="K33" i="10"/>
  <c r="K5" i="10"/>
  <c r="K35" i="10"/>
  <c r="K8" i="10"/>
  <c r="K36" i="10"/>
  <c r="K11" i="10"/>
  <c r="K37" i="10"/>
  <c r="K40" i="10"/>
  <c r="K41" i="10"/>
  <c r="K45" i="10"/>
  <c r="L3" i="10"/>
  <c r="L4" i="10"/>
  <c r="L31" i="10"/>
  <c r="L6" i="10"/>
  <c r="L7" i="10"/>
  <c r="L32" i="10"/>
  <c r="L9" i="10"/>
  <c r="L10" i="10"/>
  <c r="L33" i="10"/>
  <c r="L5" i="10"/>
  <c r="L35" i="10"/>
  <c r="L8" i="10"/>
  <c r="L36" i="10"/>
  <c r="L11" i="10"/>
  <c r="L37" i="10"/>
  <c r="L40" i="10"/>
  <c r="L41" i="10"/>
  <c r="L45" i="10"/>
  <c r="M3" i="10"/>
  <c r="M4" i="10"/>
  <c r="M31" i="10"/>
  <c r="M6" i="10"/>
  <c r="M7" i="10"/>
  <c r="M32" i="10"/>
  <c r="M9" i="10"/>
  <c r="M10" i="10"/>
  <c r="M33" i="10"/>
  <c r="M5" i="10"/>
  <c r="M35" i="10"/>
  <c r="M8" i="10"/>
  <c r="M36" i="10"/>
  <c r="M11" i="10"/>
  <c r="M37" i="10"/>
  <c r="M40" i="10"/>
  <c r="M41" i="10"/>
  <c r="M45" i="10"/>
  <c r="N3" i="10"/>
  <c r="N4" i="10"/>
  <c r="N31" i="10"/>
  <c r="N6" i="10"/>
  <c r="N7" i="10"/>
  <c r="N32" i="10"/>
  <c r="N9" i="10"/>
  <c r="N10" i="10"/>
  <c r="N33" i="10"/>
  <c r="N5" i="10"/>
  <c r="N35" i="10"/>
  <c r="N8" i="10"/>
  <c r="N36" i="10"/>
  <c r="N11" i="10"/>
  <c r="N37" i="10"/>
  <c r="N40" i="10"/>
  <c r="N41" i="10"/>
  <c r="N45" i="10"/>
  <c r="S68" i="10"/>
  <c r="U58" i="10"/>
  <c r="U68" i="10"/>
  <c r="V68" i="10"/>
  <c r="S69" i="10"/>
  <c r="U69" i="10"/>
  <c r="V69" i="10"/>
  <c r="S58" i="10"/>
  <c r="S59" i="10"/>
  <c r="S60" i="10"/>
  <c r="S65" i="10"/>
  <c r="T71" i="10"/>
  <c r="U71" i="10"/>
  <c r="V71" i="10"/>
  <c r="V73" i="10"/>
  <c r="C108" i="10"/>
  <c r="D85" i="10"/>
  <c r="D88" i="10"/>
  <c r="E18" i="10"/>
  <c r="E55" i="10"/>
  <c r="D89" i="10"/>
  <c r="E19" i="10"/>
  <c r="E56" i="10"/>
  <c r="D90" i="10"/>
  <c r="E58" i="10"/>
  <c r="D92" i="10"/>
  <c r="D96" i="10"/>
  <c r="E65" i="10"/>
  <c r="D100" i="10"/>
  <c r="E81" i="10"/>
  <c r="E82" i="10"/>
  <c r="E83" i="10"/>
  <c r="E84" i="10"/>
  <c r="D101" i="10"/>
  <c r="D105" i="10"/>
  <c r="E85" i="10"/>
  <c r="E88" i="10"/>
  <c r="F18" i="10"/>
  <c r="F55" i="10"/>
  <c r="E89" i="10"/>
  <c r="F19" i="10"/>
  <c r="F56" i="10"/>
  <c r="E90" i="10"/>
  <c r="F58" i="10"/>
  <c r="E92" i="10"/>
  <c r="E96" i="10"/>
  <c r="F65" i="10"/>
  <c r="E100" i="10"/>
  <c r="F81" i="10"/>
  <c r="F82" i="10"/>
  <c r="F83" i="10"/>
  <c r="F84" i="10"/>
  <c r="E101" i="10"/>
  <c r="E105" i="10"/>
  <c r="F85" i="10"/>
  <c r="F88" i="10"/>
  <c r="G18" i="10"/>
  <c r="G55" i="10"/>
  <c r="F89" i="10"/>
  <c r="G19" i="10"/>
  <c r="G56" i="10"/>
  <c r="F90" i="10"/>
  <c r="G58" i="10"/>
  <c r="F92" i="10"/>
  <c r="F96" i="10"/>
  <c r="G65" i="10"/>
  <c r="F100" i="10"/>
  <c r="G81" i="10"/>
  <c r="G82" i="10"/>
  <c r="G83" i="10"/>
  <c r="G84" i="10"/>
  <c r="F101" i="10"/>
  <c r="F105" i="10"/>
  <c r="G85" i="10"/>
  <c r="G88" i="10"/>
  <c r="H18" i="10"/>
  <c r="H55" i="10"/>
  <c r="G89" i="10"/>
  <c r="H19" i="10"/>
  <c r="H56" i="10"/>
  <c r="G90" i="10"/>
  <c r="H58" i="10"/>
  <c r="G92" i="10"/>
  <c r="G96" i="10"/>
  <c r="H65" i="10"/>
  <c r="G100" i="10"/>
  <c r="H81" i="10"/>
  <c r="H82" i="10"/>
  <c r="H83" i="10"/>
  <c r="H84" i="10"/>
  <c r="G101" i="10"/>
  <c r="G105" i="10"/>
  <c r="H85" i="10"/>
  <c r="H88" i="10"/>
  <c r="I18" i="10"/>
  <c r="I55" i="10"/>
  <c r="H89" i="10"/>
  <c r="I19" i="10"/>
  <c r="I56" i="10"/>
  <c r="H90" i="10"/>
  <c r="I58" i="10"/>
  <c r="H92" i="10"/>
  <c r="H96" i="10"/>
  <c r="I65" i="10"/>
  <c r="H100" i="10"/>
  <c r="I81" i="10"/>
  <c r="I82" i="10"/>
  <c r="I83" i="10"/>
  <c r="I84" i="10"/>
  <c r="H101" i="10"/>
  <c r="H105" i="10"/>
  <c r="I85" i="10"/>
  <c r="I88" i="10"/>
  <c r="J18" i="10"/>
  <c r="J55" i="10"/>
  <c r="I89" i="10"/>
  <c r="J19" i="10"/>
  <c r="J56" i="10"/>
  <c r="I90" i="10"/>
  <c r="J58" i="10"/>
  <c r="I92" i="10"/>
  <c r="I96" i="10"/>
  <c r="J65" i="10"/>
  <c r="I100" i="10"/>
  <c r="J81" i="10"/>
  <c r="J82" i="10"/>
  <c r="J83" i="10"/>
  <c r="J84" i="10"/>
  <c r="I101" i="10"/>
  <c r="I105" i="10"/>
  <c r="J85" i="10"/>
  <c r="J88" i="10"/>
  <c r="K18" i="10"/>
  <c r="K55" i="10"/>
  <c r="J89" i="10"/>
  <c r="K19" i="10"/>
  <c r="K56" i="10"/>
  <c r="J90" i="10"/>
  <c r="K58" i="10"/>
  <c r="J92" i="10"/>
  <c r="J96" i="10"/>
  <c r="K65" i="10"/>
  <c r="J100" i="10"/>
  <c r="K81" i="10"/>
  <c r="K82" i="10"/>
  <c r="K83" i="10"/>
  <c r="K84" i="10"/>
  <c r="J101" i="10"/>
  <c r="J105" i="10"/>
  <c r="K85" i="10"/>
  <c r="K88" i="10"/>
  <c r="L18" i="10"/>
  <c r="L55" i="10"/>
  <c r="K89" i="10"/>
  <c r="L19" i="10"/>
  <c r="L56" i="10"/>
  <c r="K90" i="10"/>
  <c r="L58" i="10"/>
  <c r="K92" i="10"/>
  <c r="K96" i="10"/>
  <c r="L65" i="10"/>
  <c r="K100" i="10"/>
  <c r="L81" i="10"/>
  <c r="L82" i="10"/>
  <c r="L83" i="10"/>
  <c r="L84" i="10"/>
  <c r="K101" i="10"/>
  <c r="K105" i="10"/>
  <c r="L85" i="10"/>
  <c r="L88" i="10"/>
  <c r="M18" i="10"/>
  <c r="M55" i="10"/>
  <c r="L89" i="10"/>
  <c r="M19" i="10"/>
  <c r="M56" i="10"/>
  <c r="L90" i="10"/>
  <c r="M58" i="10"/>
  <c r="L92" i="10"/>
  <c r="L96" i="10"/>
  <c r="M65" i="10"/>
  <c r="L100" i="10"/>
  <c r="M81" i="10"/>
  <c r="M82" i="10"/>
  <c r="M83" i="10"/>
  <c r="M84" i="10"/>
  <c r="L101" i="10"/>
  <c r="L105" i="10"/>
  <c r="M85" i="10"/>
  <c r="M88" i="10"/>
  <c r="N18" i="10"/>
  <c r="N55" i="10"/>
  <c r="M89" i="10"/>
  <c r="N19" i="10"/>
  <c r="N56" i="10"/>
  <c r="M90" i="10"/>
  <c r="N58" i="10"/>
  <c r="M92" i="10"/>
  <c r="M96" i="10"/>
  <c r="N65" i="10"/>
  <c r="M100" i="10"/>
  <c r="N81" i="10"/>
  <c r="N82" i="10"/>
  <c r="N83" i="10"/>
  <c r="N84" i="10"/>
  <c r="M101" i="10"/>
  <c r="M105" i="10"/>
  <c r="N85" i="10"/>
  <c r="N88" i="10"/>
  <c r="N89" i="10"/>
  <c r="N90" i="10"/>
  <c r="N92" i="10"/>
  <c r="N93" i="10"/>
  <c r="P93" i="10"/>
  <c r="P94" i="10"/>
  <c r="N94" i="10"/>
  <c r="N96" i="10"/>
  <c r="N97" i="10"/>
  <c r="P97" i="10"/>
  <c r="P98" i="10"/>
  <c r="N98" i="10"/>
  <c r="N100" i="10"/>
  <c r="N101" i="10"/>
  <c r="N105" i="10"/>
  <c r="C109" i="10"/>
  <c r="C105" i="10"/>
  <c r="C106" i="10"/>
  <c r="D60" i="10"/>
  <c r="E60" i="10"/>
  <c r="F60" i="10"/>
  <c r="G60" i="10"/>
  <c r="H60" i="10"/>
  <c r="I60" i="10"/>
  <c r="J60" i="10"/>
  <c r="K60" i="10"/>
  <c r="L60" i="10"/>
  <c r="M60" i="10"/>
  <c r="N60" i="10"/>
  <c r="N62" i="10"/>
  <c r="N66" i="10"/>
  <c r="N74" i="10"/>
  <c r="N76" i="10"/>
  <c r="M62" i="10"/>
  <c r="M66" i="10"/>
  <c r="M74" i="10"/>
  <c r="M76" i="10"/>
  <c r="L62" i="10"/>
  <c r="L66" i="10"/>
  <c r="L74" i="10"/>
  <c r="L76" i="10"/>
  <c r="K62" i="10"/>
  <c r="K66" i="10"/>
  <c r="K74" i="10"/>
  <c r="K76" i="10"/>
  <c r="J62" i="10"/>
  <c r="J66" i="10"/>
  <c r="J74" i="10"/>
  <c r="J76" i="10"/>
  <c r="I62" i="10"/>
  <c r="I66" i="10"/>
  <c r="I74" i="10"/>
  <c r="I76" i="10"/>
  <c r="H62" i="10"/>
  <c r="H66" i="10"/>
  <c r="H74" i="10"/>
  <c r="H76" i="10"/>
  <c r="G62" i="10"/>
  <c r="G66" i="10"/>
  <c r="G74" i="10"/>
  <c r="G76" i="10"/>
  <c r="F62" i="10"/>
  <c r="F66" i="10"/>
  <c r="F74" i="10"/>
  <c r="F76" i="10"/>
  <c r="E62" i="10"/>
  <c r="E66" i="10"/>
  <c r="E74" i="10"/>
  <c r="E76" i="10"/>
  <c r="D62" i="10"/>
  <c r="D66" i="10"/>
  <c r="D74" i="10"/>
  <c r="D76" i="10"/>
  <c r="S73" i="10"/>
  <c r="O71" i="10"/>
  <c r="O73" i="10"/>
  <c r="O68" i="10"/>
  <c r="O69" i="10"/>
  <c r="O70" i="10"/>
  <c r="E12" i="10"/>
  <c r="E14" i="10"/>
  <c r="J15" i="9"/>
  <c r="J12" i="9"/>
  <c r="K12" i="9"/>
  <c r="L12" i="9"/>
  <c r="M12" i="9"/>
  <c r="N12" i="9"/>
  <c r="I12" i="9"/>
  <c r="C12" i="9"/>
  <c r="E15" i="9"/>
  <c r="B10" i="9"/>
  <c r="H11" i="9"/>
  <c r="I15" i="9"/>
  <c r="C14" i="9"/>
  <c r="D11" i="9"/>
  <c r="E11" i="9"/>
  <c r="F11" i="9"/>
  <c r="G11" i="9"/>
  <c r="I11" i="9"/>
  <c r="J11" i="9"/>
  <c r="K11" i="9"/>
  <c r="L11" i="9"/>
  <c r="M11" i="9"/>
  <c r="N11" i="9"/>
  <c r="C11" i="9"/>
  <c r="D2" i="9"/>
  <c r="E2" i="9"/>
  <c r="C4" i="9"/>
  <c r="I63" i="1"/>
  <c r="E12" i="1"/>
  <c r="F12" i="1"/>
  <c r="G12" i="1"/>
  <c r="H12" i="1"/>
  <c r="E13" i="1"/>
  <c r="F13" i="1"/>
  <c r="G13" i="1"/>
  <c r="H13" i="1"/>
  <c r="H14" i="1"/>
  <c r="H63" i="1"/>
  <c r="H100" i="1"/>
  <c r="E3" i="1"/>
  <c r="F3" i="1"/>
  <c r="G3" i="1"/>
  <c r="H3" i="1"/>
  <c r="E4" i="1"/>
  <c r="F4" i="1"/>
  <c r="G4" i="1"/>
  <c r="H4" i="1"/>
  <c r="H35" i="1"/>
  <c r="E6" i="1"/>
  <c r="F6" i="1"/>
  <c r="G6" i="1"/>
  <c r="H6" i="1"/>
  <c r="E7" i="1"/>
  <c r="F7" i="1"/>
  <c r="G7" i="1"/>
  <c r="H7" i="1"/>
  <c r="H36" i="1"/>
  <c r="E9" i="1"/>
  <c r="F9" i="1"/>
  <c r="G9" i="1"/>
  <c r="H9" i="1"/>
  <c r="E10" i="1"/>
  <c r="F10" i="1"/>
  <c r="G10" i="1"/>
  <c r="H10" i="1"/>
  <c r="H37" i="1"/>
  <c r="H5" i="1"/>
  <c r="H39" i="1"/>
  <c r="H8" i="1"/>
  <c r="H40" i="1"/>
  <c r="H11" i="1"/>
  <c r="H41" i="1"/>
  <c r="F29" i="1"/>
  <c r="F28" i="1"/>
  <c r="D44" i="1"/>
  <c r="D35" i="1"/>
  <c r="D36" i="1"/>
  <c r="D37" i="1"/>
  <c r="O44" i="1"/>
  <c r="H44" i="1"/>
  <c r="D14" i="1"/>
  <c r="D16" i="1"/>
  <c r="D17" i="1"/>
  <c r="D45" i="1"/>
  <c r="E45" i="1"/>
  <c r="F45" i="1"/>
  <c r="G45" i="1"/>
  <c r="H45" i="1"/>
  <c r="H85" i="1"/>
  <c r="G14" i="1"/>
  <c r="G63" i="1"/>
  <c r="P64" i="1"/>
  <c r="H47" i="1"/>
  <c r="H86" i="1"/>
  <c r="H87" i="1"/>
  <c r="U62" i="1"/>
  <c r="H88" i="1"/>
  <c r="H89" i="1"/>
  <c r="D57" i="1"/>
  <c r="E57" i="1"/>
  <c r="F57" i="1"/>
  <c r="G57" i="1"/>
  <c r="H57" i="1"/>
  <c r="I57" i="1"/>
  <c r="H92" i="1"/>
  <c r="I3" i="1"/>
  <c r="I4" i="1"/>
  <c r="I35" i="1"/>
  <c r="I6" i="1"/>
  <c r="I7" i="1"/>
  <c r="I36" i="1"/>
  <c r="E19" i="1"/>
  <c r="F19" i="1"/>
  <c r="G19" i="1"/>
  <c r="H19" i="1"/>
  <c r="I19" i="1"/>
  <c r="I59" i="1"/>
  <c r="H59" i="1"/>
  <c r="H93" i="1"/>
  <c r="I5" i="1"/>
  <c r="I39" i="1"/>
  <c r="I8" i="1"/>
  <c r="I40" i="1"/>
  <c r="E20" i="1"/>
  <c r="F20" i="1"/>
  <c r="G20" i="1"/>
  <c r="H20" i="1"/>
  <c r="I20" i="1"/>
  <c r="I9" i="1"/>
  <c r="I10" i="1"/>
  <c r="I11" i="1"/>
  <c r="I41" i="1"/>
  <c r="I60" i="1"/>
  <c r="H60" i="1"/>
  <c r="H94" i="1"/>
  <c r="D62" i="1"/>
  <c r="E62" i="1"/>
  <c r="F62" i="1"/>
  <c r="G62" i="1"/>
  <c r="H62" i="1"/>
  <c r="I62" i="1"/>
  <c r="H96" i="1"/>
  <c r="I69" i="1"/>
  <c r="H69" i="1"/>
  <c r="H104" i="1"/>
  <c r="I37" i="1"/>
  <c r="I44" i="1"/>
  <c r="I45" i="1"/>
  <c r="I85" i="1"/>
  <c r="I47" i="1"/>
  <c r="I86" i="1"/>
  <c r="I87" i="1"/>
  <c r="I88" i="1"/>
  <c r="H105" i="1"/>
  <c r="H109" i="1"/>
  <c r="J63" i="1"/>
  <c r="I100" i="1"/>
  <c r="I89" i="1"/>
  <c r="J57" i="1"/>
  <c r="I92" i="1"/>
  <c r="J3" i="1"/>
  <c r="J4" i="1"/>
  <c r="J35" i="1"/>
  <c r="J6" i="1"/>
  <c r="J7" i="1"/>
  <c r="J36" i="1"/>
  <c r="J19" i="1"/>
  <c r="J59" i="1"/>
  <c r="I93" i="1"/>
  <c r="J5" i="1"/>
  <c r="J39" i="1"/>
  <c r="J8" i="1"/>
  <c r="J40" i="1"/>
  <c r="J20" i="1"/>
  <c r="J9" i="1"/>
  <c r="J10" i="1"/>
  <c r="J11" i="1"/>
  <c r="J41" i="1"/>
  <c r="J60" i="1"/>
  <c r="I94" i="1"/>
  <c r="J62" i="1"/>
  <c r="I96" i="1"/>
  <c r="J69" i="1"/>
  <c r="I104" i="1"/>
  <c r="J37" i="1"/>
  <c r="J44" i="1"/>
  <c r="J45" i="1"/>
  <c r="J85" i="1"/>
  <c r="J47" i="1"/>
  <c r="J86" i="1"/>
  <c r="J87" i="1"/>
  <c r="J88" i="1"/>
  <c r="I105" i="1"/>
  <c r="I109" i="1"/>
  <c r="K63" i="1"/>
  <c r="J100" i="1"/>
  <c r="J89" i="1"/>
  <c r="K57" i="1"/>
  <c r="J92" i="1"/>
  <c r="K3" i="1"/>
  <c r="K4" i="1"/>
  <c r="K35" i="1"/>
  <c r="K6" i="1"/>
  <c r="K7" i="1"/>
  <c r="K36" i="1"/>
  <c r="K19" i="1"/>
  <c r="K59" i="1"/>
  <c r="J93" i="1"/>
  <c r="K5" i="1"/>
  <c r="K39" i="1"/>
  <c r="K8" i="1"/>
  <c r="K40" i="1"/>
  <c r="K20" i="1"/>
  <c r="K9" i="1"/>
  <c r="K10" i="1"/>
  <c r="K11" i="1"/>
  <c r="K41" i="1"/>
  <c r="K60" i="1"/>
  <c r="J94" i="1"/>
  <c r="K62" i="1"/>
  <c r="J96" i="1"/>
  <c r="K69" i="1"/>
  <c r="J104" i="1"/>
  <c r="K37" i="1"/>
  <c r="K44" i="1"/>
  <c r="K45" i="1"/>
  <c r="K85" i="1"/>
  <c r="K47" i="1"/>
  <c r="K86" i="1"/>
  <c r="K87" i="1"/>
  <c r="K88" i="1"/>
  <c r="J105" i="1"/>
  <c r="J109" i="1"/>
  <c r="L63" i="1"/>
  <c r="K100" i="1"/>
  <c r="K89" i="1"/>
  <c r="L57" i="1"/>
  <c r="K92" i="1"/>
  <c r="L3" i="1"/>
  <c r="L4" i="1"/>
  <c r="L35" i="1"/>
  <c r="L6" i="1"/>
  <c r="L7" i="1"/>
  <c r="L36" i="1"/>
  <c r="L19" i="1"/>
  <c r="L59" i="1"/>
  <c r="K93" i="1"/>
  <c r="L5" i="1"/>
  <c r="L39" i="1"/>
  <c r="L8" i="1"/>
  <c r="L40" i="1"/>
  <c r="L20" i="1"/>
  <c r="L9" i="1"/>
  <c r="L10" i="1"/>
  <c r="L11" i="1"/>
  <c r="L41" i="1"/>
  <c r="L60" i="1"/>
  <c r="K94" i="1"/>
  <c r="L62" i="1"/>
  <c r="K96" i="1"/>
  <c r="L69" i="1"/>
  <c r="K104" i="1"/>
  <c r="L37" i="1"/>
  <c r="L44" i="1"/>
  <c r="L45" i="1"/>
  <c r="L85" i="1"/>
  <c r="L47" i="1"/>
  <c r="L86" i="1"/>
  <c r="L87" i="1"/>
  <c r="L88" i="1"/>
  <c r="K105" i="1"/>
  <c r="K109" i="1"/>
  <c r="M63" i="1"/>
  <c r="L100" i="1"/>
  <c r="L89" i="1"/>
  <c r="M57" i="1"/>
  <c r="L92" i="1"/>
  <c r="M3" i="1"/>
  <c r="M4" i="1"/>
  <c r="M35" i="1"/>
  <c r="M6" i="1"/>
  <c r="M7" i="1"/>
  <c r="M36" i="1"/>
  <c r="M19" i="1"/>
  <c r="M59" i="1"/>
  <c r="L93" i="1"/>
  <c r="M5" i="1"/>
  <c r="M39" i="1"/>
  <c r="M8" i="1"/>
  <c r="M40" i="1"/>
  <c r="M20" i="1"/>
  <c r="M9" i="1"/>
  <c r="M10" i="1"/>
  <c r="M11" i="1"/>
  <c r="M41" i="1"/>
  <c r="M60" i="1"/>
  <c r="L94" i="1"/>
  <c r="M62" i="1"/>
  <c r="L96" i="1"/>
  <c r="M69" i="1"/>
  <c r="L104" i="1"/>
  <c r="M37" i="1"/>
  <c r="M44" i="1"/>
  <c r="M45" i="1"/>
  <c r="M85" i="1"/>
  <c r="M47" i="1"/>
  <c r="M86" i="1"/>
  <c r="M87" i="1"/>
  <c r="M88" i="1"/>
  <c r="L105" i="1"/>
  <c r="L109" i="1"/>
  <c r="N63" i="1"/>
  <c r="M100" i="1"/>
  <c r="M89" i="1"/>
  <c r="N57" i="1"/>
  <c r="M92" i="1"/>
  <c r="N3" i="1"/>
  <c r="N4" i="1"/>
  <c r="N35" i="1"/>
  <c r="N6" i="1"/>
  <c r="N7" i="1"/>
  <c r="N36" i="1"/>
  <c r="N19" i="1"/>
  <c r="N59" i="1"/>
  <c r="M93" i="1"/>
  <c r="N5" i="1"/>
  <c r="N39" i="1"/>
  <c r="N8" i="1"/>
  <c r="N40" i="1"/>
  <c r="N20" i="1"/>
  <c r="N9" i="1"/>
  <c r="N10" i="1"/>
  <c r="N11" i="1"/>
  <c r="N41" i="1"/>
  <c r="N60" i="1"/>
  <c r="M94" i="1"/>
  <c r="N62" i="1"/>
  <c r="M96" i="1"/>
  <c r="N69" i="1"/>
  <c r="M104" i="1"/>
  <c r="N37" i="1"/>
  <c r="N44" i="1"/>
  <c r="N45" i="1"/>
  <c r="N85" i="1"/>
  <c r="N47" i="1"/>
  <c r="N86" i="1"/>
  <c r="N87" i="1"/>
  <c r="N88" i="1"/>
  <c r="M105" i="1"/>
  <c r="M109" i="1"/>
  <c r="N100" i="1"/>
  <c r="N101" i="1"/>
  <c r="P101" i="1"/>
  <c r="P102" i="1"/>
  <c r="N102" i="1"/>
  <c r="N89" i="1"/>
  <c r="N92" i="1"/>
  <c r="N93" i="1"/>
  <c r="N94" i="1"/>
  <c r="N96" i="1"/>
  <c r="N97" i="1"/>
  <c r="P97" i="1"/>
  <c r="P98" i="1"/>
  <c r="N98" i="1"/>
  <c r="N104" i="1"/>
  <c r="N105" i="1"/>
  <c r="N109" i="1"/>
  <c r="D63" i="1"/>
  <c r="L1" i="2"/>
  <c r="I6" i="2"/>
  <c r="B2" i="2"/>
  <c r="I2" i="2"/>
  <c r="I4" i="2"/>
  <c r="I8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D72" i="1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E72" i="1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F72" i="1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G72" i="1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H72" i="1"/>
  <c r="B72" i="2"/>
  <c r="E72" i="2"/>
  <c r="D72" i="2"/>
  <c r="C72" i="2"/>
  <c r="F72" i="2"/>
  <c r="B73" i="2"/>
  <c r="E73" i="2"/>
  <c r="D73" i="2"/>
  <c r="C73" i="2"/>
  <c r="F73" i="2"/>
  <c r="B74" i="2"/>
  <c r="E74" i="2"/>
  <c r="D74" i="2"/>
  <c r="C74" i="2"/>
  <c r="F74" i="2"/>
  <c r="B75" i="2"/>
  <c r="E75" i="2"/>
  <c r="D75" i="2"/>
  <c r="C75" i="2"/>
  <c r="F75" i="2"/>
  <c r="B76" i="2"/>
  <c r="E76" i="2"/>
  <c r="D76" i="2"/>
  <c r="C76" i="2"/>
  <c r="F76" i="2"/>
  <c r="B77" i="2"/>
  <c r="E77" i="2"/>
  <c r="D77" i="2"/>
  <c r="C77" i="2"/>
  <c r="F77" i="2"/>
  <c r="B78" i="2"/>
  <c r="E78" i="2"/>
  <c r="D78" i="2"/>
  <c r="C78" i="2"/>
  <c r="F78" i="2"/>
  <c r="B79" i="2"/>
  <c r="E79" i="2"/>
  <c r="D79" i="2"/>
  <c r="C79" i="2"/>
  <c r="F79" i="2"/>
  <c r="B80" i="2"/>
  <c r="E80" i="2"/>
  <c r="D80" i="2"/>
  <c r="C80" i="2"/>
  <c r="F80" i="2"/>
  <c r="B81" i="2"/>
  <c r="E81" i="2"/>
  <c r="D81" i="2"/>
  <c r="C81" i="2"/>
  <c r="F81" i="2"/>
  <c r="B82" i="2"/>
  <c r="E82" i="2"/>
  <c r="D82" i="2"/>
  <c r="C82" i="2"/>
  <c r="F82" i="2"/>
  <c r="B83" i="2"/>
  <c r="E83" i="2"/>
  <c r="D83" i="2"/>
  <c r="C83" i="2"/>
  <c r="F83" i="2"/>
  <c r="I72" i="1"/>
  <c r="B86" i="2"/>
  <c r="E86" i="2"/>
  <c r="D86" i="2"/>
  <c r="C86" i="2"/>
  <c r="F86" i="2"/>
  <c r="B87" i="2"/>
  <c r="E87" i="2"/>
  <c r="D87" i="2"/>
  <c r="C87" i="2"/>
  <c r="F87" i="2"/>
  <c r="B88" i="2"/>
  <c r="E88" i="2"/>
  <c r="D88" i="2"/>
  <c r="C88" i="2"/>
  <c r="F88" i="2"/>
  <c r="B89" i="2"/>
  <c r="E89" i="2"/>
  <c r="D89" i="2"/>
  <c r="C89" i="2"/>
  <c r="F89" i="2"/>
  <c r="B90" i="2"/>
  <c r="E90" i="2"/>
  <c r="D90" i="2"/>
  <c r="C90" i="2"/>
  <c r="F90" i="2"/>
  <c r="B91" i="2"/>
  <c r="E91" i="2"/>
  <c r="D91" i="2"/>
  <c r="C91" i="2"/>
  <c r="F91" i="2"/>
  <c r="B92" i="2"/>
  <c r="E92" i="2"/>
  <c r="D92" i="2"/>
  <c r="C92" i="2"/>
  <c r="F92" i="2"/>
  <c r="B93" i="2"/>
  <c r="E93" i="2"/>
  <c r="D93" i="2"/>
  <c r="C93" i="2"/>
  <c r="F93" i="2"/>
  <c r="B94" i="2"/>
  <c r="E94" i="2"/>
  <c r="D94" i="2"/>
  <c r="C94" i="2"/>
  <c r="F94" i="2"/>
  <c r="B95" i="2"/>
  <c r="E95" i="2"/>
  <c r="D95" i="2"/>
  <c r="C95" i="2"/>
  <c r="F95" i="2"/>
  <c r="B96" i="2"/>
  <c r="E96" i="2"/>
  <c r="D96" i="2"/>
  <c r="C96" i="2"/>
  <c r="F96" i="2"/>
  <c r="B97" i="2"/>
  <c r="E97" i="2"/>
  <c r="D97" i="2"/>
  <c r="C97" i="2"/>
  <c r="F97" i="2"/>
  <c r="J72" i="1"/>
  <c r="B100" i="2"/>
  <c r="E100" i="2"/>
  <c r="D100" i="2"/>
  <c r="C100" i="2"/>
  <c r="F100" i="2"/>
  <c r="B101" i="2"/>
  <c r="E101" i="2"/>
  <c r="D101" i="2"/>
  <c r="C101" i="2"/>
  <c r="F101" i="2"/>
  <c r="B102" i="2"/>
  <c r="E102" i="2"/>
  <c r="D102" i="2"/>
  <c r="C102" i="2"/>
  <c r="F102" i="2"/>
  <c r="B103" i="2"/>
  <c r="E103" i="2"/>
  <c r="D103" i="2"/>
  <c r="C103" i="2"/>
  <c r="F103" i="2"/>
  <c r="B104" i="2"/>
  <c r="E104" i="2"/>
  <c r="D104" i="2"/>
  <c r="C104" i="2"/>
  <c r="F104" i="2"/>
  <c r="B105" i="2"/>
  <c r="E105" i="2"/>
  <c r="D105" i="2"/>
  <c r="C105" i="2"/>
  <c r="F105" i="2"/>
  <c r="B106" i="2"/>
  <c r="E106" i="2"/>
  <c r="D106" i="2"/>
  <c r="C106" i="2"/>
  <c r="F106" i="2"/>
  <c r="B107" i="2"/>
  <c r="E107" i="2"/>
  <c r="D107" i="2"/>
  <c r="C107" i="2"/>
  <c r="F107" i="2"/>
  <c r="B108" i="2"/>
  <c r="E108" i="2"/>
  <c r="D108" i="2"/>
  <c r="C108" i="2"/>
  <c r="F108" i="2"/>
  <c r="B109" i="2"/>
  <c r="E109" i="2"/>
  <c r="D109" i="2"/>
  <c r="C109" i="2"/>
  <c r="F109" i="2"/>
  <c r="B110" i="2"/>
  <c r="E110" i="2"/>
  <c r="D110" i="2"/>
  <c r="C110" i="2"/>
  <c r="F110" i="2"/>
  <c r="B111" i="2"/>
  <c r="E111" i="2"/>
  <c r="D111" i="2"/>
  <c r="C111" i="2"/>
  <c r="F111" i="2"/>
  <c r="K72" i="1"/>
  <c r="B114" i="2"/>
  <c r="E114" i="2"/>
  <c r="D114" i="2"/>
  <c r="C114" i="2"/>
  <c r="F114" i="2"/>
  <c r="B115" i="2"/>
  <c r="E115" i="2"/>
  <c r="D115" i="2"/>
  <c r="C115" i="2"/>
  <c r="F115" i="2"/>
  <c r="B116" i="2"/>
  <c r="E116" i="2"/>
  <c r="D116" i="2"/>
  <c r="C116" i="2"/>
  <c r="F116" i="2"/>
  <c r="B117" i="2"/>
  <c r="E117" i="2"/>
  <c r="D117" i="2"/>
  <c r="C117" i="2"/>
  <c r="F117" i="2"/>
  <c r="B118" i="2"/>
  <c r="E118" i="2"/>
  <c r="D118" i="2"/>
  <c r="C118" i="2"/>
  <c r="F118" i="2"/>
  <c r="B119" i="2"/>
  <c r="E119" i="2"/>
  <c r="D119" i="2"/>
  <c r="C119" i="2"/>
  <c r="F119" i="2"/>
  <c r="B120" i="2"/>
  <c r="E120" i="2"/>
  <c r="D120" i="2"/>
  <c r="C120" i="2"/>
  <c r="F120" i="2"/>
  <c r="B121" i="2"/>
  <c r="E121" i="2"/>
  <c r="D121" i="2"/>
  <c r="C121" i="2"/>
  <c r="F121" i="2"/>
  <c r="B122" i="2"/>
  <c r="E122" i="2"/>
  <c r="D122" i="2"/>
  <c r="C122" i="2"/>
  <c r="F122" i="2"/>
  <c r="B123" i="2"/>
  <c r="E123" i="2"/>
  <c r="D123" i="2"/>
  <c r="C123" i="2"/>
  <c r="F123" i="2"/>
  <c r="B124" i="2"/>
  <c r="E124" i="2"/>
  <c r="D124" i="2"/>
  <c r="C124" i="2"/>
  <c r="F124" i="2"/>
  <c r="B125" i="2"/>
  <c r="E125" i="2"/>
  <c r="D125" i="2"/>
  <c r="C125" i="2"/>
  <c r="F125" i="2"/>
  <c r="L72" i="1"/>
  <c r="B128" i="2"/>
  <c r="E128" i="2"/>
  <c r="D128" i="2"/>
  <c r="C128" i="2"/>
  <c r="F128" i="2"/>
  <c r="B129" i="2"/>
  <c r="E129" i="2"/>
  <c r="D129" i="2"/>
  <c r="C129" i="2"/>
  <c r="F129" i="2"/>
  <c r="B130" i="2"/>
  <c r="E130" i="2"/>
  <c r="D130" i="2"/>
  <c r="C130" i="2"/>
  <c r="F130" i="2"/>
  <c r="B131" i="2"/>
  <c r="E131" i="2"/>
  <c r="D131" i="2"/>
  <c r="C131" i="2"/>
  <c r="F131" i="2"/>
  <c r="B132" i="2"/>
  <c r="E132" i="2"/>
  <c r="D132" i="2"/>
  <c r="C132" i="2"/>
  <c r="F132" i="2"/>
  <c r="B133" i="2"/>
  <c r="E133" i="2"/>
  <c r="D133" i="2"/>
  <c r="C133" i="2"/>
  <c r="F133" i="2"/>
  <c r="B134" i="2"/>
  <c r="E134" i="2"/>
  <c r="D134" i="2"/>
  <c r="C134" i="2"/>
  <c r="F134" i="2"/>
  <c r="B135" i="2"/>
  <c r="E135" i="2"/>
  <c r="D135" i="2"/>
  <c r="C135" i="2"/>
  <c r="F135" i="2"/>
  <c r="B136" i="2"/>
  <c r="E136" i="2"/>
  <c r="D136" i="2"/>
  <c r="C136" i="2"/>
  <c r="F136" i="2"/>
  <c r="B137" i="2"/>
  <c r="E137" i="2"/>
  <c r="D137" i="2"/>
  <c r="C137" i="2"/>
  <c r="F137" i="2"/>
  <c r="B138" i="2"/>
  <c r="E138" i="2"/>
  <c r="D138" i="2"/>
  <c r="C138" i="2"/>
  <c r="F138" i="2"/>
  <c r="B139" i="2"/>
  <c r="E139" i="2"/>
  <c r="D139" i="2"/>
  <c r="C139" i="2"/>
  <c r="F139" i="2"/>
  <c r="M72" i="1"/>
  <c r="B142" i="2"/>
  <c r="E142" i="2"/>
  <c r="D142" i="2"/>
  <c r="C142" i="2"/>
  <c r="F142" i="2"/>
  <c r="B143" i="2"/>
  <c r="E143" i="2"/>
  <c r="D143" i="2"/>
  <c r="C143" i="2"/>
  <c r="F143" i="2"/>
  <c r="B144" i="2"/>
  <c r="E144" i="2"/>
  <c r="D144" i="2"/>
  <c r="C144" i="2"/>
  <c r="F144" i="2"/>
  <c r="B145" i="2"/>
  <c r="E145" i="2"/>
  <c r="D145" i="2"/>
  <c r="C145" i="2"/>
  <c r="F145" i="2"/>
  <c r="B146" i="2"/>
  <c r="E146" i="2"/>
  <c r="D146" i="2"/>
  <c r="C146" i="2"/>
  <c r="F146" i="2"/>
  <c r="B147" i="2"/>
  <c r="E147" i="2"/>
  <c r="D147" i="2"/>
  <c r="C147" i="2"/>
  <c r="F147" i="2"/>
  <c r="B148" i="2"/>
  <c r="E148" i="2"/>
  <c r="D148" i="2"/>
  <c r="C148" i="2"/>
  <c r="F148" i="2"/>
  <c r="B149" i="2"/>
  <c r="E149" i="2"/>
  <c r="D149" i="2"/>
  <c r="C149" i="2"/>
  <c r="F149" i="2"/>
  <c r="B150" i="2"/>
  <c r="E150" i="2"/>
  <c r="D150" i="2"/>
  <c r="C150" i="2"/>
  <c r="F150" i="2"/>
  <c r="B151" i="2"/>
  <c r="E151" i="2"/>
  <c r="D151" i="2"/>
  <c r="C151" i="2"/>
  <c r="F151" i="2"/>
  <c r="B152" i="2"/>
  <c r="E152" i="2"/>
  <c r="D152" i="2"/>
  <c r="C152" i="2"/>
  <c r="F152" i="2"/>
  <c r="B153" i="2"/>
  <c r="E153" i="2"/>
  <c r="D153" i="2"/>
  <c r="C153" i="2"/>
  <c r="F153" i="2"/>
  <c r="N72" i="1"/>
  <c r="R72" i="1"/>
  <c r="R73" i="1"/>
  <c r="D75" i="1"/>
  <c r="E75" i="1"/>
  <c r="F75" i="1"/>
  <c r="G75" i="1"/>
  <c r="H75" i="1"/>
  <c r="I75" i="1"/>
  <c r="J75" i="1"/>
  <c r="K75" i="1"/>
  <c r="L75" i="1"/>
  <c r="M75" i="1"/>
  <c r="N75" i="1"/>
  <c r="R75" i="1"/>
  <c r="D5" i="1"/>
  <c r="D39" i="1"/>
  <c r="D8" i="1"/>
  <c r="D40" i="1"/>
  <c r="D11" i="1"/>
  <c r="D41" i="1"/>
  <c r="D47" i="1"/>
  <c r="D14" i="2"/>
  <c r="D48" i="1"/>
  <c r="D49" i="1"/>
  <c r="D51" i="1"/>
  <c r="D52" i="1"/>
  <c r="D53" i="1"/>
  <c r="D76" i="1"/>
  <c r="E35" i="1"/>
  <c r="E36" i="1"/>
  <c r="E37" i="1"/>
  <c r="E5" i="1"/>
  <c r="E39" i="1"/>
  <c r="E8" i="1"/>
  <c r="E40" i="1"/>
  <c r="E11" i="1"/>
  <c r="E41" i="1"/>
  <c r="E44" i="1"/>
  <c r="E47" i="1"/>
  <c r="D28" i="2"/>
  <c r="E48" i="1"/>
  <c r="E49" i="1"/>
  <c r="E51" i="1"/>
  <c r="E52" i="1"/>
  <c r="E53" i="1"/>
  <c r="E76" i="1"/>
  <c r="F35" i="1"/>
  <c r="F36" i="1"/>
  <c r="F37" i="1"/>
  <c r="F5" i="1"/>
  <c r="F39" i="1"/>
  <c r="F8" i="1"/>
  <c r="F40" i="1"/>
  <c r="F11" i="1"/>
  <c r="F41" i="1"/>
  <c r="F44" i="1"/>
  <c r="F47" i="1"/>
  <c r="D42" i="2"/>
  <c r="F48" i="1"/>
  <c r="F49" i="1"/>
  <c r="F51" i="1"/>
  <c r="F52" i="1"/>
  <c r="F53" i="1"/>
  <c r="F76" i="1"/>
  <c r="G35" i="1"/>
  <c r="G36" i="1"/>
  <c r="G37" i="1"/>
  <c r="G5" i="1"/>
  <c r="G39" i="1"/>
  <c r="G8" i="1"/>
  <c r="G40" i="1"/>
  <c r="G11" i="1"/>
  <c r="G41" i="1"/>
  <c r="G44" i="1"/>
  <c r="G47" i="1"/>
  <c r="D56" i="2"/>
  <c r="G48" i="1"/>
  <c r="G49" i="1"/>
  <c r="G51" i="1"/>
  <c r="G52" i="1"/>
  <c r="G53" i="1"/>
  <c r="G76" i="1"/>
  <c r="D70" i="2"/>
  <c r="H48" i="1"/>
  <c r="H49" i="1"/>
  <c r="H51" i="1"/>
  <c r="H52" i="1"/>
  <c r="H53" i="1"/>
  <c r="H76" i="1"/>
  <c r="D84" i="2"/>
  <c r="I48" i="1"/>
  <c r="I49" i="1"/>
  <c r="I51" i="1"/>
  <c r="I52" i="1"/>
  <c r="I53" i="1"/>
  <c r="I76" i="1"/>
  <c r="D98" i="2"/>
  <c r="J48" i="1"/>
  <c r="J49" i="1"/>
  <c r="J51" i="1"/>
  <c r="J52" i="1"/>
  <c r="J53" i="1"/>
  <c r="J76" i="1"/>
  <c r="D112" i="2"/>
  <c r="K48" i="1"/>
  <c r="K49" i="1"/>
  <c r="K51" i="1"/>
  <c r="K52" i="1"/>
  <c r="K53" i="1"/>
  <c r="K76" i="1"/>
  <c r="D126" i="2"/>
  <c r="L48" i="1"/>
  <c r="L49" i="1"/>
  <c r="L51" i="1"/>
  <c r="L52" i="1"/>
  <c r="L53" i="1"/>
  <c r="L76" i="1"/>
  <c r="D140" i="2"/>
  <c r="M48" i="1"/>
  <c r="M49" i="1"/>
  <c r="M51" i="1"/>
  <c r="M52" i="1"/>
  <c r="M53" i="1"/>
  <c r="M76" i="1"/>
  <c r="D154" i="2"/>
  <c r="N48" i="1"/>
  <c r="N49" i="1"/>
  <c r="N51" i="1"/>
  <c r="N52" i="1"/>
  <c r="N53" i="1"/>
  <c r="N76" i="1"/>
  <c r="R76" i="1"/>
  <c r="R77" i="1"/>
  <c r="S72" i="1"/>
  <c r="U72" i="1"/>
  <c r="V72" i="1"/>
  <c r="S73" i="1"/>
  <c r="U73" i="1"/>
  <c r="V73" i="1"/>
  <c r="S75" i="1"/>
  <c r="S62" i="1"/>
  <c r="S63" i="1"/>
  <c r="S64" i="1"/>
  <c r="S69" i="1"/>
  <c r="T75" i="1"/>
  <c r="U75" i="1"/>
  <c r="V75" i="1"/>
  <c r="V77" i="1"/>
  <c r="C112" i="1"/>
  <c r="D85" i="1"/>
  <c r="D86" i="1"/>
  <c r="D87" i="1"/>
  <c r="D88" i="1"/>
  <c r="D89" i="1"/>
  <c r="D92" i="1"/>
  <c r="E59" i="1"/>
  <c r="D59" i="1"/>
  <c r="D93" i="1"/>
  <c r="E60" i="1"/>
  <c r="D60" i="1"/>
  <c r="D94" i="1"/>
  <c r="D96" i="1"/>
  <c r="E14" i="1"/>
  <c r="E63" i="1"/>
  <c r="D100" i="1"/>
  <c r="E69" i="1"/>
  <c r="D69" i="1"/>
  <c r="D104" i="1"/>
  <c r="E85" i="1"/>
  <c r="E86" i="1"/>
  <c r="E87" i="1"/>
  <c r="E88" i="1"/>
  <c r="D105" i="1"/>
  <c r="D109" i="1"/>
  <c r="E89" i="1"/>
  <c r="E92" i="1"/>
  <c r="F59" i="1"/>
  <c r="E93" i="1"/>
  <c r="F60" i="1"/>
  <c r="E94" i="1"/>
  <c r="E96" i="1"/>
  <c r="F14" i="1"/>
  <c r="F63" i="1"/>
  <c r="E100" i="1"/>
  <c r="F69" i="1"/>
  <c r="E104" i="1"/>
  <c r="F85" i="1"/>
  <c r="F86" i="1"/>
  <c r="F87" i="1"/>
  <c r="F88" i="1"/>
  <c r="E105" i="1"/>
  <c r="E109" i="1"/>
  <c r="F89" i="1"/>
  <c r="F92" i="1"/>
  <c r="G59" i="1"/>
  <c r="F93" i="1"/>
  <c r="G60" i="1"/>
  <c r="F94" i="1"/>
  <c r="F96" i="1"/>
  <c r="F100" i="1"/>
  <c r="G69" i="1"/>
  <c r="F104" i="1"/>
  <c r="G85" i="1"/>
  <c r="G86" i="1"/>
  <c r="G87" i="1"/>
  <c r="G88" i="1"/>
  <c r="F105" i="1"/>
  <c r="F109" i="1"/>
  <c r="G89" i="1"/>
  <c r="G92" i="1"/>
  <c r="G93" i="1"/>
  <c r="G94" i="1"/>
  <c r="G96" i="1"/>
  <c r="G100" i="1"/>
  <c r="G104" i="1"/>
  <c r="G105" i="1"/>
  <c r="G109" i="1"/>
  <c r="C92" i="1"/>
  <c r="C93" i="1"/>
  <c r="C94" i="1"/>
  <c r="C96" i="1"/>
  <c r="C100" i="1"/>
  <c r="C104" i="1"/>
  <c r="C105" i="1"/>
  <c r="C109" i="1"/>
  <c r="D72" i="8"/>
  <c r="E72" i="8"/>
  <c r="F72" i="8"/>
  <c r="G72" i="8"/>
  <c r="H72" i="8"/>
  <c r="I72" i="8"/>
  <c r="J72" i="8"/>
  <c r="K72" i="8"/>
  <c r="L72" i="8"/>
  <c r="M72" i="8"/>
  <c r="N72" i="8"/>
  <c r="R72" i="8"/>
  <c r="R73" i="8"/>
  <c r="D75" i="8"/>
  <c r="E75" i="8"/>
  <c r="F75" i="8"/>
  <c r="G75" i="8"/>
  <c r="H75" i="8"/>
  <c r="I75" i="8"/>
  <c r="J75" i="8"/>
  <c r="K75" i="8"/>
  <c r="L75" i="8"/>
  <c r="M75" i="8"/>
  <c r="N75" i="8"/>
  <c r="R75" i="8"/>
  <c r="D35" i="8"/>
  <c r="D36" i="8"/>
  <c r="D37" i="8"/>
  <c r="D5" i="8"/>
  <c r="D39" i="8"/>
  <c r="D8" i="8"/>
  <c r="D40" i="8"/>
  <c r="D11" i="8"/>
  <c r="D41" i="8"/>
  <c r="F29" i="8"/>
  <c r="F28" i="8"/>
  <c r="D44" i="8"/>
  <c r="D14" i="8"/>
  <c r="D16" i="8"/>
  <c r="D17" i="8"/>
  <c r="D45" i="8"/>
  <c r="E12" i="8"/>
  <c r="F12" i="8"/>
  <c r="G12" i="8"/>
  <c r="E13" i="8"/>
  <c r="F13" i="8"/>
  <c r="G13" i="8"/>
  <c r="G14" i="8"/>
  <c r="G63" i="8"/>
  <c r="P64" i="8"/>
  <c r="D47" i="8"/>
  <c r="D48" i="8"/>
  <c r="D49" i="8"/>
  <c r="D51" i="8"/>
  <c r="D52" i="8"/>
  <c r="D53" i="8"/>
  <c r="D76" i="8"/>
  <c r="E3" i="8"/>
  <c r="E4" i="8"/>
  <c r="E35" i="8"/>
  <c r="E6" i="8"/>
  <c r="E7" i="8"/>
  <c r="E36" i="8"/>
  <c r="E9" i="8"/>
  <c r="E10" i="8"/>
  <c r="E37" i="8"/>
  <c r="E5" i="8"/>
  <c r="E39" i="8"/>
  <c r="E8" i="8"/>
  <c r="E40" i="8"/>
  <c r="E11" i="8"/>
  <c r="E41" i="8"/>
  <c r="O44" i="8"/>
  <c r="E44" i="8"/>
  <c r="E45" i="8"/>
  <c r="E47" i="8"/>
  <c r="E48" i="8"/>
  <c r="E49" i="8"/>
  <c r="E51" i="8"/>
  <c r="E52" i="8"/>
  <c r="E53" i="8"/>
  <c r="E76" i="8"/>
  <c r="F3" i="8"/>
  <c r="F4" i="8"/>
  <c r="F35" i="8"/>
  <c r="F6" i="8"/>
  <c r="F7" i="8"/>
  <c r="F36" i="8"/>
  <c r="F9" i="8"/>
  <c r="F10" i="8"/>
  <c r="F37" i="8"/>
  <c r="F5" i="8"/>
  <c r="F39" i="8"/>
  <c r="F8" i="8"/>
  <c r="F40" i="8"/>
  <c r="F11" i="8"/>
  <c r="F41" i="8"/>
  <c r="F44" i="8"/>
  <c r="F45" i="8"/>
  <c r="F47" i="8"/>
  <c r="F48" i="8"/>
  <c r="F49" i="8"/>
  <c r="F51" i="8"/>
  <c r="F52" i="8"/>
  <c r="F53" i="8"/>
  <c r="F76" i="8"/>
  <c r="G3" i="8"/>
  <c r="G4" i="8"/>
  <c r="G35" i="8"/>
  <c r="G6" i="8"/>
  <c r="G7" i="8"/>
  <c r="G36" i="8"/>
  <c r="G9" i="8"/>
  <c r="G10" i="8"/>
  <c r="G37" i="8"/>
  <c r="G5" i="8"/>
  <c r="G39" i="8"/>
  <c r="G8" i="8"/>
  <c r="G40" i="8"/>
  <c r="G11" i="8"/>
  <c r="G41" i="8"/>
  <c r="G44" i="8"/>
  <c r="G45" i="8"/>
  <c r="G47" i="8"/>
  <c r="G48" i="8"/>
  <c r="G49" i="8"/>
  <c r="G51" i="8"/>
  <c r="G52" i="8"/>
  <c r="G53" i="8"/>
  <c r="G76" i="8"/>
  <c r="H3" i="8"/>
  <c r="H4" i="8"/>
  <c r="H35" i="8"/>
  <c r="H6" i="8"/>
  <c r="H7" i="8"/>
  <c r="H36" i="8"/>
  <c r="H9" i="8"/>
  <c r="H10" i="8"/>
  <c r="H37" i="8"/>
  <c r="H5" i="8"/>
  <c r="H39" i="8"/>
  <c r="H8" i="8"/>
  <c r="H40" i="8"/>
  <c r="H11" i="8"/>
  <c r="H41" i="8"/>
  <c r="H44" i="8"/>
  <c r="H45" i="8"/>
  <c r="H47" i="8"/>
  <c r="H48" i="8"/>
  <c r="H49" i="8"/>
  <c r="H51" i="8"/>
  <c r="H52" i="8"/>
  <c r="H53" i="8"/>
  <c r="H76" i="8"/>
  <c r="I3" i="8"/>
  <c r="I4" i="8"/>
  <c r="I35" i="8"/>
  <c r="I6" i="8"/>
  <c r="I7" i="8"/>
  <c r="I36" i="8"/>
  <c r="I9" i="8"/>
  <c r="I10" i="8"/>
  <c r="I37" i="8"/>
  <c r="I5" i="8"/>
  <c r="I39" i="8"/>
  <c r="I8" i="8"/>
  <c r="I40" i="8"/>
  <c r="I11" i="8"/>
  <c r="I41" i="8"/>
  <c r="I44" i="8"/>
  <c r="I45" i="8"/>
  <c r="I47" i="8"/>
  <c r="I48" i="8"/>
  <c r="I49" i="8"/>
  <c r="I51" i="8"/>
  <c r="I52" i="8"/>
  <c r="I53" i="8"/>
  <c r="I76" i="8"/>
  <c r="J3" i="8"/>
  <c r="J4" i="8"/>
  <c r="J35" i="8"/>
  <c r="J6" i="8"/>
  <c r="J7" i="8"/>
  <c r="J36" i="8"/>
  <c r="J9" i="8"/>
  <c r="J10" i="8"/>
  <c r="J37" i="8"/>
  <c r="J5" i="8"/>
  <c r="J39" i="8"/>
  <c r="J8" i="8"/>
  <c r="J40" i="8"/>
  <c r="J11" i="8"/>
  <c r="J41" i="8"/>
  <c r="J44" i="8"/>
  <c r="J45" i="8"/>
  <c r="J47" i="8"/>
  <c r="J48" i="8"/>
  <c r="J49" i="8"/>
  <c r="J51" i="8"/>
  <c r="J52" i="8"/>
  <c r="J53" i="8"/>
  <c r="J76" i="8"/>
  <c r="K3" i="8"/>
  <c r="K4" i="8"/>
  <c r="K35" i="8"/>
  <c r="K6" i="8"/>
  <c r="K7" i="8"/>
  <c r="K36" i="8"/>
  <c r="K9" i="8"/>
  <c r="K10" i="8"/>
  <c r="K37" i="8"/>
  <c r="K5" i="8"/>
  <c r="K39" i="8"/>
  <c r="K8" i="8"/>
  <c r="K40" i="8"/>
  <c r="K11" i="8"/>
  <c r="K41" i="8"/>
  <c r="K44" i="8"/>
  <c r="K45" i="8"/>
  <c r="K47" i="8"/>
  <c r="K48" i="8"/>
  <c r="K49" i="8"/>
  <c r="K51" i="8"/>
  <c r="K52" i="8"/>
  <c r="K53" i="8"/>
  <c r="K76" i="8"/>
  <c r="L3" i="8"/>
  <c r="L4" i="8"/>
  <c r="L35" i="8"/>
  <c r="L6" i="8"/>
  <c r="L7" i="8"/>
  <c r="L36" i="8"/>
  <c r="L9" i="8"/>
  <c r="L10" i="8"/>
  <c r="L37" i="8"/>
  <c r="L5" i="8"/>
  <c r="L39" i="8"/>
  <c r="L8" i="8"/>
  <c r="L40" i="8"/>
  <c r="L11" i="8"/>
  <c r="L41" i="8"/>
  <c r="L44" i="8"/>
  <c r="L45" i="8"/>
  <c r="L47" i="8"/>
  <c r="L48" i="8"/>
  <c r="L49" i="8"/>
  <c r="L51" i="8"/>
  <c r="L52" i="8"/>
  <c r="L53" i="8"/>
  <c r="L76" i="8"/>
  <c r="M3" i="8"/>
  <c r="M4" i="8"/>
  <c r="M35" i="8"/>
  <c r="M6" i="8"/>
  <c r="M7" i="8"/>
  <c r="M36" i="8"/>
  <c r="M9" i="8"/>
  <c r="M10" i="8"/>
  <c r="M37" i="8"/>
  <c r="M5" i="8"/>
  <c r="M39" i="8"/>
  <c r="M8" i="8"/>
  <c r="M40" i="8"/>
  <c r="M11" i="8"/>
  <c r="M41" i="8"/>
  <c r="M44" i="8"/>
  <c r="M45" i="8"/>
  <c r="M47" i="8"/>
  <c r="M48" i="8"/>
  <c r="M49" i="8"/>
  <c r="M51" i="8"/>
  <c r="M52" i="8"/>
  <c r="M53" i="8"/>
  <c r="M76" i="8"/>
  <c r="N3" i="8"/>
  <c r="N4" i="8"/>
  <c r="N35" i="8"/>
  <c r="N6" i="8"/>
  <c r="N7" i="8"/>
  <c r="N36" i="8"/>
  <c r="N9" i="8"/>
  <c r="N10" i="8"/>
  <c r="N37" i="8"/>
  <c r="N5" i="8"/>
  <c r="N39" i="8"/>
  <c r="N8" i="8"/>
  <c r="N40" i="8"/>
  <c r="N11" i="8"/>
  <c r="N41" i="8"/>
  <c r="N44" i="8"/>
  <c r="N45" i="8"/>
  <c r="N47" i="8"/>
  <c r="N48" i="8"/>
  <c r="N49" i="8"/>
  <c r="N51" i="8"/>
  <c r="N52" i="8"/>
  <c r="N53" i="8"/>
  <c r="N76" i="8"/>
  <c r="R76" i="8"/>
  <c r="R77" i="8"/>
  <c r="S72" i="8"/>
  <c r="U62" i="8"/>
  <c r="U72" i="8"/>
  <c r="V72" i="8"/>
  <c r="S73" i="8"/>
  <c r="U73" i="8"/>
  <c r="V73" i="8"/>
  <c r="S75" i="8"/>
  <c r="S62" i="8"/>
  <c r="S63" i="8"/>
  <c r="S64" i="8"/>
  <c r="S69" i="8"/>
  <c r="T75" i="8"/>
  <c r="U75" i="8"/>
  <c r="V75" i="8"/>
  <c r="V77" i="8"/>
  <c r="C112" i="8"/>
  <c r="C20" i="9"/>
  <c r="D85" i="8"/>
  <c r="D86" i="8"/>
  <c r="D87" i="8"/>
  <c r="D88" i="8"/>
  <c r="D89" i="8"/>
  <c r="D57" i="8"/>
  <c r="E57" i="8"/>
  <c r="D92" i="8"/>
  <c r="E19" i="8"/>
  <c r="E59" i="8"/>
  <c r="D59" i="8"/>
  <c r="D93" i="8"/>
  <c r="E20" i="8"/>
  <c r="E60" i="8"/>
  <c r="D60" i="8"/>
  <c r="D94" i="8"/>
  <c r="D62" i="8"/>
  <c r="E62" i="8"/>
  <c r="D96" i="8"/>
  <c r="E14" i="8"/>
  <c r="E63" i="8"/>
  <c r="D63" i="8"/>
  <c r="D100" i="8"/>
  <c r="E69" i="8"/>
  <c r="D69" i="8"/>
  <c r="D104" i="8"/>
  <c r="E85" i="8"/>
  <c r="E86" i="8"/>
  <c r="E87" i="8"/>
  <c r="E88" i="8"/>
  <c r="D105" i="8"/>
  <c r="D109" i="8"/>
  <c r="D18" i="9"/>
  <c r="E89" i="8"/>
  <c r="F57" i="8"/>
  <c r="E92" i="8"/>
  <c r="F19" i="8"/>
  <c r="F59" i="8"/>
  <c r="E93" i="8"/>
  <c r="F20" i="8"/>
  <c r="F60" i="8"/>
  <c r="E94" i="8"/>
  <c r="F62" i="8"/>
  <c r="E96" i="8"/>
  <c r="F14" i="8"/>
  <c r="F63" i="8"/>
  <c r="E100" i="8"/>
  <c r="F69" i="8"/>
  <c r="E104" i="8"/>
  <c r="F85" i="8"/>
  <c r="F86" i="8"/>
  <c r="F87" i="8"/>
  <c r="F88" i="8"/>
  <c r="E105" i="8"/>
  <c r="E109" i="8"/>
  <c r="E18" i="9"/>
  <c r="F89" i="8"/>
  <c r="G57" i="8"/>
  <c r="F92" i="8"/>
  <c r="G19" i="8"/>
  <c r="G59" i="8"/>
  <c r="F93" i="8"/>
  <c r="G20" i="8"/>
  <c r="G60" i="8"/>
  <c r="F94" i="8"/>
  <c r="G62" i="8"/>
  <c r="F96" i="8"/>
  <c r="F100" i="8"/>
  <c r="G69" i="8"/>
  <c r="F104" i="8"/>
  <c r="G85" i="8"/>
  <c r="G86" i="8"/>
  <c r="G87" i="8"/>
  <c r="G88" i="8"/>
  <c r="F105" i="8"/>
  <c r="F109" i="8"/>
  <c r="F18" i="9"/>
  <c r="G89" i="8"/>
  <c r="H57" i="8"/>
  <c r="G92" i="8"/>
  <c r="H19" i="8"/>
  <c r="H59" i="8"/>
  <c r="G93" i="8"/>
  <c r="H20" i="8"/>
  <c r="H60" i="8"/>
  <c r="G94" i="8"/>
  <c r="H62" i="8"/>
  <c r="G96" i="8"/>
  <c r="H12" i="8"/>
  <c r="H13" i="8"/>
  <c r="H14" i="8"/>
  <c r="H63" i="8"/>
  <c r="G100" i="8"/>
  <c r="H69" i="8"/>
  <c r="G104" i="8"/>
  <c r="H85" i="8"/>
  <c r="H86" i="8"/>
  <c r="H87" i="8"/>
  <c r="H88" i="8"/>
  <c r="G105" i="8"/>
  <c r="G109" i="8"/>
  <c r="G18" i="9"/>
  <c r="H89" i="8"/>
  <c r="I57" i="8"/>
  <c r="H92" i="8"/>
  <c r="I19" i="8"/>
  <c r="I59" i="8"/>
  <c r="H93" i="8"/>
  <c r="I20" i="8"/>
  <c r="I60" i="8"/>
  <c r="H94" i="8"/>
  <c r="I62" i="8"/>
  <c r="H96" i="8"/>
  <c r="I12" i="8"/>
  <c r="I13" i="8"/>
  <c r="I14" i="8"/>
  <c r="I63" i="8"/>
  <c r="H100" i="8"/>
  <c r="I69" i="8"/>
  <c r="H104" i="8"/>
  <c r="I85" i="8"/>
  <c r="I86" i="8"/>
  <c r="I87" i="8"/>
  <c r="I88" i="8"/>
  <c r="H105" i="8"/>
  <c r="H109" i="8"/>
  <c r="H18" i="9"/>
  <c r="I89" i="8"/>
  <c r="J57" i="8"/>
  <c r="I92" i="8"/>
  <c r="J19" i="8"/>
  <c r="J59" i="8"/>
  <c r="I93" i="8"/>
  <c r="J20" i="8"/>
  <c r="J60" i="8"/>
  <c r="I94" i="8"/>
  <c r="J62" i="8"/>
  <c r="I96" i="8"/>
  <c r="J12" i="8"/>
  <c r="J13" i="8"/>
  <c r="J14" i="8"/>
  <c r="J63" i="8"/>
  <c r="I100" i="8"/>
  <c r="J69" i="8"/>
  <c r="I104" i="8"/>
  <c r="J85" i="8"/>
  <c r="J86" i="8"/>
  <c r="J87" i="8"/>
  <c r="J88" i="8"/>
  <c r="I105" i="8"/>
  <c r="I109" i="8"/>
  <c r="I18" i="9"/>
  <c r="J89" i="8"/>
  <c r="K57" i="8"/>
  <c r="J92" i="8"/>
  <c r="K19" i="8"/>
  <c r="K59" i="8"/>
  <c r="J93" i="8"/>
  <c r="K20" i="8"/>
  <c r="K60" i="8"/>
  <c r="J94" i="8"/>
  <c r="K62" i="8"/>
  <c r="J96" i="8"/>
  <c r="K12" i="8"/>
  <c r="K13" i="8"/>
  <c r="K14" i="8"/>
  <c r="K63" i="8"/>
  <c r="J100" i="8"/>
  <c r="K69" i="8"/>
  <c r="J104" i="8"/>
  <c r="K85" i="8"/>
  <c r="K86" i="8"/>
  <c r="K87" i="8"/>
  <c r="K88" i="8"/>
  <c r="J105" i="8"/>
  <c r="J109" i="8"/>
  <c r="J18" i="9"/>
  <c r="K89" i="8"/>
  <c r="L57" i="8"/>
  <c r="K92" i="8"/>
  <c r="L19" i="8"/>
  <c r="L59" i="8"/>
  <c r="K93" i="8"/>
  <c r="L20" i="8"/>
  <c r="L60" i="8"/>
  <c r="K94" i="8"/>
  <c r="L62" i="8"/>
  <c r="K96" i="8"/>
  <c r="L12" i="8"/>
  <c r="L13" i="8"/>
  <c r="L14" i="8"/>
  <c r="L63" i="8"/>
  <c r="K100" i="8"/>
  <c r="L69" i="8"/>
  <c r="K104" i="8"/>
  <c r="L85" i="8"/>
  <c r="L86" i="8"/>
  <c r="L87" i="8"/>
  <c r="L88" i="8"/>
  <c r="K105" i="8"/>
  <c r="K109" i="8"/>
  <c r="K18" i="9"/>
  <c r="L89" i="8"/>
  <c r="M57" i="8"/>
  <c r="L92" i="8"/>
  <c r="M19" i="8"/>
  <c r="M59" i="8"/>
  <c r="L93" i="8"/>
  <c r="M20" i="8"/>
  <c r="M60" i="8"/>
  <c r="L94" i="8"/>
  <c r="M62" i="8"/>
  <c r="L96" i="8"/>
  <c r="M12" i="8"/>
  <c r="M13" i="8"/>
  <c r="M14" i="8"/>
  <c r="M63" i="8"/>
  <c r="L100" i="8"/>
  <c r="M69" i="8"/>
  <c r="L104" i="8"/>
  <c r="M85" i="8"/>
  <c r="M86" i="8"/>
  <c r="M87" i="8"/>
  <c r="M88" i="8"/>
  <c r="L105" i="8"/>
  <c r="L109" i="8"/>
  <c r="L18" i="9"/>
  <c r="M89" i="8"/>
  <c r="N57" i="8"/>
  <c r="M92" i="8"/>
  <c r="N19" i="8"/>
  <c r="N59" i="8"/>
  <c r="M93" i="8"/>
  <c r="N20" i="8"/>
  <c r="N60" i="8"/>
  <c r="M94" i="8"/>
  <c r="N62" i="8"/>
  <c r="M96" i="8"/>
  <c r="N12" i="8"/>
  <c r="N13" i="8"/>
  <c r="N14" i="8"/>
  <c r="N63" i="8"/>
  <c r="M100" i="8"/>
  <c r="N69" i="8"/>
  <c r="M104" i="8"/>
  <c r="N85" i="8"/>
  <c r="N86" i="8"/>
  <c r="N87" i="8"/>
  <c r="N88" i="8"/>
  <c r="M105" i="8"/>
  <c r="M109" i="8"/>
  <c r="M18" i="9"/>
  <c r="N89" i="8"/>
  <c r="N92" i="8"/>
  <c r="N93" i="8"/>
  <c r="N94" i="8"/>
  <c r="N96" i="8"/>
  <c r="N97" i="8"/>
  <c r="P97" i="8"/>
  <c r="P98" i="8"/>
  <c r="N98" i="8"/>
  <c r="N100" i="8"/>
  <c r="N101" i="8"/>
  <c r="P101" i="8"/>
  <c r="P102" i="8"/>
  <c r="N102" i="8"/>
  <c r="N104" i="8"/>
  <c r="N105" i="8"/>
  <c r="N109" i="8"/>
  <c r="N18" i="9"/>
  <c r="C92" i="8"/>
  <c r="C93" i="8"/>
  <c r="C94" i="8"/>
  <c r="C96" i="8"/>
  <c r="C100" i="8"/>
  <c r="C104" i="8"/>
  <c r="C105" i="8"/>
  <c r="C109" i="8"/>
  <c r="C18" i="9"/>
  <c r="B17" i="9"/>
  <c r="D3" i="9"/>
  <c r="D77" i="7"/>
  <c r="E77" i="7"/>
  <c r="F77" i="7"/>
  <c r="G77" i="7"/>
  <c r="H77" i="7"/>
  <c r="I77" i="7"/>
  <c r="J77" i="7"/>
  <c r="K77" i="7"/>
  <c r="L77" i="7"/>
  <c r="M77" i="7"/>
  <c r="N77" i="7"/>
  <c r="S77" i="7"/>
  <c r="S78" i="7"/>
  <c r="D80" i="7"/>
  <c r="E80" i="7"/>
  <c r="F80" i="7"/>
  <c r="G80" i="7"/>
  <c r="H80" i="7"/>
  <c r="I80" i="7"/>
  <c r="J80" i="7"/>
  <c r="K80" i="7"/>
  <c r="L80" i="7"/>
  <c r="M80" i="7"/>
  <c r="N80" i="7"/>
  <c r="S80" i="7"/>
  <c r="D38" i="7"/>
  <c r="D39" i="7"/>
  <c r="D40" i="7"/>
  <c r="D5" i="7"/>
  <c r="D42" i="7"/>
  <c r="D8" i="7"/>
  <c r="D43" i="7"/>
  <c r="D11" i="7"/>
  <c r="D44" i="7"/>
  <c r="F29" i="7"/>
  <c r="F28" i="7"/>
  <c r="D47" i="7"/>
  <c r="D14" i="7"/>
  <c r="D16" i="7"/>
  <c r="D17" i="7"/>
  <c r="D48" i="7"/>
  <c r="E12" i="7"/>
  <c r="F12" i="7"/>
  <c r="G12" i="7"/>
  <c r="E13" i="7"/>
  <c r="F13" i="7"/>
  <c r="G13" i="7"/>
  <c r="G14" i="7"/>
  <c r="G68" i="7"/>
  <c r="P69" i="7"/>
  <c r="D52" i="7"/>
  <c r="D53" i="7"/>
  <c r="D54" i="7"/>
  <c r="D56" i="7"/>
  <c r="D57" i="7"/>
  <c r="D58" i="7"/>
  <c r="D81" i="7"/>
  <c r="E3" i="7"/>
  <c r="E4" i="7"/>
  <c r="E38" i="7"/>
  <c r="E6" i="7"/>
  <c r="E7" i="7"/>
  <c r="E39" i="7"/>
  <c r="E9" i="7"/>
  <c r="E10" i="7"/>
  <c r="E40" i="7"/>
  <c r="E5" i="7"/>
  <c r="E42" i="7"/>
  <c r="E8" i="7"/>
  <c r="E43" i="7"/>
  <c r="E11" i="7"/>
  <c r="E44" i="7"/>
  <c r="P47" i="7"/>
  <c r="E47" i="7"/>
  <c r="E48" i="7"/>
  <c r="E52" i="7"/>
  <c r="E53" i="7"/>
  <c r="E54" i="7"/>
  <c r="E56" i="7"/>
  <c r="E57" i="7"/>
  <c r="E58" i="7"/>
  <c r="E81" i="7"/>
  <c r="F3" i="7"/>
  <c r="F4" i="7"/>
  <c r="F38" i="7"/>
  <c r="F6" i="7"/>
  <c r="F7" i="7"/>
  <c r="F39" i="7"/>
  <c r="F9" i="7"/>
  <c r="F10" i="7"/>
  <c r="F40" i="7"/>
  <c r="F5" i="7"/>
  <c r="F42" i="7"/>
  <c r="F8" i="7"/>
  <c r="F43" i="7"/>
  <c r="F11" i="7"/>
  <c r="F44" i="7"/>
  <c r="F47" i="7"/>
  <c r="F48" i="7"/>
  <c r="F52" i="7"/>
  <c r="F53" i="7"/>
  <c r="F54" i="7"/>
  <c r="F56" i="7"/>
  <c r="F57" i="7"/>
  <c r="F58" i="7"/>
  <c r="F81" i="7"/>
  <c r="G3" i="7"/>
  <c r="G4" i="7"/>
  <c r="G38" i="7"/>
  <c r="G6" i="7"/>
  <c r="G7" i="7"/>
  <c r="G39" i="7"/>
  <c r="G9" i="7"/>
  <c r="G10" i="7"/>
  <c r="G40" i="7"/>
  <c r="G5" i="7"/>
  <c r="G42" i="7"/>
  <c r="G8" i="7"/>
  <c r="G43" i="7"/>
  <c r="G11" i="7"/>
  <c r="G44" i="7"/>
  <c r="G47" i="7"/>
  <c r="G48" i="7"/>
  <c r="G52" i="7"/>
  <c r="G53" i="7"/>
  <c r="G54" i="7"/>
  <c r="G56" i="7"/>
  <c r="G57" i="7"/>
  <c r="G58" i="7"/>
  <c r="G81" i="7"/>
  <c r="H3" i="7"/>
  <c r="H4" i="7"/>
  <c r="H38" i="7"/>
  <c r="H6" i="7"/>
  <c r="H7" i="7"/>
  <c r="H39" i="7"/>
  <c r="H9" i="7"/>
  <c r="H10" i="7"/>
  <c r="H40" i="7"/>
  <c r="H5" i="7"/>
  <c r="H42" i="7"/>
  <c r="H8" i="7"/>
  <c r="H43" i="7"/>
  <c r="H11" i="7"/>
  <c r="H44" i="7"/>
  <c r="H47" i="7"/>
  <c r="H48" i="7"/>
  <c r="H52" i="7"/>
  <c r="H53" i="7"/>
  <c r="H54" i="7"/>
  <c r="H56" i="7"/>
  <c r="H57" i="7"/>
  <c r="H58" i="7"/>
  <c r="H81" i="7"/>
  <c r="I3" i="7"/>
  <c r="I4" i="7"/>
  <c r="I38" i="7"/>
  <c r="I6" i="7"/>
  <c r="I7" i="7"/>
  <c r="I39" i="7"/>
  <c r="I9" i="7"/>
  <c r="I10" i="7"/>
  <c r="I40" i="7"/>
  <c r="I5" i="7"/>
  <c r="I42" i="7"/>
  <c r="I8" i="7"/>
  <c r="I43" i="7"/>
  <c r="I11" i="7"/>
  <c r="I44" i="7"/>
  <c r="I47" i="7"/>
  <c r="I48" i="7"/>
  <c r="I52" i="7"/>
  <c r="I53" i="7"/>
  <c r="I54" i="7"/>
  <c r="I56" i="7"/>
  <c r="I57" i="7"/>
  <c r="I58" i="7"/>
  <c r="I81" i="7"/>
  <c r="J3" i="7"/>
  <c r="J4" i="7"/>
  <c r="J38" i="7"/>
  <c r="J6" i="7"/>
  <c r="J7" i="7"/>
  <c r="J39" i="7"/>
  <c r="J9" i="7"/>
  <c r="J10" i="7"/>
  <c r="J40" i="7"/>
  <c r="J5" i="7"/>
  <c r="J42" i="7"/>
  <c r="J8" i="7"/>
  <c r="J43" i="7"/>
  <c r="J11" i="7"/>
  <c r="J44" i="7"/>
  <c r="J47" i="7"/>
  <c r="J48" i="7"/>
  <c r="J52" i="7"/>
  <c r="J53" i="7"/>
  <c r="J54" i="7"/>
  <c r="J56" i="7"/>
  <c r="J57" i="7"/>
  <c r="J58" i="7"/>
  <c r="J81" i="7"/>
  <c r="K3" i="7"/>
  <c r="K4" i="7"/>
  <c r="K38" i="7"/>
  <c r="K6" i="7"/>
  <c r="K7" i="7"/>
  <c r="K39" i="7"/>
  <c r="K9" i="7"/>
  <c r="K10" i="7"/>
  <c r="K40" i="7"/>
  <c r="K5" i="7"/>
  <c r="K42" i="7"/>
  <c r="K8" i="7"/>
  <c r="K43" i="7"/>
  <c r="K11" i="7"/>
  <c r="K44" i="7"/>
  <c r="K47" i="7"/>
  <c r="K48" i="7"/>
  <c r="K52" i="7"/>
  <c r="K53" i="7"/>
  <c r="K54" i="7"/>
  <c r="K56" i="7"/>
  <c r="K57" i="7"/>
  <c r="K58" i="7"/>
  <c r="K81" i="7"/>
  <c r="L3" i="7"/>
  <c r="L4" i="7"/>
  <c r="L38" i="7"/>
  <c r="L6" i="7"/>
  <c r="L7" i="7"/>
  <c r="L39" i="7"/>
  <c r="L9" i="7"/>
  <c r="L10" i="7"/>
  <c r="L40" i="7"/>
  <c r="L5" i="7"/>
  <c r="L42" i="7"/>
  <c r="L8" i="7"/>
  <c r="L43" i="7"/>
  <c r="L11" i="7"/>
  <c r="L44" i="7"/>
  <c r="L47" i="7"/>
  <c r="L48" i="7"/>
  <c r="L52" i="7"/>
  <c r="L53" i="7"/>
  <c r="L54" i="7"/>
  <c r="L56" i="7"/>
  <c r="L57" i="7"/>
  <c r="L58" i="7"/>
  <c r="L81" i="7"/>
  <c r="M3" i="7"/>
  <c r="M4" i="7"/>
  <c r="M38" i="7"/>
  <c r="M6" i="7"/>
  <c r="M7" i="7"/>
  <c r="M39" i="7"/>
  <c r="M9" i="7"/>
  <c r="M10" i="7"/>
  <c r="M40" i="7"/>
  <c r="M5" i="7"/>
  <c r="M42" i="7"/>
  <c r="M8" i="7"/>
  <c r="M43" i="7"/>
  <c r="M11" i="7"/>
  <c r="M44" i="7"/>
  <c r="M47" i="7"/>
  <c r="M48" i="7"/>
  <c r="M52" i="7"/>
  <c r="M53" i="7"/>
  <c r="M54" i="7"/>
  <c r="M56" i="7"/>
  <c r="M57" i="7"/>
  <c r="M58" i="7"/>
  <c r="M81" i="7"/>
  <c r="N3" i="7"/>
  <c r="N4" i="7"/>
  <c r="N38" i="7"/>
  <c r="N6" i="7"/>
  <c r="N7" i="7"/>
  <c r="N39" i="7"/>
  <c r="N9" i="7"/>
  <c r="N10" i="7"/>
  <c r="N40" i="7"/>
  <c r="N5" i="7"/>
  <c r="N42" i="7"/>
  <c r="N8" i="7"/>
  <c r="N43" i="7"/>
  <c r="N11" i="7"/>
  <c r="N44" i="7"/>
  <c r="N47" i="7"/>
  <c r="N48" i="7"/>
  <c r="N52" i="7"/>
  <c r="N53" i="7"/>
  <c r="N54" i="7"/>
  <c r="N56" i="7"/>
  <c r="N57" i="7"/>
  <c r="N58" i="7"/>
  <c r="N81" i="7"/>
  <c r="S81" i="7"/>
  <c r="S82" i="7"/>
  <c r="T77" i="7"/>
  <c r="V67" i="7"/>
  <c r="V77" i="7"/>
  <c r="W77" i="7"/>
  <c r="T78" i="7"/>
  <c r="V78" i="7"/>
  <c r="W78" i="7"/>
  <c r="T80" i="7"/>
  <c r="T67" i="7"/>
  <c r="T68" i="7"/>
  <c r="T69" i="7"/>
  <c r="T74" i="7"/>
  <c r="U80" i="7"/>
  <c r="V80" i="7"/>
  <c r="W80" i="7"/>
  <c r="W82" i="7"/>
  <c r="C117" i="7"/>
  <c r="C26" i="9"/>
  <c r="D90" i="7"/>
  <c r="D91" i="7"/>
  <c r="D92" i="7"/>
  <c r="D93" i="7"/>
  <c r="D94" i="7"/>
  <c r="D62" i="7"/>
  <c r="E62" i="7"/>
  <c r="D97" i="7"/>
  <c r="E19" i="7"/>
  <c r="E64" i="7"/>
  <c r="D64" i="7"/>
  <c r="D98" i="7"/>
  <c r="E20" i="7"/>
  <c r="E65" i="7"/>
  <c r="D65" i="7"/>
  <c r="D99" i="7"/>
  <c r="D67" i="7"/>
  <c r="E67" i="7"/>
  <c r="D101" i="7"/>
  <c r="E14" i="7"/>
  <c r="E68" i="7"/>
  <c r="D68" i="7"/>
  <c r="D105" i="7"/>
  <c r="E74" i="7"/>
  <c r="D74" i="7"/>
  <c r="D109" i="7"/>
  <c r="E90" i="7"/>
  <c r="E91" i="7"/>
  <c r="E92" i="7"/>
  <c r="E93" i="7"/>
  <c r="D110" i="7"/>
  <c r="D114" i="7"/>
  <c r="D24" i="9"/>
  <c r="E94" i="7"/>
  <c r="F62" i="7"/>
  <c r="E97" i="7"/>
  <c r="F19" i="7"/>
  <c r="F64" i="7"/>
  <c r="E98" i="7"/>
  <c r="F20" i="7"/>
  <c r="F65" i="7"/>
  <c r="E99" i="7"/>
  <c r="F67" i="7"/>
  <c r="E101" i="7"/>
  <c r="F14" i="7"/>
  <c r="F68" i="7"/>
  <c r="E105" i="7"/>
  <c r="F74" i="7"/>
  <c r="E109" i="7"/>
  <c r="F90" i="7"/>
  <c r="F91" i="7"/>
  <c r="F92" i="7"/>
  <c r="F93" i="7"/>
  <c r="E110" i="7"/>
  <c r="E114" i="7"/>
  <c r="E24" i="9"/>
  <c r="F94" i="7"/>
  <c r="G62" i="7"/>
  <c r="F97" i="7"/>
  <c r="G19" i="7"/>
  <c r="G64" i="7"/>
  <c r="F98" i="7"/>
  <c r="G20" i="7"/>
  <c r="G65" i="7"/>
  <c r="F99" i="7"/>
  <c r="G67" i="7"/>
  <c r="F101" i="7"/>
  <c r="F105" i="7"/>
  <c r="G74" i="7"/>
  <c r="F109" i="7"/>
  <c r="G90" i="7"/>
  <c r="G91" i="7"/>
  <c r="G92" i="7"/>
  <c r="G93" i="7"/>
  <c r="F110" i="7"/>
  <c r="F114" i="7"/>
  <c r="F24" i="9"/>
  <c r="G94" i="7"/>
  <c r="H62" i="7"/>
  <c r="G97" i="7"/>
  <c r="H19" i="7"/>
  <c r="H64" i="7"/>
  <c r="G98" i="7"/>
  <c r="H20" i="7"/>
  <c r="H65" i="7"/>
  <c r="G99" i="7"/>
  <c r="H67" i="7"/>
  <c r="G101" i="7"/>
  <c r="H12" i="7"/>
  <c r="H13" i="7"/>
  <c r="H14" i="7"/>
  <c r="H68" i="7"/>
  <c r="G105" i="7"/>
  <c r="H74" i="7"/>
  <c r="G109" i="7"/>
  <c r="H90" i="7"/>
  <c r="H91" i="7"/>
  <c r="H92" i="7"/>
  <c r="H93" i="7"/>
  <c r="G110" i="7"/>
  <c r="G114" i="7"/>
  <c r="G24" i="9"/>
  <c r="H94" i="7"/>
  <c r="I62" i="7"/>
  <c r="H97" i="7"/>
  <c r="I19" i="7"/>
  <c r="I64" i="7"/>
  <c r="H98" i="7"/>
  <c r="I20" i="7"/>
  <c r="I65" i="7"/>
  <c r="H99" i="7"/>
  <c r="I67" i="7"/>
  <c r="H101" i="7"/>
  <c r="I12" i="7"/>
  <c r="I14" i="7"/>
  <c r="I68" i="7"/>
  <c r="H105" i="7"/>
  <c r="I74" i="7"/>
  <c r="H109" i="7"/>
  <c r="I90" i="7"/>
  <c r="I91" i="7"/>
  <c r="I92" i="7"/>
  <c r="I93" i="7"/>
  <c r="H110" i="7"/>
  <c r="H114" i="7"/>
  <c r="H24" i="9"/>
  <c r="I94" i="7"/>
  <c r="J62" i="7"/>
  <c r="I97" i="7"/>
  <c r="J19" i="7"/>
  <c r="J64" i="7"/>
  <c r="I98" i="7"/>
  <c r="J20" i="7"/>
  <c r="J65" i="7"/>
  <c r="I99" i="7"/>
  <c r="J67" i="7"/>
  <c r="I101" i="7"/>
  <c r="J12" i="7"/>
  <c r="J13" i="7"/>
  <c r="J14" i="7"/>
  <c r="J68" i="7"/>
  <c r="I105" i="7"/>
  <c r="J74" i="7"/>
  <c r="I109" i="7"/>
  <c r="J90" i="7"/>
  <c r="J91" i="7"/>
  <c r="J92" i="7"/>
  <c r="J93" i="7"/>
  <c r="I110" i="7"/>
  <c r="I114" i="7"/>
  <c r="I24" i="9"/>
  <c r="J94" i="7"/>
  <c r="K62" i="7"/>
  <c r="J97" i="7"/>
  <c r="K19" i="7"/>
  <c r="K64" i="7"/>
  <c r="J98" i="7"/>
  <c r="K20" i="7"/>
  <c r="K65" i="7"/>
  <c r="J99" i="7"/>
  <c r="K67" i="7"/>
  <c r="J101" i="7"/>
  <c r="K12" i="7"/>
  <c r="K13" i="7"/>
  <c r="K14" i="7"/>
  <c r="K68" i="7"/>
  <c r="J105" i="7"/>
  <c r="K74" i="7"/>
  <c r="J109" i="7"/>
  <c r="K90" i="7"/>
  <c r="K91" i="7"/>
  <c r="K92" i="7"/>
  <c r="K93" i="7"/>
  <c r="J110" i="7"/>
  <c r="J114" i="7"/>
  <c r="J24" i="9"/>
  <c r="K94" i="7"/>
  <c r="L62" i="7"/>
  <c r="K97" i="7"/>
  <c r="L19" i="7"/>
  <c r="L64" i="7"/>
  <c r="K98" i="7"/>
  <c r="L20" i="7"/>
  <c r="L65" i="7"/>
  <c r="K99" i="7"/>
  <c r="L67" i="7"/>
  <c r="K101" i="7"/>
  <c r="L12" i="7"/>
  <c r="L13" i="7"/>
  <c r="L14" i="7"/>
  <c r="L68" i="7"/>
  <c r="K105" i="7"/>
  <c r="L74" i="7"/>
  <c r="K109" i="7"/>
  <c r="L90" i="7"/>
  <c r="L91" i="7"/>
  <c r="L92" i="7"/>
  <c r="L93" i="7"/>
  <c r="K110" i="7"/>
  <c r="K114" i="7"/>
  <c r="K24" i="9"/>
  <c r="L94" i="7"/>
  <c r="M62" i="7"/>
  <c r="L97" i="7"/>
  <c r="M19" i="7"/>
  <c r="M64" i="7"/>
  <c r="L98" i="7"/>
  <c r="M20" i="7"/>
  <c r="M65" i="7"/>
  <c r="L99" i="7"/>
  <c r="M67" i="7"/>
  <c r="L101" i="7"/>
  <c r="M12" i="7"/>
  <c r="M13" i="7"/>
  <c r="M14" i="7"/>
  <c r="M68" i="7"/>
  <c r="L105" i="7"/>
  <c r="M74" i="7"/>
  <c r="L109" i="7"/>
  <c r="M90" i="7"/>
  <c r="M91" i="7"/>
  <c r="M92" i="7"/>
  <c r="M93" i="7"/>
  <c r="L110" i="7"/>
  <c r="L114" i="7"/>
  <c r="L24" i="9"/>
  <c r="M94" i="7"/>
  <c r="N62" i="7"/>
  <c r="M97" i="7"/>
  <c r="N19" i="7"/>
  <c r="N64" i="7"/>
  <c r="M98" i="7"/>
  <c r="N20" i="7"/>
  <c r="N65" i="7"/>
  <c r="M99" i="7"/>
  <c r="N67" i="7"/>
  <c r="M101" i="7"/>
  <c r="N12" i="7"/>
  <c r="N13" i="7"/>
  <c r="N14" i="7"/>
  <c r="N68" i="7"/>
  <c r="M105" i="7"/>
  <c r="N74" i="7"/>
  <c r="M109" i="7"/>
  <c r="N90" i="7"/>
  <c r="N91" i="7"/>
  <c r="N92" i="7"/>
  <c r="N93" i="7"/>
  <c r="M110" i="7"/>
  <c r="M114" i="7"/>
  <c r="M24" i="9"/>
  <c r="N94" i="7"/>
  <c r="N97" i="7"/>
  <c r="N98" i="7"/>
  <c r="N99" i="7"/>
  <c r="N101" i="7"/>
  <c r="N105" i="7"/>
  <c r="N109" i="7"/>
  <c r="N110" i="7"/>
  <c r="N114" i="7"/>
  <c r="N24" i="9"/>
  <c r="C97" i="7"/>
  <c r="C98" i="7"/>
  <c r="C99" i="7"/>
  <c r="C101" i="7"/>
  <c r="C105" i="7"/>
  <c r="C109" i="7"/>
  <c r="C110" i="7"/>
  <c r="C114" i="7"/>
  <c r="C24" i="9"/>
  <c r="B23" i="9"/>
  <c r="D4" i="9"/>
  <c r="C110" i="8"/>
  <c r="C19" i="9"/>
  <c r="E3" i="9"/>
  <c r="E4" i="9"/>
  <c r="B27" i="9"/>
  <c r="B21" i="9"/>
  <c r="B15" i="9"/>
  <c r="C113" i="8"/>
  <c r="J13" i="1"/>
  <c r="K13" i="1"/>
  <c r="L13" i="1"/>
  <c r="M13" i="1"/>
  <c r="N13" i="1"/>
  <c r="C113" i="1"/>
  <c r="E28" i="8"/>
  <c r="D64" i="8"/>
  <c r="E64" i="8"/>
  <c r="F64" i="8"/>
  <c r="G64" i="8"/>
  <c r="H64" i="8"/>
  <c r="I64" i="8"/>
  <c r="J64" i="8"/>
  <c r="K64" i="8"/>
  <c r="L64" i="8"/>
  <c r="M64" i="8"/>
  <c r="N64" i="8"/>
  <c r="D66" i="8"/>
  <c r="E66" i="8"/>
  <c r="F66" i="8"/>
  <c r="G66" i="8"/>
  <c r="H66" i="8"/>
  <c r="I66" i="8"/>
  <c r="J66" i="8"/>
  <c r="K66" i="8"/>
  <c r="L66" i="8"/>
  <c r="M66" i="8"/>
  <c r="N66" i="8"/>
  <c r="D70" i="8"/>
  <c r="E70" i="8"/>
  <c r="F70" i="8"/>
  <c r="G70" i="8"/>
  <c r="H70" i="8"/>
  <c r="I70" i="8"/>
  <c r="J70" i="8"/>
  <c r="K70" i="8"/>
  <c r="L70" i="8"/>
  <c r="M70" i="8"/>
  <c r="N70" i="8"/>
  <c r="O72" i="8"/>
  <c r="O73" i="8"/>
  <c r="O74" i="8"/>
  <c r="O75" i="8"/>
  <c r="O76" i="8"/>
  <c r="O77" i="8"/>
  <c r="S77" i="8"/>
  <c r="D78" i="8"/>
  <c r="E78" i="8"/>
  <c r="F78" i="8"/>
  <c r="G78" i="8"/>
  <c r="H78" i="8"/>
  <c r="I78" i="8"/>
  <c r="J78" i="8"/>
  <c r="K78" i="8"/>
  <c r="L78" i="8"/>
  <c r="M78" i="8"/>
  <c r="N78" i="8"/>
  <c r="D80" i="8"/>
  <c r="E80" i="8"/>
  <c r="F80" i="8"/>
  <c r="G80" i="8"/>
  <c r="H80" i="8"/>
  <c r="I80" i="8"/>
  <c r="J80" i="8"/>
  <c r="K80" i="8"/>
  <c r="L80" i="8"/>
  <c r="M80" i="8"/>
  <c r="N80" i="8"/>
  <c r="D70" i="1"/>
  <c r="D78" i="1"/>
  <c r="D64" i="1"/>
  <c r="D66" i="1"/>
  <c r="D80" i="1"/>
  <c r="E64" i="1"/>
  <c r="E66" i="1"/>
  <c r="E70" i="1"/>
  <c r="E78" i="1"/>
  <c r="E80" i="1"/>
  <c r="F64" i="1"/>
  <c r="F66" i="1"/>
  <c r="F70" i="1"/>
  <c r="F78" i="1"/>
  <c r="F80" i="1"/>
  <c r="G64" i="1"/>
  <c r="G66" i="1"/>
  <c r="G70" i="1"/>
  <c r="G78" i="1"/>
  <c r="G80" i="1"/>
  <c r="H64" i="1"/>
  <c r="H66" i="1"/>
  <c r="H70" i="1"/>
  <c r="H78" i="1"/>
  <c r="H80" i="1"/>
  <c r="I64" i="1"/>
  <c r="I66" i="1"/>
  <c r="I70" i="1"/>
  <c r="I78" i="1"/>
  <c r="I80" i="1"/>
  <c r="J64" i="1"/>
  <c r="J66" i="1"/>
  <c r="J70" i="1"/>
  <c r="J78" i="1"/>
  <c r="J80" i="1"/>
  <c r="K64" i="1"/>
  <c r="K66" i="1"/>
  <c r="K70" i="1"/>
  <c r="K78" i="1"/>
  <c r="K80" i="1"/>
  <c r="C110" i="1"/>
  <c r="C25" i="9"/>
  <c r="C13" i="9"/>
  <c r="C133" i="7"/>
  <c r="C136" i="7"/>
  <c r="D133" i="7"/>
  <c r="D135" i="7"/>
  <c r="D136" i="7"/>
  <c r="E133" i="7"/>
  <c r="E135" i="7"/>
  <c r="E136" i="7"/>
  <c r="F133" i="7"/>
  <c r="F135" i="7"/>
  <c r="F136" i="7"/>
  <c r="AB67" i="7"/>
  <c r="AB68" i="7"/>
  <c r="AB72" i="7"/>
  <c r="AB77" i="7"/>
  <c r="AB78" i="7"/>
  <c r="AC62" i="7"/>
  <c r="AC64" i="7"/>
  <c r="AC65" i="7"/>
  <c r="AC70" i="7"/>
  <c r="AC72" i="7"/>
  <c r="AC75" i="7"/>
  <c r="AC78" i="7"/>
  <c r="AC77" i="7"/>
  <c r="AC79" i="7"/>
  <c r="AD78" i="7"/>
  <c r="AE78" i="7"/>
  <c r="AF78" i="7"/>
  <c r="G134" i="7"/>
  <c r="G135" i="7"/>
  <c r="G136" i="7"/>
  <c r="C124" i="7"/>
  <c r="C127" i="7"/>
  <c r="D124" i="7"/>
  <c r="D126" i="7"/>
  <c r="D127" i="7"/>
  <c r="E124" i="7"/>
  <c r="E126" i="7"/>
  <c r="E127" i="7"/>
  <c r="F124" i="7"/>
  <c r="F126" i="7"/>
  <c r="F127" i="7"/>
  <c r="AD77" i="7"/>
  <c r="AE77" i="7"/>
  <c r="AF77" i="7"/>
  <c r="G125" i="7"/>
  <c r="G126" i="7"/>
  <c r="G127" i="7"/>
  <c r="C130" i="7"/>
  <c r="D69" i="7"/>
  <c r="E69" i="7"/>
  <c r="F69" i="7"/>
  <c r="G69" i="7"/>
  <c r="H69" i="7"/>
  <c r="I69" i="7"/>
  <c r="J69" i="7"/>
  <c r="K69" i="7"/>
  <c r="K71" i="7"/>
  <c r="K32" i="7"/>
  <c r="L69" i="7"/>
  <c r="L71" i="7"/>
  <c r="L32" i="7"/>
  <c r="M69" i="7"/>
  <c r="M71" i="7"/>
  <c r="M32" i="7"/>
  <c r="N69" i="7"/>
  <c r="N71" i="7"/>
  <c r="N32" i="7"/>
  <c r="E71" i="7"/>
  <c r="E32" i="7"/>
  <c r="F71" i="7"/>
  <c r="F32" i="7"/>
  <c r="G71" i="7"/>
  <c r="G32" i="7"/>
  <c r="H71" i="7"/>
  <c r="H32" i="7"/>
  <c r="I71" i="7"/>
  <c r="I32" i="7"/>
  <c r="J71" i="7"/>
  <c r="J32" i="7"/>
  <c r="D71" i="7"/>
  <c r="D32" i="7"/>
  <c r="AG78" i="7"/>
  <c r="AG77" i="7"/>
  <c r="D75" i="7"/>
  <c r="D83" i="7"/>
  <c r="D85" i="7"/>
  <c r="M50" i="7"/>
  <c r="M31" i="7"/>
  <c r="N50" i="7"/>
  <c r="N31" i="7"/>
  <c r="E50" i="7"/>
  <c r="E31" i="7"/>
  <c r="F50" i="7"/>
  <c r="F31" i="7"/>
  <c r="G50" i="7"/>
  <c r="G31" i="7"/>
  <c r="H50" i="7"/>
  <c r="H31" i="7"/>
  <c r="I50" i="7"/>
  <c r="I31" i="7"/>
  <c r="J50" i="7"/>
  <c r="J31" i="7"/>
  <c r="K50" i="7"/>
  <c r="K31" i="7"/>
  <c r="L50" i="7"/>
  <c r="L31" i="7"/>
  <c r="D50" i="7"/>
  <c r="D31" i="7"/>
  <c r="P77" i="7"/>
  <c r="C138" i="7"/>
  <c r="C139" i="7"/>
  <c r="F75" i="7"/>
  <c r="F83" i="7"/>
  <c r="F85" i="7"/>
  <c r="G75" i="7"/>
  <c r="G83" i="7"/>
  <c r="G85" i="7"/>
  <c r="H75" i="7"/>
  <c r="H83" i="7"/>
  <c r="H85" i="7"/>
  <c r="I75" i="7"/>
  <c r="I83" i="7"/>
  <c r="I85" i="7"/>
  <c r="E75" i="7"/>
  <c r="E83" i="7"/>
  <c r="E85" i="7"/>
  <c r="Q102" i="7"/>
  <c r="Q103" i="7"/>
  <c r="Q106" i="7"/>
  <c r="Q107" i="7"/>
  <c r="C118" i="7"/>
  <c r="N75" i="7"/>
  <c r="N83" i="7"/>
  <c r="N85" i="7"/>
  <c r="M75" i="7"/>
  <c r="M83" i="7"/>
  <c r="M85" i="7"/>
  <c r="L75" i="7"/>
  <c r="L83" i="7"/>
  <c r="L85" i="7"/>
  <c r="K75" i="7"/>
  <c r="K83" i="7"/>
  <c r="K85" i="7"/>
  <c r="J75" i="7"/>
  <c r="J83" i="7"/>
  <c r="J85" i="7"/>
  <c r="T82" i="7"/>
  <c r="P80" i="7"/>
  <c r="P81" i="7"/>
  <c r="P82" i="7"/>
  <c r="P78" i="7"/>
  <c r="P79" i="7"/>
  <c r="E28" i="7"/>
  <c r="I12" i="1"/>
  <c r="J12" i="1"/>
  <c r="K12" i="1"/>
  <c r="L12" i="1"/>
  <c r="M12" i="1"/>
  <c r="N12" i="1"/>
  <c r="E28" i="1"/>
  <c r="O72" i="1"/>
  <c r="O73" i="1"/>
  <c r="O74" i="1"/>
  <c r="O75" i="1"/>
  <c r="M70" i="1"/>
  <c r="C28" i="2"/>
  <c r="C70" i="2"/>
  <c r="C84" i="2"/>
  <c r="C98" i="2"/>
  <c r="C112" i="2"/>
  <c r="C126" i="2"/>
  <c r="C140" i="2"/>
  <c r="C154" i="2"/>
  <c r="B156" i="2"/>
  <c r="E156" i="2"/>
  <c r="D156" i="2"/>
  <c r="C156" i="2"/>
  <c r="F156" i="2"/>
  <c r="B157" i="2"/>
  <c r="E157" i="2"/>
  <c r="D157" i="2"/>
  <c r="C157" i="2"/>
  <c r="F157" i="2"/>
  <c r="B158" i="2"/>
  <c r="E158" i="2"/>
  <c r="D158" i="2"/>
  <c r="C158" i="2"/>
  <c r="F158" i="2"/>
  <c r="B159" i="2"/>
  <c r="E159" i="2"/>
  <c r="D159" i="2"/>
  <c r="C159" i="2"/>
  <c r="F159" i="2"/>
  <c r="B160" i="2"/>
  <c r="E160" i="2"/>
  <c r="D160" i="2"/>
  <c r="C160" i="2"/>
  <c r="F160" i="2"/>
  <c r="B161" i="2"/>
  <c r="E161" i="2"/>
  <c r="D161" i="2"/>
  <c r="C161" i="2"/>
  <c r="F161" i="2"/>
  <c r="B162" i="2"/>
  <c r="E162" i="2"/>
  <c r="D162" i="2"/>
  <c r="C162" i="2"/>
  <c r="F162" i="2"/>
  <c r="B163" i="2"/>
  <c r="E163" i="2"/>
  <c r="D163" i="2"/>
  <c r="C163" i="2"/>
  <c r="F163" i="2"/>
  <c r="B164" i="2"/>
  <c r="E164" i="2"/>
  <c r="D164" i="2"/>
  <c r="C164" i="2"/>
  <c r="F164" i="2"/>
  <c r="B165" i="2"/>
  <c r="E165" i="2"/>
  <c r="D165" i="2"/>
  <c r="C165" i="2"/>
  <c r="F165" i="2"/>
  <c r="B166" i="2"/>
  <c r="E166" i="2"/>
  <c r="D166" i="2"/>
  <c r="C166" i="2"/>
  <c r="F166" i="2"/>
  <c r="B167" i="2"/>
  <c r="E167" i="2"/>
  <c r="D167" i="2"/>
  <c r="C167" i="2"/>
  <c r="F167" i="2"/>
  <c r="C168" i="2"/>
  <c r="D168" i="2"/>
  <c r="B170" i="2"/>
  <c r="E170" i="2"/>
  <c r="D170" i="2"/>
  <c r="C170" i="2"/>
  <c r="F170" i="2"/>
  <c r="B171" i="2"/>
  <c r="E171" i="2"/>
  <c r="D171" i="2"/>
  <c r="C171" i="2"/>
  <c r="F171" i="2"/>
  <c r="B172" i="2"/>
  <c r="E172" i="2"/>
  <c r="D172" i="2"/>
  <c r="C172" i="2"/>
  <c r="F172" i="2"/>
  <c r="B173" i="2"/>
  <c r="E173" i="2"/>
  <c r="D173" i="2"/>
  <c r="C173" i="2"/>
  <c r="F173" i="2"/>
  <c r="B174" i="2"/>
  <c r="E174" i="2"/>
  <c r="D174" i="2"/>
  <c r="C174" i="2"/>
  <c r="F174" i="2"/>
  <c r="B175" i="2"/>
  <c r="E175" i="2"/>
  <c r="D175" i="2"/>
  <c r="C175" i="2"/>
  <c r="F175" i="2"/>
  <c r="B176" i="2"/>
  <c r="E176" i="2"/>
  <c r="D176" i="2"/>
  <c r="C176" i="2"/>
  <c r="F176" i="2"/>
  <c r="B177" i="2"/>
  <c r="E177" i="2"/>
  <c r="D177" i="2"/>
  <c r="C177" i="2"/>
  <c r="F177" i="2"/>
  <c r="B178" i="2"/>
  <c r="E178" i="2"/>
  <c r="D178" i="2"/>
  <c r="C178" i="2"/>
  <c r="F178" i="2"/>
  <c r="B179" i="2"/>
  <c r="E179" i="2"/>
  <c r="D179" i="2"/>
  <c r="C179" i="2"/>
  <c r="F179" i="2"/>
  <c r="B180" i="2"/>
  <c r="E180" i="2"/>
  <c r="D180" i="2"/>
  <c r="C180" i="2"/>
  <c r="F180" i="2"/>
  <c r="B181" i="2"/>
  <c r="E181" i="2"/>
  <c r="D181" i="2"/>
  <c r="C181" i="2"/>
  <c r="F181" i="2"/>
  <c r="C182" i="2"/>
  <c r="D182" i="2"/>
  <c r="N70" i="1"/>
  <c r="C56" i="2"/>
  <c r="C42" i="2"/>
  <c r="C14" i="2"/>
  <c r="L70" i="1"/>
  <c r="L64" i="1"/>
  <c r="M64" i="1"/>
  <c r="L66" i="1"/>
  <c r="N64" i="1"/>
  <c r="N66" i="1"/>
  <c r="M66" i="1"/>
  <c r="L78" i="1"/>
  <c r="L80" i="1"/>
  <c r="M78" i="1"/>
  <c r="M80" i="1"/>
  <c r="N78" i="1"/>
  <c r="N80" i="1"/>
  <c r="O76" i="1"/>
  <c r="O77" i="1"/>
  <c r="S77" i="1"/>
  <c r="F3" i="9"/>
</calcChain>
</file>

<file path=xl/sharedStrings.xml><?xml version="1.0" encoding="utf-8"?>
<sst xmlns="http://schemas.openxmlformats.org/spreadsheetml/2006/main" count="686" uniqueCount="190">
  <si>
    <t>FORECAST</t>
  </si>
  <si>
    <t>INCOME STATEMENT</t>
  </si>
  <si>
    <t>Operating Expenses</t>
  </si>
  <si>
    <t>Depreciation</t>
  </si>
  <si>
    <t>Mortgage Interest Expense</t>
  </si>
  <si>
    <t>Profit Before Taxes</t>
  </si>
  <si>
    <t>Taxes</t>
  </si>
  <si>
    <t>BALANCE SHEET</t>
  </si>
  <si>
    <t>Assets</t>
  </si>
  <si>
    <t>Accounts Receivable</t>
  </si>
  <si>
    <t>Buildings</t>
  </si>
  <si>
    <t>Less:  Accumulated Depreciation</t>
  </si>
  <si>
    <t>Total Assets</t>
  </si>
  <si>
    <t>Liabilities and Equity</t>
  </si>
  <si>
    <t>Income Tax Payable</t>
  </si>
  <si>
    <t>Retained Earnings</t>
  </si>
  <si>
    <t>Total Liabilities and Equity</t>
  </si>
  <si>
    <t>Selling, General, and Administrative</t>
  </si>
  <si>
    <t>Furniture Cost of Goods Sold</t>
  </si>
  <si>
    <t>Furniture Sales Revenue</t>
  </si>
  <si>
    <t>Extra Bank Loan Interest Expense</t>
  </si>
  <si>
    <t>Net Income</t>
  </si>
  <si>
    <t>Minimum Cash Inventory</t>
  </si>
  <si>
    <t>Extra Cash</t>
  </si>
  <si>
    <t>Land</t>
  </si>
  <si>
    <t>Extra Bank Loan</t>
  </si>
  <si>
    <t>Mortgage Loan</t>
  </si>
  <si>
    <t>Common Stock</t>
  </si>
  <si>
    <t>Total Inventories</t>
  </si>
  <si>
    <t>Total Accounts Payable</t>
  </si>
  <si>
    <t xml:space="preserve">Outside Numbers 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</si>
  <si>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</si>
  <si>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</si>
  <si>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</si>
  <si>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</si>
  <si>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</si>
  <si>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</si>
  <si>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</si>
  <si>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</si>
  <si>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</si>
  <si>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</si>
  <si>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</si>
  <si>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</si>
  <si>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 xml:space="preserve">Price Of Funiture </t>
  </si>
  <si>
    <t xml:space="preserve">Cost Of Funiture </t>
  </si>
  <si>
    <t>Days in A/R</t>
  </si>
  <si>
    <t>Days in Inventory Furniture</t>
  </si>
  <si>
    <t>Days of A/P</t>
  </si>
  <si>
    <t>Year Life</t>
  </si>
  <si>
    <t>DFN</t>
  </si>
  <si>
    <t>Kitchen Sales Revenue</t>
  </si>
  <si>
    <t>Accessories Sales Revenue</t>
  </si>
  <si>
    <t>Price Of Kitchen</t>
  </si>
  <si>
    <t>Price For Accessories</t>
  </si>
  <si>
    <t>Cost Of Kitchen</t>
  </si>
  <si>
    <t>Cost of Accessories</t>
  </si>
  <si>
    <t>Kitchen Sets Sold</t>
  </si>
  <si>
    <t>Accessories Sold</t>
  </si>
  <si>
    <t>Furniture Sets sold</t>
  </si>
  <si>
    <t>Kitchen Cost of Goods Sold</t>
  </si>
  <si>
    <t>Accessories Cost of Goods Sold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</si>
  <si>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</si>
  <si>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</si>
  <si>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</si>
  <si>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</si>
  <si>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</si>
  <si>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</si>
  <si>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</si>
  <si>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</si>
  <si>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</si>
  <si>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</si>
  <si>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</si>
  <si>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</si>
  <si>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</si>
  <si>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</si>
  <si>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</si>
  <si>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</si>
  <si>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</si>
  <si>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</si>
  <si>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</si>
  <si>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</si>
  <si>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</si>
  <si>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</si>
  <si>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</si>
  <si>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</si>
  <si>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Utilites Expense</t>
  </si>
  <si>
    <t>Days in Inventory Accessories</t>
  </si>
  <si>
    <t>Expected Inflation</t>
  </si>
  <si>
    <t>Population Growth</t>
  </si>
  <si>
    <t>Mark Up Furniture &amp; Kitchen</t>
  </si>
  <si>
    <t>Mark Up Accessories</t>
  </si>
  <si>
    <t>Colorado Cowgirl Store</t>
  </si>
  <si>
    <t>Tax Rate</t>
  </si>
  <si>
    <t>Proportion</t>
  </si>
  <si>
    <t>Weighted</t>
  </si>
  <si>
    <t>Relevered</t>
  </si>
  <si>
    <t>S&amp;P 500</t>
  </si>
  <si>
    <t>CAPM</t>
  </si>
  <si>
    <t>Unlevered</t>
  </si>
  <si>
    <t>New Debt %</t>
  </si>
  <si>
    <t>New Equity %</t>
  </si>
  <si>
    <t>T-Bills</t>
  </si>
  <si>
    <t>Average</t>
  </si>
  <si>
    <t>After tax</t>
  </si>
  <si>
    <t>WACC</t>
  </si>
  <si>
    <t>FREE CASH FLOWS</t>
  </si>
  <si>
    <t>Cash from Operations</t>
  </si>
  <si>
    <t>Operating Profit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</si>
  <si>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</si>
  <si>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</si>
  <si>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</si>
  <si>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</si>
  <si>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</si>
  <si>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(-)</t>
  </si>
  <si>
    <t>Minimum Cash Balance</t>
  </si>
  <si>
    <t>Inventory</t>
  </si>
  <si>
    <t>Adjustment for Resale</t>
  </si>
  <si>
    <t>Sale at</t>
  </si>
  <si>
    <t>Taxes on Resale</t>
  </si>
  <si>
    <t xml:space="preserve">Book </t>
  </si>
  <si>
    <t>Gain</t>
  </si>
  <si>
    <t>(+)</t>
  </si>
  <si>
    <t>Accounts Payable</t>
  </si>
  <si>
    <t>Taxes Payable (=Taxes on Operations)</t>
  </si>
  <si>
    <t>TOTAL FREE CASH FLOWS</t>
  </si>
  <si>
    <t>IRR</t>
  </si>
  <si>
    <t>WACC COMPUTED FROM FORECAST</t>
  </si>
  <si>
    <t>NPV USING COMPUTED WACC</t>
  </si>
  <si>
    <t>rate</t>
  </si>
  <si>
    <t>Goodwill</t>
  </si>
  <si>
    <t>Square Footage</t>
  </si>
  <si>
    <t>Price per sqr ft.</t>
  </si>
  <si>
    <t>Building</t>
  </si>
  <si>
    <t>Total Loan</t>
  </si>
  <si>
    <t>% Down</t>
  </si>
  <si>
    <t>Dep. Expense</t>
  </si>
  <si>
    <t>Minimum Cash</t>
  </si>
  <si>
    <t>Starting Equity</t>
  </si>
  <si>
    <t>Selling and Administrative</t>
  </si>
  <si>
    <t>Full time (Salary)</t>
  </si>
  <si>
    <t>Half Time (Hr. Wage)</t>
  </si>
  <si>
    <t>Hrs/Wk.(Sal/Week)</t>
  </si>
  <si>
    <t>Total</t>
  </si>
  <si>
    <t>Salaries and Wages (52 Weeks)</t>
  </si>
  <si>
    <t>Weeks</t>
  </si>
  <si>
    <t>Utility as a percentage of PPE/mo.</t>
  </si>
  <si>
    <t>RETURN OF DEBTHOLDERS</t>
  </si>
  <si>
    <t>Mortgage Loan Cash Flows</t>
  </si>
  <si>
    <t>Paid in Bankruptcy</t>
  </si>
  <si>
    <t>Interest Payments</t>
  </si>
  <si>
    <t>Total Cash Flows</t>
  </si>
  <si>
    <t>Prob</t>
  </si>
  <si>
    <t>IRR if not in Bankruptcy</t>
  </si>
  <si>
    <t>Expected IRR</t>
  </si>
  <si>
    <t>Extra Bank Loan Cash Flows</t>
  </si>
  <si>
    <t>% Sale</t>
  </si>
  <si>
    <t>Secured</t>
  </si>
  <si>
    <t>Unsecured</t>
  </si>
  <si>
    <t>Remaining</t>
  </si>
  <si>
    <t>Prop</t>
  </si>
  <si>
    <t>TOTAL</t>
  </si>
  <si>
    <t>On the $</t>
  </si>
  <si>
    <t>Admin</t>
  </si>
  <si>
    <t>Extra</t>
  </si>
  <si>
    <t>Interest Coverge Ratio</t>
  </si>
  <si>
    <t>Assets-Debt Ratio</t>
  </si>
  <si>
    <t>Investment</t>
  </si>
  <si>
    <t>Good</t>
  </si>
  <si>
    <t>Bad</t>
  </si>
  <si>
    <t>Ugly</t>
  </si>
  <si>
    <t>Probability</t>
  </si>
  <si>
    <t>Description</t>
  </si>
  <si>
    <t>Strong Market</t>
  </si>
  <si>
    <t>Existing Market</t>
  </si>
  <si>
    <t>Wak Market</t>
  </si>
  <si>
    <t>AKA Good</t>
  </si>
  <si>
    <t>AKA Bad</t>
  </si>
  <si>
    <t>AKA Ugly</t>
  </si>
  <si>
    <t>Nickname</t>
  </si>
  <si>
    <t>NPV</t>
  </si>
  <si>
    <t>Expected Value</t>
  </si>
  <si>
    <t>S</t>
  </si>
  <si>
    <t>X</t>
  </si>
  <si>
    <t>t</t>
  </si>
  <si>
    <t>STDEV(%)</t>
  </si>
  <si>
    <t>r</t>
  </si>
  <si>
    <t>InitialAdmin</t>
  </si>
  <si>
    <t>Initial Utilities</t>
  </si>
  <si>
    <t>Ini. Common Stock</t>
  </si>
  <si>
    <t>Down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</si>
</sst>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[$$-409]#,##0.00;[Red]\-[$$-409]#,##0.00"/>
    <numFmt numFmtId="167" formatCode="_(* #,##0_);_(* \(#,##0\);_(* &quot;-&quot;??_);_(@_)"/>
    <numFmt numFmtId="168" formatCode="0.0"/>
    <numFmt numFmtId="169" formatCode="0.0%"/>
    <numFmt numFmtId="170" formatCode="_(&quot;$&quot;* #,##0_);_(&quot;$&quot;* \(#,##0\);_(&quot;$&quot;* &quot;-&quot;??_);_(@_)"/>
    <numFmt numFmtId="171" formatCode="_(* #,##0_);_(* \(#,##0\);_(* \-??_);_(@_)"/>
    <numFmt numFmtId="172" formatCode="_(* #,##0.0_);_(* \(#,##0.0\);_(* \-??_);_(@_)"/>
  </numFmts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1" fillId="0" borderId="0"/>
    <xf numFmtId="9" fontId="1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0" fontId="0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2" xfId="2" applyFont="1" applyBorder="1"/>
    <xf numFmtId="10" fontId="0" fillId="0" borderId="0" xfId="0" applyNumberFormat="1"/>
    <xf numFmtId="166" fontId="0" fillId="0" borderId="0" xfId="0" applyNumberFormat="1"/>
    <xf numFmtId="0" fontId="0" fillId="0" borderId="0" xfId="0" applyNumberFormat="1"/>
    <xf numFmtId="167" fontId="1" fillId="0" borderId="0" xfId="4" applyNumberFormat="1" applyFont="1"/>
    <xf numFmtId="9" fontId="1" fillId="0" borderId="0" xfId="3"/>
    <xf numFmtId="168" fontId="1" fillId="0" borderId="0" xfId="2" applyNumberFormat="1"/>
    <xf numFmtId="1" fontId="1" fillId="0" borderId="0" xfId="2" applyNumberFormat="1"/>
    <xf numFmtId="167" fontId="1" fillId="0" borderId="0" xfId="2" applyNumberFormat="1"/>
    <xf numFmtId="17" fontId="0" fillId="0" borderId="0" xfId="0" applyNumberFormat="1" applyFont="1" applyAlignment="1">
      <alignment wrapText="1"/>
    </xf>
    <xf numFmtId="169" fontId="1" fillId="0" borderId="0" xfId="3" applyNumberFormat="1"/>
    <xf numFmtId="169" fontId="1" fillId="0" borderId="0" xfId="2" applyNumberFormat="1"/>
    <xf numFmtId="9" fontId="1" fillId="0" borderId="0" xfId="4" applyNumberFormat="1" applyFont="1"/>
    <xf numFmtId="165" fontId="1" fillId="0" borderId="0" xfId="2" applyNumberFormat="1"/>
    <xf numFmtId="9" fontId="1" fillId="0" borderId="0" xfId="2" applyNumberFormat="1"/>
    <xf numFmtId="0" fontId="1" fillId="0" borderId="0" xfId="2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0" fontId="0" fillId="0" borderId="0" xfId="0" applyNumberFormat="1" applyBorder="1"/>
    <xf numFmtId="0" fontId="0" fillId="0" borderId="0" xfId="0" applyBorder="1"/>
    <xf numFmtId="0" fontId="0" fillId="0" borderId="7" xfId="0" applyBorder="1"/>
    <xf numFmtId="43" fontId="0" fillId="0" borderId="0" xfId="4" applyFont="1" applyBorder="1"/>
    <xf numFmtId="10" fontId="1" fillId="0" borderId="0" xfId="3" applyNumberFormat="1" applyBorder="1"/>
    <xf numFmtId="170" fontId="1" fillId="0" borderId="6" xfId="1" applyNumberFormat="1" applyBorder="1"/>
    <xf numFmtId="170" fontId="1" fillId="0" borderId="8" xfId="1" applyNumberFormat="1" applyBorder="1"/>
    <xf numFmtId="10" fontId="1" fillId="0" borderId="9" xfId="3" applyNumberFormat="1" applyBorder="1"/>
    <xf numFmtId="10" fontId="3" fillId="0" borderId="9" xfId="3" applyNumberFormat="1" applyFont="1" applyBorder="1"/>
    <xf numFmtId="0" fontId="3" fillId="0" borderId="10" xfId="0" applyFont="1" applyBorder="1"/>
    <xf numFmtId="9" fontId="0" fillId="2" borderId="0" xfId="0" applyNumberFormat="1" applyFill="1" applyBorder="1"/>
    <xf numFmtId="10" fontId="1" fillId="2" borderId="0" xfId="3" applyNumberFormat="1" applyFill="1" applyBorder="1"/>
    <xf numFmtId="10" fontId="0" fillId="2" borderId="0" xfId="0" applyNumberFormat="1" applyFill="1" applyBorder="1"/>
    <xf numFmtId="43" fontId="6" fillId="2" borderId="4" xfId="4" applyFont="1" applyFill="1" applyBorder="1"/>
    <xf numFmtId="170" fontId="0" fillId="0" borderId="0" xfId="0" applyNumberFormat="1"/>
    <xf numFmtId="44" fontId="0" fillId="0" borderId="0" xfId="0" applyNumberFormat="1"/>
    <xf numFmtId="170" fontId="1" fillId="0" borderId="0" xfId="1" applyNumberFormat="1"/>
    <xf numFmtId="9" fontId="0" fillId="0" borderId="0" xfId="0" applyNumberFormat="1"/>
    <xf numFmtId="44" fontId="0" fillId="0" borderId="4" xfId="0" applyNumberFormat="1" applyBorder="1"/>
    <xf numFmtId="170" fontId="1" fillId="0" borderId="4" xfId="1" applyNumberFormat="1" applyBorder="1"/>
    <xf numFmtId="0" fontId="0" fillId="0" borderId="0" xfId="0" applyAlignment="1">
      <alignment horizontal="center"/>
    </xf>
    <xf numFmtId="164" fontId="1" fillId="0" borderId="0" xfId="1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167" fontId="1" fillId="0" borderId="0" xfId="4" applyNumberFormat="1" applyFont="1" applyFill="1" applyBorder="1" applyAlignment="1" applyProtection="1">
      <alignment horizontal="center" vertical="center"/>
    </xf>
    <xf numFmtId="43" fontId="1" fillId="0" borderId="0" xfId="2" applyNumberFormat="1"/>
    <xf numFmtId="10" fontId="1" fillId="0" borderId="0" xfId="2" applyNumberFormat="1"/>
    <xf numFmtId="165" fontId="1" fillId="3" borderId="0" xfId="1" applyNumberFormat="1" applyFont="1" applyFill="1" applyBorder="1" applyAlignment="1" applyProtection="1"/>
    <xf numFmtId="0" fontId="1" fillId="4" borderId="0" xfId="2" applyFill="1"/>
    <xf numFmtId="0" fontId="2" fillId="4" borderId="0" xfId="2" applyFont="1" applyFill="1"/>
    <xf numFmtId="0" fontId="1" fillId="4" borderId="0" xfId="2" applyFont="1" applyFill="1"/>
    <xf numFmtId="165" fontId="1" fillId="4" borderId="0" xfId="1" applyNumberFormat="1" applyFont="1" applyFill="1" applyBorder="1" applyAlignment="1" applyProtection="1"/>
    <xf numFmtId="167" fontId="1" fillId="4" borderId="0" xfId="1" applyNumberFormat="1" applyFont="1" applyFill="1" applyBorder="1" applyAlignment="1" applyProtection="1"/>
    <xf numFmtId="165" fontId="1" fillId="4" borderId="0" xfId="1" applyNumberFormat="1" applyFill="1"/>
    <xf numFmtId="167" fontId="1" fillId="4" borderId="0" xfId="1" applyNumberFormat="1" applyFill="1"/>
    <xf numFmtId="165" fontId="1" fillId="4" borderId="0" xfId="2" applyNumberFormat="1" applyFill="1"/>
    <xf numFmtId="0" fontId="4" fillId="4" borderId="0" xfId="2" applyFont="1" applyFill="1"/>
    <xf numFmtId="0" fontId="5" fillId="4" borderId="2" xfId="2" applyFont="1" applyFill="1" applyBorder="1"/>
    <xf numFmtId="10" fontId="0" fillId="5" borderId="0" xfId="0" applyNumberFormat="1" applyFill="1"/>
    <xf numFmtId="165" fontId="1" fillId="5" borderId="0" xfId="1" applyNumberFormat="1" applyFill="1"/>
    <xf numFmtId="0" fontId="1" fillId="0" borderId="0" xfId="2" applyBorder="1"/>
    <xf numFmtId="165" fontId="1" fillId="0" borderId="0" xfId="2" applyNumberFormat="1" applyBorder="1"/>
    <xf numFmtId="165" fontId="1" fillId="0" borderId="0" xfId="1" applyNumberFormat="1"/>
    <xf numFmtId="0" fontId="1" fillId="0" borderId="4" xfId="2" applyBorder="1"/>
    <xf numFmtId="165" fontId="1" fillId="0" borderId="0" xfId="1" applyNumberFormat="1" applyBorder="1"/>
    <xf numFmtId="9" fontId="1" fillId="0" borderId="0" xfId="3" applyBorder="1"/>
    <xf numFmtId="165" fontId="1" fillId="0" borderId="2" xfId="1" applyNumberFormat="1" applyFill="1" applyBorder="1"/>
    <xf numFmtId="0" fontId="1" fillId="0" borderId="2" xfId="2" applyFill="1" applyBorder="1"/>
    <xf numFmtId="0" fontId="1" fillId="0" borderId="0" xfId="2" applyFill="1" applyBorder="1"/>
    <xf numFmtId="165" fontId="1" fillId="0" borderId="0" xfId="1" applyNumberFormat="1" applyFill="1" applyBorder="1"/>
    <xf numFmtId="165" fontId="1" fillId="0" borderId="0" xfId="2" applyNumberFormat="1" applyFill="1" applyBorder="1"/>
    <xf numFmtId="165" fontId="1" fillId="0" borderId="0" xfId="3" applyNumberFormat="1" applyFill="1" applyBorder="1"/>
    <xf numFmtId="169" fontId="1" fillId="0" borderId="0" xfId="2" applyNumberFormat="1" applyFill="1" applyBorder="1"/>
    <xf numFmtId="169" fontId="1" fillId="0" borderId="0" xfId="3" applyNumberFormat="1" applyFill="1" applyBorder="1"/>
    <xf numFmtId="43" fontId="1" fillId="0" borderId="0" xfId="2" applyNumberFormat="1" applyBorder="1"/>
    <xf numFmtId="165" fontId="1" fillId="0" borderId="4" xfId="2" applyNumberFormat="1" applyFill="1" applyBorder="1"/>
    <xf numFmtId="0" fontId="1" fillId="0" borderId="3" xfId="2" applyBorder="1"/>
    <xf numFmtId="165" fontId="1" fillId="0" borderId="4" xfId="1" applyNumberFormat="1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4" borderId="6" xfId="2" applyFill="1" applyBorder="1"/>
    <xf numFmtId="0" fontId="1" fillId="4" borderId="0" xfId="2" applyFill="1" applyBorder="1"/>
    <xf numFmtId="0" fontId="4" fillId="4" borderId="6" xfId="2" applyFont="1" applyFill="1" applyBorder="1"/>
    <xf numFmtId="0" fontId="4" fillId="4" borderId="0" xfId="2" applyFont="1" applyFill="1" applyBorder="1"/>
    <xf numFmtId="0" fontId="1" fillId="0" borderId="6" xfId="2" applyFill="1" applyBorder="1"/>
    <xf numFmtId="0" fontId="1" fillId="0" borderId="7" xfId="2" applyFill="1" applyBorder="1"/>
    <xf numFmtId="164" fontId="1" fillId="0" borderId="7" xfId="1" applyBorder="1"/>
    <xf numFmtId="0" fontId="1" fillId="0" borderId="8" xfId="2" applyBorder="1"/>
    <xf numFmtId="0" fontId="1" fillId="0" borderId="2" xfId="2" applyBorder="1"/>
    <xf numFmtId="9" fontId="1" fillId="0" borderId="2" xfId="3" applyBorder="1"/>
    <xf numFmtId="165" fontId="1" fillId="0" borderId="2" xfId="1" applyNumberFormat="1" applyBorder="1"/>
    <xf numFmtId="169" fontId="1" fillId="0" borderId="2" xfId="3" applyNumberFormat="1" applyFill="1" applyBorder="1"/>
    <xf numFmtId="0" fontId="1" fillId="0" borderId="10" xfId="2" applyBorder="1"/>
    <xf numFmtId="0" fontId="1" fillId="7" borderId="0" xfId="2" applyFill="1"/>
    <xf numFmtId="0" fontId="0" fillId="7" borderId="0" xfId="0" applyFill="1"/>
    <xf numFmtId="167" fontId="1" fillId="7" borderId="0" xfId="4" applyNumberFormat="1" applyFont="1" applyFill="1"/>
    <xf numFmtId="169" fontId="1" fillId="7" borderId="0" xfId="3" applyNumberFormat="1" applyFill="1"/>
    <xf numFmtId="167" fontId="1" fillId="7" borderId="0" xfId="2" applyNumberFormat="1" applyFill="1"/>
    <xf numFmtId="9" fontId="1" fillId="7" borderId="0" xfId="3" applyFill="1"/>
    <xf numFmtId="1" fontId="1" fillId="7" borderId="0" xfId="2" applyNumberFormat="1" applyFill="1"/>
    <xf numFmtId="169" fontId="1" fillId="7" borderId="0" xfId="2" applyNumberFormat="1" applyFill="1"/>
    <xf numFmtId="9" fontId="1" fillId="7" borderId="0" xfId="4" applyNumberFormat="1" applyFont="1" applyFill="1"/>
    <xf numFmtId="164" fontId="1" fillId="7" borderId="0" xfId="1" applyFill="1"/>
    <xf numFmtId="10" fontId="1" fillId="7" borderId="0" xfId="2" applyNumberFormat="1" applyFill="1"/>
    <xf numFmtId="43" fontId="1" fillId="7" borderId="0" xfId="2" applyNumberFormat="1" applyFill="1"/>
    <xf numFmtId="168" fontId="1" fillId="7" borderId="0" xfId="2" applyNumberFormat="1" applyFill="1"/>
    <xf numFmtId="0" fontId="1" fillId="8" borderId="0" xfId="2" applyFill="1"/>
    <xf numFmtId="165" fontId="1" fillId="8" borderId="0" xfId="1" applyNumberFormat="1" applyFill="1"/>
    <xf numFmtId="0" fontId="3" fillId="9" borderId="0" xfId="0" applyFont="1" applyFill="1"/>
    <xf numFmtId="0" fontId="0" fillId="9" borderId="0" xfId="0" applyFill="1"/>
    <xf numFmtId="166" fontId="0" fillId="9" borderId="0" xfId="0" applyNumberFormat="1" applyFill="1"/>
    <xf numFmtId="0" fontId="1" fillId="9" borderId="0" xfId="2" applyFill="1"/>
    <xf numFmtId="170" fontId="0" fillId="9" borderId="0" xfId="0" applyNumberFormat="1" applyFill="1"/>
    <xf numFmtId="44" fontId="0" fillId="9" borderId="0" xfId="0" applyNumberFormat="1" applyFill="1"/>
    <xf numFmtId="44" fontId="0" fillId="9" borderId="4" xfId="0" applyNumberFormat="1" applyFill="1" applyBorder="1"/>
    <xf numFmtId="44" fontId="0" fillId="9" borderId="0" xfId="0" applyNumberFormat="1" applyFill="1" applyBorder="1"/>
    <xf numFmtId="0" fontId="0" fillId="9" borderId="0" xfId="0" applyFill="1" applyAlignment="1">
      <alignment horizontal="center"/>
    </xf>
    <xf numFmtId="9" fontId="0" fillId="9" borderId="0" xfId="0" applyNumberFormat="1" applyFill="1"/>
    <xf numFmtId="170" fontId="1" fillId="9" borderId="0" xfId="1" applyNumberFormat="1" applyFill="1"/>
    <xf numFmtId="170" fontId="1" fillId="9" borderId="4" xfId="1" applyNumberFormat="1" applyFill="1" applyBorder="1"/>
    <xf numFmtId="170" fontId="1" fillId="9" borderId="0" xfId="1" applyNumberFormat="1" applyFill="1" applyBorder="1"/>
    <xf numFmtId="165" fontId="2" fillId="6" borderId="0" xfId="1" applyNumberFormat="1" applyFont="1" applyFill="1"/>
    <xf numFmtId="10" fontId="3" fillId="6" borderId="0" xfId="0" applyNumberFormat="1" applyFont="1" applyFill="1"/>
    <xf numFmtId="0" fontId="9" fillId="8" borderId="0" xfId="2" applyFont="1" applyFill="1" applyBorder="1"/>
    <xf numFmtId="0" fontId="1" fillId="8" borderId="0" xfId="2" applyFill="1" applyBorder="1"/>
    <xf numFmtId="165" fontId="1" fillId="8" borderId="0" xfId="2" applyNumberFormat="1" applyFill="1" applyBorder="1"/>
    <xf numFmtId="165" fontId="1" fillId="8" borderId="0" xfId="2" applyNumberFormat="1" applyFill="1"/>
    <xf numFmtId="10" fontId="1" fillId="8" borderId="0" xfId="3" applyNumberFormat="1" applyFill="1"/>
    <xf numFmtId="9" fontId="1" fillId="8" borderId="0" xfId="2" applyNumberFormat="1" applyFill="1"/>
    <xf numFmtId="10" fontId="9" fillId="10" borderId="0" xfId="3" applyNumberFormat="1" applyFont="1" applyFill="1"/>
    <xf numFmtId="10" fontId="9" fillId="10" borderId="0" xfId="2" applyNumberFormat="1" applyFont="1" applyFill="1"/>
    <xf numFmtId="43" fontId="1" fillId="0" borderId="0" xfId="4" applyFont="1"/>
    <xf numFmtId="171" fontId="1" fillId="0" borderId="0" xfId="4" applyNumberFormat="1" applyFont="1" applyFill="1" applyBorder="1" applyAlignment="1" applyProtection="1"/>
    <xf numFmtId="172" fontId="1" fillId="0" borderId="0" xfId="4" applyNumberFormat="1" applyFont="1" applyFill="1" applyBorder="1" applyAlignment="1" applyProtection="1"/>
    <xf numFmtId="169" fontId="1" fillId="0" borderId="0" xfId="3" applyNumberFormat="1" applyFont="1" applyFill="1" applyBorder="1" applyAlignment="1" applyProtection="1"/>
    <xf numFmtId="10" fontId="1" fillId="0" borderId="0" xfId="3" applyNumberFormat="1"/>
    <xf numFmtId="43" fontId="1" fillId="0" borderId="0" xfId="4" applyNumberFormat="1" applyFont="1" applyFill="1" applyBorder="1" applyAlignment="1" applyProtection="1"/>
    <xf numFmtId="0" fontId="1" fillId="10" borderId="0" xfId="2" applyFill="1"/>
    <xf numFmtId="0" fontId="0" fillId="10" borderId="0" xfId="0" applyFill="1"/>
    <xf numFmtId="167" fontId="1" fillId="10" borderId="0" xfId="4" applyNumberFormat="1" applyFont="1" applyFill="1"/>
    <xf numFmtId="169" fontId="1" fillId="10" borderId="0" xfId="3" applyNumberFormat="1" applyFill="1"/>
    <xf numFmtId="167" fontId="1" fillId="10" borderId="0" xfId="2" applyNumberFormat="1" applyFill="1"/>
    <xf numFmtId="9" fontId="1" fillId="10" borderId="0" xfId="3" applyFill="1"/>
    <xf numFmtId="1" fontId="1" fillId="10" borderId="0" xfId="2" applyNumberFormat="1" applyFill="1"/>
    <xf numFmtId="169" fontId="1" fillId="10" borderId="0" xfId="2" applyNumberFormat="1" applyFill="1"/>
    <xf numFmtId="9" fontId="1" fillId="10" borderId="0" xfId="4" applyNumberFormat="1" applyFont="1" applyFill="1"/>
    <xf numFmtId="164" fontId="1" fillId="10" borderId="0" xfId="1" applyFill="1"/>
    <xf numFmtId="10" fontId="1" fillId="10" borderId="0" xfId="2" applyNumberFormat="1" applyFill="1"/>
    <xf numFmtId="43" fontId="1" fillId="10" borderId="0" xfId="2" applyNumberFormat="1" applyFill="1"/>
    <xf numFmtId="168" fontId="1" fillId="10" borderId="0" xfId="2" applyNumberFormat="1" applyFill="1"/>
    <xf numFmtId="10" fontId="1" fillId="0" borderId="0" xfId="3" applyNumberFormat="1" applyFont="1" applyFill="1" applyBorder="1" applyAlignment="1" applyProtection="1"/>
    <xf numFmtId="43" fontId="0" fillId="0" borderId="0" xfId="0" applyNumberFormat="1"/>
    <xf numFmtId="9" fontId="0" fillId="11" borderId="0" xfId="0" applyNumberFormat="1" applyFill="1"/>
    <xf numFmtId="9" fontId="0" fillId="10" borderId="0" xfId="0" applyNumberFormat="1" applyFill="1"/>
    <xf numFmtId="0" fontId="0" fillId="11" borderId="0" xfId="0" applyFill="1"/>
    <xf numFmtId="0" fontId="1" fillId="0" borderId="11" xfId="2" applyBorder="1"/>
    <xf numFmtId="172" fontId="1" fillId="0" borderId="12" xfId="4" applyNumberFormat="1" applyFont="1" applyFill="1" applyBorder="1" applyAlignment="1" applyProtection="1"/>
    <xf numFmtId="172" fontId="1" fillId="0" borderId="13" xfId="4" applyNumberFormat="1" applyFont="1" applyFill="1" applyBorder="1" applyAlignment="1" applyProtection="1"/>
    <xf numFmtId="171" fontId="1" fillId="0" borderId="14" xfId="4" applyNumberFormat="1" applyFont="1" applyFill="1" applyBorder="1" applyAlignment="1" applyProtection="1"/>
    <xf numFmtId="171" fontId="1" fillId="0" borderId="15" xfId="4" applyNumberFormat="1" applyFont="1" applyFill="1" applyBorder="1" applyAlignment="1" applyProtection="1"/>
    <xf numFmtId="10" fontId="1" fillId="0" borderId="15" xfId="3" applyNumberFormat="1" applyBorder="1"/>
    <xf numFmtId="44" fontId="1" fillId="0" borderId="16" xfId="1" applyNumberFormat="1" applyBorder="1"/>
    <xf numFmtId="0" fontId="5" fillId="0" borderId="9" xfId="2" applyFont="1" applyBorder="1"/>
    <xf numFmtId="10" fontId="0" fillId="2" borderId="0" xfId="0" applyNumberFormat="1" applyFill="1"/>
    <xf numFmtId="165" fontId="1" fillId="2" borderId="0" xfId="1" applyNumberFormat="1" applyFill="1"/>
    <xf numFmtId="0" fontId="2" fillId="12" borderId="1" xfId="2" applyFont="1" applyFill="1" applyBorder="1"/>
    <xf numFmtId="0" fontId="1" fillId="12" borderId="1" xfId="2" applyFill="1" applyBorder="1"/>
    <xf numFmtId="0" fontId="2" fillId="12" borderId="0" xfId="2" applyFont="1" applyFill="1"/>
    <xf numFmtId="0" fontId="1" fillId="12" borderId="0" xfId="2" applyFill="1"/>
    <xf numFmtId="0" fontId="1" fillId="12" borderId="0" xfId="2" applyFont="1" applyFill="1"/>
    <xf numFmtId="165" fontId="1" fillId="12" borderId="0" xfId="1" applyNumberFormat="1" applyFont="1" applyFill="1" applyBorder="1" applyAlignment="1" applyProtection="1"/>
    <xf numFmtId="167" fontId="1" fillId="12" borderId="0" xfId="1" applyNumberFormat="1" applyFont="1" applyFill="1" applyBorder="1" applyAlignment="1" applyProtection="1"/>
    <xf numFmtId="165" fontId="1" fillId="12" borderId="0" xfId="1" applyNumberFormat="1" applyFill="1"/>
    <xf numFmtId="167" fontId="1" fillId="12" borderId="0" xfId="1" applyNumberFormat="1" applyFill="1"/>
    <xf numFmtId="165" fontId="1" fillId="12" borderId="0" xfId="2" applyNumberFormat="1" applyFill="1"/>
    <xf numFmtId="0" fontId="4" fillId="12" borderId="0" xfId="2" applyFont="1" applyFill="1"/>
    <xf numFmtId="0" fontId="5" fillId="12" borderId="9" xfId="2" applyFont="1" applyFill="1" applyBorder="1"/>
  </cellXfs>
  <cellStyles count="7">
    <cellStyle name="Comma" xfId="4" builtinId="3"/>
    <cellStyle name="Currency" xfId="1" builtinId="4"/>
    <cellStyle name="Excel Built-in Normal" xfId="2"/>
    <cellStyle name="Followed Hyperlink" xfId="6" builtinId="9" hidden="1"/>
    <cellStyle name="Hyperlink" xfId="5" builtinId="8" hidden="1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ilius/Downloads/Cowgirl_Consulting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1"/>
      <sheetName val="Sheet2"/>
      <sheetName val="Sheet3"/>
    </sheetNames>
    <sheetDataSet>
      <sheetData sheetId="0"/>
      <sheetData sheetId="1">
        <row r="28">
          <cell r="D28">
            <v>4842.4398964493084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opLeftCell="A78" zoomScale="80" zoomScaleNormal="80" workbookViewId="0">
      <selection activeCell="C104" sqref="C104"/>
    </sheetView>
  </sheetViews>
  <sheetFormatPr defaultColWidth="9.42578125" defaultRowHeight="15" x14ac:dyDescent="0.25"/>
  <cols>
    <col min="1" max="1" width="4.85546875" style="1" customWidth="1"/>
    <col min="2" max="2" width="37.85546875" style="1" customWidth="1"/>
    <col min="3" max="3" width="18.28515625" style="1" customWidth="1"/>
    <col min="4" max="4" width="14.140625" style="1" customWidth="1"/>
    <col min="5" max="5" width="14" style="1" customWidth="1"/>
    <col min="6" max="8" width="14.140625" style="1" customWidth="1"/>
    <col min="9" max="9" width="14" style="1" customWidth="1"/>
    <col min="10" max="14" width="14.140625" style="1" customWidth="1"/>
    <col min="15" max="15" width="12.42578125" style="1" customWidth="1"/>
    <col min="16" max="16" width="15.28515625" style="1" customWidth="1"/>
    <col min="17" max="17" width="5.140625" style="1" customWidth="1"/>
    <col min="18" max="18" width="13.7109375" style="1" bestFit="1" customWidth="1"/>
    <col min="19" max="19" width="16.5703125" style="1" bestFit="1" customWidth="1"/>
    <col min="20" max="20" width="10.7109375" style="1" bestFit="1" customWidth="1"/>
    <col min="21" max="21" width="11.42578125" style="1" bestFit="1" customWidth="1"/>
    <col min="22" max="22" width="8.85546875" style="1" bestFit="1" customWidth="1"/>
    <col min="23" max="16384" width="9.42578125" style="1"/>
  </cols>
  <sheetData>
    <row r="1" spans="1:16" x14ac:dyDescent="0.25">
      <c r="A1" s="1" t="s">
        <v>30</v>
      </c>
    </row>
    <row r="2" spans="1:16" x14ac:dyDescent="0.25">
      <c r="D2" s="1">
        <v>2014</v>
      </c>
      <c r="E2" s="1">
        <v>2015</v>
      </c>
      <c r="F2" s="1">
        <v>2016</v>
      </c>
      <c r="G2" s="1">
        <v>2017</v>
      </c>
      <c r="H2" s="1">
        <v>2018</v>
      </c>
      <c r="I2" s="1">
        <v>2019</v>
      </c>
      <c r="J2" s="1">
        <v>2020</v>
      </c>
      <c r="K2" s="1">
        <v>2021</v>
      </c>
      <c r="L2" s="1">
        <v>2022</v>
      </c>
      <c r="M2" s="1">
        <v>2023</v>
      </c>
      <c r="N2" s="1">
        <v>2024</v>
      </c>
    </row>
    <row r="3" spans="1:16" x14ac:dyDescent="0.25">
      <c r="A3" t="s">
        <v>58</v>
      </c>
      <c r="D3" s="14">
        <v>38</v>
      </c>
      <c r="E3" s="14">
        <f>D3*(1+$O$3)</f>
        <v>38.380000000000003</v>
      </c>
      <c r="F3" s="14">
        <f>E3*(1+$O$3)</f>
        <v>38.763800000000003</v>
      </c>
      <c r="G3" s="14">
        <f>F3*(1+$O$3)</f>
        <v>39.151438000000006</v>
      </c>
      <c r="H3" s="14">
        <f t="shared" ref="H3:N3" si="0">G3*(1+$O$3)</f>
        <v>39.54295238000001</v>
      </c>
      <c r="I3" s="14">
        <f t="shared" si="0"/>
        <v>39.938381903800007</v>
      </c>
      <c r="J3" s="14">
        <f t="shared" si="0"/>
        <v>40.337765722838007</v>
      </c>
      <c r="K3" s="14">
        <f t="shared" si="0"/>
        <v>40.74114338006639</v>
      </c>
      <c r="L3" s="14">
        <f t="shared" si="0"/>
        <v>41.148554813867051</v>
      </c>
      <c r="M3" s="14">
        <f>L3*(1+$O$3)</f>
        <v>41.560040362005722</v>
      </c>
      <c r="N3" s="14">
        <f t="shared" si="0"/>
        <v>41.975640765625776</v>
      </c>
      <c r="O3" s="20">
        <v>0.01</v>
      </c>
      <c r="P3" s="1" t="s">
        <v>88</v>
      </c>
    </row>
    <row r="4" spans="1:16" x14ac:dyDescent="0.25">
      <c r="A4" t="s">
        <v>43</v>
      </c>
      <c r="D4" s="14">
        <v>3000</v>
      </c>
      <c r="E4" s="14">
        <f>D4*(1+$O$10)</f>
        <v>3060</v>
      </c>
      <c r="F4" s="14">
        <f t="shared" ref="F4:N4" si="1">E4*(1+$O$10)</f>
        <v>3121.2000000000003</v>
      </c>
      <c r="G4" s="14">
        <f t="shared" si="1"/>
        <v>3183.6240000000003</v>
      </c>
      <c r="H4" s="14">
        <f t="shared" si="1"/>
        <v>3247.2964800000004</v>
      </c>
      <c r="I4" s="14">
        <f t="shared" si="1"/>
        <v>3312.2424096000004</v>
      </c>
      <c r="J4" s="14">
        <f t="shared" si="1"/>
        <v>3378.4872577920005</v>
      </c>
      <c r="K4" s="14">
        <f t="shared" si="1"/>
        <v>3446.0570029478404</v>
      </c>
      <c r="L4" s="14">
        <f t="shared" si="1"/>
        <v>3514.9781430067974</v>
      </c>
      <c r="M4" s="14">
        <f t="shared" si="1"/>
        <v>3585.2777058669335</v>
      </c>
      <c r="N4" s="14">
        <f t="shared" si="1"/>
        <v>3656.9832599842721</v>
      </c>
    </row>
    <row r="5" spans="1:16" x14ac:dyDescent="0.25">
      <c r="A5" t="s">
        <v>44</v>
      </c>
      <c r="D5" s="18">
        <f>D4/(1+$O$5)</f>
        <v>1500</v>
      </c>
      <c r="E5" s="18">
        <f t="shared" ref="E5:M5" si="2">E4/(1+$O$5)</f>
        <v>1530</v>
      </c>
      <c r="F5" s="18">
        <f t="shared" si="2"/>
        <v>1560.6000000000001</v>
      </c>
      <c r="G5" s="18">
        <f t="shared" si="2"/>
        <v>1591.8120000000001</v>
      </c>
      <c r="H5" s="18">
        <f t="shared" si="2"/>
        <v>1623.6482400000002</v>
      </c>
      <c r="I5" s="18">
        <f t="shared" si="2"/>
        <v>1656.1212048000002</v>
      </c>
      <c r="J5" s="18">
        <f t="shared" si="2"/>
        <v>1689.2436288960002</v>
      </c>
      <c r="K5" s="18">
        <f t="shared" si="2"/>
        <v>1723.0285014739202</v>
      </c>
      <c r="L5" s="18">
        <f t="shared" si="2"/>
        <v>1757.4890715033987</v>
      </c>
      <c r="M5" s="18">
        <f t="shared" si="2"/>
        <v>1792.6388529334668</v>
      </c>
      <c r="N5" s="18">
        <f>N4/(1+$O$5)</f>
        <v>1828.491629992136</v>
      </c>
      <c r="O5" s="15">
        <v>1</v>
      </c>
      <c r="P5" s="1" t="s">
        <v>89</v>
      </c>
    </row>
    <row r="6" spans="1:16" x14ac:dyDescent="0.25">
      <c r="A6" t="s">
        <v>56</v>
      </c>
      <c r="D6" s="14">
        <v>52</v>
      </c>
      <c r="E6" s="14">
        <f>D6*(1+$O$3)</f>
        <v>52.52</v>
      </c>
      <c r="F6" s="14">
        <f t="shared" ref="F6:N6" si="3">E6*(1+$O$3)</f>
        <v>53.045200000000001</v>
      </c>
      <c r="G6" s="14">
        <f t="shared" si="3"/>
        <v>53.575652000000005</v>
      </c>
      <c r="H6" s="14">
        <f t="shared" si="3"/>
        <v>54.111408520000005</v>
      </c>
      <c r="I6" s="14">
        <f t="shared" si="3"/>
        <v>54.652522605200005</v>
      </c>
      <c r="J6" s="14">
        <f t="shared" si="3"/>
        <v>55.199047831252003</v>
      </c>
      <c r="K6" s="14">
        <f t="shared" si="3"/>
        <v>55.751038309564521</v>
      </c>
      <c r="L6" s="14">
        <f t="shared" si="3"/>
        <v>56.308548692660167</v>
      </c>
      <c r="M6" s="14">
        <f t="shared" si="3"/>
        <v>56.871634179586771</v>
      </c>
      <c r="N6" s="14">
        <f t="shared" si="3"/>
        <v>57.440350521382641</v>
      </c>
      <c r="O6" s="20"/>
    </row>
    <row r="7" spans="1:16" x14ac:dyDescent="0.25">
      <c r="A7" t="s">
        <v>52</v>
      </c>
      <c r="D7" s="1">
        <v>1800</v>
      </c>
      <c r="E7" s="17">
        <f>D7*(1+$O$10)</f>
        <v>1836</v>
      </c>
      <c r="F7" s="17">
        <f>E7*(1+$O$10)</f>
        <v>1872.72</v>
      </c>
      <c r="G7" s="17">
        <f t="shared" ref="G7:N7" si="4">F7*(1+$O$10)</f>
        <v>1910.1744000000001</v>
      </c>
      <c r="H7" s="17">
        <f t="shared" si="4"/>
        <v>1948.3778880000002</v>
      </c>
      <c r="I7" s="17">
        <f t="shared" si="4"/>
        <v>1987.3454457600003</v>
      </c>
      <c r="J7" s="17">
        <f t="shared" si="4"/>
        <v>2027.0923546752003</v>
      </c>
      <c r="K7" s="17">
        <f t="shared" si="4"/>
        <v>2067.6342017687043</v>
      </c>
      <c r="L7" s="17">
        <f t="shared" si="4"/>
        <v>2108.9868858040786</v>
      </c>
      <c r="M7" s="17">
        <f t="shared" si="4"/>
        <v>2151.1666235201601</v>
      </c>
      <c r="N7" s="17">
        <f t="shared" si="4"/>
        <v>2194.1899559905632</v>
      </c>
      <c r="O7" s="20"/>
    </row>
    <row r="8" spans="1:16" x14ac:dyDescent="0.25">
      <c r="A8" s="1" t="s">
        <v>54</v>
      </c>
      <c r="D8" s="18">
        <f>D7/1.8</f>
        <v>1000</v>
      </c>
      <c r="E8" s="18">
        <f>E7/(1+$O$5)</f>
        <v>918</v>
      </c>
      <c r="F8" s="18">
        <f t="shared" ref="F8:N8" si="5">F7/(1+$O$5)</f>
        <v>936.36</v>
      </c>
      <c r="G8" s="18">
        <f t="shared" si="5"/>
        <v>955.08720000000005</v>
      </c>
      <c r="H8" s="18">
        <f t="shared" si="5"/>
        <v>974.18894400000011</v>
      </c>
      <c r="I8" s="18">
        <f t="shared" si="5"/>
        <v>993.67272288000015</v>
      </c>
      <c r="J8" s="18">
        <f t="shared" si="5"/>
        <v>1013.5461773376002</v>
      </c>
      <c r="K8" s="18">
        <f t="shared" si="5"/>
        <v>1033.8171008843522</v>
      </c>
      <c r="L8" s="18">
        <f t="shared" si="5"/>
        <v>1054.4934429020393</v>
      </c>
      <c r="M8" s="18">
        <f t="shared" si="5"/>
        <v>1075.5833117600801</v>
      </c>
      <c r="N8" s="18">
        <f t="shared" si="5"/>
        <v>1097.0949779952816</v>
      </c>
      <c r="O8" s="21"/>
    </row>
    <row r="9" spans="1:16" x14ac:dyDescent="0.25">
      <c r="A9" t="s">
        <v>57</v>
      </c>
      <c r="D9" s="14">
        <v>360</v>
      </c>
      <c r="E9" s="14">
        <f>D9*(1+$O$3)</f>
        <v>363.6</v>
      </c>
      <c r="F9" s="14">
        <f t="shared" ref="F9:N9" si="6">E9*(1+$O$3)</f>
        <v>367.23600000000005</v>
      </c>
      <c r="G9" s="14">
        <f t="shared" si="6"/>
        <v>370.90836000000007</v>
      </c>
      <c r="H9" s="14">
        <f t="shared" si="6"/>
        <v>374.61744360000006</v>
      </c>
      <c r="I9" s="14">
        <f t="shared" si="6"/>
        <v>378.36361803600005</v>
      </c>
      <c r="J9" s="14">
        <f t="shared" si="6"/>
        <v>382.14725421636007</v>
      </c>
      <c r="K9" s="14">
        <f t="shared" si="6"/>
        <v>385.96872675852364</v>
      </c>
      <c r="L9" s="14">
        <f t="shared" si="6"/>
        <v>389.82841402610887</v>
      </c>
      <c r="M9" s="14">
        <f t="shared" si="6"/>
        <v>393.72669816636994</v>
      </c>
      <c r="N9" s="14">
        <f t="shared" si="6"/>
        <v>397.66396514803364</v>
      </c>
      <c r="O9" s="20"/>
    </row>
    <row r="10" spans="1:16" x14ac:dyDescent="0.25">
      <c r="A10" t="s">
        <v>53</v>
      </c>
      <c r="D10" s="1">
        <v>70</v>
      </c>
      <c r="E10" s="17">
        <f>D10*(1+$O$10)</f>
        <v>71.400000000000006</v>
      </c>
      <c r="F10" s="17">
        <f t="shared" ref="F10:N10" si="7">E10*(1+$O$10)</f>
        <v>72.828000000000003</v>
      </c>
      <c r="G10" s="17">
        <f t="shared" si="7"/>
        <v>74.284559999999999</v>
      </c>
      <c r="H10" s="17">
        <f t="shared" si="7"/>
        <v>75.770251200000004</v>
      </c>
      <c r="I10" s="17">
        <f t="shared" si="7"/>
        <v>77.285656224000007</v>
      </c>
      <c r="J10" s="17">
        <f t="shared" si="7"/>
        <v>78.83136934848001</v>
      </c>
      <c r="K10" s="17">
        <f t="shared" si="7"/>
        <v>80.407996735449615</v>
      </c>
      <c r="L10" s="17">
        <f t="shared" si="7"/>
        <v>82.016156670158608</v>
      </c>
      <c r="M10" s="17">
        <f t="shared" si="7"/>
        <v>83.65647980356178</v>
      </c>
      <c r="N10" s="17">
        <f t="shared" si="7"/>
        <v>85.329609399633014</v>
      </c>
      <c r="O10" s="21">
        <v>0.02</v>
      </c>
      <c r="P10" s="1" t="s">
        <v>87</v>
      </c>
    </row>
    <row r="11" spans="1:16" x14ac:dyDescent="0.25">
      <c r="A11" s="1" t="s">
        <v>55</v>
      </c>
      <c r="D11" s="18">
        <f>D10/(1+$O$11)</f>
        <v>36.842105263157897</v>
      </c>
      <c r="E11" s="18">
        <f t="shared" ref="E11:N11" si="8">E10/(1+$O$11)</f>
        <v>37.578947368421055</v>
      </c>
      <c r="F11" s="18">
        <f t="shared" si="8"/>
        <v>38.330526315789477</v>
      </c>
      <c r="G11" s="18">
        <f t="shared" si="8"/>
        <v>39.097136842105265</v>
      </c>
      <c r="H11" s="18">
        <f t="shared" si="8"/>
        <v>39.879079578947369</v>
      </c>
      <c r="I11" s="18">
        <f t="shared" si="8"/>
        <v>40.676661170526323</v>
      </c>
      <c r="J11" s="18">
        <f t="shared" si="8"/>
        <v>41.490194393936846</v>
      </c>
      <c r="K11" s="18">
        <f t="shared" si="8"/>
        <v>42.319998281815586</v>
      </c>
      <c r="L11" s="18">
        <f t="shared" si="8"/>
        <v>43.166398247451902</v>
      </c>
      <c r="M11" s="18">
        <f t="shared" si="8"/>
        <v>44.029726212400938</v>
      </c>
      <c r="N11" s="18">
        <f t="shared" si="8"/>
        <v>44.910320736648956</v>
      </c>
      <c r="O11" s="22">
        <v>0.9</v>
      </c>
      <c r="P11" s="1" t="s">
        <v>90</v>
      </c>
    </row>
    <row r="12" spans="1:16" x14ac:dyDescent="0.25">
      <c r="A12" s="1" t="s">
        <v>130</v>
      </c>
      <c r="D12" s="18">
        <v>3000</v>
      </c>
      <c r="E12" s="18">
        <f>D12</f>
        <v>3000</v>
      </c>
      <c r="F12" s="18">
        <f t="shared" ref="F12:N13" si="9">E12</f>
        <v>3000</v>
      </c>
      <c r="G12" s="18">
        <f t="shared" si="9"/>
        <v>3000</v>
      </c>
      <c r="H12" s="18">
        <f t="shared" si="9"/>
        <v>3000</v>
      </c>
      <c r="I12" s="18">
        <f t="shared" si="9"/>
        <v>3000</v>
      </c>
      <c r="J12" s="18">
        <f t="shared" si="9"/>
        <v>3000</v>
      </c>
      <c r="K12" s="18">
        <f t="shared" si="9"/>
        <v>3000</v>
      </c>
      <c r="L12" s="18">
        <f t="shared" si="9"/>
        <v>3000</v>
      </c>
      <c r="M12" s="18">
        <f t="shared" si="9"/>
        <v>3000</v>
      </c>
      <c r="N12" s="18">
        <f t="shared" si="9"/>
        <v>3000</v>
      </c>
      <c r="O12" s="22"/>
    </row>
    <row r="13" spans="1:16" x14ac:dyDescent="0.25">
      <c r="A13" s="1" t="s">
        <v>131</v>
      </c>
      <c r="D13" s="51">
        <v>50</v>
      </c>
      <c r="E13" s="51">
        <f>D13</f>
        <v>50</v>
      </c>
      <c r="F13" s="51">
        <f t="shared" si="9"/>
        <v>50</v>
      </c>
      <c r="G13" s="51">
        <f t="shared" si="9"/>
        <v>50</v>
      </c>
      <c r="H13" s="51">
        <f t="shared" si="9"/>
        <v>50</v>
      </c>
      <c r="I13" s="51">
        <v>55</v>
      </c>
      <c r="J13" s="51">
        <f t="shared" si="9"/>
        <v>55</v>
      </c>
      <c r="K13" s="51">
        <f t="shared" si="9"/>
        <v>55</v>
      </c>
      <c r="L13" s="51">
        <f t="shared" si="9"/>
        <v>55</v>
      </c>
      <c r="M13" s="51">
        <f t="shared" si="9"/>
        <v>55</v>
      </c>
      <c r="N13" s="51">
        <f t="shared" si="9"/>
        <v>55</v>
      </c>
      <c r="O13" s="22"/>
    </row>
    <row r="14" spans="1:16" x14ac:dyDescent="0.25">
      <c r="A14" s="1" t="s">
        <v>132</v>
      </c>
      <c r="D14" s="51">
        <f>D12*D13</f>
        <v>150000</v>
      </c>
      <c r="E14" s="51">
        <f t="shared" ref="E14:N14" si="10">E12*E13</f>
        <v>150000</v>
      </c>
      <c r="F14" s="51">
        <f t="shared" si="10"/>
        <v>150000</v>
      </c>
      <c r="G14" s="51">
        <f t="shared" si="10"/>
        <v>150000</v>
      </c>
      <c r="H14" s="51">
        <f t="shared" si="10"/>
        <v>150000</v>
      </c>
      <c r="I14" s="51">
        <f t="shared" si="10"/>
        <v>165000</v>
      </c>
      <c r="J14" s="51">
        <f t="shared" si="10"/>
        <v>165000</v>
      </c>
      <c r="K14" s="51">
        <f t="shared" si="10"/>
        <v>165000</v>
      </c>
      <c r="L14" s="51">
        <f t="shared" si="10"/>
        <v>165000</v>
      </c>
      <c r="M14" s="51">
        <f t="shared" si="10"/>
        <v>165000</v>
      </c>
      <c r="N14" s="51">
        <f t="shared" si="10"/>
        <v>165000</v>
      </c>
      <c r="O14" s="21"/>
    </row>
    <row r="15" spans="1:16" x14ac:dyDescent="0.25">
      <c r="A15" s="1" t="s">
        <v>24</v>
      </c>
      <c r="D15" s="51">
        <v>15000</v>
      </c>
      <c r="E15" s="51">
        <f>D15</f>
        <v>15000</v>
      </c>
      <c r="F15" s="51">
        <f t="shared" ref="F15:N15" si="11">E15</f>
        <v>15000</v>
      </c>
      <c r="G15" s="51">
        <f t="shared" si="11"/>
        <v>15000</v>
      </c>
      <c r="H15" s="51">
        <f t="shared" si="11"/>
        <v>15000</v>
      </c>
      <c r="I15" s="51">
        <f t="shared" si="11"/>
        <v>15000</v>
      </c>
      <c r="J15" s="51">
        <f t="shared" si="11"/>
        <v>15000</v>
      </c>
      <c r="K15" s="51">
        <f t="shared" si="11"/>
        <v>15000</v>
      </c>
      <c r="L15" s="51">
        <f t="shared" si="11"/>
        <v>15000</v>
      </c>
      <c r="M15" s="51">
        <f t="shared" si="11"/>
        <v>15000</v>
      </c>
      <c r="N15" s="51">
        <f t="shared" si="11"/>
        <v>15000</v>
      </c>
      <c r="O15" s="21"/>
    </row>
    <row r="16" spans="1:16" x14ac:dyDescent="0.25"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21"/>
    </row>
    <row r="17" spans="1:15" x14ac:dyDescent="0.25">
      <c r="A17" s="1" t="s">
        <v>136</v>
      </c>
      <c r="D17" s="51">
        <v>1000</v>
      </c>
      <c r="E17" s="51">
        <f>D17</f>
        <v>1000</v>
      </c>
      <c r="F17" s="51">
        <f t="shared" ref="F17:N17" si="12">E17</f>
        <v>1000</v>
      </c>
      <c r="G17" s="51">
        <f t="shared" si="12"/>
        <v>1000</v>
      </c>
      <c r="H17" s="51">
        <f t="shared" si="12"/>
        <v>1000</v>
      </c>
      <c r="I17" s="51">
        <f t="shared" si="12"/>
        <v>1000</v>
      </c>
      <c r="J17" s="51">
        <f t="shared" si="12"/>
        <v>1000</v>
      </c>
      <c r="K17" s="51">
        <f t="shared" si="12"/>
        <v>1000</v>
      </c>
      <c r="L17" s="51">
        <f t="shared" si="12"/>
        <v>1000</v>
      </c>
      <c r="M17" s="51">
        <f t="shared" si="12"/>
        <v>1000</v>
      </c>
      <c r="N17" s="51">
        <f t="shared" si="12"/>
        <v>1000</v>
      </c>
      <c r="O17" s="21"/>
    </row>
    <row r="18" spans="1:15" x14ac:dyDescent="0.25">
      <c r="A18" s="1" t="s">
        <v>45</v>
      </c>
      <c r="D18" s="1">
        <v>120</v>
      </c>
      <c r="E18" s="1">
        <f>D18*(1+$O$18)</f>
        <v>120</v>
      </c>
      <c r="F18" s="17">
        <f>E18*(1+$O$18)</f>
        <v>120</v>
      </c>
      <c r="G18" s="17">
        <f>F18*(1+$O$18)</f>
        <v>120</v>
      </c>
      <c r="H18" s="17">
        <f t="shared" ref="H18:N18" si="13">G18*(1+$O$18)</f>
        <v>120</v>
      </c>
      <c r="I18" s="17">
        <f t="shared" si="13"/>
        <v>120</v>
      </c>
      <c r="J18" s="17">
        <f t="shared" si="13"/>
        <v>120</v>
      </c>
      <c r="K18" s="17">
        <f t="shared" si="13"/>
        <v>120</v>
      </c>
      <c r="L18" s="17">
        <f t="shared" si="13"/>
        <v>120</v>
      </c>
      <c r="M18" s="17">
        <f t="shared" si="13"/>
        <v>120</v>
      </c>
      <c r="N18" s="17">
        <f t="shared" si="13"/>
        <v>120</v>
      </c>
      <c r="O18" s="20">
        <v>0</v>
      </c>
    </row>
    <row r="19" spans="1:15" x14ac:dyDescent="0.25">
      <c r="A19" s="1" t="s">
        <v>46</v>
      </c>
      <c r="D19" s="1">
        <v>180</v>
      </c>
      <c r="E19" s="17">
        <f>D19*(1+$O$3)</f>
        <v>181.8</v>
      </c>
      <c r="F19" s="17">
        <f t="shared" ref="F19:N19" si="14">E19*(1+$O$3)</f>
        <v>183.61800000000002</v>
      </c>
      <c r="G19" s="17">
        <f t="shared" si="14"/>
        <v>185.45418000000004</v>
      </c>
      <c r="H19" s="17">
        <f t="shared" si="14"/>
        <v>187.30872180000003</v>
      </c>
      <c r="I19" s="17">
        <f t="shared" si="14"/>
        <v>189.18180901800002</v>
      </c>
      <c r="J19" s="17">
        <f t="shared" si="14"/>
        <v>191.07362710818003</v>
      </c>
      <c r="K19" s="17">
        <f t="shared" si="14"/>
        <v>192.98436337926182</v>
      </c>
      <c r="L19" s="17">
        <f t="shared" si="14"/>
        <v>194.91420701305444</v>
      </c>
      <c r="M19" s="17">
        <f t="shared" si="14"/>
        <v>196.86334908318497</v>
      </c>
      <c r="N19" s="17">
        <f t="shared" si="14"/>
        <v>198.83198257401682</v>
      </c>
      <c r="O19" s="20"/>
    </row>
    <row r="20" spans="1:15" x14ac:dyDescent="0.25">
      <c r="A20" s="1" t="s">
        <v>86</v>
      </c>
      <c r="D20" s="1">
        <v>40</v>
      </c>
      <c r="E20" s="1">
        <v>40</v>
      </c>
      <c r="F20" s="1">
        <v>40</v>
      </c>
      <c r="G20" s="1">
        <v>40</v>
      </c>
      <c r="H20" s="1">
        <v>40</v>
      </c>
      <c r="I20" s="1">
        <v>40</v>
      </c>
      <c r="J20" s="1">
        <v>40</v>
      </c>
      <c r="K20" s="1">
        <v>40</v>
      </c>
      <c r="L20" s="1">
        <v>40</v>
      </c>
      <c r="M20" s="1">
        <v>40</v>
      </c>
      <c r="N20" s="1">
        <v>40</v>
      </c>
    </row>
    <row r="21" spans="1:15" x14ac:dyDescent="0.25">
      <c r="A21" s="1" t="s">
        <v>47</v>
      </c>
      <c r="D21" s="1">
        <v>90</v>
      </c>
      <c r="E21" s="1">
        <v>90</v>
      </c>
      <c r="F21" s="1">
        <v>90</v>
      </c>
      <c r="G21" s="1">
        <v>90</v>
      </c>
      <c r="H21" s="1">
        <v>90</v>
      </c>
      <c r="I21" s="1">
        <v>90</v>
      </c>
      <c r="J21" s="1">
        <v>90</v>
      </c>
      <c r="K21" s="1">
        <v>90</v>
      </c>
      <c r="L21" s="1">
        <v>90</v>
      </c>
      <c r="M21" s="1">
        <v>90</v>
      </c>
      <c r="N21" s="1">
        <v>90</v>
      </c>
    </row>
    <row r="23" spans="1:15" x14ac:dyDescent="0.25">
      <c r="A23" s="1" t="s">
        <v>186</v>
      </c>
      <c r="C23" s="1">
        <v>70000</v>
      </c>
      <c r="D23" s="1" t="s">
        <v>188</v>
      </c>
      <c r="F23" s="1">
        <v>75000</v>
      </c>
    </row>
    <row r="24" spans="1:15" x14ac:dyDescent="0.25">
      <c r="A24" s="1" t="s">
        <v>187</v>
      </c>
      <c r="C24" s="1">
        <v>10000</v>
      </c>
    </row>
    <row r="25" spans="1:15" x14ac:dyDescent="0.25">
      <c r="F25" s="16"/>
      <c r="G25" s="16"/>
      <c r="H25" s="15"/>
    </row>
    <row r="27" spans="1:15" s="3" customFormat="1" x14ac:dyDescent="0.25">
      <c r="A27" s="176" t="s">
        <v>91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</row>
    <row r="28" spans="1:15" x14ac:dyDescent="0.25">
      <c r="A28" s="178" t="s">
        <v>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</row>
    <row r="29" spans="1:15" x14ac:dyDescent="0.25">
      <c r="A29" s="179"/>
      <c r="B29" s="179"/>
      <c r="C29" s="179"/>
      <c r="D29" s="179">
        <v>2014</v>
      </c>
      <c r="E29" s="179">
        <v>2015</v>
      </c>
      <c r="F29" s="179">
        <v>2016</v>
      </c>
      <c r="G29" s="179">
        <v>2017</v>
      </c>
      <c r="H29" s="179">
        <v>2018</v>
      </c>
      <c r="I29" s="179">
        <v>2019</v>
      </c>
      <c r="J29" s="179">
        <v>2020</v>
      </c>
      <c r="K29" s="179">
        <v>2021</v>
      </c>
      <c r="L29" s="179">
        <v>2022</v>
      </c>
      <c r="M29" s="179">
        <v>2023</v>
      </c>
      <c r="N29" s="179">
        <v>2024</v>
      </c>
    </row>
    <row r="30" spans="1:15" x14ac:dyDescent="0.25">
      <c r="A30" s="178" t="s">
        <v>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</row>
    <row r="31" spans="1:15" x14ac:dyDescent="0.25">
      <c r="A31" s="180" t="s">
        <v>19</v>
      </c>
      <c r="B31" s="179"/>
      <c r="C31" s="179"/>
      <c r="D31" s="181">
        <f t="shared" ref="D31:N31" si="15">D3*D4</f>
        <v>114000</v>
      </c>
      <c r="E31" s="181">
        <f t="shared" si="15"/>
        <v>117442.8</v>
      </c>
      <c r="F31" s="181">
        <f t="shared" si="15"/>
        <v>120989.57256000002</v>
      </c>
      <c r="G31" s="181">
        <f t="shared" si="15"/>
        <v>124643.45765131203</v>
      </c>
      <c r="H31" s="181">
        <f t="shared" si="15"/>
        <v>128407.69007238167</v>
      </c>
      <c r="I31" s="181">
        <f t="shared" si="15"/>
        <v>132285.60231256759</v>
      </c>
      <c r="J31" s="181">
        <f t="shared" si="15"/>
        <v>136280.62750240712</v>
      </c>
      <c r="K31" s="181">
        <f t="shared" si="15"/>
        <v>140396.30245297984</v>
      </c>
      <c r="L31" s="181">
        <f t="shared" si="15"/>
        <v>144636.27078705982</v>
      </c>
      <c r="M31" s="181">
        <f t="shared" si="15"/>
        <v>149004.28616482904</v>
      </c>
      <c r="N31" s="181">
        <f t="shared" si="15"/>
        <v>153504.21560700686</v>
      </c>
    </row>
    <row r="32" spans="1:15" x14ac:dyDescent="0.25">
      <c r="A32" s="180" t="s">
        <v>50</v>
      </c>
      <c r="B32" s="179"/>
      <c r="C32" s="179"/>
      <c r="D32" s="181">
        <f t="shared" ref="D32:N32" si="16">D6*D7</f>
        <v>93600</v>
      </c>
      <c r="E32" s="181">
        <f t="shared" si="16"/>
        <v>96426.72</v>
      </c>
      <c r="F32" s="181">
        <f t="shared" si="16"/>
        <v>99338.806944000011</v>
      </c>
      <c r="G32" s="181">
        <f t="shared" si="16"/>
        <v>102338.83891370881</v>
      </c>
      <c r="H32" s="181">
        <f t="shared" si="16"/>
        <v>105429.47184890283</v>
      </c>
      <c r="I32" s="181">
        <f t="shared" si="16"/>
        <v>108613.44189873969</v>
      </c>
      <c r="J32" s="181">
        <f t="shared" si="16"/>
        <v>111893.56784408163</v>
      </c>
      <c r="K32" s="181">
        <f t="shared" si="16"/>
        <v>115272.75359297289</v>
      </c>
      <c r="L32" s="181">
        <f t="shared" si="16"/>
        <v>118753.99075148068</v>
      </c>
      <c r="M32" s="181">
        <f t="shared" si="16"/>
        <v>122340.3612721754</v>
      </c>
      <c r="N32" s="181">
        <f t="shared" si="16"/>
        <v>126035.0401825951</v>
      </c>
    </row>
    <row r="33" spans="1:16" x14ac:dyDescent="0.25">
      <c r="A33" s="180" t="s">
        <v>51</v>
      </c>
      <c r="B33" s="179"/>
      <c r="C33" s="179"/>
      <c r="D33" s="181">
        <f t="shared" ref="D33:N33" si="17">D9*D10</f>
        <v>25200</v>
      </c>
      <c r="E33" s="181">
        <f t="shared" si="17"/>
        <v>25961.040000000005</v>
      </c>
      <c r="F33" s="181">
        <f t="shared" si="17"/>
        <v>26745.063408000005</v>
      </c>
      <c r="G33" s="181">
        <f t="shared" si="17"/>
        <v>27552.764322921605</v>
      </c>
      <c r="H33" s="181">
        <f t="shared" si="17"/>
        <v>28384.857805473839</v>
      </c>
      <c r="I33" s="181">
        <f t="shared" si="17"/>
        <v>29242.08051119915</v>
      </c>
      <c r="J33" s="181">
        <f t="shared" si="17"/>
        <v>30125.191342637365</v>
      </c>
      <c r="K33" s="181">
        <f t="shared" si="17"/>
        <v>31034.972121185012</v>
      </c>
      <c r="L33" s="181">
        <f t="shared" si="17"/>
        <v>31972.228279244802</v>
      </c>
      <c r="M33" s="181">
        <f t="shared" si="17"/>
        <v>32937.789573277994</v>
      </c>
      <c r="N33" s="181">
        <f t="shared" si="17"/>
        <v>33932.510818390983</v>
      </c>
    </row>
    <row r="34" spans="1:16" x14ac:dyDescent="0.25">
      <c r="A34" s="180"/>
      <c r="B34" s="179"/>
      <c r="C34" s="179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</row>
    <row r="35" spans="1:16" x14ac:dyDescent="0.25">
      <c r="A35" s="179" t="s">
        <v>18</v>
      </c>
      <c r="B35" s="179"/>
      <c r="C35" s="179"/>
      <c r="D35" s="181">
        <f t="shared" ref="D35:N35" si="18">D3*D5</f>
        <v>57000</v>
      </c>
      <c r="E35" s="181">
        <f t="shared" si="18"/>
        <v>58721.4</v>
      </c>
      <c r="F35" s="181">
        <f t="shared" si="18"/>
        <v>60494.786280000008</v>
      </c>
      <c r="G35" s="181">
        <f t="shared" si="18"/>
        <v>62321.728825656013</v>
      </c>
      <c r="H35" s="181">
        <f t="shared" si="18"/>
        <v>64203.845036190833</v>
      </c>
      <c r="I35" s="181">
        <f t="shared" si="18"/>
        <v>66142.801156283793</v>
      </c>
      <c r="J35" s="181">
        <f t="shared" si="18"/>
        <v>68140.313751203561</v>
      </c>
      <c r="K35" s="181">
        <f t="shared" si="18"/>
        <v>70198.151226489921</v>
      </c>
      <c r="L35" s="181">
        <f t="shared" si="18"/>
        <v>72318.135393529912</v>
      </c>
      <c r="M35" s="181">
        <f t="shared" si="18"/>
        <v>74502.143082414521</v>
      </c>
      <c r="N35" s="181">
        <f t="shared" si="18"/>
        <v>76752.10780350343</v>
      </c>
    </row>
    <row r="36" spans="1:16" x14ac:dyDescent="0.25">
      <c r="A36" s="179" t="s">
        <v>59</v>
      </c>
      <c r="B36" s="179"/>
      <c r="C36" s="179"/>
      <c r="D36" s="181">
        <f t="shared" ref="D36:N36" si="19">D6*D8</f>
        <v>52000</v>
      </c>
      <c r="E36" s="181">
        <f t="shared" si="19"/>
        <v>48213.36</v>
      </c>
      <c r="F36" s="181">
        <f t="shared" si="19"/>
        <v>49669.403472000005</v>
      </c>
      <c r="G36" s="181">
        <f t="shared" si="19"/>
        <v>51169.419456854404</v>
      </c>
      <c r="H36" s="181">
        <f t="shared" si="19"/>
        <v>52714.735924451415</v>
      </c>
      <c r="I36" s="181">
        <f t="shared" si="19"/>
        <v>54306.720949369846</v>
      </c>
      <c r="J36" s="181">
        <f t="shared" si="19"/>
        <v>55946.783922040813</v>
      </c>
      <c r="K36" s="181">
        <f t="shared" si="19"/>
        <v>57636.376796486446</v>
      </c>
      <c r="L36" s="181">
        <f t="shared" si="19"/>
        <v>59376.995375740342</v>
      </c>
      <c r="M36" s="181">
        <f t="shared" si="19"/>
        <v>61170.180636087702</v>
      </c>
      <c r="N36" s="181">
        <f t="shared" si="19"/>
        <v>63017.520091297549</v>
      </c>
    </row>
    <row r="37" spans="1:16" x14ac:dyDescent="0.25">
      <c r="A37" s="179" t="s">
        <v>60</v>
      </c>
      <c r="B37" s="179"/>
      <c r="C37" s="179"/>
      <c r="D37" s="181">
        <f>D9*D11</f>
        <v>13263.157894736843</v>
      </c>
      <c r="E37" s="181">
        <f t="shared" ref="E37:N37" si="20">E9*E11</f>
        <v>13663.705263157897</v>
      </c>
      <c r="F37" s="181">
        <f t="shared" si="20"/>
        <v>14076.349162105265</v>
      </c>
      <c r="G37" s="181">
        <f t="shared" si="20"/>
        <v>14501.454906800845</v>
      </c>
      <c r="H37" s="181">
        <f t="shared" si="20"/>
        <v>14939.39884498623</v>
      </c>
      <c r="I37" s="181">
        <f t="shared" si="20"/>
        <v>15390.568690104816</v>
      </c>
      <c r="J37" s="181">
        <f t="shared" si="20"/>
        <v>15855.363864545981</v>
      </c>
      <c r="K37" s="181">
        <f t="shared" si="20"/>
        <v>16334.195853255271</v>
      </c>
      <c r="L37" s="181">
        <f t="shared" si="20"/>
        <v>16827.488568023582</v>
      </c>
      <c r="M37" s="181">
        <f t="shared" si="20"/>
        <v>17335.678722777891</v>
      </c>
      <c r="N37" s="181">
        <f t="shared" si="20"/>
        <v>17859.216220205784</v>
      </c>
    </row>
    <row r="38" spans="1:16" x14ac:dyDescent="0.25">
      <c r="A38" s="180"/>
      <c r="B38" s="179"/>
      <c r="C38" s="179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1:16" x14ac:dyDescent="0.25">
      <c r="A39" s="179" t="s">
        <v>2</v>
      </c>
      <c r="B39" s="179"/>
      <c r="C39" s="179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</row>
    <row r="40" spans="1:16" x14ac:dyDescent="0.25">
      <c r="A40" s="179"/>
      <c r="B40" s="179" t="s">
        <v>17</v>
      </c>
      <c r="C40" s="179"/>
      <c r="D40" s="181">
        <f>C23</f>
        <v>70000</v>
      </c>
      <c r="E40" s="182">
        <f>SUM(E31:E33)*$O$40</f>
        <v>72114</v>
      </c>
      <c r="F40" s="182">
        <f>SUM(F31:F33)*$O$40</f>
        <v>74291.842799999999</v>
      </c>
      <c r="G40" s="182">
        <f>SUM(G31:G33)*$O$40</f>
        <v>76535.456452560014</v>
      </c>
      <c r="H40" s="182">
        <f t="shared" ref="H40:N40" si="21">SUM(H31:H33)*$O$40</f>
        <v>78846.827237427337</v>
      </c>
      <c r="I40" s="182">
        <f t="shared" si="21"/>
        <v>81228.001419997643</v>
      </c>
      <c r="J40" s="182">
        <f t="shared" si="21"/>
        <v>83681.087062881546</v>
      </c>
      <c r="K40" s="182">
        <f t="shared" si="21"/>
        <v>86208.25589218059</v>
      </c>
      <c r="L40" s="182">
        <f t="shared" si="21"/>
        <v>88811.74522012443</v>
      </c>
      <c r="M40" s="182">
        <f t="shared" si="21"/>
        <v>91493.859925772194</v>
      </c>
      <c r="N40" s="182">
        <f t="shared" si="21"/>
        <v>94256.974495530521</v>
      </c>
      <c r="O40" s="15">
        <f>D40/SUM(D31:D33)</f>
        <v>0.30068728522336768</v>
      </c>
    </row>
    <row r="41" spans="1:16" x14ac:dyDescent="0.25">
      <c r="A41" s="179"/>
      <c r="B41" s="179" t="s">
        <v>85</v>
      </c>
      <c r="C41" s="179"/>
      <c r="D41" s="181">
        <f>C24</f>
        <v>10000</v>
      </c>
      <c r="E41" s="181">
        <f>D41*(1+$O$10)</f>
        <v>10200</v>
      </c>
      <c r="F41" s="181">
        <f t="shared" ref="F41:N41" si="22">E41*(1+$O$10)</f>
        <v>10404</v>
      </c>
      <c r="G41" s="181">
        <f t="shared" si="22"/>
        <v>10612.08</v>
      </c>
      <c r="H41" s="181">
        <f t="shared" si="22"/>
        <v>10824.321599999999</v>
      </c>
      <c r="I41" s="181">
        <f t="shared" si="22"/>
        <v>11040.808031999999</v>
      </c>
      <c r="J41" s="181">
        <f t="shared" si="22"/>
        <v>11261.62419264</v>
      </c>
      <c r="K41" s="181">
        <f t="shared" si="22"/>
        <v>11486.8566764928</v>
      </c>
      <c r="L41" s="181">
        <f t="shared" si="22"/>
        <v>11716.593810022656</v>
      </c>
      <c r="M41" s="181">
        <f t="shared" si="22"/>
        <v>11950.925686223109</v>
      </c>
      <c r="N41" s="181">
        <f t="shared" si="22"/>
        <v>12189.944199947571</v>
      </c>
      <c r="O41" s="15"/>
    </row>
    <row r="42" spans="1:16" x14ac:dyDescent="0.25">
      <c r="A42" s="179"/>
      <c r="B42" s="179"/>
      <c r="C42" s="179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</row>
    <row r="43" spans="1:16" x14ac:dyDescent="0.25">
      <c r="A43" s="179" t="s">
        <v>3</v>
      </c>
      <c r="B43" s="179"/>
      <c r="C43" s="179"/>
      <c r="D43" s="183">
        <f>D59/$P$58</f>
        <v>5000</v>
      </c>
      <c r="E43" s="183">
        <f t="shared" ref="E43:N43" si="23">E59/$P$58</f>
        <v>5000</v>
      </c>
      <c r="F43" s="183">
        <f t="shared" si="23"/>
        <v>5000</v>
      </c>
      <c r="G43" s="183">
        <f t="shared" si="23"/>
        <v>5000</v>
      </c>
      <c r="H43" s="183">
        <f t="shared" si="23"/>
        <v>5000</v>
      </c>
      <c r="I43" s="183">
        <f t="shared" si="23"/>
        <v>5500</v>
      </c>
      <c r="J43" s="183">
        <f t="shared" si="23"/>
        <v>5500</v>
      </c>
      <c r="K43" s="183">
        <f t="shared" si="23"/>
        <v>5500</v>
      </c>
      <c r="L43" s="183">
        <f t="shared" si="23"/>
        <v>5500</v>
      </c>
      <c r="M43" s="183">
        <f t="shared" si="23"/>
        <v>5500</v>
      </c>
      <c r="N43" s="183">
        <f t="shared" si="23"/>
        <v>5500</v>
      </c>
    </row>
    <row r="44" spans="1:16" x14ac:dyDescent="0.25">
      <c r="A44" s="179" t="s">
        <v>4</v>
      </c>
      <c r="B44" s="179"/>
      <c r="C44" s="179"/>
      <c r="D44" s="181">
        <f>'Original Mortgage'!D14</f>
        <v>5369.3881693539397</v>
      </c>
      <c r="E44" s="181">
        <f>[1]Mortgage!D28</f>
        <v>4842.4398964493084</v>
      </c>
      <c r="F44" s="181">
        <f>'Original Mortgage'!D42</f>
        <v>5174.5131417907114</v>
      </c>
      <c r="G44" s="181">
        <f>'Original Mortgage'!D56</f>
        <v>5070.927671714755</v>
      </c>
      <c r="H44" s="181">
        <f>'Original Mortgage'!D70</f>
        <v>4963.0144731235869</v>
      </c>
      <c r="I44" s="181">
        <f>'Original Mortgage'!D84</f>
        <v>4850.5927365456901</v>
      </c>
      <c r="J44" s="181">
        <f>'Original Mortgage'!D98</f>
        <v>4733.4740984162436</v>
      </c>
      <c r="K44" s="181">
        <f>'Original Mortgage'!D112</f>
        <v>4611.4623254723901</v>
      </c>
      <c r="L44" s="181">
        <f>'Original Mortgage'!D126</f>
        <v>4484.3529859627515</v>
      </c>
      <c r="M44" s="181">
        <f>'Original Mortgage'!D140</f>
        <v>4351.9331071203069</v>
      </c>
      <c r="N44" s="181">
        <f>'Original Mortgage'!D154</f>
        <v>4213.9808183247396</v>
      </c>
    </row>
    <row r="45" spans="1:16" x14ac:dyDescent="0.25">
      <c r="A45" s="179" t="s">
        <v>20</v>
      </c>
      <c r="B45" s="179"/>
      <c r="C45" s="179"/>
      <c r="D45" s="181">
        <f t="shared" ref="D45:F45" si="24">$O$45*D69</f>
        <v>3637.2817864026629</v>
      </c>
      <c r="E45" s="181">
        <f t="shared" si="24"/>
        <v>1279.7038375145939</v>
      </c>
      <c r="F45" s="181">
        <f t="shared" si="24"/>
        <v>0</v>
      </c>
      <c r="G45" s="181">
        <f>$O$45*G69</f>
        <v>0</v>
      </c>
      <c r="H45" s="181">
        <f t="shared" ref="H45:N45" si="25">$O$45*H69</f>
        <v>0</v>
      </c>
      <c r="I45" s="181">
        <f t="shared" si="25"/>
        <v>0</v>
      </c>
      <c r="J45" s="181">
        <f t="shared" si="25"/>
        <v>0</v>
      </c>
      <c r="K45" s="181">
        <f t="shared" si="25"/>
        <v>0</v>
      </c>
      <c r="L45" s="181">
        <f t="shared" si="25"/>
        <v>0</v>
      </c>
      <c r="M45" s="181">
        <f t="shared" si="25"/>
        <v>0</v>
      </c>
      <c r="N45" s="181">
        <f t="shared" si="25"/>
        <v>0</v>
      </c>
      <c r="O45" s="15">
        <v>0.11</v>
      </c>
    </row>
    <row r="46" spans="1:16" x14ac:dyDescent="0.25">
      <c r="A46" s="179"/>
      <c r="B46" s="179"/>
      <c r="C46" s="179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6" x14ac:dyDescent="0.25">
      <c r="A47" s="179" t="s">
        <v>5</v>
      </c>
      <c r="B47" s="179"/>
      <c r="C47" s="179"/>
      <c r="D47" s="181">
        <f>SUM(D31:D33)-SUM(D35:D45)</f>
        <v>16530.172149506543</v>
      </c>
      <c r="E47" s="181">
        <f t="shared" ref="E47:G47" si="26">SUM(E31:E33)-SUM(E35:E45)</f>
        <v>25795.951002878224</v>
      </c>
      <c r="F47" s="181">
        <f t="shared" si="26"/>
        <v>27962.548056104046</v>
      </c>
      <c r="G47" s="181">
        <f t="shared" si="26"/>
        <v>29323.993574356427</v>
      </c>
      <c r="H47" s="181">
        <f t="shared" ref="H47:N47" si="27">SUM(H31:H33)-SUM(H35:H45)</f>
        <v>30729.87661057894</v>
      </c>
      <c r="I47" s="181">
        <f t="shared" si="27"/>
        <v>31681.631738204684</v>
      </c>
      <c r="J47" s="181">
        <f t="shared" si="27"/>
        <v>33180.739797397953</v>
      </c>
      <c r="K47" s="181">
        <f t="shared" si="27"/>
        <v>34728.729396760318</v>
      </c>
      <c r="L47" s="181">
        <f t="shared" si="27"/>
        <v>36327.178464381606</v>
      </c>
      <c r="M47" s="181">
        <f t="shared" si="27"/>
        <v>37977.715849886707</v>
      </c>
      <c r="N47" s="181">
        <f t="shared" si="27"/>
        <v>39682.022979183355</v>
      </c>
    </row>
    <row r="48" spans="1:16" x14ac:dyDescent="0.25">
      <c r="A48" s="179" t="s">
        <v>6</v>
      </c>
      <c r="B48" s="179"/>
      <c r="C48" s="179"/>
      <c r="D48" s="181">
        <f>IF(D47&lt;=0,0,$O$48*D47)</f>
        <v>4959.0516448519629</v>
      </c>
      <c r="E48" s="181">
        <f t="shared" ref="E48:N48" si="28">IF(E47&lt;=0,0,$O$48*E47)</f>
        <v>7738.7853008634665</v>
      </c>
      <c r="F48" s="181">
        <f t="shared" si="28"/>
        <v>8388.7644168312127</v>
      </c>
      <c r="G48" s="181">
        <f t="shared" si="28"/>
        <v>8797.1980723069282</v>
      </c>
      <c r="H48" s="181">
        <f t="shared" si="28"/>
        <v>9218.962983173682</v>
      </c>
      <c r="I48" s="181">
        <f t="shared" si="28"/>
        <v>9504.4895214614044</v>
      </c>
      <c r="J48" s="181">
        <f t="shared" si="28"/>
        <v>9954.2219392193856</v>
      </c>
      <c r="K48" s="181">
        <f t="shared" si="28"/>
        <v>10418.618819028095</v>
      </c>
      <c r="L48" s="181">
        <f t="shared" si="28"/>
        <v>10898.153539314482</v>
      </c>
      <c r="M48" s="181">
        <f t="shared" si="28"/>
        <v>11393.314754966012</v>
      </c>
      <c r="N48" s="181">
        <f t="shared" si="28"/>
        <v>11904.606893755006</v>
      </c>
      <c r="O48" s="15">
        <v>0.3</v>
      </c>
      <c r="P48" s="1" t="s">
        <v>128</v>
      </c>
    </row>
    <row r="49" spans="1:23" x14ac:dyDescent="0.25">
      <c r="A49" s="178" t="s">
        <v>21</v>
      </c>
      <c r="B49" s="179"/>
      <c r="C49" s="179"/>
      <c r="D49" s="181">
        <f>D47-D48</f>
        <v>11571.12050465458</v>
      </c>
      <c r="E49" s="181">
        <f t="shared" ref="E49:N49" si="29">E47-E48</f>
        <v>18057.165702014758</v>
      </c>
      <c r="F49" s="181">
        <f t="shared" si="29"/>
        <v>19573.783639272835</v>
      </c>
      <c r="G49" s="181">
        <f t="shared" si="29"/>
        <v>20526.795502049499</v>
      </c>
      <c r="H49" s="181">
        <f t="shared" si="29"/>
        <v>21510.913627405258</v>
      </c>
      <c r="I49" s="181">
        <f t="shared" si="29"/>
        <v>22177.142216743279</v>
      </c>
      <c r="J49" s="181">
        <f t="shared" si="29"/>
        <v>23226.517858178566</v>
      </c>
      <c r="K49" s="181">
        <f t="shared" si="29"/>
        <v>24310.110577732223</v>
      </c>
      <c r="L49" s="181">
        <f t="shared" si="29"/>
        <v>25429.024925067126</v>
      </c>
      <c r="M49" s="181">
        <f t="shared" si="29"/>
        <v>26584.401094920693</v>
      </c>
      <c r="N49" s="181">
        <f t="shared" si="29"/>
        <v>27777.416085428347</v>
      </c>
    </row>
    <row r="50" spans="1:23" x14ac:dyDescent="0.2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</row>
    <row r="51" spans="1:23" x14ac:dyDescent="0.25">
      <c r="A51" s="178" t="s">
        <v>7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</row>
    <row r="52" spans="1:23" x14ac:dyDescent="0.25">
      <c r="A52" s="178" t="s">
        <v>8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23" x14ac:dyDescent="0.25">
      <c r="A53" s="179" t="s">
        <v>22</v>
      </c>
      <c r="B53" s="179"/>
      <c r="C53" s="179"/>
      <c r="D53" s="181">
        <f>D17</f>
        <v>1000</v>
      </c>
      <c r="E53" s="181">
        <f t="shared" ref="E53:N53" si="30">E17</f>
        <v>1000</v>
      </c>
      <c r="F53" s="181">
        <f t="shared" si="30"/>
        <v>1000</v>
      </c>
      <c r="G53" s="181">
        <f t="shared" si="30"/>
        <v>1000</v>
      </c>
      <c r="H53" s="181">
        <f t="shared" si="30"/>
        <v>1000</v>
      </c>
      <c r="I53" s="181">
        <f t="shared" si="30"/>
        <v>1000</v>
      </c>
      <c r="J53" s="181">
        <f t="shared" si="30"/>
        <v>1000</v>
      </c>
      <c r="K53" s="181">
        <f t="shared" si="30"/>
        <v>1000</v>
      </c>
      <c r="L53" s="181">
        <f t="shared" si="30"/>
        <v>1000</v>
      </c>
      <c r="M53" s="181">
        <f t="shared" si="30"/>
        <v>1000</v>
      </c>
      <c r="N53" s="181">
        <f t="shared" si="30"/>
        <v>1000</v>
      </c>
    </row>
    <row r="54" spans="1:23" x14ac:dyDescent="0.25">
      <c r="A54" s="179" t="s">
        <v>23</v>
      </c>
      <c r="B54" s="179"/>
      <c r="C54" s="179"/>
      <c r="D54" s="181"/>
      <c r="E54" s="181"/>
      <c r="F54" s="181">
        <v>7682.8764384013048</v>
      </c>
      <c r="G54" s="181">
        <v>27481.55972567806</v>
      </c>
      <c r="H54" s="181">
        <v>48039.336245038066</v>
      </c>
      <c r="I54" s="181">
        <v>54379.36235372346</v>
      </c>
      <c r="J54" s="181">
        <v>76675</v>
      </c>
      <c r="K54" s="181">
        <v>99802</v>
      </c>
      <c r="L54" s="181">
        <v>123785</v>
      </c>
      <c r="M54" s="181">
        <v>148649</v>
      </c>
      <c r="N54" s="181">
        <v>174422</v>
      </c>
    </row>
    <row r="55" spans="1:23" x14ac:dyDescent="0.25">
      <c r="A55" s="179" t="s">
        <v>9</v>
      </c>
      <c r="B55" s="179"/>
      <c r="C55" s="179"/>
      <c r="D55" s="183">
        <f>(SUM(D31:D32)/365)*D18</f>
        <v>68252.054794520547</v>
      </c>
      <c r="E55" s="183">
        <f t="shared" ref="E55:N55" si="31">(SUM(E31:E32)/365)*E18</f>
        <v>70313.26684931507</v>
      </c>
      <c r="F55" s="183">
        <f t="shared" si="31"/>
        <v>72436.727508164389</v>
      </c>
      <c r="G55" s="183">
        <f t="shared" si="31"/>
        <v>74624.316678910953</v>
      </c>
      <c r="H55" s="183">
        <f t="shared" si="31"/>
        <v>76877.971042614081</v>
      </c>
      <c r="I55" s="183">
        <f t="shared" si="31"/>
        <v>79199.685768101015</v>
      </c>
      <c r="J55" s="183">
        <f t="shared" si="31"/>
        <v>81591.516278297669</v>
      </c>
      <c r="K55" s="183">
        <f t="shared" si="31"/>
        <v>84055.580069902266</v>
      </c>
      <c r="L55" s="183">
        <f t="shared" si="31"/>
        <v>86594.058588013315</v>
      </c>
      <c r="M55" s="183">
        <f t="shared" si="31"/>
        <v>89209.199157371317</v>
      </c>
      <c r="N55" s="183">
        <f t="shared" si="31"/>
        <v>91903.316971923938</v>
      </c>
    </row>
    <row r="56" spans="1:23" x14ac:dyDescent="0.25">
      <c r="A56" s="179" t="s">
        <v>28</v>
      </c>
      <c r="B56" s="179"/>
      <c r="C56" s="179"/>
      <c r="D56" s="184">
        <f>(SUM(D35:D36)/365)*D19+(D37/365)*D20</f>
        <v>55206.92141312184</v>
      </c>
      <c r="E56" s="184">
        <f>(SUM(E35:E36)/365)*E19+(E37/365)*E20</f>
        <v>54759.691995962516</v>
      </c>
      <c r="F56" s="184">
        <f t="shared" ref="F56:N56" si="32">(SUM(F35:F36)/365)*F19+(F37/365)*F20</f>
        <v>56962.142905114932</v>
      </c>
      <c r="G56" s="184">
        <f t="shared" si="32"/>
        <v>59253.331611680595</v>
      </c>
      <c r="H56" s="184">
        <f t="shared" si="32"/>
        <v>61636.838104677168</v>
      </c>
      <c r="I56" s="184">
        <f t="shared" si="32"/>
        <v>64116.386944946113</v>
      </c>
      <c r="J56" s="184">
        <f t="shared" si="32"/>
        <v>66695.853107768911</v>
      </c>
      <c r="K56" s="184">
        <f t="shared" si="32"/>
        <v>69379.268061733455</v>
      </c>
      <c r="L56" s="184">
        <f t="shared" si="32"/>
        <v>72170.826093407552</v>
      </c>
      <c r="M56" s="184">
        <f t="shared" si="32"/>
        <v>75074.890887763002</v>
      </c>
      <c r="N56" s="184">
        <f t="shared" si="32"/>
        <v>78096.002374696196</v>
      </c>
    </row>
    <row r="57" spans="1:23" x14ac:dyDescent="0.25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P57" s="52" t="s">
        <v>48</v>
      </c>
      <c r="R57" s="26" t="s">
        <v>98</v>
      </c>
      <c r="S57" s="43">
        <v>0.99</v>
      </c>
      <c r="T57" s="27"/>
      <c r="U57" s="27" t="s">
        <v>92</v>
      </c>
      <c r="V57" s="27"/>
      <c r="W57" s="28"/>
    </row>
    <row r="58" spans="1:23" x14ac:dyDescent="0.25">
      <c r="A58" s="179" t="s">
        <v>24</v>
      </c>
      <c r="B58" s="179"/>
      <c r="C58" s="179"/>
      <c r="D58" s="183">
        <f>D15</f>
        <v>15000</v>
      </c>
      <c r="E58" s="183">
        <f>D58</f>
        <v>15000</v>
      </c>
      <c r="F58" s="183">
        <f t="shared" ref="F58:N58" si="33">E58</f>
        <v>15000</v>
      </c>
      <c r="G58" s="183">
        <f t="shared" si="33"/>
        <v>15000</v>
      </c>
      <c r="H58" s="183">
        <f t="shared" si="33"/>
        <v>15000</v>
      </c>
      <c r="I58" s="183">
        <f t="shared" si="33"/>
        <v>15000</v>
      </c>
      <c r="J58" s="183">
        <f t="shared" si="33"/>
        <v>15000</v>
      </c>
      <c r="K58" s="183">
        <f t="shared" si="33"/>
        <v>15000</v>
      </c>
      <c r="L58" s="183">
        <f t="shared" si="33"/>
        <v>15000</v>
      </c>
      <c r="M58" s="183">
        <f t="shared" si="33"/>
        <v>15000</v>
      </c>
      <c r="N58" s="183">
        <f t="shared" si="33"/>
        <v>15000</v>
      </c>
      <c r="P58" s="54">
        <v>30</v>
      </c>
      <c r="R58" s="29" t="s">
        <v>99</v>
      </c>
      <c r="S58" s="30">
        <f>S68+S69</f>
        <v>0.41735948730222294</v>
      </c>
      <c r="T58" s="31"/>
      <c r="U58" s="40">
        <f>O48</f>
        <v>0.3</v>
      </c>
      <c r="V58" s="31"/>
      <c r="W58" s="32"/>
    </row>
    <row r="59" spans="1:23" x14ac:dyDescent="0.25">
      <c r="A59" s="179" t="s">
        <v>10</v>
      </c>
      <c r="B59" s="179"/>
      <c r="C59" s="179"/>
      <c r="D59" s="181">
        <f>D14</f>
        <v>150000</v>
      </c>
      <c r="E59" s="181">
        <f t="shared" ref="E59:M59" si="34">E14</f>
        <v>150000</v>
      </c>
      <c r="F59" s="181">
        <f t="shared" si="34"/>
        <v>150000</v>
      </c>
      <c r="G59" s="181">
        <f t="shared" si="34"/>
        <v>150000</v>
      </c>
      <c r="H59" s="181">
        <f t="shared" si="34"/>
        <v>150000</v>
      </c>
      <c r="I59" s="181">
        <f t="shared" si="34"/>
        <v>165000</v>
      </c>
      <c r="J59" s="181">
        <f t="shared" si="34"/>
        <v>165000</v>
      </c>
      <c r="K59" s="181">
        <f t="shared" si="34"/>
        <v>165000</v>
      </c>
      <c r="L59" s="181">
        <f t="shared" si="34"/>
        <v>165000</v>
      </c>
      <c r="M59" s="181">
        <f t="shared" si="34"/>
        <v>165000</v>
      </c>
      <c r="N59" s="181">
        <f>N14</f>
        <v>165000</v>
      </c>
      <c r="P59" s="52" t="s">
        <v>135</v>
      </c>
      <c r="R59" s="29" t="s">
        <v>100</v>
      </c>
      <c r="S59" s="30">
        <f>S71</f>
        <v>0.58264051269777706</v>
      </c>
      <c r="T59" s="31"/>
      <c r="U59" s="31"/>
      <c r="V59" s="31"/>
      <c r="W59" s="32"/>
    </row>
    <row r="60" spans="1:23" x14ac:dyDescent="0.25">
      <c r="A60" s="179" t="s">
        <v>11</v>
      </c>
      <c r="B60" s="179"/>
      <c r="C60" s="179"/>
      <c r="D60" s="181">
        <f>C60+D43</f>
        <v>5000</v>
      </c>
      <c r="E60" s="181">
        <f>D60+E43</f>
        <v>10000</v>
      </c>
      <c r="F60" s="181">
        <f t="shared" ref="F60:N60" si="35">E60+F43</f>
        <v>15000</v>
      </c>
      <c r="G60" s="181">
        <f t="shared" si="35"/>
        <v>20000</v>
      </c>
      <c r="H60" s="181">
        <f t="shared" si="35"/>
        <v>25000</v>
      </c>
      <c r="I60" s="181">
        <f t="shared" si="35"/>
        <v>30500</v>
      </c>
      <c r="J60" s="181">
        <f t="shared" si="35"/>
        <v>36000</v>
      </c>
      <c r="K60" s="181">
        <f t="shared" si="35"/>
        <v>41500</v>
      </c>
      <c r="L60" s="181">
        <f t="shared" si="35"/>
        <v>47000</v>
      </c>
      <c r="M60" s="181">
        <f t="shared" si="35"/>
        <v>52500</v>
      </c>
      <c r="N60" s="181">
        <f t="shared" si="35"/>
        <v>58000</v>
      </c>
      <c r="P60" s="53">
        <f>G59/P58</f>
        <v>5000</v>
      </c>
      <c r="R60" s="29" t="s">
        <v>95</v>
      </c>
      <c r="S60" s="33">
        <f>S57*(1+(1-U58)/(S58/S59))</f>
        <v>1.9574390725115522</v>
      </c>
      <c r="T60" s="31"/>
      <c r="U60" s="31"/>
      <c r="V60" s="31"/>
      <c r="W60" s="32"/>
    </row>
    <row r="61" spans="1:23" x14ac:dyDescent="0.25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R61" s="29"/>
      <c r="S61" s="31"/>
      <c r="T61" s="31"/>
      <c r="U61" s="31"/>
      <c r="V61" s="31"/>
      <c r="W61" s="32"/>
    </row>
    <row r="62" spans="1:23" x14ac:dyDescent="0.25">
      <c r="A62" s="178" t="s">
        <v>12</v>
      </c>
      <c r="B62" s="179"/>
      <c r="C62" s="179"/>
      <c r="D62" s="185">
        <f>SUM(D53:D59)-D60</f>
        <v>284458.97620764235</v>
      </c>
      <c r="E62" s="185">
        <f>SUM(E53:E59)-E60</f>
        <v>281072.95884527755</v>
      </c>
      <c r="F62" s="185">
        <f t="shared" ref="F62:N62" si="36">SUM(F53:F59)-F60</f>
        <v>288081.74685168063</v>
      </c>
      <c r="G62" s="185">
        <f t="shared" si="36"/>
        <v>307359.20801626961</v>
      </c>
      <c r="H62" s="185">
        <f t="shared" si="36"/>
        <v>327554.14539232932</v>
      </c>
      <c r="I62" s="185">
        <f t="shared" si="36"/>
        <v>348195.43506677059</v>
      </c>
      <c r="J62" s="185">
        <f t="shared" si="36"/>
        <v>369962.36938606657</v>
      </c>
      <c r="K62" s="185">
        <f t="shared" si="36"/>
        <v>392736.84813163569</v>
      </c>
      <c r="L62" s="185">
        <f t="shared" si="36"/>
        <v>416549.88468142087</v>
      </c>
      <c r="M62" s="185">
        <f t="shared" si="36"/>
        <v>441433.0900451343</v>
      </c>
      <c r="N62" s="185">
        <f t="shared" si="36"/>
        <v>467421.31934662012</v>
      </c>
      <c r="R62" s="29" t="s">
        <v>101</v>
      </c>
      <c r="S62" s="42">
        <v>0.02</v>
      </c>
      <c r="T62" s="31"/>
      <c r="U62" s="31"/>
      <c r="V62" s="31"/>
      <c r="W62" s="32"/>
    </row>
    <row r="63" spans="1:23" x14ac:dyDescent="0.25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R63" s="29" t="s">
        <v>96</v>
      </c>
      <c r="S63" s="42">
        <v>0.06</v>
      </c>
      <c r="T63" s="31"/>
      <c r="U63" s="31"/>
      <c r="V63" s="31"/>
      <c r="W63" s="32"/>
    </row>
    <row r="64" spans="1:23" x14ac:dyDescent="0.25">
      <c r="A64" s="178" t="s">
        <v>13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R64" s="29"/>
      <c r="S64" s="31"/>
      <c r="T64" s="31"/>
      <c r="U64" s="31"/>
      <c r="V64" s="31"/>
      <c r="W64" s="32"/>
    </row>
    <row r="65" spans="1:23" x14ac:dyDescent="0.25">
      <c r="A65" s="186" t="s">
        <v>29</v>
      </c>
      <c r="B65" s="179"/>
      <c r="C65" s="179"/>
      <c r="D65" s="183">
        <f>(SUM(D35:D37)/365)*D21</f>
        <v>30147.080028839224</v>
      </c>
      <c r="E65" s="183">
        <f t="shared" ref="E65:N65" si="37">(SUM(E35:E37)/365)*E21</f>
        <v>29736.60787310743</v>
      </c>
      <c r="F65" s="183">
        <f t="shared" si="37"/>
        <v>30634.653430875274</v>
      </c>
      <c r="G65" s="183">
        <f t="shared" si="37"/>
        <v>31559.819964487706</v>
      </c>
      <c r="H65" s="183">
        <f t="shared" si="37"/>
        <v>32512.926527415242</v>
      </c>
      <c r="I65" s="183">
        <f t="shared" si="37"/>
        <v>33494.81690854318</v>
      </c>
      <c r="J65" s="183">
        <f t="shared" si="37"/>
        <v>34506.360379181177</v>
      </c>
      <c r="K65" s="183">
        <f t="shared" si="37"/>
        <v>35548.452462632456</v>
      </c>
      <c r="L65" s="183">
        <f t="shared" si="37"/>
        <v>36622.015727003956</v>
      </c>
      <c r="M65" s="183">
        <f t="shared" si="37"/>
        <v>37728.00060195948</v>
      </c>
      <c r="N65" s="183">
        <f t="shared" si="37"/>
        <v>38867.386220138651</v>
      </c>
      <c r="R65" s="29" t="s">
        <v>97</v>
      </c>
      <c r="S65" s="34">
        <f>S62+S60*(S63-S62)</f>
        <v>9.8297562900462085E-2</v>
      </c>
      <c r="T65" s="31"/>
      <c r="U65" s="31"/>
      <c r="V65" s="31"/>
      <c r="W65" s="32"/>
    </row>
    <row r="66" spans="1:23" x14ac:dyDescent="0.25">
      <c r="A66" s="179" t="s">
        <v>14</v>
      </c>
      <c r="B66" s="179"/>
      <c r="C66" s="179"/>
      <c r="D66" s="181">
        <f>D48</f>
        <v>4959.0516448519629</v>
      </c>
      <c r="E66" s="181">
        <f t="shared" ref="E66:N66" si="38">E48</f>
        <v>7738.7853008634665</v>
      </c>
      <c r="F66" s="181">
        <f t="shared" si="38"/>
        <v>8388.7644168312127</v>
      </c>
      <c r="G66" s="181">
        <f t="shared" si="38"/>
        <v>8797.1980723069282</v>
      </c>
      <c r="H66" s="181">
        <f t="shared" si="38"/>
        <v>9218.962983173682</v>
      </c>
      <c r="I66" s="181">
        <f t="shared" si="38"/>
        <v>9504.4895214614044</v>
      </c>
      <c r="J66" s="181">
        <f t="shared" si="38"/>
        <v>9954.2219392193856</v>
      </c>
      <c r="K66" s="181">
        <f t="shared" si="38"/>
        <v>10418.618819028095</v>
      </c>
      <c r="L66" s="181">
        <f t="shared" si="38"/>
        <v>10898.153539314482</v>
      </c>
      <c r="M66" s="181">
        <f t="shared" si="38"/>
        <v>11393.314754966012</v>
      </c>
      <c r="N66" s="181">
        <f t="shared" si="38"/>
        <v>11904.606893755006</v>
      </c>
      <c r="R66" s="29"/>
      <c r="S66" s="31"/>
      <c r="T66" s="31"/>
      <c r="U66" s="31"/>
      <c r="V66" s="31"/>
      <c r="W66" s="32"/>
    </row>
    <row r="67" spans="1:23" x14ac:dyDescent="0.25">
      <c r="A67" s="179"/>
      <c r="B67" s="179"/>
      <c r="C67" s="179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R67" s="29" t="s">
        <v>102</v>
      </c>
      <c r="S67" s="31" t="s">
        <v>93</v>
      </c>
      <c r="T67" s="31" t="s">
        <v>36</v>
      </c>
      <c r="U67" s="31" t="s">
        <v>103</v>
      </c>
      <c r="V67" s="31" t="s">
        <v>94</v>
      </c>
      <c r="W67" s="32"/>
    </row>
    <row r="68" spans="1:23" x14ac:dyDescent="0.25">
      <c r="A68" s="179" t="s">
        <v>26</v>
      </c>
      <c r="B68" s="179"/>
      <c r="C68" s="179"/>
      <c r="D68" s="181">
        <f>'Original Mortgage'!F13</f>
        <v>129715.52597109055</v>
      </c>
      <c r="E68" s="181">
        <f>'Original Mortgage'!F27</f>
        <v>127335.60821450464</v>
      </c>
      <c r="F68" s="181">
        <f>'Original Mortgage'!F41</f>
        <v>124856.25915803196</v>
      </c>
      <c r="G68" s="181">
        <f>'Original Mortgage'!F55</f>
        <v>122273.32463148328</v>
      </c>
      <c r="H68" s="181">
        <f>'Original Mortgage'!F69</f>
        <v>119582.47690634348</v>
      </c>
      <c r="I68" s="181">
        <f>'Original Mortgage'!F83</f>
        <v>116779.20744462576</v>
      </c>
      <c r="J68" s="181">
        <f>'Original Mortgage'!F97</f>
        <v>113858.8193447786</v>
      </c>
      <c r="K68" s="181">
        <f>'Original Mortgage'!F111</f>
        <v>110816.41947198758</v>
      </c>
      <c r="L68" s="181">
        <f>'Original Mortgage'!F125</f>
        <v>107646.91025968693</v>
      </c>
      <c r="M68" s="181">
        <f>'Original Mortgage'!F139</f>
        <v>104344.98116854383</v>
      </c>
      <c r="N68" s="181">
        <f>'Original Mortgage'!F153</f>
        <v>100905.09978860518</v>
      </c>
      <c r="O68" s="23">
        <f>AVERAGE(D68:N68)</f>
        <v>116192.23930542562</v>
      </c>
      <c r="R68" s="35">
        <f>AVERAGE(D68:N68)</f>
        <v>116192.23930542562</v>
      </c>
      <c r="S68" s="34">
        <f>R68/R73</f>
        <v>0.35003011746554957</v>
      </c>
      <c r="T68" s="41">
        <v>4.1000000000000002E-2</v>
      </c>
      <c r="U68" s="34">
        <f>T68*(1-U58)</f>
        <v>2.87E-2</v>
      </c>
      <c r="V68" s="34">
        <f>S68*U68</f>
        <v>1.0045864371261273E-2</v>
      </c>
      <c r="W68" s="32"/>
    </row>
    <row r="69" spans="1:23" x14ac:dyDescent="0.25">
      <c r="A69" s="179" t="s">
        <v>25</v>
      </c>
      <c r="B69" s="179"/>
      <c r="C69" s="179"/>
      <c r="D69" s="181">
        <v>33066.198058206028</v>
      </c>
      <c r="E69" s="181">
        <v>11633.671250132673</v>
      </c>
      <c r="F69" s="181"/>
      <c r="G69" s="181"/>
      <c r="H69" s="181"/>
      <c r="I69" s="181"/>
      <c r="J69" s="181"/>
      <c r="K69" s="181"/>
      <c r="L69" s="181"/>
      <c r="M69" s="181"/>
      <c r="N69" s="181"/>
      <c r="O69" s="23">
        <f>AVERAGE(D69:N69)</f>
        <v>22349.934654169352</v>
      </c>
      <c r="R69" s="35">
        <f>AVERAGE(D69:N69)</f>
        <v>22349.934654169352</v>
      </c>
      <c r="S69" s="34">
        <f>R69/R73</f>
        <v>6.7329369836673342E-2</v>
      </c>
      <c r="T69" s="41">
        <v>0.1</v>
      </c>
      <c r="U69" s="34">
        <f>T69*(1-U58)</f>
        <v>6.9999999999999993E-2</v>
      </c>
      <c r="V69" s="34">
        <f>S69*U69</f>
        <v>4.7130558885671338E-3</v>
      </c>
      <c r="W69" s="32"/>
    </row>
    <row r="70" spans="1:23" x14ac:dyDescent="0.25">
      <c r="A70" s="179"/>
      <c r="B70" s="179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23">
        <f>SUM(O68:O69)</f>
        <v>138542.17395959498</v>
      </c>
      <c r="R70" s="35"/>
      <c r="S70" s="34"/>
      <c r="T70" s="34"/>
      <c r="U70" s="34"/>
      <c r="V70" s="34"/>
      <c r="W70" s="32"/>
    </row>
    <row r="71" spans="1:23" x14ac:dyDescent="0.25">
      <c r="A71" s="179" t="s">
        <v>27</v>
      </c>
      <c r="B71" s="179"/>
      <c r="C71" s="179"/>
      <c r="D71" s="181">
        <f>F23</f>
        <v>75000</v>
      </c>
      <c r="E71" s="181">
        <f>D71</f>
        <v>75000</v>
      </c>
      <c r="F71" s="181">
        <f t="shared" ref="F71:N71" si="39">E71</f>
        <v>75000</v>
      </c>
      <c r="G71" s="181">
        <f t="shared" si="39"/>
        <v>75000</v>
      </c>
      <c r="H71" s="181">
        <f t="shared" si="39"/>
        <v>75000</v>
      </c>
      <c r="I71" s="181">
        <f t="shared" si="39"/>
        <v>75000</v>
      </c>
      <c r="J71" s="181">
        <f t="shared" si="39"/>
        <v>75000</v>
      </c>
      <c r="K71" s="181">
        <f t="shared" si="39"/>
        <v>75000</v>
      </c>
      <c r="L71" s="181">
        <f t="shared" si="39"/>
        <v>75000</v>
      </c>
      <c r="M71" s="181">
        <f t="shared" si="39"/>
        <v>75000</v>
      </c>
      <c r="N71" s="181">
        <f t="shared" si="39"/>
        <v>75000</v>
      </c>
      <c r="O71" s="23">
        <f t="shared" ref="O71:O72" si="40">AVERAGE(D71:N71)</f>
        <v>75000</v>
      </c>
      <c r="R71" s="35">
        <f>AVERAGE(D71:N71)</f>
        <v>75000</v>
      </c>
      <c r="S71" s="34">
        <f>SUM(R71:R72)/R73</f>
        <v>0.58264051269777706</v>
      </c>
      <c r="T71" s="34">
        <f>S65</f>
        <v>9.8297562900462085E-2</v>
      </c>
      <c r="U71" s="34">
        <f>T71</f>
        <v>9.8297562900462085E-2</v>
      </c>
      <c r="V71" s="34">
        <f>S71*U71</f>
        <v>5.7272142445267217E-2</v>
      </c>
      <c r="W71" s="32"/>
    </row>
    <row r="72" spans="1:23" x14ac:dyDescent="0.25">
      <c r="A72" s="179" t="s">
        <v>15</v>
      </c>
      <c r="B72" s="179"/>
      <c r="C72" s="181"/>
      <c r="D72" s="181">
        <f>D49+C72</f>
        <v>11571.12050465458</v>
      </c>
      <c r="E72" s="181">
        <f t="shared" ref="E72:N72" si="41">E49+D72</f>
        <v>29628.286206669338</v>
      </c>
      <c r="F72" s="181">
        <f t="shared" si="41"/>
        <v>49202.069845942169</v>
      </c>
      <c r="G72" s="181">
        <f t="shared" si="41"/>
        <v>69728.865347991668</v>
      </c>
      <c r="H72" s="181">
        <f t="shared" si="41"/>
        <v>91239.778975396926</v>
      </c>
      <c r="I72" s="181">
        <f t="shared" si="41"/>
        <v>113416.9211921402</v>
      </c>
      <c r="J72" s="181">
        <f t="shared" si="41"/>
        <v>136643.43905031876</v>
      </c>
      <c r="K72" s="181">
        <f t="shared" si="41"/>
        <v>160953.549628051</v>
      </c>
      <c r="L72" s="181">
        <f t="shared" si="41"/>
        <v>186382.57455311812</v>
      </c>
      <c r="M72" s="181">
        <f t="shared" si="41"/>
        <v>212966.97564803882</v>
      </c>
      <c r="N72" s="181">
        <f t="shared" si="41"/>
        <v>240744.39173346717</v>
      </c>
      <c r="O72" s="23">
        <f t="shared" si="40"/>
        <v>118407.08842598079</v>
      </c>
      <c r="R72" s="35">
        <f>AVERAGE(D72:N72)</f>
        <v>118407.08842598079</v>
      </c>
      <c r="S72" s="34"/>
      <c r="T72" s="34"/>
      <c r="U72" s="34"/>
      <c r="V72" s="34"/>
      <c r="W72" s="32"/>
    </row>
    <row r="73" spans="1:23" x14ac:dyDescent="0.25">
      <c r="A73" s="179"/>
      <c r="B73" s="179"/>
      <c r="C73" s="17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23">
        <f>SUM(O71:O72)</f>
        <v>193407.08842598079</v>
      </c>
      <c r="R73" s="36">
        <f>SUM(R68:R72)</f>
        <v>331949.2623855758</v>
      </c>
      <c r="S73" s="37">
        <f>SUM(S68:S72)</f>
        <v>1</v>
      </c>
      <c r="T73" s="37"/>
      <c r="U73" s="37"/>
      <c r="V73" s="38">
        <f>SUM(V68:V72)</f>
        <v>7.2031062705095628E-2</v>
      </c>
      <c r="W73" s="39" t="s">
        <v>104</v>
      </c>
    </row>
    <row r="74" spans="1:23" x14ac:dyDescent="0.25">
      <c r="A74" s="178" t="s">
        <v>16</v>
      </c>
      <c r="B74" s="179"/>
      <c r="C74" s="179"/>
      <c r="D74" s="181">
        <f>SUM(D65:D72)</f>
        <v>284458.97620764235</v>
      </c>
      <c r="E74" s="181">
        <f t="shared" ref="E74:N74" si="42">SUM(E65:E72)</f>
        <v>281072.95884527755</v>
      </c>
      <c r="F74" s="181">
        <f t="shared" si="42"/>
        <v>288081.74685168057</v>
      </c>
      <c r="G74" s="181">
        <f t="shared" si="42"/>
        <v>307359.20801626961</v>
      </c>
      <c r="H74" s="181">
        <f t="shared" si="42"/>
        <v>327554.14539232932</v>
      </c>
      <c r="I74" s="181">
        <f t="shared" si="42"/>
        <v>348195.43506677053</v>
      </c>
      <c r="J74" s="181">
        <f t="shared" si="42"/>
        <v>369962.84071349795</v>
      </c>
      <c r="K74" s="181">
        <f t="shared" si="42"/>
        <v>392737.0403816991</v>
      </c>
      <c r="L74" s="181">
        <f t="shared" si="42"/>
        <v>416549.65407912352</v>
      </c>
      <c r="M74" s="181">
        <f t="shared" si="42"/>
        <v>441433.27217350819</v>
      </c>
      <c r="N74" s="181">
        <f t="shared" si="42"/>
        <v>467421.48463596602</v>
      </c>
    </row>
    <row r="75" spans="1:23" x14ac:dyDescent="0.25">
      <c r="A75" s="178"/>
      <c r="B75" s="179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23"/>
    </row>
    <row r="76" spans="1:23" x14ac:dyDescent="0.25">
      <c r="A76" s="178" t="s">
        <v>49</v>
      </c>
      <c r="B76" s="179"/>
      <c r="C76" s="179"/>
      <c r="D76" s="181">
        <f>D62-D74</f>
        <v>0</v>
      </c>
      <c r="E76" s="181">
        <f t="shared" ref="E76:N76" si="43">E62-E74</f>
        <v>0</v>
      </c>
      <c r="F76" s="181">
        <f t="shared" si="43"/>
        <v>0</v>
      </c>
      <c r="G76" s="181">
        <f t="shared" si="43"/>
        <v>0</v>
      </c>
      <c r="H76" s="181">
        <f t="shared" si="43"/>
        <v>0</v>
      </c>
      <c r="I76" s="181">
        <f t="shared" si="43"/>
        <v>0</v>
      </c>
      <c r="J76" s="181">
        <f t="shared" si="43"/>
        <v>-0.47132743138354272</v>
      </c>
      <c r="K76" s="181">
        <f t="shared" si="43"/>
        <v>-0.19225006341002882</v>
      </c>
      <c r="L76" s="181">
        <f t="shared" si="43"/>
        <v>0.23060229734983295</v>
      </c>
      <c r="M76" s="181">
        <f t="shared" si="43"/>
        <v>-0.18212837388273329</v>
      </c>
      <c r="N76" s="181">
        <f t="shared" si="43"/>
        <v>-0.16528934589587152</v>
      </c>
    </row>
    <row r="77" spans="1:23" s="173" customFormat="1" x14ac:dyDescent="0.25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</row>
    <row r="79" spans="1:23" x14ac:dyDescent="0.25">
      <c r="A79" s="9" t="s">
        <v>105</v>
      </c>
      <c r="B79"/>
      <c r="C79"/>
      <c r="D79" s="12"/>
      <c r="E79"/>
      <c r="F79"/>
      <c r="G79"/>
      <c r="H79"/>
      <c r="I79"/>
      <c r="O79"/>
      <c r="P79"/>
    </row>
    <row r="80" spans="1:23" x14ac:dyDescent="0.25">
      <c r="A80" t="s">
        <v>106</v>
      </c>
      <c r="B80"/>
      <c r="C80"/>
      <c r="D80" s="12"/>
      <c r="E80"/>
      <c r="F80"/>
      <c r="G80"/>
      <c r="H80"/>
      <c r="I80"/>
      <c r="O80"/>
      <c r="P80"/>
    </row>
    <row r="81" spans="1:24" x14ac:dyDescent="0.25">
      <c r="A81"/>
      <c r="B81" t="s">
        <v>107</v>
      </c>
      <c r="C81"/>
      <c r="D81" s="44">
        <f>SUM(D31:D33)-SUM(D35:D41)</f>
        <v>30536.842105263146</v>
      </c>
      <c r="E81" s="44">
        <f t="shared" ref="E81:M81" si="44">SUM(E31:E33)-SUM(E35:E41)</f>
        <v>36918.094736842118</v>
      </c>
      <c r="F81" s="44">
        <f t="shared" si="44"/>
        <v>38137.061197894771</v>
      </c>
      <c r="G81" s="44">
        <f t="shared" si="44"/>
        <v>39394.921246071171</v>
      </c>
      <c r="H81" s="44">
        <f t="shared" si="44"/>
        <v>40692.891083702532</v>
      </c>
      <c r="I81" s="44">
        <f t="shared" si="44"/>
        <v>42032.224474750372</v>
      </c>
      <c r="J81" s="44">
        <f t="shared" si="44"/>
        <v>43414.213895814202</v>
      </c>
      <c r="K81" s="44">
        <f t="shared" si="44"/>
        <v>44840.191722232703</v>
      </c>
      <c r="L81" s="44">
        <f t="shared" si="44"/>
        <v>46311.531450344366</v>
      </c>
      <c r="M81" s="44">
        <f t="shared" si="44"/>
        <v>47829.648957007012</v>
      </c>
      <c r="N81" s="44">
        <f>SUM(N31:N33)-SUM(N35:N41)</f>
        <v>49396.003797508078</v>
      </c>
      <c r="O81"/>
      <c r="P81"/>
    </row>
    <row r="82" spans="1:24" x14ac:dyDescent="0.25">
      <c r="A82"/>
      <c r="B82" t="s">
        <v>108</v>
      </c>
      <c r="C82"/>
      <c r="D82" s="44">
        <f>D43</f>
        <v>5000</v>
      </c>
      <c r="E82" s="44">
        <f t="shared" ref="E82:M82" si="45">E43</f>
        <v>5000</v>
      </c>
      <c r="F82" s="44">
        <f t="shared" si="45"/>
        <v>5000</v>
      </c>
      <c r="G82" s="44">
        <f t="shared" si="45"/>
        <v>5000</v>
      </c>
      <c r="H82" s="44">
        <f t="shared" si="45"/>
        <v>5000</v>
      </c>
      <c r="I82" s="44">
        <f t="shared" si="45"/>
        <v>5500</v>
      </c>
      <c r="J82" s="44">
        <f t="shared" si="45"/>
        <v>5500</v>
      </c>
      <c r="K82" s="44">
        <f t="shared" si="45"/>
        <v>5500</v>
      </c>
      <c r="L82" s="44">
        <f t="shared" si="45"/>
        <v>5500</v>
      </c>
      <c r="M82" s="44">
        <f t="shared" si="45"/>
        <v>5500</v>
      </c>
      <c r="N82" s="44">
        <f>N43</f>
        <v>5500</v>
      </c>
      <c r="O82"/>
      <c r="P82"/>
      <c r="Q82" s="24"/>
      <c r="R82" s="24"/>
      <c r="S82" s="24"/>
      <c r="T82" s="24"/>
      <c r="U82" s="24"/>
      <c r="V82" s="24"/>
      <c r="W82" s="24"/>
      <c r="X82" s="24"/>
    </row>
    <row r="83" spans="1:24" x14ac:dyDescent="0.25">
      <c r="A83"/>
      <c r="B83" t="s">
        <v>109</v>
      </c>
      <c r="C83"/>
      <c r="D83" s="44">
        <f>D81-D82</f>
        <v>25536.842105263146</v>
      </c>
      <c r="E83" s="44">
        <f t="shared" ref="E83:M83" si="46">E81-E82</f>
        <v>31918.094736842118</v>
      </c>
      <c r="F83" s="44">
        <f t="shared" si="46"/>
        <v>33137.061197894771</v>
      </c>
      <c r="G83" s="44">
        <f t="shared" si="46"/>
        <v>34394.921246071171</v>
      </c>
      <c r="H83" s="44">
        <f t="shared" si="46"/>
        <v>35692.891083702532</v>
      </c>
      <c r="I83" s="44">
        <f t="shared" si="46"/>
        <v>36532.224474750372</v>
      </c>
      <c r="J83" s="44">
        <f t="shared" si="46"/>
        <v>37914.213895814202</v>
      </c>
      <c r="K83" s="44">
        <f t="shared" si="46"/>
        <v>39340.191722232703</v>
      </c>
      <c r="L83" s="44">
        <f t="shared" si="46"/>
        <v>40811.531450344366</v>
      </c>
      <c r="M83" s="44">
        <f t="shared" si="46"/>
        <v>42329.648957007012</v>
      </c>
      <c r="N83" s="44">
        <f>N81-N82</f>
        <v>43896.003797508078</v>
      </c>
      <c r="O83"/>
      <c r="P83"/>
      <c r="Q83" s="24"/>
      <c r="R83" s="24"/>
      <c r="S83" s="24"/>
      <c r="T83" s="24"/>
      <c r="U83" s="24"/>
      <c r="V83" s="24"/>
      <c r="W83" s="24"/>
      <c r="X83" s="24"/>
    </row>
    <row r="84" spans="1:24" x14ac:dyDescent="0.25">
      <c r="A84"/>
      <c r="B84" t="s">
        <v>110</v>
      </c>
      <c r="C84"/>
      <c r="D84" s="45">
        <f>IF(D83&lt;=0,0,D83*$U$58)</f>
        <v>7661.052631578943</v>
      </c>
      <c r="E84" s="45">
        <f t="shared" ref="E84:N84" si="47">IF(E83&lt;=0,0,E83*$U$58)</f>
        <v>9575.4284210526348</v>
      </c>
      <c r="F84" s="45">
        <f t="shared" si="47"/>
        <v>9941.1183593684309</v>
      </c>
      <c r="G84" s="45">
        <f t="shared" si="47"/>
        <v>10318.476373821351</v>
      </c>
      <c r="H84" s="45">
        <f t="shared" si="47"/>
        <v>10707.867325110759</v>
      </c>
      <c r="I84" s="45">
        <f t="shared" si="47"/>
        <v>10959.667342425111</v>
      </c>
      <c r="J84" s="45">
        <f t="shared" si="47"/>
        <v>11374.264168744261</v>
      </c>
      <c r="K84" s="45">
        <f t="shared" si="47"/>
        <v>11802.057516669811</v>
      </c>
      <c r="L84" s="45">
        <f t="shared" si="47"/>
        <v>12243.45943510331</v>
      </c>
      <c r="M84" s="45">
        <f t="shared" si="47"/>
        <v>12698.894687102103</v>
      </c>
      <c r="N84" s="45">
        <f t="shared" si="47"/>
        <v>13168.801139252422</v>
      </c>
      <c r="O84"/>
      <c r="P84"/>
    </row>
    <row r="85" spans="1:24" x14ac:dyDescent="0.25">
      <c r="A85"/>
      <c r="B85" t="s">
        <v>111</v>
      </c>
      <c r="C85"/>
      <c r="D85" s="48">
        <f>D81-D84</f>
        <v>22875.789473684203</v>
      </c>
      <c r="E85" s="48">
        <f t="shared" ref="E85:M85" si="48">E81-E84</f>
        <v>27342.666315789484</v>
      </c>
      <c r="F85" s="48">
        <f t="shared" si="48"/>
        <v>28195.942838526338</v>
      </c>
      <c r="G85" s="48">
        <f t="shared" si="48"/>
        <v>29076.44487224982</v>
      </c>
      <c r="H85" s="48">
        <f t="shared" si="48"/>
        <v>29985.023758591771</v>
      </c>
      <c r="I85" s="48">
        <f t="shared" si="48"/>
        <v>31072.557132325259</v>
      </c>
      <c r="J85" s="48">
        <f t="shared" si="48"/>
        <v>32039.949727069943</v>
      </c>
      <c r="K85" s="48">
        <f t="shared" si="48"/>
        <v>33038.134205562892</v>
      </c>
      <c r="L85" s="48">
        <f t="shared" si="48"/>
        <v>34068.072015241058</v>
      </c>
      <c r="M85" s="48">
        <f t="shared" si="48"/>
        <v>35130.754269904908</v>
      </c>
      <c r="N85" s="48">
        <f>N81-N84</f>
        <v>36227.202658255657</v>
      </c>
      <c r="O85"/>
      <c r="P85"/>
    </row>
    <row r="86" spans="1:24" x14ac:dyDescent="0.25">
      <c r="A86"/>
      <c r="B86"/>
      <c r="C86"/>
      <c r="D86" s="12"/>
      <c r="E86" s="12"/>
      <c r="F86" s="12"/>
      <c r="G86" s="12"/>
      <c r="H86" s="12"/>
      <c r="I86" s="12"/>
      <c r="J86" s="12"/>
      <c r="K86" s="12"/>
      <c r="L86" s="12"/>
      <c r="M86" s="12"/>
      <c r="O86"/>
      <c r="P86"/>
    </row>
    <row r="87" spans="1:24" x14ac:dyDescent="0.25">
      <c r="A87" t="s">
        <v>112</v>
      </c>
      <c r="B87"/>
      <c r="C87"/>
      <c r="D87" s="12"/>
      <c r="E87" s="12"/>
      <c r="F87" s="12"/>
      <c r="G87" s="12"/>
      <c r="H87" s="12"/>
      <c r="I87" s="12"/>
      <c r="J87" s="12"/>
      <c r="K87" s="12"/>
      <c r="L87" s="12"/>
      <c r="M87" s="12"/>
      <c r="O87"/>
      <c r="P87"/>
    </row>
    <row r="88" spans="1:24" x14ac:dyDescent="0.25">
      <c r="A88" s="50" t="s">
        <v>113</v>
      </c>
      <c r="B88" t="s">
        <v>114</v>
      </c>
      <c r="C88" s="44">
        <f>-(D53-C53)</f>
        <v>-1000</v>
      </c>
      <c r="D88" s="44">
        <f>-(E53-D53)</f>
        <v>0</v>
      </c>
      <c r="E88" s="44">
        <f t="shared" ref="E88:M88" si="49">-(F53-E53)</f>
        <v>0</v>
      </c>
      <c r="F88" s="44">
        <f t="shared" si="49"/>
        <v>0</v>
      </c>
      <c r="G88" s="44">
        <f t="shared" si="49"/>
        <v>0</v>
      </c>
      <c r="H88" s="44">
        <f t="shared" si="49"/>
        <v>0</v>
      </c>
      <c r="I88" s="44">
        <f t="shared" si="49"/>
        <v>0</v>
      </c>
      <c r="J88" s="44">
        <f t="shared" si="49"/>
        <v>0</v>
      </c>
      <c r="K88" s="44">
        <f t="shared" si="49"/>
        <v>0</v>
      </c>
      <c r="L88" s="44">
        <f t="shared" si="49"/>
        <v>0</v>
      </c>
      <c r="M88" s="44">
        <f t="shared" si="49"/>
        <v>0</v>
      </c>
      <c r="N88" s="44">
        <f>(N48)</f>
        <v>11904.606893755006</v>
      </c>
      <c r="O88"/>
      <c r="P88"/>
    </row>
    <row r="89" spans="1:24" x14ac:dyDescent="0.25">
      <c r="A89" s="50" t="s">
        <v>113</v>
      </c>
      <c r="B89" t="s">
        <v>9</v>
      </c>
      <c r="C89" s="44">
        <f>-(D55-C55)</f>
        <v>-68252.054794520547</v>
      </c>
      <c r="D89" s="44">
        <f>-(E55-D55)</f>
        <v>-2061.2120547945233</v>
      </c>
      <c r="E89" s="44">
        <f t="shared" ref="E89:M90" si="50">-(F55-E55)</f>
        <v>-2123.4606588493189</v>
      </c>
      <c r="F89" s="44">
        <f t="shared" si="50"/>
        <v>-2187.5891707465635</v>
      </c>
      <c r="G89" s="44">
        <f t="shared" si="50"/>
        <v>-2253.6543637031282</v>
      </c>
      <c r="H89" s="44">
        <f t="shared" si="50"/>
        <v>-2321.7147254869342</v>
      </c>
      <c r="I89" s="44">
        <f t="shared" si="50"/>
        <v>-2391.8305101966544</v>
      </c>
      <c r="J89" s="44">
        <f t="shared" si="50"/>
        <v>-2464.0637916045962</v>
      </c>
      <c r="K89" s="44">
        <f t="shared" si="50"/>
        <v>-2538.4785181110492</v>
      </c>
      <c r="L89" s="44">
        <f t="shared" si="50"/>
        <v>-2615.1405693580018</v>
      </c>
      <c r="M89" s="44">
        <f t="shared" si="50"/>
        <v>-2694.117814552621</v>
      </c>
      <c r="N89" s="44">
        <f>(N55)</f>
        <v>91903.316971923938</v>
      </c>
      <c r="O89"/>
      <c r="P89"/>
    </row>
    <row r="90" spans="1:24" x14ac:dyDescent="0.25">
      <c r="A90" s="50" t="s">
        <v>113</v>
      </c>
      <c r="B90" t="s">
        <v>115</v>
      </c>
      <c r="C90" s="44">
        <f>-(D56-C56)</f>
        <v>-55206.92141312184</v>
      </c>
      <c r="D90" s="44">
        <f>-(E56-D56)</f>
        <v>447.22941715932393</v>
      </c>
      <c r="E90" s="44">
        <f t="shared" si="50"/>
        <v>-2202.450909152416</v>
      </c>
      <c r="F90" s="44">
        <f t="shared" si="50"/>
        <v>-2291.1887065656629</v>
      </c>
      <c r="G90" s="44">
        <f t="shared" si="50"/>
        <v>-2383.5064929965738</v>
      </c>
      <c r="H90" s="44">
        <f t="shared" si="50"/>
        <v>-2479.5488402689443</v>
      </c>
      <c r="I90" s="44">
        <f t="shared" si="50"/>
        <v>-2579.4661628227987</v>
      </c>
      <c r="J90" s="44">
        <f t="shared" si="50"/>
        <v>-2683.4149539645441</v>
      </c>
      <c r="K90" s="44">
        <f t="shared" si="50"/>
        <v>-2791.5580316740961</v>
      </c>
      <c r="L90" s="44">
        <f t="shared" si="50"/>
        <v>-2904.0647943554504</v>
      </c>
      <c r="M90" s="44">
        <f t="shared" si="50"/>
        <v>-3021.1114869331941</v>
      </c>
      <c r="N90" s="44">
        <f>(N56)</f>
        <v>78096.002374696196</v>
      </c>
      <c r="O90"/>
      <c r="P90"/>
    </row>
    <row r="91" spans="1:24" x14ac:dyDescent="0.25">
      <c r="A91" s="50"/>
      <c r="B91"/>
      <c r="C91"/>
      <c r="D91" s="12"/>
      <c r="E91" s="12"/>
      <c r="F91" s="12"/>
      <c r="G91" s="12"/>
      <c r="H91" s="12"/>
      <c r="I91" s="12"/>
      <c r="J91" s="12"/>
      <c r="K91" s="12"/>
      <c r="L91" s="12"/>
      <c r="M91" s="12"/>
      <c r="O91"/>
      <c r="P91"/>
    </row>
    <row r="92" spans="1:24" x14ac:dyDescent="0.25">
      <c r="A92" s="50" t="s">
        <v>113</v>
      </c>
      <c r="B92" t="s">
        <v>24</v>
      </c>
      <c r="C92" s="44">
        <f>-(D58-C58)</f>
        <v>-15000</v>
      </c>
      <c r="D92" s="44">
        <f>-(E58-D58)</f>
        <v>0</v>
      </c>
      <c r="E92" s="44">
        <f t="shared" ref="E92:M92" si="51">-(F58-E58)</f>
        <v>0</v>
      </c>
      <c r="F92" s="44">
        <f t="shared" si="51"/>
        <v>0</v>
      </c>
      <c r="G92" s="44">
        <f t="shared" si="51"/>
        <v>0</v>
      </c>
      <c r="H92" s="44">
        <f t="shared" si="51"/>
        <v>0</v>
      </c>
      <c r="I92" s="44">
        <f t="shared" si="51"/>
        <v>0</v>
      </c>
      <c r="J92" s="44">
        <f t="shared" si="51"/>
        <v>0</v>
      </c>
      <c r="K92" s="44">
        <f t="shared" si="51"/>
        <v>0</v>
      </c>
      <c r="L92" s="44">
        <f t="shared" si="51"/>
        <v>0</v>
      </c>
      <c r="M92" s="44">
        <f t="shared" si="51"/>
        <v>0</v>
      </c>
      <c r="N92" s="44">
        <f>-(O58-N58)</f>
        <v>15000</v>
      </c>
      <c r="O92" t="s">
        <v>117</v>
      </c>
      <c r="P92" s="47">
        <v>1.05</v>
      </c>
    </row>
    <row r="93" spans="1:24" x14ac:dyDescent="0.25">
      <c r="A93" s="50"/>
      <c r="B93" t="s">
        <v>116</v>
      </c>
      <c r="C9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46">
        <f>(P92-100%)*N92</f>
        <v>750.00000000000068</v>
      </c>
      <c r="O93" t="s">
        <v>119</v>
      </c>
      <c r="P93" s="44">
        <f>N58</f>
        <v>15000</v>
      </c>
    </row>
    <row r="94" spans="1:24" x14ac:dyDescent="0.25">
      <c r="A94" s="50" t="s">
        <v>113</v>
      </c>
      <c r="B94" t="s">
        <v>118</v>
      </c>
      <c r="C9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46">
        <f>-P94*$O$48</f>
        <v>-225</v>
      </c>
      <c r="O94" t="s">
        <v>120</v>
      </c>
      <c r="P94" s="44">
        <f>SUM(N92:N93)-P93</f>
        <v>750</v>
      </c>
    </row>
    <row r="95" spans="1:24" x14ac:dyDescent="0.25">
      <c r="A95" s="50"/>
      <c r="B95"/>
      <c r="C95"/>
      <c r="D95" s="12"/>
      <c r="E95" s="12"/>
      <c r="F95" s="12"/>
      <c r="G95" s="12"/>
      <c r="H95" s="12"/>
      <c r="I95" s="12"/>
      <c r="J95" s="12"/>
      <c r="K95" s="12"/>
      <c r="L95" s="12"/>
      <c r="M95" s="12"/>
      <c r="Q95" s="25"/>
      <c r="R95" s="25"/>
      <c r="S95" s="25"/>
      <c r="T95" s="25"/>
      <c r="U95" s="25"/>
      <c r="V95" s="25"/>
      <c r="W95" s="25"/>
      <c r="X95" s="25"/>
    </row>
    <row r="96" spans="1:24" x14ac:dyDescent="0.25">
      <c r="A96" s="50" t="s">
        <v>113</v>
      </c>
      <c r="B96" t="s">
        <v>10</v>
      </c>
      <c r="C96" s="44">
        <f>-(D59-C59)</f>
        <v>-150000</v>
      </c>
      <c r="D96" s="44">
        <f>-(E59-D59)</f>
        <v>0</v>
      </c>
      <c r="E96" s="44">
        <f t="shared" ref="E96:M96" si="52">-(F59-E59)</f>
        <v>0</v>
      </c>
      <c r="F96" s="44">
        <f t="shared" si="52"/>
        <v>0</v>
      </c>
      <c r="G96" s="44">
        <f t="shared" si="52"/>
        <v>0</v>
      </c>
      <c r="H96" s="44">
        <f t="shared" si="52"/>
        <v>-15000</v>
      </c>
      <c r="I96" s="44">
        <f t="shared" si="52"/>
        <v>0</v>
      </c>
      <c r="J96" s="44">
        <f t="shared" si="52"/>
        <v>0</v>
      </c>
      <c r="K96" s="44">
        <f t="shared" si="52"/>
        <v>0</v>
      </c>
      <c r="L96" s="44">
        <f t="shared" si="52"/>
        <v>0</v>
      </c>
      <c r="M96" s="44">
        <f t="shared" si="52"/>
        <v>0</v>
      </c>
      <c r="N96" s="44">
        <f>-(O59-N59)</f>
        <v>165000</v>
      </c>
      <c r="O96" t="s">
        <v>117</v>
      </c>
      <c r="P96" s="47">
        <v>0.8</v>
      </c>
    </row>
    <row r="97" spans="1:16" x14ac:dyDescent="0.25">
      <c r="A97" s="50"/>
      <c r="B97" t="s">
        <v>116</v>
      </c>
      <c r="C9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46">
        <f>(P96-100%)*N96</f>
        <v>-32999.999999999993</v>
      </c>
      <c r="O97" t="s">
        <v>119</v>
      </c>
      <c r="P97" s="44">
        <f>I56-I57</f>
        <v>64116.386944946113</v>
      </c>
    </row>
    <row r="98" spans="1:16" x14ac:dyDescent="0.25">
      <c r="A98" s="50" t="s">
        <v>113</v>
      </c>
      <c r="B98" t="s">
        <v>118</v>
      </c>
      <c r="C98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46">
        <f>-P98*$O$48</f>
        <v>-20365.083916516167</v>
      </c>
      <c r="O98" t="s">
        <v>120</v>
      </c>
      <c r="P98" s="44">
        <f>SUM(N96:N97)-P97</f>
        <v>67883.613055053895</v>
      </c>
    </row>
    <row r="99" spans="1:16" x14ac:dyDescent="0.25">
      <c r="A99" s="50"/>
      <c r="B99"/>
      <c r="C99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6" x14ac:dyDescent="0.25">
      <c r="A100" s="50" t="s">
        <v>121</v>
      </c>
      <c r="B100" t="s">
        <v>122</v>
      </c>
      <c r="C100" s="44">
        <f>(D65-C65)</f>
        <v>30147.080028839224</v>
      </c>
      <c r="D100" s="44">
        <f>(E65-D65)</f>
        <v>-410.47215573179346</v>
      </c>
      <c r="E100" s="44">
        <f t="shared" ref="E100:M100" si="53">(F65-E65)</f>
        <v>898.045557767844</v>
      </c>
      <c r="F100" s="44">
        <f t="shared" si="53"/>
        <v>925.16653361243152</v>
      </c>
      <c r="G100" s="44">
        <f t="shared" si="53"/>
        <v>953.10656292753629</v>
      </c>
      <c r="H100" s="44">
        <f t="shared" si="53"/>
        <v>981.89038112793787</v>
      </c>
      <c r="I100" s="44">
        <f t="shared" si="53"/>
        <v>1011.5434706379965</v>
      </c>
      <c r="J100" s="44">
        <f t="shared" si="53"/>
        <v>1042.0920834512799</v>
      </c>
      <c r="K100" s="44">
        <f t="shared" si="53"/>
        <v>1073.5632643714998</v>
      </c>
      <c r="L100" s="44">
        <f t="shared" si="53"/>
        <v>1105.984874955524</v>
      </c>
      <c r="M100" s="44">
        <f t="shared" si="53"/>
        <v>1139.3856181791707</v>
      </c>
      <c r="N100" s="44">
        <f>(O65-N65)</f>
        <v>-38867.386220138651</v>
      </c>
      <c r="O100"/>
      <c r="P100"/>
    </row>
    <row r="101" spans="1:16" x14ac:dyDescent="0.25">
      <c r="A101" s="50" t="s">
        <v>121</v>
      </c>
      <c r="B101" t="s">
        <v>123</v>
      </c>
      <c r="C101" s="46">
        <f>(D84-C84)</f>
        <v>7661.052631578943</v>
      </c>
      <c r="D101" s="46">
        <f>(E84-D84)</f>
        <v>1914.3757894736918</v>
      </c>
      <c r="E101" s="46">
        <f t="shared" ref="E101:L101" si="54">(F84-E84)</f>
        <v>365.6899383157961</v>
      </c>
      <c r="F101" s="46">
        <f t="shared" si="54"/>
        <v>377.35801445292054</v>
      </c>
      <c r="G101" s="46">
        <f t="shared" si="54"/>
        <v>389.39095128940789</v>
      </c>
      <c r="H101" s="46">
        <f t="shared" si="54"/>
        <v>251.80001731435186</v>
      </c>
      <c r="I101" s="46">
        <f t="shared" si="54"/>
        <v>414.59682631914984</v>
      </c>
      <c r="J101" s="46">
        <f t="shared" si="54"/>
        <v>427.79334792554982</v>
      </c>
      <c r="K101" s="46">
        <f t="shared" si="54"/>
        <v>441.4019184334993</v>
      </c>
      <c r="L101" s="46">
        <f t="shared" si="54"/>
        <v>455.43525199879332</v>
      </c>
      <c r="M101" s="46">
        <f>(N84-M84)</f>
        <v>469.90645215031873</v>
      </c>
      <c r="N101" s="46">
        <f>(O84-N84)</f>
        <v>-13168.801139252422</v>
      </c>
      <c r="O101"/>
      <c r="P101"/>
    </row>
    <row r="102" spans="1:16" x14ac:dyDescent="0.25">
      <c r="A102" s="50"/>
      <c r="B102"/>
      <c r="C10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O102"/>
      <c r="P102"/>
    </row>
    <row r="103" spans="1:16" x14ac:dyDescent="0.25">
      <c r="A103" s="50" t="s">
        <v>113</v>
      </c>
      <c r="B103" t="s">
        <v>129</v>
      </c>
      <c r="C103" s="46">
        <v>-90000</v>
      </c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>
        <f>-C103</f>
        <v>90000</v>
      </c>
      <c r="O103"/>
      <c r="P103"/>
    </row>
    <row r="104" spans="1:16" x14ac:dyDescent="0.25">
      <c r="A104"/>
      <c r="B104"/>
      <c r="C104"/>
      <c r="D104" s="12"/>
      <c r="E104"/>
      <c r="F104"/>
      <c r="G104"/>
      <c r="H104"/>
      <c r="I104"/>
      <c r="O104"/>
      <c r="P104"/>
    </row>
    <row r="105" spans="1:16" x14ac:dyDescent="0.25">
      <c r="A105" s="9" t="s">
        <v>124</v>
      </c>
      <c r="B105"/>
      <c r="C105" s="49">
        <f>SUM(C85:C103)</f>
        <v>-341650.84354722418</v>
      </c>
      <c r="D105" s="49">
        <f>SUM(D85:D103)</f>
        <v>22765.710469790902</v>
      </c>
      <c r="E105" s="49">
        <f t="shared" ref="E105:M105" si="55">SUM(E85:E103)</f>
        <v>24280.490243871391</v>
      </c>
      <c r="F105" s="49">
        <f t="shared" si="55"/>
        <v>25019.689509279466</v>
      </c>
      <c r="G105" s="49">
        <f t="shared" si="55"/>
        <v>25781.78152976706</v>
      </c>
      <c r="H105" s="49">
        <f t="shared" si="55"/>
        <v>11417.450591278182</v>
      </c>
      <c r="I105" s="49">
        <f t="shared" si="55"/>
        <v>27527.400756262952</v>
      </c>
      <c r="J105" s="49">
        <f t="shared" si="55"/>
        <v>28362.356412877634</v>
      </c>
      <c r="K105" s="49">
        <f t="shared" si="55"/>
        <v>29223.062838582744</v>
      </c>
      <c r="L105" s="49">
        <f t="shared" si="55"/>
        <v>30110.286778481925</v>
      </c>
      <c r="M105" s="49">
        <f t="shared" si="55"/>
        <v>31024.817038748581</v>
      </c>
      <c r="N105" s="49">
        <f>SUM(N85:N103)</f>
        <v>383254.85762272356</v>
      </c>
      <c r="O105"/>
      <c r="P105"/>
    </row>
    <row r="106" spans="1:16" x14ac:dyDescent="0.25">
      <c r="A106" s="9" t="s">
        <v>125</v>
      </c>
      <c r="B106"/>
      <c r="C106" s="174">
        <f>IRR(C105:N105)</f>
        <v>7.6157706540731063E-2</v>
      </c>
      <c r="D106" s="12"/>
      <c r="E106"/>
      <c r="G106"/>
      <c r="H106"/>
      <c r="I106"/>
      <c r="O106"/>
      <c r="P106"/>
    </row>
    <row r="107" spans="1:16" x14ac:dyDescent="0.25">
      <c r="A107" s="9"/>
      <c r="B107"/>
      <c r="C107"/>
      <c r="D107" s="12"/>
      <c r="E107"/>
      <c r="F107"/>
      <c r="G107"/>
      <c r="H107"/>
      <c r="I107"/>
      <c r="O107"/>
      <c r="P107"/>
    </row>
    <row r="108" spans="1:16" x14ac:dyDescent="0.25">
      <c r="A108" s="9" t="s">
        <v>126</v>
      </c>
      <c r="B108"/>
      <c r="C108" s="174">
        <f>V73</f>
        <v>7.2031062705095628E-2</v>
      </c>
      <c r="D108" s="12"/>
      <c r="E108"/>
      <c r="G108"/>
      <c r="H108"/>
      <c r="I108"/>
      <c r="O108"/>
      <c r="P108"/>
    </row>
    <row r="109" spans="1:16" x14ac:dyDescent="0.25">
      <c r="A109" s="9" t="s">
        <v>127</v>
      </c>
      <c r="B109"/>
      <c r="C109" s="175">
        <f>NPV(C108,D105:N105)</f>
        <v>352470.35743750632</v>
      </c>
      <c r="D109" s="12"/>
      <c r="E109"/>
      <c r="G109"/>
      <c r="H109"/>
      <c r="I109"/>
      <c r="O109"/>
      <c r="P109"/>
    </row>
  </sheetData>
  <sheetProtection selectLockedCells="1" selectUnlockedCells="1"/>
  <dataConsolidate/>
  <pageMargins left="0.7" right="0.7" top="0.75" bottom="0.75" header="0.51180555555555596" footer="0.51180555555555596"/>
  <pageSetup scale="55" firstPageNumber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workbookViewId="0">
      <selection activeCell="K5" sqref="K5"/>
    </sheetView>
  </sheetViews>
  <sheetFormatPr defaultColWidth="11.42578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42578125" customWidth="1"/>
    <col min="6" max="6" width="12.42578125" customWidth="1"/>
    <col min="9" max="9" width="12" bestFit="1" customWidth="1"/>
  </cols>
  <sheetData>
    <row r="1" spans="1:12" x14ac:dyDescent="0.2">
      <c r="B1" t="s">
        <v>31</v>
      </c>
      <c r="C1" t="s">
        <v>32</v>
      </c>
      <c r="D1" t="s">
        <v>33</v>
      </c>
      <c r="E1" t="s">
        <v>34</v>
      </c>
      <c r="F1" t="s">
        <v>35</v>
      </c>
      <c r="H1" t="s">
        <v>36</v>
      </c>
      <c r="I1" s="11">
        <v>4.1000000000000002E-2</v>
      </c>
      <c r="K1" t="s">
        <v>133</v>
      </c>
      <c r="L1">
        <f>Original!D14+Original!D15</f>
        <v>165000</v>
      </c>
    </row>
    <row r="2" spans="1:12" x14ac:dyDescent="0.2">
      <c r="A2" s="19">
        <v>41640</v>
      </c>
      <c r="B2" s="6">
        <f>I6</f>
        <v>132000</v>
      </c>
      <c r="C2" s="6">
        <f>+E2-D2</f>
        <v>186.82184985528386</v>
      </c>
      <c r="D2" s="6">
        <f>B2*$I$2</f>
        <v>451</v>
      </c>
      <c r="E2" s="6">
        <f>-$I$8</f>
        <v>637.82184985528386</v>
      </c>
      <c r="F2" s="6">
        <f>+B2-C2</f>
        <v>131813.17815014473</v>
      </c>
      <c r="H2" t="s">
        <v>37</v>
      </c>
      <c r="I2" s="11">
        <f>+I1/12</f>
        <v>3.4166666666666668E-3</v>
      </c>
      <c r="K2" t="s">
        <v>134</v>
      </c>
      <c r="L2" s="47">
        <v>0.2</v>
      </c>
    </row>
    <row r="3" spans="1:12" x14ac:dyDescent="0.2">
      <c r="A3" s="19">
        <v>41671</v>
      </c>
      <c r="B3" s="6">
        <f t="shared" ref="B3:B13" si="0">+F2</f>
        <v>131813.17815014473</v>
      </c>
      <c r="C3" s="6">
        <f t="shared" ref="C3:C13" si="1">+E3-D3</f>
        <v>187.46015784228933</v>
      </c>
      <c r="D3" s="6">
        <f t="shared" ref="D3:D13" si="2">B3*$I$2</f>
        <v>450.36169201299452</v>
      </c>
      <c r="E3" s="6">
        <f t="shared" ref="E3:E13" si="3">-$I$8</f>
        <v>637.82184985528386</v>
      </c>
      <c r="F3" s="6">
        <f t="shared" ref="F3:F13" si="4">+B3-C3</f>
        <v>131625.71799230244</v>
      </c>
      <c r="H3" t="s">
        <v>38</v>
      </c>
      <c r="I3" s="12">
        <v>0</v>
      </c>
    </row>
    <row r="4" spans="1:12" x14ac:dyDescent="0.2">
      <c r="A4" s="19">
        <v>41699</v>
      </c>
      <c r="B4" s="6">
        <f t="shared" si="0"/>
        <v>131625.71799230244</v>
      </c>
      <c r="C4" s="6">
        <f t="shared" si="1"/>
        <v>188.10064671491716</v>
      </c>
      <c r="D4" s="6">
        <f t="shared" si="2"/>
        <v>449.7212031403667</v>
      </c>
      <c r="E4" s="6">
        <f t="shared" si="3"/>
        <v>637.82184985528386</v>
      </c>
      <c r="F4" s="6">
        <f t="shared" si="4"/>
        <v>131437.61734558753</v>
      </c>
      <c r="H4" t="s">
        <v>39</v>
      </c>
      <c r="I4" s="13">
        <f>12*30</f>
        <v>360</v>
      </c>
      <c r="K4" t="s">
        <v>189</v>
      </c>
      <c r="L4">
        <f>L1*L2</f>
        <v>33000</v>
      </c>
    </row>
    <row r="5" spans="1:12" x14ac:dyDescent="0.2">
      <c r="A5" s="19">
        <v>41730</v>
      </c>
      <c r="B5" s="6">
        <f t="shared" si="0"/>
        <v>131437.61734558753</v>
      </c>
      <c r="C5" s="6">
        <f t="shared" si="1"/>
        <v>188.74332392452646</v>
      </c>
      <c r="D5" s="6">
        <f t="shared" si="2"/>
        <v>449.07852593075739</v>
      </c>
      <c r="E5" s="6">
        <f t="shared" si="3"/>
        <v>637.82184985528386</v>
      </c>
      <c r="F5" s="6">
        <f t="shared" si="4"/>
        <v>131248.87402166301</v>
      </c>
      <c r="H5" t="s">
        <v>40</v>
      </c>
      <c r="I5">
        <v>0</v>
      </c>
    </row>
    <row r="6" spans="1:12" x14ac:dyDescent="0.2">
      <c r="A6" s="19">
        <v>41760</v>
      </c>
      <c r="B6" s="6">
        <f t="shared" si="0"/>
        <v>131248.87402166301</v>
      </c>
      <c r="C6" s="6">
        <f t="shared" si="1"/>
        <v>189.38819694793523</v>
      </c>
      <c r="D6" s="6">
        <f t="shared" si="2"/>
        <v>448.43365290734863</v>
      </c>
      <c r="E6" s="6">
        <f t="shared" si="3"/>
        <v>637.82184985528386</v>
      </c>
      <c r="F6" s="6">
        <f t="shared" si="4"/>
        <v>131059.48582471507</v>
      </c>
      <c r="H6" t="s">
        <v>41</v>
      </c>
      <c r="I6" s="12">
        <f>L1*(1-L2)</f>
        <v>132000</v>
      </c>
    </row>
    <row r="7" spans="1:12" x14ac:dyDescent="0.2">
      <c r="A7" s="19">
        <v>41791</v>
      </c>
      <c r="B7" s="6">
        <f t="shared" si="0"/>
        <v>131059.48582471507</v>
      </c>
      <c r="C7" s="6">
        <f t="shared" si="1"/>
        <v>190.03527328750738</v>
      </c>
      <c r="D7" s="6">
        <f t="shared" si="2"/>
        <v>447.78657656777648</v>
      </c>
      <c r="E7" s="6">
        <f t="shared" si="3"/>
        <v>637.82184985528386</v>
      </c>
      <c r="F7" s="6">
        <f t="shared" si="4"/>
        <v>130869.45055142757</v>
      </c>
    </row>
    <row r="8" spans="1:12" x14ac:dyDescent="0.2">
      <c r="A8" s="19">
        <v>41821</v>
      </c>
      <c r="B8" s="6">
        <f t="shared" si="0"/>
        <v>130869.45055142757</v>
      </c>
      <c r="C8" s="6">
        <f t="shared" si="1"/>
        <v>190.68456047123965</v>
      </c>
      <c r="D8" s="6">
        <f t="shared" si="2"/>
        <v>447.13728938404421</v>
      </c>
      <c r="E8" s="6">
        <f t="shared" si="3"/>
        <v>637.82184985528386</v>
      </c>
      <c r="F8" s="6">
        <f t="shared" si="4"/>
        <v>130678.76599095632</v>
      </c>
      <c r="H8" t="s">
        <v>34</v>
      </c>
      <c r="I8" s="12">
        <f>PMT(I2,I4,I6,I3,I5)</f>
        <v>-637.82184985528386</v>
      </c>
    </row>
    <row r="9" spans="1:12" x14ac:dyDescent="0.2">
      <c r="A9" s="19">
        <v>41852</v>
      </c>
      <c r="B9" s="6">
        <f t="shared" si="0"/>
        <v>130678.76599095632</v>
      </c>
      <c r="C9" s="6">
        <f t="shared" si="1"/>
        <v>191.33606605284973</v>
      </c>
      <c r="D9" s="6">
        <f t="shared" si="2"/>
        <v>446.48578380243413</v>
      </c>
      <c r="E9" s="6">
        <f t="shared" si="3"/>
        <v>637.82184985528386</v>
      </c>
      <c r="F9" s="6">
        <f t="shared" si="4"/>
        <v>130487.42992490347</v>
      </c>
    </row>
    <row r="10" spans="1:12" x14ac:dyDescent="0.2">
      <c r="A10" s="19">
        <v>41883</v>
      </c>
      <c r="B10" s="6">
        <f t="shared" si="0"/>
        <v>130487.42992490347</v>
      </c>
      <c r="C10" s="6">
        <f t="shared" si="1"/>
        <v>191.98979761186365</v>
      </c>
      <c r="D10" s="6">
        <f t="shared" si="2"/>
        <v>445.83205224342021</v>
      </c>
      <c r="E10" s="6">
        <f t="shared" si="3"/>
        <v>637.82184985528386</v>
      </c>
      <c r="F10" s="6">
        <f t="shared" si="4"/>
        <v>130295.4401272916</v>
      </c>
    </row>
    <row r="11" spans="1:12" x14ac:dyDescent="0.2">
      <c r="A11" s="19">
        <v>41913</v>
      </c>
      <c r="B11" s="6">
        <f t="shared" si="0"/>
        <v>130295.4401272916</v>
      </c>
      <c r="C11" s="6">
        <f t="shared" si="1"/>
        <v>192.64576275370422</v>
      </c>
      <c r="D11" s="6">
        <f t="shared" si="2"/>
        <v>445.17608710157964</v>
      </c>
      <c r="E11" s="6">
        <f t="shared" si="3"/>
        <v>637.82184985528386</v>
      </c>
      <c r="F11" s="6">
        <f t="shared" si="4"/>
        <v>130102.7943645379</v>
      </c>
    </row>
    <row r="12" spans="1:12" x14ac:dyDescent="0.2">
      <c r="A12" s="19">
        <v>41944</v>
      </c>
      <c r="B12" s="6">
        <f t="shared" si="0"/>
        <v>130102.7943645379</v>
      </c>
      <c r="C12" s="6">
        <f t="shared" si="1"/>
        <v>193.30396910977936</v>
      </c>
      <c r="D12" s="6">
        <f t="shared" si="2"/>
        <v>444.5178807455045</v>
      </c>
      <c r="E12" s="6">
        <f t="shared" si="3"/>
        <v>637.82184985528386</v>
      </c>
      <c r="F12" s="6">
        <f t="shared" si="4"/>
        <v>129909.49039542812</v>
      </c>
    </row>
    <row r="13" spans="1:12" x14ac:dyDescent="0.2">
      <c r="A13" s="19">
        <v>41974</v>
      </c>
      <c r="B13" s="6">
        <f t="shared" si="0"/>
        <v>129909.49039542812</v>
      </c>
      <c r="C13" s="6">
        <f t="shared" si="1"/>
        <v>193.96442433757113</v>
      </c>
      <c r="D13" s="6">
        <f t="shared" si="2"/>
        <v>443.85742551771273</v>
      </c>
      <c r="E13" s="6">
        <f t="shared" si="3"/>
        <v>637.82184985528386</v>
      </c>
      <c r="F13" s="7">
        <f t="shared" si="4"/>
        <v>129715.52597109055</v>
      </c>
    </row>
    <row r="14" spans="1:12" x14ac:dyDescent="0.2">
      <c r="A14" s="8" t="s">
        <v>42</v>
      </c>
      <c r="B14" s="8"/>
      <c r="C14" s="7">
        <f>SUM(C2:C13)</f>
        <v>2284.4740289094671</v>
      </c>
      <c r="D14" s="7">
        <f>SUM(D2:D13)</f>
        <v>5369.3881693539397</v>
      </c>
      <c r="E14" s="6"/>
      <c r="F14" s="6"/>
    </row>
    <row r="15" spans="1:12" x14ac:dyDescent="0.2">
      <c r="A15" s="5"/>
      <c r="B15" s="5"/>
      <c r="C15" s="6"/>
      <c r="D15" s="6"/>
      <c r="E15" s="6"/>
      <c r="F15" s="6"/>
    </row>
    <row r="16" spans="1:12" x14ac:dyDescent="0.2">
      <c r="A16" s="19">
        <v>42005</v>
      </c>
      <c r="B16" s="6">
        <f>+F13</f>
        <v>129715.52597109055</v>
      </c>
      <c r="C16" s="6">
        <f t="shared" ref="C16:C27" si="5">+E16-D16</f>
        <v>194.62713612072446</v>
      </c>
      <c r="D16" s="6">
        <f t="shared" ref="D16:D27" si="6">B16*$I$2</f>
        <v>443.1947137345594</v>
      </c>
      <c r="E16" s="6">
        <f t="shared" ref="E16:E27" si="7">-$I$8</f>
        <v>637.82184985528386</v>
      </c>
      <c r="F16" s="6">
        <f t="shared" ref="F16:F27" si="8">+B16-C16</f>
        <v>129520.89883496983</v>
      </c>
    </row>
    <row r="17" spans="1:6" x14ac:dyDescent="0.2">
      <c r="A17" s="19">
        <v>42036</v>
      </c>
      <c r="B17" s="6">
        <f t="shared" ref="B17:B27" si="9">+F16</f>
        <v>129520.89883496983</v>
      </c>
      <c r="C17" s="6">
        <f t="shared" si="5"/>
        <v>195.29211216913689</v>
      </c>
      <c r="D17" s="6">
        <f t="shared" si="6"/>
        <v>442.52973768614697</v>
      </c>
      <c r="E17" s="6">
        <f t="shared" si="7"/>
        <v>637.82184985528386</v>
      </c>
      <c r="F17" s="6">
        <f t="shared" si="8"/>
        <v>129325.6067228007</v>
      </c>
    </row>
    <row r="18" spans="1:6" x14ac:dyDescent="0.2">
      <c r="A18" s="19">
        <v>42064</v>
      </c>
      <c r="B18" s="6">
        <f t="shared" si="9"/>
        <v>129325.6067228007</v>
      </c>
      <c r="C18" s="6">
        <f t="shared" si="5"/>
        <v>195.95936021904811</v>
      </c>
      <c r="D18" s="6">
        <f t="shared" si="6"/>
        <v>441.86248963623575</v>
      </c>
      <c r="E18" s="6">
        <f t="shared" si="7"/>
        <v>637.82184985528386</v>
      </c>
      <c r="F18" s="6">
        <f t="shared" si="8"/>
        <v>129129.64736258166</v>
      </c>
    </row>
    <row r="19" spans="1:6" x14ac:dyDescent="0.2">
      <c r="A19" s="19">
        <v>42095</v>
      </c>
      <c r="B19" s="6">
        <f t="shared" si="9"/>
        <v>129129.64736258166</v>
      </c>
      <c r="C19" s="6">
        <f t="shared" si="5"/>
        <v>196.62888803312984</v>
      </c>
      <c r="D19" s="6">
        <f t="shared" si="6"/>
        <v>441.19296182215402</v>
      </c>
      <c r="E19" s="6">
        <f t="shared" si="7"/>
        <v>637.82184985528386</v>
      </c>
      <c r="F19" s="6">
        <f t="shared" si="8"/>
        <v>128933.01847454853</v>
      </c>
    </row>
    <row r="20" spans="1:6" x14ac:dyDescent="0.2">
      <c r="A20" s="19">
        <v>42125</v>
      </c>
      <c r="B20" s="6">
        <f t="shared" si="9"/>
        <v>128933.01847454853</v>
      </c>
      <c r="C20" s="6">
        <f t="shared" si="5"/>
        <v>197.30070340057637</v>
      </c>
      <c r="D20" s="6">
        <f t="shared" si="6"/>
        <v>440.52114645470749</v>
      </c>
      <c r="E20" s="6">
        <f t="shared" si="7"/>
        <v>637.82184985528386</v>
      </c>
      <c r="F20" s="6">
        <f t="shared" si="8"/>
        <v>128735.71777114796</v>
      </c>
    </row>
    <row r="21" spans="1:6" x14ac:dyDescent="0.2">
      <c r="A21" s="19">
        <v>42156</v>
      </c>
      <c r="B21" s="6">
        <f t="shared" si="9"/>
        <v>128735.71777114796</v>
      </c>
      <c r="C21" s="6">
        <f t="shared" si="5"/>
        <v>197.97481413719498</v>
      </c>
      <c r="D21" s="6">
        <f t="shared" si="6"/>
        <v>439.84703571808888</v>
      </c>
      <c r="E21" s="6">
        <f t="shared" si="7"/>
        <v>637.82184985528386</v>
      </c>
      <c r="F21" s="6">
        <f t="shared" si="8"/>
        <v>128537.74295701076</v>
      </c>
    </row>
    <row r="22" spans="1:6" x14ac:dyDescent="0.2">
      <c r="A22" s="19">
        <v>42186</v>
      </c>
      <c r="B22" s="6">
        <f t="shared" si="9"/>
        <v>128537.74295701076</v>
      </c>
      <c r="C22" s="6">
        <f t="shared" si="5"/>
        <v>198.65122808549705</v>
      </c>
      <c r="D22" s="6">
        <f t="shared" si="6"/>
        <v>439.17062176978681</v>
      </c>
      <c r="E22" s="6">
        <f t="shared" si="7"/>
        <v>637.82184985528386</v>
      </c>
      <c r="F22" s="6">
        <f t="shared" si="8"/>
        <v>128339.09172892527</v>
      </c>
    </row>
    <row r="23" spans="1:6" x14ac:dyDescent="0.2">
      <c r="A23" s="19">
        <v>42217</v>
      </c>
      <c r="B23" s="6">
        <f t="shared" si="9"/>
        <v>128339.09172892527</v>
      </c>
      <c r="C23" s="6">
        <f t="shared" si="5"/>
        <v>199.32995311478919</v>
      </c>
      <c r="D23" s="6">
        <f t="shared" si="6"/>
        <v>438.49189674049467</v>
      </c>
      <c r="E23" s="6">
        <f t="shared" si="7"/>
        <v>637.82184985528386</v>
      </c>
      <c r="F23" s="6">
        <f t="shared" si="8"/>
        <v>128139.76177581048</v>
      </c>
    </row>
    <row r="24" spans="1:6" x14ac:dyDescent="0.2">
      <c r="A24" s="19">
        <v>42248</v>
      </c>
      <c r="B24" s="6">
        <f t="shared" si="9"/>
        <v>128139.76177581048</v>
      </c>
      <c r="C24" s="6">
        <f t="shared" si="5"/>
        <v>200.01099712126472</v>
      </c>
      <c r="D24" s="6">
        <f t="shared" si="6"/>
        <v>437.81085273401914</v>
      </c>
      <c r="E24" s="6">
        <f t="shared" si="7"/>
        <v>637.82184985528386</v>
      </c>
      <c r="F24" s="6">
        <f t="shared" si="8"/>
        <v>127939.75077868921</v>
      </c>
    </row>
    <row r="25" spans="1:6" x14ac:dyDescent="0.2">
      <c r="A25" s="19">
        <v>42278</v>
      </c>
      <c r="B25" s="6">
        <f t="shared" si="9"/>
        <v>127939.75077868921</v>
      </c>
      <c r="C25" s="6">
        <f t="shared" si="5"/>
        <v>200.69436802809571</v>
      </c>
      <c r="D25" s="6">
        <f t="shared" si="6"/>
        <v>437.12748182718815</v>
      </c>
      <c r="E25" s="6">
        <f t="shared" si="7"/>
        <v>637.82184985528386</v>
      </c>
      <c r="F25" s="6">
        <f t="shared" si="8"/>
        <v>127739.05641066111</v>
      </c>
    </row>
    <row r="26" spans="1:6" x14ac:dyDescent="0.2">
      <c r="A26" s="19">
        <v>42309</v>
      </c>
      <c r="B26" s="6">
        <f t="shared" si="9"/>
        <v>127739.05641066111</v>
      </c>
      <c r="C26" s="6">
        <f t="shared" si="5"/>
        <v>201.38007378552504</v>
      </c>
      <c r="D26" s="6">
        <f t="shared" si="6"/>
        <v>436.44177606975882</v>
      </c>
      <c r="E26" s="6">
        <f t="shared" si="7"/>
        <v>637.82184985528386</v>
      </c>
      <c r="F26" s="6">
        <f t="shared" si="8"/>
        <v>127537.67633687559</v>
      </c>
    </row>
    <row r="27" spans="1:6" x14ac:dyDescent="0.2">
      <c r="A27" s="19">
        <v>42339</v>
      </c>
      <c r="B27" s="6">
        <f t="shared" si="9"/>
        <v>127537.67633687559</v>
      </c>
      <c r="C27" s="6">
        <f t="shared" si="5"/>
        <v>202.06812237095892</v>
      </c>
      <c r="D27" s="6">
        <f t="shared" si="6"/>
        <v>435.75372748432494</v>
      </c>
      <c r="E27" s="6">
        <f t="shared" si="7"/>
        <v>637.82184985528386</v>
      </c>
      <c r="F27" s="7">
        <f t="shared" si="8"/>
        <v>127335.60821450464</v>
      </c>
    </row>
    <row r="28" spans="1:6" x14ac:dyDescent="0.2">
      <c r="A28" s="8" t="s">
        <v>42</v>
      </c>
      <c r="B28" s="8"/>
      <c r="C28" s="7">
        <f>SUM(C16:C27)</f>
        <v>2379.9177565859409</v>
      </c>
      <c r="D28" s="7">
        <f>SUM(D16:D27)</f>
        <v>5273.9444416774659</v>
      </c>
      <c r="E28" s="6"/>
      <c r="F28" s="6"/>
    </row>
    <row r="29" spans="1:6" x14ac:dyDescent="0.2">
      <c r="A29" s="5"/>
      <c r="B29" s="5"/>
      <c r="C29" s="6"/>
      <c r="D29" s="6"/>
      <c r="E29" s="6"/>
      <c r="F29" s="6"/>
    </row>
    <row r="30" spans="1:6" x14ac:dyDescent="0.2">
      <c r="A30" s="19">
        <v>42370</v>
      </c>
      <c r="B30" s="6">
        <f>+F27</f>
        <v>127335.60821450464</v>
      </c>
      <c r="C30" s="6">
        <f t="shared" ref="C30:C41" si="10">+E30-D30</f>
        <v>202.75852178905967</v>
      </c>
      <c r="D30" s="6">
        <f t="shared" ref="D30:D41" si="11">B30*$I$2</f>
        <v>435.06332806622419</v>
      </c>
      <c r="E30" s="6">
        <f t="shared" ref="E30:E41" si="12">-$I$8</f>
        <v>637.82184985528386</v>
      </c>
      <c r="F30" s="6">
        <f t="shared" ref="F30:F41" si="13">+B30-C30</f>
        <v>127132.84969271558</v>
      </c>
    </row>
    <row r="31" spans="1:6" x14ac:dyDescent="0.2">
      <c r="A31" s="19">
        <v>42401</v>
      </c>
      <c r="B31" s="6">
        <f t="shared" ref="B31:B41" si="14">+F30</f>
        <v>127132.84969271558</v>
      </c>
      <c r="C31" s="6">
        <f t="shared" si="10"/>
        <v>203.45128007183894</v>
      </c>
      <c r="D31" s="6">
        <f t="shared" si="11"/>
        <v>434.37056978344492</v>
      </c>
      <c r="E31" s="6">
        <f t="shared" si="12"/>
        <v>637.82184985528386</v>
      </c>
      <c r="F31" s="6">
        <f t="shared" si="13"/>
        <v>126929.39841264374</v>
      </c>
    </row>
    <row r="32" spans="1:6" x14ac:dyDescent="0.2">
      <c r="A32" s="19">
        <v>42430</v>
      </c>
      <c r="B32" s="6">
        <f t="shared" si="14"/>
        <v>126929.39841264374</v>
      </c>
      <c r="C32" s="6">
        <f t="shared" si="10"/>
        <v>204.14640527875105</v>
      </c>
      <c r="D32" s="6">
        <f t="shared" si="11"/>
        <v>433.67544457653281</v>
      </c>
      <c r="E32" s="6">
        <f t="shared" si="12"/>
        <v>637.82184985528386</v>
      </c>
      <c r="F32" s="6">
        <f t="shared" si="13"/>
        <v>126725.25200736499</v>
      </c>
    </row>
    <row r="33" spans="1:6" x14ac:dyDescent="0.2">
      <c r="A33" s="19">
        <v>42461</v>
      </c>
      <c r="B33" s="6">
        <f t="shared" si="14"/>
        <v>126725.25200736499</v>
      </c>
      <c r="C33" s="6">
        <f t="shared" si="10"/>
        <v>204.84390549678676</v>
      </c>
      <c r="D33" s="6">
        <f t="shared" si="11"/>
        <v>432.9779443584971</v>
      </c>
      <c r="E33" s="6">
        <f t="shared" si="12"/>
        <v>637.82184985528386</v>
      </c>
      <c r="F33" s="6">
        <f t="shared" si="13"/>
        <v>126520.4081018682</v>
      </c>
    </row>
    <row r="34" spans="1:6" x14ac:dyDescent="0.2">
      <c r="A34" s="19">
        <v>42491</v>
      </c>
      <c r="B34" s="6">
        <f t="shared" si="14"/>
        <v>126520.4081018682</v>
      </c>
      <c r="C34" s="6">
        <f t="shared" si="10"/>
        <v>205.54378884056746</v>
      </c>
      <c r="D34" s="6">
        <f t="shared" si="11"/>
        <v>432.2780610147164</v>
      </c>
      <c r="E34" s="6">
        <f t="shared" si="12"/>
        <v>637.82184985528386</v>
      </c>
      <c r="F34" s="6">
        <f t="shared" si="13"/>
        <v>126314.86431302763</v>
      </c>
    </row>
    <row r="35" spans="1:6" x14ac:dyDescent="0.2">
      <c r="A35" s="19">
        <v>42522</v>
      </c>
      <c r="B35" s="6">
        <f t="shared" si="14"/>
        <v>126314.86431302763</v>
      </c>
      <c r="C35" s="6">
        <f t="shared" si="10"/>
        <v>206.24606345243944</v>
      </c>
      <c r="D35" s="6">
        <f t="shared" si="11"/>
        <v>431.57578640284441</v>
      </c>
      <c r="E35" s="6">
        <f t="shared" si="12"/>
        <v>637.82184985528386</v>
      </c>
      <c r="F35" s="6">
        <f t="shared" si="13"/>
        <v>126108.6182495752</v>
      </c>
    </row>
    <row r="36" spans="1:6" x14ac:dyDescent="0.2">
      <c r="A36" s="19">
        <v>42552</v>
      </c>
      <c r="B36" s="6">
        <f t="shared" si="14"/>
        <v>126108.6182495752</v>
      </c>
      <c r="C36" s="6">
        <f t="shared" si="10"/>
        <v>206.95073750256859</v>
      </c>
      <c r="D36" s="6">
        <f t="shared" si="11"/>
        <v>430.87111235271527</v>
      </c>
      <c r="E36" s="6">
        <f t="shared" si="12"/>
        <v>637.82184985528386</v>
      </c>
      <c r="F36" s="6">
        <f t="shared" si="13"/>
        <v>125901.66751207263</v>
      </c>
    </row>
    <row r="37" spans="1:6" x14ac:dyDescent="0.2">
      <c r="A37" s="19">
        <v>42583</v>
      </c>
      <c r="B37" s="6">
        <f t="shared" si="14"/>
        <v>125901.66751207263</v>
      </c>
      <c r="C37" s="6">
        <f t="shared" si="10"/>
        <v>207.65781918903571</v>
      </c>
      <c r="D37" s="6">
        <f t="shared" si="11"/>
        <v>430.16403066624815</v>
      </c>
      <c r="E37" s="6">
        <f t="shared" si="12"/>
        <v>637.82184985528386</v>
      </c>
      <c r="F37" s="6">
        <f t="shared" si="13"/>
        <v>125694.0096928836</v>
      </c>
    </row>
    <row r="38" spans="1:6" x14ac:dyDescent="0.2">
      <c r="A38" s="19">
        <v>42614</v>
      </c>
      <c r="B38" s="6">
        <f t="shared" si="14"/>
        <v>125694.0096928836</v>
      </c>
      <c r="C38" s="6">
        <f t="shared" si="10"/>
        <v>208.36731673793156</v>
      </c>
      <c r="D38" s="6">
        <f t="shared" si="11"/>
        <v>429.4545331173523</v>
      </c>
      <c r="E38" s="6">
        <f t="shared" si="12"/>
        <v>637.82184985528386</v>
      </c>
      <c r="F38" s="6">
        <f t="shared" si="13"/>
        <v>125485.64237614567</v>
      </c>
    </row>
    <row r="39" spans="1:6" x14ac:dyDescent="0.2">
      <c r="A39" s="19">
        <v>42644</v>
      </c>
      <c r="B39" s="6">
        <f t="shared" si="14"/>
        <v>125485.64237614567</v>
      </c>
      <c r="C39" s="6">
        <f t="shared" si="10"/>
        <v>209.07923840345279</v>
      </c>
      <c r="D39" s="6">
        <f t="shared" si="11"/>
        <v>428.74261145183107</v>
      </c>
      <c r="E39" s="6">
        <f t="shared" si="12"/>
        <v>637.82184985528386</v>
      </c>
      <c r="F39" s="6">
        <f t="shared" si="13"/>
        <v>125276.56313774221</v>
      </c>
    </row>
    <row r="40" spans="1:6" x14ac:dyDescent="0.2">
      <c r="A40" s="19">
        <v>42675</v>
      </c>
      <c r="B40" s="6">
        <f t="shared" si="14"/>
        <v>125276.56313774221</v>
      </c>
      <c r="C40" s="6">
        <f t="shared" si="10"/>
        <v>209.79359246799794</v>
      </c>
      <c r="D40" s="6">
        <f t="shared" si="11"/>
        <v>428.02825738728592</v>
      </c>
      <c r="E40" s="6">
        <f t="shared" si="12"/>
        <v>637.82184985528386</v>
      </c>
      <c r="F40" s="6">
        <f t="shared" si="13"/>
        <v>125066.76954527422</v>
      </c>
    </row>
    <row r="41" spans="1:6" x14ac:dyDescent="0.2">
      <c r="A41" s="19">
        <v>42705</v>
      </c>
      <c r="B41" s="6">
        <f t="shared" si="14"/>
        <v>125066.76954527422</v>
      </c>
      <c r="C41" s="6">
        <f t="shared" si="10"/>
        <v>210.51038724226362</v>
      </c>
      <c r="D41" s="6">
        <f t="shared" si="11"/>
        <v>427.31146261302024</v>
      </c>
      <c r="E41" s="6">
        <f t="shared" si="12"/>
        <v>637.82184985528386</v>
      </c>
      <c r="F41" s="7">
        <f t="shared" si="13"/>
        <v>124856.25915803196</v>
      </c>
    </row>
    <row r="42" spans="1:6" x14ac:dyDescent="0.2">
      <c r="A42" s="8" t="s">
        <v>42</v>
      </c>
      <c r="B42" s="8"/>
      <c r="C42" s="7">
        <f>SUM(C30:C41)</f>
        <v>2479.349056472694</v>
      </c>
      <c r="D42" s="7">
        <f>SUM(D30:D41)</f>
        <v>5174.5131417907114</v>
      </c>
      <c r="E42" s="6"/>
      <c r="F42" s="6"/>
    </row>
    <row r="43" spans="1:6" x14ac:dyDescent="0.2">
      <c r="A43" s="5"/>
      <c r="B43" s="5"/>
      <c r="C43" s="6"/>
      <c r="D43" s="6"/>
      <c r="E43" s="6"/>
      <c r="F43" s="6"/>
    </row>
    <row r="44" spans="1:6" x14ac:dyDescent="0.2">
      <c r="A44" s="19">
        <v>42736</v>
      </c>
      <c r="B44" s="6">
        <f>+F41</f>
        <v>124856.25915803196</v>
      </c>
      <c r="C44" s="6">
        <f t="shared" ref="C44:C55" si="15">+E44-D44</f>
        <v>211.22963106534132</v>
      </c>
      <c r="D44" s="6">
        <f t="shared" ref="D44:D55" si="16">B44*$I$2</f>
        <v>426.59221878994254</v>
      </c>
      <c r="E44" s="6">
        <f t="shared" ref="E44:E107" si="17">-$I$8</f>
        <v>637.82184985528386</v>
      </c>
      <c r="F44" s="6">
        <f t="shared" ref="F44:F55" si="18">+B44-C44</f>
        <v>124645.02952696661</v>
      </c>
    </row>
    <row r="45" spans="1:6" x14ac:dyDescent="0.2">
      <c r="A45" s="19">
        <v>42767</v>
      </c>
      <c r="B45" s="6">
        <f t="shared" ref="B45:B55" si="19">+F44</f>
        <v>124645.02952696661</v>
      </c>
      <c r="C45" s="6">
        <f t="shared" si="15"/>
        <v>211.95133230481457</v>
      </c>
      <c r="D45" s="6">
        <f t="shared" si="16"/>
        <v>425.87051755046929</v>
      </c>
      <c r="E45" s="6">
        <f t="shared" si="17"/>
        <v>637.82184985528386</v>
      </c>
      <c r="F45" s="6">
        <f t="shared" si="18"/>
        <v>124433.07819466179</v>
      </c>
    </row>
    <row r="46" spans="1:6" x14ac:dyDescent="0.2">
      <c r="A46" s="19">
        <v>42795</v>
      </c>
      <c r="B46" s="6">
        <f t="shared" si="19"/>
        <v>124433.07819466179</v>
      </c>
      <c r="C46" s="6">
        <f t="shared" si="15"/>
        <v>212.67549935685605</v>
      </c>
      <c r="D46" s="6">
        <f t="shared" si="16"/>
        <v>425.14635049842781</v>
      </c>
      <c r="E46" s="6">
        <f t="shared" si="17"/>
        <v>637.82184985528386</v>
      </c>
      <c r="F46" s="6">
        <f t="shared" si="18"/>
        <v>124220.40269530493</v>
      </c>
    </row>
    <row r="47" spans="1:6" x14ac:dyDescent="0.2">
      <c r="A47" s="19">
        <v>42826</v>
      </c>
      <c r="B47" s="6">
        <f t="shared" si="19"/>
        <v>124220.40269530493</v>
      </c>
      <c r="C47" s="6">
        <f t="shared" si="15"/>
        <v>213.40214064632534</v>
      </c>
      <c r="D47" s="6">
        <f t="shared" si="16"/>
        <v>424.41970920895852</v>
      </c>
      <c r="E47" s="6">
        <f t="shared" si="17"/>
        <v>637.82184985528386</v>
      </c>
      <c r="F47" s="6">
        <f t="shared" si="18"/>
        <v>124007.0005546586</v>
      </c>
    </row>
    <row r="48" spans="1:6" x14ac:dyDescent="0.2">
      <c r="A48" s="19">
        <v>42856</v>
      </c>
      <c r="B48" s="6">
        <f t="shared" si="19"/>
        <v>124007.0005546586</v>
      </c>
      <c r="C48" s="6">
        <f t="shared" si="15"/>
        <v>214.13126462686694</v>
      </c>
      <c r="D48" s="6">
        <f t="shared" si="16"/>
        <v>423.69058522841692</v>
      </c>
      <c r="E48" s="6">
        <f t="shared" si="17"/>
        <v>637.82184985528386</v>
      </c>
      <c r="F48" s="6">
        <f t="shared" si="18"/>
        <v>123792.86929003174</v>
      </c>
    </row>
    <row r="49" spans="1:7" x14ac:dyDescent="0.2">
      <c r="A49" s="19">
        <v>42887</v>
      </c>
      <c r="B49" s="6">
        <f t="shared" si="19"/>
        <v>123792.86929003174</v>
      </c>
      <c r="C49" s="6">
        <f t="shared" si="15"/>
        <v>214.8628797810087</v>
      </c>
      <c r="D49" s="6">
        <f t="shared" si="16"/>
        <v>422.95897007427516</v>
      </c>
      <c r="E49" s="6">
        <f t="shared" si="17"/>
        <v>637.82184985528386</v>
      </c>
      <c r="F49" s="6">
        <f t="shared" si="18"/>
        <v>123578.00641025073</v>
      </c>
    </row>
    <row r="50" spans="1:7" x14ac:dyDescent="0.2">
      <c r="A50" s="19">
        <v>42917</v>
      </c>
      <c r="B50" s="6">
        <f t="shared" si="19"/>
        <v>123578.00641025073</v>
      </c>
      <c r="C50" s="6">
        <f t="shared" si="15"/>
        <v>215.59699462026049</v>
      </c>
      <c r="D50" s="6">
        <f t="shared" si="16"/>
        <v>422.22485523502337</v>
      </c>
      <c r="E50" s="6">
        <f t="shared" si="17"/>
        <v>637.82184985528386</v>
      </c>
      <c r="F50" s="6">
        <f t="shared" si="18"/>
        <v>123362.40941563046</v>
      </c>
    </row>
    <row r="51" spans="1:7" x14ac:dyDescent="0.2">
      <c r="A51" s="19">
        <v>42948</v>
      </c>
      <c r="B51" s="6">
        <f t="shared" si="19"/>
        <v>123362.40941563046</v>
      </c>
      <c r="C51" s="6">
        <f t="shared" si="15"/>
        <v>216.33361768521308</v>
      </c>
      <c r="D51" s="6">
        <f t="shared" si="16"/>
        <v>421.48823217007077</v>
      </c>
      <c r="E51" s="6">
        <f t="shared" si="17"/>
        <v>637.82184985528386</v>
      </c>
      <c r="F51" s="6">
        <f t="shared" si="18"/>
        <v>123146.07579794525</v>
      </c>
    </row>
    <row r="52" spans="1:7" x14ac:dyDescent="0.2">
      <c r="A52" s="19">
        <v>42979</v>
      </c>
      <c r="B52" s="6">
        <f t="shared" si="19"/>
        <v>123146.07579794525</v>
      </c>
      <c r="C52" s="6">
        <f t="shared" si="15"/>
        <v>217.07275754563756</v>
      </c>
      <c r="D52" s="6">
        <f t="shared" si="16"/>
        <v>420.7490923096463</v>
      </c>
      <c r="E52" s="6">
        <f t="shared" si="17"/>
        <v>637.82184985528386</v>
      </c>
      <c r="F52" s="6">
        <f t="shared" si="18"/>
        <v>122929.00304039961</v>
      </c>
    </row>
    <row r="53" spans="1:7" x14ac:dyDescent="0.2">
      <c r="A53" s="19">
        <v>43009</v>
      </c>
      <c r="B53" s="6">
        <f t="shared" si="19"/>
        <v>122929.00304039961</v>
      </c>
      <c r="C53" s="6">
        <f t="shared" si="15"/>
        <v>217.81442280058519</v>
      </c>
      <c r="D53" s="6">
        <f t="shared" si="16"/>
        <v>420.00742705469867</v>
      </c>
      <c r="E53" s="6">
        <f t="shared" si="17"/>
        <v>637.82184985528386</v>
      </c>
      <c r="F53" s="6">
        <f t="shared" si="18"/>
        <v>122711.18861759902</v>
      </c>
    </row>
    <row r="54" spans="1:7" x14ac:dyDescent="0.2">
      <c r="A54" s="19">
        <v>43040</v>
      </c>
      <c r="B54" s="6">
        <f t="shared" si="19"/>
        <v>122711.18861759902</v>
      </c>
      <c r="C54" s="6">
        <f t="shared" si="15"/>
        <v>218.55862207848719</v>
      </c>
      <c r="D54" s="6">
        <f t="shared" si="16"/>
        <v>419.26322777679667</v>
      </c>
      <c r="E54" s="6">
        <f t="shared" si="17"/>
        <v>637.82184985528386</v>
      </c>
      <c r="F54" s="6">
        <f t="shared" si="18"/>
        <v>122492.62999552053</v>
      </c>
    </row>
    <row r="55" spans="1:7" x14ac:dyDescent="0.2">
      <c r="A55" s="19">
        <v>43070</v>
      </c>
      <c r="B55" s="6">
        <f t="shared" si="19"/>
        <v>122492.62999552053</v>
      </c>
      <c r="C55" s="6">
        <f t="shared" si="15"/>
        <v>219.30536403725534</v>
      </c>
      <c r="D55" s="6">
        <f t="shared" si="16"/>
        <v>418.51648581802851</v>
      </c>
      <c r="E55" s="6">
        <f t="shared" si="17"/>
        <v>637.82184985528386</v>
      </c>
      <c r="F55" s="7">
        <f t="shared" si="18"/>
        <v>122273.32463148328</v>
      </c>
      <c r="G55" s="6"/>
    </row>
    <row r="56" spans="1:7" x14ac:dyDescent="0.2">
      <c r="A56" s="8" t="s">
        <v>42</v>
      </c>
      <c r="B56" s="9"/>
      <c r="C56" s="7">
        <f>SUM(C44:C55)</f>
        <v>2582.9345265486522</v>
      </c>
      <c r="D56" s="7">
        <f>SUM(D44:D55)</f>
        <v>5070.927671714755</v>
      </c>
    </row>
    <row r="58" spans="1:7" x14ac:dyDescent="0.2">
      <c r="A58" s="19">
        <v>43101</v>
      </c>
      <c r="B58" s="6">
        <f t="shared" ref="B58" si="20">+F55</f>
        <v>122273.32463148328</v>
      </c>
      <c r="C58" s="6">
        <f t="shared" ref="C58:C69" si="21">+E58-D58</f>
        <v>220.05465736438265</v>
      </c>
      <c r="D58" s="6">
        <f t="shared" ref="D58:D69" si="22">B58*$I$2</f>
        <v>417.76719249090121</v>
      </c>
      <c r="E58" s="6">
        <f t="shared" si="17"/>
        <v>637.82184985528386</v>
      </c>
      <c r="F58" s="6">
        <f t="shared" ref="F58:F69" si="23">+B58-C58</f>
        <v>122053.2699741189</v>
      </c>
    </row>
    <row r="59" spans="1:7" x14ac:dyDescent="0.2">
      <c r="A59" s="19">
        <v>43132</v>
      </c>
      <c r="B59" s="6">
        <f t="shared" ref="B59:B69" si="24">+F58</f>
        <v>122053.2699741189</v>
      </c>
      <c r="C59" s="6">
        <f t="shared" si="21"/>
        <v>220.80651077704425</v>
      </c>
      <c r="D59" s="6">
        <f t="shared" si="22"/>
        <v>417.01533907823961</v>
      </c>
      <c r="E59" s="6">
        <f t="shared" si="17"/>
        <v>637.82184985528386</v>
      </c>
      <c r="F59" s="6">
        <f t="shared" si="23"/>
        <v>121832.46346334186</v>
      </c>
    </row>
    <row r="60" spans="1:7" x14ac:dyDescent="0.2">
      <c r="A60" s="19">
        <v>43160</v>
      </c>
      <c r="B60" s="6">
        <f t="shared" si="24"/>
        <v>121832.46346334186</v>
      </c>
      <c r="C60" s="6">
        <f t="shared" si="21"/>
        <v>221.56093302219915</v>
      </c>
      <c r="D60" s="6">
        <f t="shared" si="22"/>
        <v>416.26091683308471</v>
      </c>
      <c r="E60" s="6">
        <f t="shared" si="17"/>
        <v>637.82184985528386</v>
      </c>
      <c r="F60" s="6">
        <f t="shared" si="23"/>
        <v>121610.90253031967</v>
      </c>
    </row>
    <row r="61" spans="1:7" x14ac:dyDescent="0.2">
      <c r="A61" s="19">
        <v>43191</v>
      </c>
      <c r="B61" s="6">
        <f t="shared" si="24"/>
        <v>121610.90253031967</v>
      </c>
      <c r="C61" s="6">
        <f t="shared" si="21"/>
        <v>222.31793287669166</v>
      </c>
      <c r="D61" s="6">
        <f t="shared" si="22"/>
        <v>415.5039169785922</v>
      </c>
      <c r="E61" s="6">
        <f t="shared" si="17"/>
        <v>637.82184985528386</v>
      </c>
      <c r="F61" s="6">
        <f t="shared" si="23"/>
        <v>121388.58459744298</v>
      </c>
    </row>
    <row r="62" spans="1:7" x14ac:dyDescent="0.2">
      <c r="A62" s="19">
        <v>43221</v>
      </c>
      <c r="B62" s="6">
        <f t="shared" si="24"/>
        <v>121388.58459744298</v>
      </c>
      <c r="C62" s="6">
        <f t="shared" si="21"/>
        <v>223.07751914735366</v>
      </c>
      <c r="D62" s="6">
        <f t="shared" si="22"/>
        <v>414.7443307079302</v>
      </c>
      <c r="E62" s="6">
        <f t="shared" si="17"/>
        <v>637.82184985528386</v>
      </c>
      <c r="F62" s="6">
        <f t="shared" si="23"/>
        <v>121165.50707829563</v>
      </c>
    </row>
    <row r="63" spans="1:7" x14ac:dyDescent="0.2">
      <c r="A63" s="19">
        <v>43252</v>
      </c>
      <c r="B63" s="6">
        <f t="shared" si="24"/>
        <v>121165.50707829563</v>
      </c>
      <c r="C63" s="6">
        <f t="shared" si="21"/>
        <v>223.8397006711071</v>
      </c>
      <c r="D63" s="6">
        <f t="shared" si="22"/>
        <v>413.98214918417676</v>
      </c>
      <c r="E63" s="6">
        <f t="shared" si="17"/>
        <v>637.82184985528386</v>
      </c>
      <c r="F63" s="6">
        <f t="shared" si="23"/>
        <v>120941.66737762453</v>
      </c>
    </row>
    <row r="64" spans="1:7" x14ac:dyDescent="0.2">
      <c r="A64" s="19">
        <v>43282</v>
      </c>
      <c r="B64" s="6">
        <f t="shared" si="24"/>
        <v>120941.66737762453</v>
      </c>
      <c r="C64" s="6">
        <f t="shared" si="21"/>
        <v>224.60448631506671</v>
      </c>
      <c r="D64" s="6">
        <f t="shared" si="22"/>
        <v>413.21736354021715</v>
      </c>
      <c r="E64" s="6">
        <f t="shared" si="17"/>
        <v>637.82184985528386</v>
      </c>
      <c r="F64" s="6">
        <f t="shared" si="23"/>
        <v>120717.06289130947</v>
      </c>
    </row>
    <row r="65" spans="1:6" x14ac:dyDescent="0.2">
      <c r="A65" s="19">
        <v>43313</v>
      </c>
      <c r="B65" s="6">
        <f t="shared" si="24"/>
        <v>120717.06289130947</v>
      </c>
      <c r="C65" s="6">
        <f t="shared" si="21"/>
        <v>225.37188497664317</v>
      </c>
      <c r="D65" s="6">
        <f t="shared" si="22"/>
        <v>412.44996487864069</v>
      </c>
      <c r="E65" s="6">
        <f t="shared" si="17"/>
        <v>637.82184985528386</v>
      </c>
      <c r="F65" s="6">
        <f t="shared" si="23"/>
        <v>120491.69100633283</v>
      </c>
    </row>
    <row r="66" spans="1:6" x14ac:dyDescent="0.2">
      <c r="A66" s="19">
        <v>43344</v>
      </c>
      <c r="B66" s="6">
        <f t="shared" si="24"/>
        <v>120491.69100633283</v>
      </c>
      <c r="C66" s="6">
        <f t="shared" si="21"/>
        <v>226.14190558364669</v>
      </c>
      <c r="D66" s="6">
        <f t="shared" si="22"/>
        <v>411.67994427163717</v>
      </c>
      <c r="E66" s="6">
        <f t="shared" si="17"/>
        <v>637.82184985528386</v>
      </c>
      <c r="F66" s="6">
        <f t="shared" si="23"/>
        <v>120265.54910074918</v>
      </c>
    </row>
    <row r="67" spans="1:6" x14ac:dyDescent="0.2">
      <c r="A67" s="19">
        <v>43374</v>
      </c>
      <c r="B67" s="6">
        <f t="shared" si="24"/>
        <v>120265.54910074918</v>
      </c>
      <c r="C67" s="6">
        <f t="shared" si="21"/>
        <v>226.91455709439083</v>
      </c>
      <c r="D67" s="6">
        <f t="shared" si="22"/>
        <v>410.90729276089303</v>
      </c>
      <c r="E67" s="6">
        <f t="shared" si="17"/>
        <v>637.82184985528386</v>
      </c>
      <c r="F67" s="6">
        <f t="shared" si="23"/>
        <v>120038.63454365479</v>
      </c>
    </row>
    <row r="68" spans="1:6" x14ac:dyDescent="0.2">
      <c r="A68" s="19">
        <v>43405</v>
      </c>
      <c r="B68" s="6">
        <f t="shared" si="24"/>
        <v>120038.63454365479</v>
      </c>
      <c r="C68" s="6">
        <f t="shared" si="21"/>
        <v>227.68984849779667</v>
      </c>
      <c r="D68" s="6">
        <f t="shared" si="22"/>
        <v>410.13200135748718</v>
      </c>
      <c r="E68" s="6">
        <f t="shared" si="17"/>
        <v>637.82184985528386</v>
      </c>
      <c r="F68" s="6">
        <f t="shared" si="23"/>
        <v>119810.94469515698</v>
      </c>
    </row>
    <row r="69" spans="1:6" x14ac:dyDescent="0.2">
      <c r="A69" s="19">
        <v>43435</v>
      </c>
      <c r="B69" s="6">
        <f t="shared" si="24"/>
        <v>119810.94469515698</v>
      </c>
      <c r="C69" s="6">
        <f t="shared" si="21"/>
        <v>228.46778881349746</v>
      </c>
      <c r="D69" s="6">
        <f t="shared" si="22"/>
        <v>409.35406104178639</v>
      </c>
      <c r="E69" s="6">
        <f t="shared" si="17"/>
        <v>637.82184985528386</v>
      </c>
      <c r="F69" s="7">
        <f t="shared" si="23"/>
        <v>119582.47690634348</v>
      </c>
    </row>
    <row r="70" spans="1:6" x14ac:dyDescent="0.2">
      <c r="A70" s="8" t="s">
        <v>42</v>
      </c>
      <c r="B70" s="9"/>
      <c r="C70" s="7">
        <f t="shared" ref="C70:D70" si="25">SUM(C58:C69)</f>
        <v>2690.8477251398199</v>
      </c>
      <c r="D70" s="7">
        <f t="shared" si="25"/>
        <v>4963.0144731235869</v>
      </c>
    </row>
    <row r="72" spans="1:6" x14ac:dyDescent="0.2">
      <c r="A72" s="19">
        <v>43466</v>
      </c>
      <c r="B72" s="6">
        <f t="shared" ref="B72" si="26">+F69</f>
        <v>119582.47690634348</v>
      </c>
      <c r="C72" s="6">
        <f t="shared" ref="C72:C83" si="27">+E72-D72</f>
        <v>229.24838709194364</v>
      </c>
      <c r="D72" s="6">
        <f t="shared" ref="D72:D83" si="28">B72*$I$2</f>
        <v>408.57346276334022</v>
      </c>
      <c r="E72" s="6">
        <f t="shared" si="17"/>
        <v>637.82184985528386</v>
      </c>
      <c r="F72" s="6">
        <f t="shared" ref="F72:F83" si="29">+B72-C72</f>
        <v>119353.22851925154</v>
      </c>
    </row>
    <row r="73" spans="1:6" x14ac:dyDescent="0.2">
      <c r="A73" s="19">
        <v>43497</v>
      </c>
      <c r="B73" s="6">
        <f t="shared" ref="B73:B83" si="30">+F72</f>
        <v>119353.22851925154</v>
      </c>
      <c r="C73" s="6">
        <f t="shared" si="27"/>
        <v>230.03165241450773</v>
      </c>
      <c r="D73" s="6">
        <f t="shared" si="28"/>
        <v>407.79019744077613</v>
      </c>
      <c r="E73" s="6">
        <f t="shared" si="17"/>
        <v>637.82184985528386</v>
      </c>
      <c r="F73" s="6">
        <f t="shared" si="29"/>
        <v>119123.19686683704</v>
      </c>
    </row>
    <row r="74" spans="1:6" x14ac:dyDescent="0.2">
      <c r="A74" s="19">
        <v>43525</v>
      </c>
      <c r="B74" s="6">
        <f t="shared" si="30"/>
        <v>119123.19686683704</v>
      </c>
      <c r="C74" s="6">
        <f t="shared" si="27"/>
        <v>230.81759389359064</v>
      </c>
      <c r="D74" s="6">
        <f t="shared" si="28"/>
        <v>407.00425596169322</v>
      </c>
      <c r="E74" s="6">
        <f t="shared" si="17"/>
        <v>637.82184985528386</v>
      </c>
      <c r="F74" s="6">
        <f t="shared" si="29"/>
        <v>118892.37927294345</v>
      </c>
    </row>
    <row r="75" spans="1:6" x14ac:dyDescent="0.2">
      <c r="A75" s="19">
        <v>43556</v>
      </c>
      <c r="B75" s="6">
        <f t="shared" si="30"/>
        <v>118892.37927294345</v>
      </c>
      <c r="C75" s="6">
        <f t="shared" si="27"/>
        <v>231.60622067272703</v>
      </c>
      <c r="D75" s="6">
        <f t="shared" si="28"/>
        <v>406.21562918255682</v>
      </c>
      <c r="E75" s="6">
        <f t="shared" si="17"/>
        <v>637.82184985528386</v>
      </c>
      <c r="F75" s="6">
        <f t="shared" si="29"/>
        <v>118660.77305227073</v>
      </c>
    </row>
    <row r="76" spans="1:6" x14ac:dyDescent="0.2">
      <c r="A76" s="19">
        <v>43586</v>
      </c>
      <c r="B76" s="6">
        <f t="shared" si="30"/>
        <v>118660.77305227073</v>
      </c>
      <c r="C76" s="6">
        <f t="shared" si="27"/>
        <v>232.39754192669221</v>
      </c>
      <c r="D76" s="6">
        <f t="shared" si="28"/>
        <v>405.42430792859165</v>
      </c>
      <c r="E76" s="6">
        <f t="shared" si="17"/>
        <v>637.82184985528386</v>
      </c>
      <c r="F76" s="6">
        <f t="shared" si="29"/>
        <v>118428.37551034403</v>
      </c>
    </row>
    <row r="77" spans="1:6" x14ac:dyDescent="0.2">
      <c r="A77" s="19">
        <v>43617</v>
      </c>
      <c r="B77" s="6">
        <f t="shared" si="30"/>
        <v>118428.37551034403</v>
      </c>
      <c r="C77" s="6">
        <f t="shared" si="27"/>
        <v>233.19156686160841</v>
      </c>
      <c r="D77" s="6">
        <f t="shared" si="28"/>
        <v>404.63028299367545</v>
      </c>
      <c r="E77" s="6">
        <f t="shared" si="17"/>
        <v>637.82184985528386</v>
      </c>
      <c r="F77" s="6">
        <f t="shared" si="29"/>
        <v>118195.18394348242</v>
      </c>
    </row>
    <row r="78" spans="1:6" x14ac:dyDescent="0.2">
      <c r="A78" s="19">
        <v>43647</v>
      </c>
      <c r="B78" s="6">
        <f t="shared" si="30"/>
        <v>118195.18394348242</v>
      </c>
      <c r="C78" s="6">
        <f t="shared" si="27"/>
        <v>233.98830471505221</v>
      </c>
      <c r="D78" s="6">
        <f t="shared" si="28"/>
        <v>403.83354514023165</v>
      </c>
      <c r="E78" s="6">
        <f t="shared" si="17"/>
        <v>637.82184985528386</v>
      </c>
      <c r="F78" s="6">
        <f t="shared" si="29"/>
        <v>117961.19563876737</v>
      </c>
    </row>
    <row r="79" spans="1:6" x14ac:dyDescent="0.2">
      <c r="A79" s="19">
        <v>43678</v>
      </c>
      <c r="B79" s="6">
        <f t="shared" si="30"/>
        <v>117961.19563876737</v>
      </c>
      <c r="C79" s="6">
        <f t="shared" si="27"/>
        <v>234.78776475616201</v>
      </c>
      <c r="D79" s="6">
        <f t="shared" si="28"/>
        <v>403.03408509912185</v>
      </c>
      <c r="E79" s="6">
        <f t="shared" si="17"/>
        <v>637.82184985528386</v>
      </c>
      <c r="F79" s="6">
        <f t="shared" si="29"/>
        <v>117726.4078740112</v>
      </c>
    </row>
    <row r="80" spans="1:6" x14ac:dyDescent="0.2">
      <c r="A80" s="19">
        <v>43709</v>
      </c>
      <c r="B80" s="6">
        <f t="shared" si="30"/>
        <v>117726.4078740112</v>
      </c>
      <c r="C80" s="6">
        <f t="shared" si="27"/>
        <v>235.58995628574559</v>
      </c>
      <c r="D80" s="6">
        <f t="shared" si="28"/>
        <v>402.23189356953827</v>
      </c>
      <c r="E80" s="6">
        <f t="shared" si="17"/>
        <v>637.82184985528386</v>
      </c>
      <c r="F80" s="6">
        <f t="shared" si="29"/>
        <v>117490.81791772545</v>
      </c>
    </row>
    <row r="81" spans="1:6" x14ac:dyDescent="0.2">
      <c r="A81" s="19">
        <v>43739</v>
      </c>
      <c r="B81" s="6">
        <f t="shared" si="30"/>
        <v>117490.81791772545</v>
      </c>
      <c r="C81" s="6">
        <f t="shared" si="27"/>
        <v>236.39488863638854</v>
      </c>
      <c r="D81" s="6">
        <f t="shared" si="28"/>
        <v>401.42696121889531</v>
      </c>
      <c r="E81" s="6">
        <f t="shared" si="17"/>
        <v>637.82184985528386</v>
      </c>
      <c r="F81" s="6">
        <f t="shared" si="29"/>
        <v>117254.42302908906</v>
      </c>
    </row>
    <row r="82" spans="1:6" x14ac:dyDescent="0.2">
      <c r="A82" s="19">
        <v>43770</v>
      </c>
      <c r="B82" s="6">
        <f t="shared" si="30"/>
        <v>117254.42302908906</v>
      </c>
      <c r="C82" s="6">
        <f t="shared" si="27"/>
        <v>237.2025711725629</v>
      </c>
      <c r="D82" s="6">
        <f t="shared" si="28"/>
        <v>400.61927868272096</v>
      </c>
      <c r="E82" s="6">
        <f t="shared" si="17"/>
        <v>637.82184985528386</v>
      </c>
      <c r="F82" s="6">
        <f t="shared" si="29"/>
        <v>117017.2204579165</v>
      </c>
    </row>
    <row r="83" spans="1:6" x14ac:dyDescent="0.2">
      <c r="A83" s="19">
        <v>43800</v>
      </c>
      <c r="B83" s="6">
        <f t="shared" si="30"/>
        <v>117017.2204579165</v>
      </c>
      <c r="C83" s="6">
        <f t="shared" si="27"/>
        <v>238.01301329073578</v>
      </c>
      <c r="D83" s="6">
        <f t="shared" si="28"/>
        <v>399.80883656454807</v>
      </c>
      <c r="E83" s="6">
        <f t="shared" si="17"/>
        <v>637.82184985528386</v>
      </c>
      <c r="F83" s="7">
        <f t="shared" si="29"/>
        <v>116779.20744462576</v>
      </c>
    </row>
    <row r="84" spans="1:6" x14ac:dyDescent="0.2">
      <c r="A84" s="8" t="s">
        <v>42</v>
      </c>
      <c r="B84" s="9"/>
      <c r="C84" s="7">
        <f t="shared" ref="C84:D84" si="31">SUM(C72:C83)</f>
        <v>2803.2694617177167</v>
      </c>
      <c r="D84" s="7">
        <f t="shared" si="31"/>
        <v>4850.5927365456901</v>
      </c>
    </row>
    <row r="86" spans="1:6" x14ac:dyDescent="0.2">
      <c r="A86" s="19">
        <v>43831</v>
      </c>
      <c r="B86" s="6">
        <f t="shared" ref="B86" si="32">+F83</f>
        <v>116779.20744462576</v>
      </c>
      <c r="C86" s="6">
        <f t="shared" ref="C86:C97" si="33">+E86-D86</f>
        <v>238.82622441947916</v>
      </c>
      <c r="D86" s="6">
        <f t="shared" ref="D86:D97" si="34">B86*$I$2</f>
        <v>398.9956254358047</v>
      </c>
      <c r="E86" s="6">
        <f t="shared" si="17"/>
        <v>637.82184985528386</v>
      </c>
      <c r="F86" s="6">
        <f t="shared" ref="F86:F97" si="35">+B86-C86</f>
        <v>116540.38122020628</v>
      </c>
    </row>
    <row r="87" spans="1:6" x14ac:dyDescent="0.2">
      <c r="A87" s="19">
        <v>43862</v>
      </c>
      <c r="B87" s="6">
        <f t="shared" ref="B87:B97" si="36">+F86</f>
        <v>116540.38122020628</v>
      </c>
      <c r="C87" s="6">
        <f t="shared" si="33"/>
        <v>239.64221401957906</v>
      </c>
      <c r="D87" s="6">
        <f t="shared" si="34"/>
        <v>398.1796358357048</v>
      </c>
      <c r="E87" s="6">
        <f t="shared" si="17"/>
        <v>637.82184985528386</v>
      </c>
      <c r="F87" s="6">
        <f t="shared" si="35"/>
        <v>116300.7390061867</v>
      </c>
    </row>
    <row r="88" spans="1:6" x14ac:dyDescent="0.2">
      <c r="A88" s="19">
        <v>43891</v>
      </c>
      <c r="B88" s="6">
        <f t="shared" si="36"/>
        <v>116300.7390061867</v>
      </c>
      <c r="C88" s="6">
        <f t="shared" si="33"/>
        <v>240.46099158414592</v>
      </c>
      <c r="D88" s="6">
        <f t="shared" si="34"/>
        <v>397.36085827113794</v>
      </c>
      <c r="E88" s="6">
        <f t="shared" si="17"/>
        <v>637.82184985528386</v>
      </c>
      <c r="F88" s="6">
        <f t="shared" si="35"/>
        <v>116060.27801460256</v>
      </c>
    </row>
    <row r="89" spans="1:6" x14ac:dyDescent="0.2">
      <c r="A89" s="19">
        <v>43922</v>
      </c>
      <c r="B89" s="6">
        <f t="shared" si="36"/>
        <v>116060.27801460256</v>
      </c>
      <c r="C89" s="6">
        <f t="shared" si="33"/>
        <v>241.28256663872509</v>
      </c>
      <c r="D89" s="6">
        <f t="shared" si="34"/>
        <v>396.53928321655877</v>
      </c>
      <c r="E89" s="6">
        <f t="shared" si="17"/>
        <v>637.82184985528386</v>
      </c>
      <c r="F89" s="6">
        <f t="shared" si="35"/>
        <v>115818.99544796384</v>
      </c>
    </row>
    <row r="90" spans="1:6" x14ac:dyDescent="0.2">
      <c r="A90" s="19">
        <v>43952</v>
      </c>
      <c r="B90" s="6">
        <f t="shared" si="36"/>
        <v>115818.99544796384</v>
      </c>
      <c r="C90" s="6">
        <f t="shared" si="33"/>
        <v>242.10694874140739</v>
      </c>
      <c r="D90" s="6">
        <f t="shared" si="34"/>
        <v>395.71490111387646</v>
      </c>
      <c r="E90" s="6">
        <f t="shared" si="17"/>
        <v>637.82184985528386</v>
      </c>
      <c r="F90" s="6">
        <f t="shared" si="35"/>
        <v>115576.88849922243</v>
      </c>
    </row>
    <row r="91" spans="1:6" x14ac:dyDescent="0.2">
      <c r="A91" s="19">
        <v>43983</v>
      </c>
      <c r="B91" s="6">
        <f t="shared" si="36"/>
        <v>115576.88849922243</v>
      </c>
      <c r="C91" s="6">
        <f t="shared" si="33"/>
        <v>242.93414748294055</v>
      </c>
      <c r="D91" s="6">
        <f t="shared" si="34"/>
        <v>394.88770237234331</v>
      </c>
      <c r="E91" s="6">
        <f t="shared" si="17"/>
        <v>637.82184985528386</v>
      </c>
      <c r="F91" s="6">
        <f t="shared" si="35"/>
        <v>115333.95435173949</v>
      </c>
    </row>
    <row r="92" spans="1:6" x14ac:dyDescent="0.2">
      <c r="A92" s="19">
        <v>44013</v>
      </c>
      <c r="B92" s="6">
        <f t="shared" si="36"/>
        <v>115333.95435173949</v>
      </c>
      <c r="C92" s="6">
        <f t="shared" si="33"/>
        <v>243.76417248684055</v>
      </c>
      <c r="D92" s="6">
        <f t="shared" si="34"/>
        <v>394.05767736844331</v>
      </c>
      <c r="E92" s="6">
        <f t="shared" si="17"/>
        <v>637.82184985528386</v>
      </c>
      <c r="F92" s="6">
        <f t="shared" si="35"/>
        <v>115090.19017925265</v>
      </c>
    </row>
    <row r="93" spans="1:6" x14ac:dyDescent="0.2">
      <c r="A93" s="19">
        <v>44044</v>
      </c>
      <c r="B93" s="6">
        <f t="shared" si="36"/>
        <v>115090.19017925265</v>
      </c>
      <c r="C93" s="6">
        <f t="shared" si="33"/>
        <v>244.59703340950398</v>
      </c>
      <c r="D93" s="6">
        <f t="shared" si="34"/>
        <v>393.22481644577988</v>
      </c>
      <c r="E93" s="6">
        <f t="shared" si="17"/>
        <v>637.82184985528386</v>
      </c>
      <c r="F93" s="6">
        <f t="shared" si="35"/>
        <v>114845.59314584314</v>
      </c>
    </row>
    <row r="94" spans="1:6" x14ac:dyDescent="0.2">
      <c r="A94" s="19">
        <v>44075</v>
      </c>
      <c r="B94" s="6">
        <f t="shared" si="36"/>
        <v>114845.59314584314</v>
      </c>
      <c r="C94" s="6">
        <f t="shared" si="33"/>
        <v>245.43273994031978</v>
      </c>
      <c r="D94" s="6">
        <f t="shared" si="34"/>
        <v>392.38910991496408</v>
      </c>
      <c r="E94" s="6">
        <f t="shared" si="17"/>
        <v>637.82184985528386</v>
      </c>
      <c r="F94" s="6">
        <f t="shared" si="35"/>
        <v>114600.16040590282</v>
      </c>
    </row>
    <row r="95" spans="1:6" x14ac:dyDescent="0.2">
      <c r="A95" s="19">
        <v>44105</v>
      </c>
      <c r="B95" s="6">
        <f t="shared" si="36"/>
        <v>114600.16040590282</v>
      </c>
      <c r="C95" s="6">
        <f t="shared" si="33"/>
        <v>246.27130180178256</v>
      </c>
      <c r="D95" s="6">
        <f t="shared" si="34"/>
        <v>391.5505480535013</v>
      </c>
      <c r="E95" s="6">
        <f t="shared" si="17"/>
        <v>637.82184985528386</v>
      </c>
      <c r="F95" s="6">
        <f t="shared" si="35"/>
        <v>114353.88910410104</v>
      </c>
    </row>
    <row r="96" spans="1:6" x14ac:dyDescent="0.2">
      <c r="A96" s="19">
        <v>44136</v>
      </c>
      <c r="B96" s="6">
        <f t="shared" si="36"/>
        <v>114353.88910410104</v>
      </c>
      <c r="C96" s="6">
        <f t="shared" si="33"/>
        <v>247.11272874960531</v>
      </c>
      <c r="D96" s="6">
        <f t="shared" si="34"/>
        <v>390.70912110567855</v>
      </c>
      <c r="E96" s="6">
        <f t="shared" si="17"/>
        <v>637.82184985528386</v>
      </c>
      <c r="F96" s="6">
        <f t="shared" si="35"/>
        <v>114106.77637535143</v>
      </c>
    </row>
    <row r="97" spans="1:6" x14ac:dyDescent="0.2">
      <c r="A97" s="19">
        <v>44166</v>
      </c>
      <c r="B97" s="6">
        <f t="shared" si="36"/>
        <v>114106.77637535143</v>
      </c>
      <c r="C97" s="6">
        <f t="shared" si="33"/>
        <v>247.9570305728331</v>
      </c>
      <c r="D97" s="6">
        <f t="shared" si="34"/>
        <v>389.86481928245075</v>
      </c>
      <c r="E97" s="6">
        <f t="shared" si="17"/>
        <v>637.82184985528386</v>
      </c>
      <c r="F97" s="7">
        <f t="shared" si="35"/>
        <v>113858.8193447786</v>
      </c>
    </row>
    <row r="98" spans="1:6" x14ac:dyDescent="0.2">
      <c r="A98" s="8" t="s">
        <v>42</v>
      </c>
      <c r="B98" s="9"/>
      <c r="C98" s="7">
        <f t="shared" ref="C98:D98" si="37">SUM(C86:C97)</f>
        <v>2920.3880998471618</v>
      </c>
      <c r="D98" s="7">
        <f t="shared" si="37"/>
        <v>4733.4740984162436</v>
      </c>
    </row>
    <row r="100" spans="1:6" x14ac:dyDescent="0.2">
      <c r="A100" s="19">
        <v>44197</v>
      </c>
      <c r="B100" s="6">
        <f t="shared" ref="B100" si="38">+F97</f>
        <v>113858.8193447786</v>
      </c>
      <c r="C100" s="6">
        <f t="shared" ref="C100:C111" si="39">+E100-D100</f>
        <v>248.80421709395694</v>
      </c>
      <c r="D100" s="6">
        <f t="shared" ref="D100:D111" si="40">B100*$I$2</f>
        <v>389.01763276132692</v>
      </c>
      <c r="E100" s="6">
        <f t="shared" si="17"/>
        <v>637.82184985528386</v>
      </c>
      <c r="F100" s="6">
        <f t="shared" ref="F100:F111" si="41">+B100-C100</f>
        <v>113610.01512768464</v>
      </c>
    </row>
    <row r="101" spans="1:6" x14ac:dyDescent="0.2">
      <c r="A101" s="19">
        <v>44228</v>
      </c>
      <c r="B101" s="6">
        <f t="shared" ref="B101:B111" si="42">+F100</f>
        <v>113610.01512768464</v>
      </c>
      <c r="C101" s="6">
        <f t="shared" si="39"/>
        <v>249.65429816902798</v>
      </c>
      <c r="D101" s="6">
        <f t="shared" si="40"/>
        <v>388.16755168625588</v>
      </c>
      <c r="E101" s="6">
        <f t="shared" si="17"/>
        <v>637.82184985528386</v>
      </c>
      <c r="F101" s="6">
        <f t="shared" si="41"/>
        <v>113360.36082951562</v>
      </c>
    </row>
    <row r="102" spans="1:6" x14ac:dyDescent="0.2">
      <c r="A102" s="19">
        <v>44256</v>
      </c>
      <c r="B102" s="6">
        <f t="shared" si="42"/>
        <v>113360.36082951562</v>
      </c>
      <c r="C102" s="6">
        <f t="shared" si="39"/>
        <v>250.50728368777214</v>
      </c>
      <c r="D102" s="6">
        <f t="shared" si="40"/>
        <v>387.31456616751171</v>
      </c>
      <c r="E102" s="6">
        <f t="shared" si="17"/>
        <v>637.82184985528386</v>
      </c>
      <c r="F102" s="6">
        <f t="shared" si="41"/>
        <v>113109.85354582785</v>
      </c>
    </row>
    <row r="103" spans="1:6" x14ac:dyDescent="0.2">
      <c r="A103" s="19">
        <v>44287</v>
      </c>
      <c r="B103" s="6">
        <f t="shared" si="42"/>
        <v>113109.85354582785</v>
      </c>
      <c r="C103" s="6">
        <f t="shared" si="39"/>
        <v>251.36318357370538</v>
      </c>
      <c r="D103" s="6">
        <f t="shared" si="40"/>
        <v>386.45866628157847</v>
      </c>
      <c r="E103" s="6">
        <f t="shared" si="17"/>
        <v>637.82184985528386</v>
      </c>
      <c r="F103" s="6">
        <f t="shared" si="41"/>
        <v>112858.49036225415</v>
      </c>
    </row>
    <row r="104" spans="1:6" x14ac:dyDescent="0.2">
      <c r="A104" s="19">
        <v>44317</v>
      </c>
      <c r="B104" s="6">
        <f t="shared" si="42"/>
        <v>112858.49036225415</v>
      </c>
      <c r="C104" s="6">
        <f t="shared" si="39"/>
        <v>252.22200778424883</v>
      </c>
      <c r="D104" s="6">
        <f t="shared" si="40"/>
        <v>385.59984207103503</v>
      </c>
      <c r="E104" s="6">
        <f t="shared" si="17"/>
        <v>637.82184985528386</v>
      </c>
      <c r="F104" s="6">
        <f t="shared" si="41"/>
        <v>112606.2683544699</v>
      </c>
    </row>
    <row r="105" spans="1:6" x14ac:dyDescent="0.2">
      <c r="A105" s="19">
        <v>44348</v>
      </c>
      <c r="B105" s="6">
        <f t="shared" si="42"/>
        <v>112606.2683544699</v>
      </c>
      <c r="C105" s="6">
        <f t="shared" si="39"/>
        <v>253.08376631084502</v>
      </c>
      <c r="D105" s="6">
        <f t="shared" si="40"/>
        <v>384.73808354443884</v>
      </c>
      <c r="E105" s="6">
        <f t="shared" si="17"/>
        <v>637.82184985528386</v>
      </c>
      <c r="F105" s="6">
        <f t="shared" si="41"/>
        <v>112353.18458815906</v>
      </c>
    </row>
    <row r="106" spans="1:6" x14ac:dyDescent="0.2">
      <c r="A106" s="19">
        <v>44378</v>
      </c>
      <c r="B106" s="6">
        <f t="shared" si="42"/>
        <v>112353.18458815906</v>
      </c>
      <c r="C106" s="6">
        <f t="shared" si="39"/>
        <v>253.94846917907375</v>
      </c>
      <c r="D106" s="6">
        <f t="shared" si="40"/>
        <v>383.8733806762101</v>
      </c>
      <c r="E106" s="6">
        <f t="shared" si="17"/>
        <v>637.82184985528386</v>
      </c>
      <c r="F106" s="6">
        <f t="shared" si="41"/>
        <v>112099.23611897998</v>
      </c>
    </row>
    <row r="107" spans="1:6" x14ac:dyDescent="0.2">
      <c r="A107" s="19">
        <v>44409</v>
      </c>
      <c r="B107" s="6">
        <f t="shared" si="42"/>
        <v>112099.23611897998</v>
      </c>
      <c r="C107" s="6">
        <f t="shared" si="39"/>
        <v>254.8161264487689</v>
      </c>
      <c r="D107" s="6">
        <f t="shared" si="40"/>
        <v>383.00572340651496</v>
      </c>
      <c r="E107" s="6">
        <f t="shared" si="17"/>
        <v>637.82184985528386</v>
      </c>
      <c r="F107" s="6">
        <f t="shared" si="41"/>
        <v>111844.41999253121</v>
      </c>
    </row>
    <row r="108" spans="1:6" x14ac:dyDescent="0.2">
      <c r="A108" s="19">
        <v>44440</v>
      </c>
      <c r="B108" s="6">
        <f t="shared" si="42"/>
        <v>111844.41999253121</v>
      </c>
      <c r="C108" s="6">
        <f t="shared" si="39"/>
        <v>255.68674821413555</v>
      </c>
      <c r="D108" s="6">
        <f t="shared" si="40"/>
        <v>382.13510164114831</v>
      </c>
      <c r="E108" s="6">
        <f t="shared" ref="E108:E171" si="43">-$I$8</f>
        <v>637.82184985528386</v>
      </c>
      <c r="F108" s="6">
        <f t="shared" si="41"/>
        <v>111588.73324431707</v>
      </c>
    </row>
    <row r="109" spans="1:6" x14ac:dyDescent="0.2">
      <c r="A109" s="19">
        <v>44470</v>
      </c>
      <c r="B109" s="6">
        <f t="shared" si="42"/>
        <v>111588.73324431707</v>
      </c>
      <c r="C109" s="6">
        <f t="shared" si="39"/>
        <v>256.56034460386718</v>
      </c>
      <c r="D109" s="6">
        <f t="shared" si="40"/>
        <v>381.26150525141668</v>
      </c>
      <c r="E109" s="6">
        <f t="shared" si="43"/>
        <v>637.82184985528386</v>
      </c>
      <c r="F109" s="6">
        <f t="shared" si="41"/>
        <v>111332.1728997132</v>
      </c>
    </row>
    <row r="110" spans="1:6" x14ac:dyDescent="0.2">
      <c r="A110" s="19">
        <v>44501</v>
      </c>
      <c r="B110" s="6">
        <f t="shared" si="42"/>
        <v>111332.1728997132</v>
      </c>
      <c r="C110" s="6">
        <f t="shared" si="39"/>
        <v>257.43692578126371</v>
      </c>
      <c r="D110" s="6">
        <f t="shared" si="40"/>
        <v>380.38492407402015</v>
      </c>
      <c r="E110" s="6">
        <f t="shared" si="43"/>
        <v>637.82184985528386</v>
      </c>
      <c r="F110" s="6">
        <f t="shared" si="41"/>
        <v>111074.73597393194</v>
      </c>
    </row>
    <row r="111" spans="1:6" x14ac:dyDescent="0.2">
      <c r="A111" s="19">
        <v>44531</v>
      </c>
      <c r="B111" s="6">
        <f t="shared" si="42"/>
        <v>111074.73597393194</v>
      </c>
      <c r="C111" s="6">
        <f t="shared" si="39"/>
        <v>258.31650194434974</v>
      </c>
      <c r="D111" s="6">
        <f t="shared" si="40"/>
        <v>379.50534791093412</v>
      </c>
      <c r="E111" s="6">
        <f t="shared" si="43"/>
        <v>637.82184985528386</v>
      </c>
      <c r="F111" s="7">
        <f t="shared" si="41"/>
        <v>110816.41947198758</v>
      </c>
    </row>
    <row r="112" spans="1:6" x14ac:dyDescent="0.2">
      <c r="A112" s="8" t="s">
        <v>42</v>
      </c>
      <c r="B112" s="9"/>
      <c r="C112" s="7">
        <f t="shared" ref="C112:D112" si="44">SUM(C100:C111)</f>
        <v>3042.3998727910148</v>
      </c>
      <c r="D112" s="7">
        <f t="shared" si="44"/>
        <v>4611.4623254723901</v>
      </c>
    </row>
    <row r="114" spans="1:6" x14ac:dyDescent="0.2">
      <c r="A114" s="19">
        <v>44562</v>
      </c>
      <c r="B114" s="6">
        <f t="shared" ref="B114" si="45">+F111</f>
        <v>110816.41947198758</v>
      </c>
      <c r="C114" s="6">
        <f t="shared" ref="C114:C125" si="46">+E114-D114</f>
        <v>259.19908332599294</v>
      </c>
      <c r="D114" s="6">
        <f t="shared" ref="D114:D125" si="47">B114*$I$2</f>
        <v>378.62276652929091</v>
      </c>
      <c r="E114" s="6">
        <f t="shared" si="43"/>
        <v>637.82184985528386</v>
      </c>
      <c r="F114" s="6">
        <f t="shared" ref="F114:F125" si="48">+B114-C114</f>
        <v>110557.22038866159</v>
      </c>
    </row>
    <row r="115" spans="1:6" x14ac:dyDescent="0.2">
      <c r="A115" s="19">
        <v>44593</v>
      </c>
      <c r="B115" s="6">
        <f t="shared" ref="B115:B125" si="49">+F114</f>
        <v>110557.22038866159</v>
      </c>
      <c r="C115" s="6">
        <f t="shared" si="46"/>
        <v>260.08468019402341</v>
      </c>
      <c r="D115" s="6">
        <f t="shared" si="47"/>
        <v>377.73716966126045</v>
      </c>
      <c r="E115" s="6">
        <f t="shared" si="43"/>
        <v>637.82184985528386</v>
      </c>
      <c r="F115" s="6">
        <f t="shared" si="48"/>
        <v>110297.13570846757</v>
      </c>
    </row>
    <row r="116" spans="1:6" x14ac:dyDescent="0.2">
      <c r="A116" s="19">
        <v>44621</v>
      </c>
      <c r="B116" s="6">
        <f t="shared" si="49"/>
        <v>110297.13570846757</v>
      </c>
      <c r="C116" s="6">
        <f t="shared" si="46"/>
        <v>260.97330285135297</v>
      </c>
      <c r="D116" s="6">
        <f t="shared" si="47"/>
        <v>376.84854700393089</v>
      </c>
      <c r="E116" s="6">
        <f t="shared" si="43"/>
        <v>637.82184985528386</v>
      </c>
      <c r="F116" s="6">
        <f t="shared" si="48"/>
        <v>110036.16240561621</v>
      </c>
    </row>
    <row r="117" spans="1:6" x14ac:dyDescent="0.2">
      <c r="A117" s="19">
        <v>44652</v>
      </c>
      <c r="B117" s="6">
        <f t="shared" si="49"/>
        <v>110036.16240561621</v>
      </c>
      <c r="C117" s="6">
        <f t="shared" si="46"/>
        <v>261.86496163609513</v>
      </c>
      <c r="D117" s="6">
        <f t="shared" si="47"/>
        <v>375.95688821918873</v>
      </c>
      <c r="E117" s="6">
        <f t="shared" si="43"/>
        <v>637.82184985528386</v>
      </c>
      <c r="F117" s="6">
        <f t="shared" si="48"/>
        <v>109774.29744398012</v>
      </c>
    </row>
    <row r="118" spans="1:6" x14ac:dyDescent="0.2">
      <c r="A118" s="19">
        <v>44682</v>
      </c>
      <c r="B118" s="6">
        <f t="shared" si="49"/>
        <v>109774.29744398012</v>
      </c>
      <c r="C118" s="6">
        <f t="shared" si="46"/>
        <v>262.7596669216851</v>
      </c>
      <c r="D118" s="6">
        <f t="shared" si="47"/>
        <v>375.06218293359876</v>
      </c>
      <c r="E118" s="6">
        <f t="shared" si="43"/>
        <v>637.82184985528386</v>
      </c>
      <c r="F118" s="6">
        <f t="shared" si="48"/>
        <v>109511.53777705843</v>
      </c>
    </row>
    <row r="119" spans="1:6" x14ac:dyDescent="0.2">
      <c r="A119" s="19">
        <v>44713</v>
      </c>
      <c r="B119" s="6">
        <f t="shared" si="49"/>
        <v>109511.53777705843</v>
      </c>
      <c r="C119" s="6">
        <f t="shared" si="46"/>
        <v>263.65742911700085</v>
      </c>
      <c r="D119" s="6">
        <f t="shared" si="47"/>
        <v>374.16442073828301</v>
      </c>
      <c r="E119" s="6">
        <f t="shared" si="43"/>
        <v>637.82184985528386</v>
      </c>
      <c r="F119" s="6">
        <f t="shared" si="48"/>
        <v>109247.88034794143</v>
      </c>
    </row>
    <row r="120" spans="1:6" x14ac:dyDescent="0.2">
      <c r="A120" s="19">
        <v>44743</v>
      </c>
      <c r="B120" s="6">
        <f t="shared" si="49"/>
        <v>109247.88034794143</v>
      </c>
      <c r="C120" s="6">
        <f t="shared" si="46"/>
        <v>264.55825866648394</v>
      </c>
      <c r="D120" s="6">
        <f t="shared" si="47"/>
        <v>373.26359118879992</v>
      </c>
      <c r="E120" s="6">
        <f t="shared" si="43"/>
        <v>637.82184985528386</v>
      </c>
      <c r="F120" s="6">
        <f t="shared" si="48"/>
        <v>108983.32208927495</v>
      </c>
    </row>
    <row r="121" spans="1:6" x14ac:dyDescent="0.2">
      <c r="A121" s="19">
        <v>44774</v>
      </c>
      <c r="B121" s="6">
        <f t="shared" si="49"/>
        <v>108983.32208927495</v>
      </c>
      <c r="C121" s="6">
        <f t="shared" si="46"/>
        <v>265.46216605026109</v>
      </c>
      <c r="D121" s="6">
        <f t="shared" si="47"/>
        <v>372.35968380502277</v>
      </c>
      <c r="E121" s="6">
        <f t="shared" si="43"/>
        <v>637.82184985528386</v>
      </c>
      <c r="F121" s="6">
        <f t="shared" si="48"/>
        <v>108717.85992322469</v>
      </c>
    </row>
    <row r="122" spans="1:6" x14ac:dyDescent="0.2">
      <c r="A122" s="19">
        <v>44805</v>
      </c>
      <c r="B122" s="6">
        <f t="shared" si="49"/>
        <v>108717.85992322469</v>
      </c>
      <c r="C122" s="6">
        <f t="shared" si="46"/>
        <v>266.36916178426617</v>
      </c>
      <c r="D122" s="6">
        <f t="shared" si="47"/>
        <v>371.45268807101769</v>
      </c>
      <c r="E122" s="6">
        <f t="shared" si="43"/>
        <v>637.82184985528386</v>
      </c>
      <c r="F122" s="6">
        <f t="shared" si="48"/>
        <v>108451.49076144042</v>
      </c>
    </row>
    <row r="123" spans="1:6" x14ac:dyDescent="0.2">
      <c r="A123" s="19">
        <v>44835</v>
      </c>
      <c r="B123" s="6">
        <f t="shared" si="49"/>
        <v>108451.49076144042</v>
      </c>
      <c r="C123" s="6">
        <f t="shared" si="46"/>
        <v>267.2792564203624</v>
      </c>
      <c r="D123" s="6">
        <f t="shared" si="47"/>
        <v>370.54259343492146</v>
      </c>
      <c r="E123" s="6">
        <f t="shared" si="43"/>
        <v>637.82184985528386</v>
      </c>
      <c r="F123" s="6">
        <f t="shared" si="48"/>
        <v>108184.21150502007</v>
      </c>
    </row>
    <row r="124" spans="1:6" x14ac:dyDescent="0.2">
      <c r="A124" s="19">
        <v>44866</v>
      </c>
      <c r="B124" s="6">
        <f t="shared" si="49"/>
        <v>108184.21150502007</v>
      </c>
      <c r="C124" s="6">
        <f t="shared" si="46"/>
        <v>268.19246054646527</v>
      </c>
      <c r="D124" s="6">
        <f t="shared" si="47"/>
        <v>369.62938930881859</v>
      </c>
      <c r="E124" s="6">
        <f t="shared" si="43"/>
        <v>637.82184985528386</v>
      </c>
      <c r="F124" s="6">
        <f t="shared" si="48"/>
        <v>107916.01904447361</v>
      </c>
    </row>
    <row r="125" spans="1:6" x14ac:dyDescent="0.2">
      <c r="A125" s="19">
        <v>44896</v>
      </c>
      <c r="B125" s="6">
        <f t="shared" si="49"/>
        <v>107916.01904447361</v>
      </c>
      <c r="C125" s="6">
        <f t="shared" si="46"/>
        <v>269.10878478666569</v>
      </c>
      <c r="D125" s="6">
        <f t="shared" si="47"/>
        <v>368.71306506861816</v>
      </c>
      <c r="E125" s="6">
        <f t="shared" si="43"/>
        <v>637.82184985528386</v>
      </c>
      <c r="F125" s="7">
        <f t="shared" si="48"/>
        <v>107646.91025968693</v>
      </c>
    </row>
    <row r="126" spans="1:6" x14ac:dyDescent="0.2">
      <c r="A126" s="8" t="s">
        <v>42</v>
      </c>
      <c r="B126" s="9"/>
      <c r="C126" s="7">
        <f t="shared" ref="C126:D126" si="50">SUM(C114:C125)</f>
        <v>3169.5092123006543</v>
      </c>
      <c r="D126" s="7">
        <f t="shared" si="50"/>
        <v>4484.3529859627515</v>
      </c>
    </row>
    <row r="128" spans="1:6" x14ac:dyDescent="0.2">
      <c r="A128" s="19">
        <v>44927</v>
      </c>
      <c r="B128" s="6">
        <f t="shared" ref="B128" si="51">+F125</f>
        <v>107646.91025968693</v>
      </c>
      <c r="C128" s="6">
        <f t="shared" ref="C128:C139" si="52">+E128-D128</f>
        <v>270.02823980135349</v>
      </c>
      <c r="D128" s="6">
        <f t="shared" ref="D128:D139" si="53">B128*$I$2</f>
        <v>367.79361005393037</v>
      </c>
      <c r="E128" s="6">
        <f t="shared" si="43"/>
        <v>637.82184985528386</v>
      </c>
      <c r="F128" s="6">
        <f t="shared" ref="F128:F139" si="54">+B128-C128</f>
        <v>107376.88201988558</v>
      </c>
    </row>
    <row r="129" spans="1:6" x14ac:dyDescent="0.2">
      <c r="A129" s="19">
        <v>44958</v>
      </c>
      <c r="B129" s="6">
        <f t="shared" ref="B129:B139" si="55">+F128</f>
        <v>107376.88201988558</v>
      </c>
      <c r="C129" s="6">
        <f t="shared" si="52"/>
        <v>270.95083628734142</v>
      </c>
      <c r="D129" s="6">
        <f t="shared" si="53"/>
        <v>366.87101356794244</v>
      </c>
      <c r="E129" s="6">
        <f t="shared" si="43"/>
        <v>637.82184985528386</v>
      </c>
      <c r="F129" s="6">
        <f t="shared" si="54"/>
        <v>107105.93118359824</v>
      </c>
    </row>
    <row r="130" spans="1:6" x14ac:dyDescent="0.2">
      <c r="A130" s="19">
        <v>44986</v>
      </c>
      <c r="B130" s="6">
        <f t="shared" si="55"/>
        <v>107105.93118359824</v>
      </c>
      <c r="C130" s="6">
        <f t="shared" si="52"/>
        <v>271.87658497798986</v>
      </c>
      <c r="D130" s="6">
        <f t="shared" si="53"/>
        <v>365.94526487729399</v>
      </c>
      <c r="E130" s="6">
        <f t="shared" si="43"/>
        <v>637.82184985528386</v>
      </c>
      <c r="F130" s="6">
        <f t="shared" si="54"/>
        <v>106834.05459862025</v>
      </c>
    </row>
    <row r="131" spans="1:6" x14ac:dyDescent="0.2">
      <c r="A131" s="19">
        <v>45017</v>
      </c>
      <c r="B131" s="6">
        <f t="shared" si="55"/>
        <v>106834.05459862025</v>
      </c>
      <c r="C131" s="6">
        <f t="shared" si="52"/>
        <v>272.80549664333131</v>
      </c>
      <c r="D131" s="6">
        <f t="shared" si="53"/>
        <v>365.01635321195255</v>
      </c>
      <c r="E131" s="6">
        <f t="shared" si="43"/>
        <v>637.82184985528386</v>
      </c>
      <c r="F131" s="6">
        <f t="shared" si="54"/>
        <v>106561.24910197692</v>
      </c>
    </row>
    <row r="132" spans="1:6" x14ac:dyDescent="0.2">
      <c r="A132" s="19">
        <v>45047</v>
      </c>
      <c r="B132" s="6">
        <f t="shared" si="55"/>
        <v>106561.24910197692</v>
      </c>
      <c r="C132" s="6">
        <f t="shared" si="52"/>
        <v>273.73758209019604</v>
      </c>
      <c r="D132" s="6">
        <f t="shared" si="53"/>
        <v>364.08426776508782</v>
      </c>
      <c r="E132" s="6">
        <f t="shared" si="43"/>
        <v>637.82184985528386</v>
      </c>
      <c r="F132" s="6">
        <f t="shared" si="54"/>
        <v>106287.51151988673</v>
      </c>
    </row>
    <row r="133" spans="1:6" x14ac:dyDescent="0.2">
      <c r="A133" s="19">
        <v>45078</v>
      </c>
      <c r="B133" s="6">
        <f t="shared" si="55"/>
        <v>106287.51151988673</v>
      </c>
      <c r="C133" s="6">
        <f t="shared" si="52"/>
        <v>274.67285216233751</v>
      </c>
      <c r="D133" s="6">
        <f t="shared" si="53"/>
        <v>363.14899769294635</v>
      </c>
      <c r="E133" s="6">
        <f t="shared" si="43"/>
        <v>637.82184985528386</v>
      </c>
      <c r="F133" s="6">
        <f t="shared" si="54"/>
        <v>106012.83866772438</v>
      </c>
    </row>
    <row r="134" spans="1:6" x14ac:dyDescent="0.2">
      <c r="A134" s="19">
        <v>45108</v>
      </c>
      <c r="B134" s="6">
        <f t="shared" si="55"/>
        <v>106012.83866772438</v>
      </c>
      <c r="C134" s="6">
        <f t="shared" si="52"/>
        <v>275.61131774055889</v>
      </c>
      <c r="D134" s="6">
        <f t="shared" si="53"/>
        <v>362.21053211472497</v>
      </c>
      <c r="E134" s="6">
        <f t="shared" si="43"/>
        <v>637.82184985528386</v>
      </c>
      <c r="F134" s="6">
        <f t="shared" si="54"/>
        <v>105737.22734998382</v>
      </c>
    </row>
    <row r="135" spans="1:6" x14ac:dyDescent="0.2">
      <c r="A135" s="19">
        <v>45139</v>
      </c>
      <c r="B135" s="6">
        <f t="shared" si="55"/>
        <v>105737.22734998382</v>
      </c>
      <c r="C135" s="6">
        <f t="shared" si="52"/>
        <v>276.55298974283915</v>
      </c>
      <c r="D135" s="6">
        <f t="shared" si="53"/>
        <v>361.26886011244471</v>
      </c>
      <c r="E135" s="6">
        <f t="shared" si="43"/>
        <v>637.82184985528386</v>
      </c>
      <c r="F135" s="6">
        <f t="shared" si="54"/>
        <v>105460.67436024098</v>
      </c>
    </row>
    <row r="136" spans="1:6" x14ac:dyDescent="0.2">
      <c r="A136" s="19">
        <v>45170</v>
      </c>
      <c r="B136" s="6">
        <f t="shared" si="55"/>
        <v>105460.67436024098</v>
      </c>
      <c r="C136" s="6">
        <f t="shared" si="52"/>
        <v>277.4978791244605</v>
      </c>
      <c r="D136" s="6">
        <f t="shared" si="53"/>
        <v>360.32397073082336</v>
      </c>
      <c r="E136" s="6">
        <f t="shared" si="43"/>
        <v>637.82184985528386</v>
      </c>
      <c r="F136" s="6">
        <f t="shared" si="54"/>
        <v>105183.17648111652</v>
      </c>
    </row>
    <row r="137" spans="1:6" x14ac:dyDescent="0.2">
      <c r="A137" s="19">
        <v>45200</v>
      </c>
      <c r="B137" s="6">
        <f t="shared" si="55"/>
        <v>105183.17648111652</v>
      </c>
      <c r="C137" s="6">
        <f t="shared" si="52"/>
        <v>278.44599687813576</v>
      </c>
      <c r="D137" s="6">
        <f t="shared" si="53"/>
        <v>359.3758529771481</v>
      </c>
      <c r="E137" s="6">
        <f t="shared" si="43"/>
        <v>637.82184985528386</v>
      </c>
      <c r="F137" s="6">
        <f t="shared" si="54"/>
        <v>104904.73048423839</v>
      </c>
    </row>
    <row r="138" spans="1:6" x14ac:dyDescent="0.2">
      <c r="A138" s="19">
        <v>45231</v>
      </c>
      <c r="B138" s="6">
        <f t="shared" si="55"/>
        <v>104904.73048423839</v>
      </c>
      <c r="C138" s="6">
        <f t="shared" si="52"/>
        <v>279.39735403413601</v>
      </c>
      <c r="D138" s="6">
        <f t="shared" si="53"/>
        <v>358.42449582114784</v>
      </c>
      <c r="E138" s="6">
        <f t="shared" si="43"/>
        <v>637.82184985528386</v>
      </c>
      <c r="F138" s="6">
        <f t="shared" si="54"/>
        <v>104625.33313020425</v>
      </c>
    </row>
    <row r="139" spans="1:6" x14ac:dyDescent="0.2">
      <c r="A139" s="19">
        <v>45261</v>
      </c>
      <c r="B139" s="6">
        <f t="shared" si="55"/>
        <v>104625.33313020425</v>
      </c>
      <c r="C139" s="6">
        <f t="shared" si="52"/>
        <v>280.35196166041931</v>
      </c>
      <c r="D139" s="6">
        <f t="shared" si="53"/>
        <v>357.46988819486455</v>
      </c>
      <c r="E139" s="6">
        <f t="shared" si="43"/>
        <v>637.82184985528386</v>
      </c>
      <c r="F139" s="7">
        <f t="shared" si="54"/>
        <v>104344.98116854383</v>
      </c>
    </row>
    <row r="140" spans="1:6" x14ac:dyDescent="0.2">
      <c r="A140" s="8" t="s">
        <v>42</v>
      </c>
      <c r="B140" s="9"/>
      <c r="C140" s="7">
        <f t="shared" ref="C140:D140" si="56">SUM(C128:C139)</f>
        <v>3301.9290911430994</v>
      </c>
      <c r="D140" s="7">
        <f t="shared" si="56"/>
        <v>4351.9331071203069</v>
      </c>
    </row>
    <row r="142" spans="1:6" x14ac:dyDescent="0.2">
      <c r="A142" s="19">
        <v>45292</v>
      </c>
      <c r="B142" s="6">
        <f t="shared" ref="B142" si="57">+F139</f>
        <v>104344.98116854383</v>
      </c>
      <c r="C142" s="6">
        <f t="shared" ref="C142:C153" si="58">+E142-D142</f>
        <v>281.3098308627591</v>
      </c>
      <c r="D142" s="6">
        <f t="shared" ref="D142:D153" si="59">B142*$I$2</f>
        <v>356.51201899252476</v>
      </c>
      <c r="E142" s="6">
        <f t="shared" si="43"/>
        <v>637.82184985528386</v>
      </c>
      <c r="F142" s="6">
        <f t="shared" ref="F142:F153" si="60">+B142-C142</f>
        <v>104063.67133768108</v>
      </c>
    </row>
    <row r="143" spans="1:6" x14ac:dyDescent="0.2">
      <c r="A143" s="19">
        <v>45323</v>
      </c>
      <c r="B143" s="6">
        <f t="shared" ref="B143:B153" si="61">+F142</f>
        <v>104063.67133768108</v>
      </c>
      <c r="C143" s="6">
        <f t="shared" si="58"/>
        <v>282.27097278487349</v>
      </c>
      <c r="D143" s="6">
        <f t="shared" si="59"/>
        <v>355.55087707041037</v>
      </c>
      <c r="E143" s="6">
        <f t="shared" si="43"/>
        <v>637.82184985528386</v>
      </c>
      <c r="F143" s="6">
        <f t="shared" si="60"/>
        <v>103781.40036489621</v>
      </c>
    </row>
    <row r="144" spans="1:6" x14ac:dyDescent="0.2">
      <c r="A144" s="19">
        <v>45352</v>
      </c>
      <c r="B144" s="6">
        <f t="shared" si="61"/>
        <v>103781.40036489621</v>
      </c>
      <c r="C144" s="6">
        <f t="shared" si="58"/>
        <v>283.2353986085551</v>
      </c>
      <c r="D144" s="6">
        <f t="shared" si="59"/>
        <v>354.58645124672876</v>
      </c>
      <c r="E144" s="6">
        <f t="shared" si="43"/>
        <v>637.82184985528386</v>
      </c>
      <c r="F144" s="6">
        <f t="shared" si="60"/>
        <v>103498.16496628766</v>
      </c>
    </row>
    <row r="145" spans="1:6" x14ac:dyDescent="0.2">
      <c r="A145" s="19">
        <v>45383</v>
      </c>
      <c r="B145" s="6">
        <f t="shared" si="61"/>
        <v>103498.16496628766</v>
      </c>
      <c r="C145" s="6">
        <f t="shared" si="58"/>
        <v>284.203119553801</v>
      </c>
      <c r="D145" s="6">
        <f t="shared" si="59"/>
        <v>353.61873030148286</v>
      </c>
      <c r="E145" s="6">
        <f t="shared" si="43"/>
        <v>637.82184985528386</v>
      </c>
      <c r="F145" s="6">
        <f t="shared" si="60"/>
        <v>103213.96184673386</v>
      </c>
    </row>
    <row r="146" spans="1:6" x14ac:dyDescent="0.2">
      <c r="A146" s="19">
        <v>45413</v>
      </c>
      <c r="B146" s="6">
        <f t="shared" si="61"/>
        <v>103213.96184673386</v>
      </c>
      <c r="C146" s="6">
        <f t="shared" si="58"/>
        <v>285.17414687894313</v>
      </c>
      <c r="D146" s="6">
        <f t="shared" si="59"/>
        <v>352.64770297634072</v>
      </c>
      <c r="E146" s="6">
        <f t="shared" si="43"/>
        <v>637.82184985528386</v>
      </c>
      <c r="F146" s="6">
        <f t="shared" si="60"/>
        <v>102928.78769985492</v>
      </c>
    </row>
    <row r="147" spans="1:6" x14ac:dyDescent="0.2">
      <c r="A147" s="19">
        <v>45444</v>
      </c>
      <c r="B147" s="6">
        <f t="shared" si="61"/>
        <v>102928.78769985492</v>
      </c>
      <c r="C147" s="6">
        <f t="shared" si="58"/>
        <v>286.14849188077955</v>
      </c>
      <c r="D147" s="6">
        <f t="shared" si="59"/>
        <v>351.67335797450431</v>
      </c>
      <c r="E147" s="6">
        <f t="shared" si="43"/>
        <v>637.82184985528386</v>
      </c>
      <c r="F147" s="6">
        <f t="shared" si="60"/>
        <v>102642.63920797413</v>
      </c>
    </row>
    <row r="148" spans="1:6" x14ac:dyDescent="0.2">
      <c r="A148" s="19">
        <v>45474</v>
      </c>
      <c r="B148" s="6">
        <f t="shared" si="61"/>
        <v>102642.63920797413</v>
      </c>
      <c r="C148" s="6">
        <f t="shared" si="58"/>
        <v>287.12616589470554</v>
      </c>
      <c r="D148" s="6">
        <f t="shared" si="59"/>
        <v>350.69568396057832</v>
      </c>
      <c r="E148" s="6">
        <f t="shared" si="43"/>
        <v>637.82184985528386</v>
      </c>
      <c r="F148" s="6">
        <f t="shared" si="60"/>
        <v>102355.51304207943</v>
      </c>
    </row>
    <row r="149" spans="1:6" x14ac:dyDescent="0.2">
      <c r="A149" s="19">
        <v>45505</v>
      </c>
      <c r="B149" s="6">
        <f t="shared" si="61"/>
        <v>102355.51304207943</v>
      </c>
      <c r="C149" s="6">
        <f t="shared" si="58"/>
        <v>288.10718029484576</v>
      </c>
      <c r="D149" s="6">
        <f t="shared" si="59"/>
        <v>349.7146695604381</v>
      </c>
      <c r="E149" s="6">
        <f t="shared" si="43"/>
        <v>637.82184985528386</v>
      </c>
      <c r="F149" s="6">
        <f t="shared" si="60"/>
        <v>102067.40586178459</v>
      </c>
    </row>
    <row r="150" spans="1:6" x14ac:dyDescent="0.2">
      <c r="A150" s="19">
        <v>45536</v>
      </c>
      <c r="B150" s="6">
        <f t="shared" si="61"/>
        <v>102067.40586178459</v>
      </c>
      <c r="C150" s="6">
        <f t="shared" si="58"/>
        <v>289.0915464941865</v>
      </c>
      <c r="D150" s="6">
        <f t="shared" si="59"/>
        <v>348.73030336109736</v>
      </c>
      <c r="E150" s="6">
        <f t="shared" si="43"/>
        <v>637.82184985528386</v>
      </c>
      <c r="F150" s="6">
        <f t="shared" si="60"/>
        <v>101778.31431529039</v>
      </c>
    </row>
    <row r="151" spans="1:6" x14ac:dyDescent="0.2">
      <c r="A151" s="19">
        <v>45566</v>
      </c>
      <c r="B151" s="6">
        <f t="shared" si="61"/>
        <v>101778.31431529039</v>
      </c>
      <c r="C151" s="6">
        <f t="shared" si="58"/>
        <v>290.07927594470834</v>
      </c>
      <c r="D151" s="6">
        <f t="shared" si="59"/>
        <v>347.74257391057552</v>
      </c>
      <c r="E151" s="6">
        <f t="shared" si="43"/>
        <v>637.82184985528386</v>
      </c>
      <c r="F151" s="6">
        <f t="shared" si="60"/>
        <v>101488.23503934569</v>
      </c>
    </row>
    <row r="152" spans="1:6" x14ac:dyDescent="0.2">
      <c r="A152" s="19">
        <v>45597</v>
      </c>
      <c r="B152" s="6">
        <f t="shared" si="61"/>
        <v>101488.23503934569</v>
      </c>
      <c r="C152" s="6">
        <f t="shared" si="58"/>
        <v>291.07038013751941</v>
      </c>
      <c r="D152" s="6">
        <f t="shared" si="59"/>
        <v>346.75146971776445</v>
      </c>
      <c r="E152" s="6">
        <f t="shared" si="43"/>
        <v>637.82184985528386</v>
      </c>
      <c r="F152" s="6">
        <f t="shared" si="60"/>
        <v>101197.16465920817</v>
      </c>
    </row>
    <row r="153" spans="1:6" x14ac:dyDescent="0.2">
      <c r="A153" s="19">
        <v>45627</v>
      </c>
      <c r="B153" s="6">
        <f t="shared" si="61"/>
        <v>101197.16465920817</v>
      </c>
      <c r="C153" s="6">
        <f t="shared" si="58"/>
        <v>292.06487060298929</v>
      </c>
      <c r="D153" s="6">
        <f t="shared" si="59"/>
        <v>345.75697925229457</v>
      </c>
      <c r="E153" s="6">
        <f t="shared" si="43"/>
        <v>637.82184985528386</v>
      </c>
      <c r="F153" s="7">
        <f t="shared" si="60"/>
        <v>100905.09978860518</v>
      </c>
    </row>
    <row r="154" spans="1:6" x14ac:dyDescent="0.2">
      <c r="A154" s="8" t="s">
        <v>42</v>
      </c>
      <c r="B154" s="9"/>
      <c r="C154" s="7">
        <f t="shared" ref="C154:D154" si="62">SUM(C142:C153)</f>
        <v>3439.8813799386658</v>
      </c>
      <c r="D154" s="7">
        <f t="shared" si="62"/>
        <v>4213.9808183247396</v>
      </c>
    </row>
    <row r="156" spans="1:6" x14ac:dyDescent="0.2">
      <c r="A156" s="5" t="s">
        <v>61</v>
      </c>
      <c r="B156" s="6">
        <f t="shared" ref="B156" si="63">+F153</f>
        <v>100905.09978860518</v>
      </c>
      <c r="C156" s="6">
        <f t="shared" ref="C156:C167" si="64">+E156-D156</f>
        <v>293.06275891088285</v>
      </c>
      <c r="D156" s="6">
        <f t="shared" ref="D156:D167" si="65">B156*$I$2</f>
        <v>344.75909094440101</v>
      </c>
      <c r="E156" s="6">
        <f t="shared" si="43"/>
        <v>637.82184985528386</v>
      </c>
      <c r="F156" s="6">
        <f t="shared" ref="F156:F167" si="66">+B156-C156</f>
        <v>100612.0370296943</v>
      </c>
    </row>
    <row r="157" spans="1:6" x14ac:dyDescent="0.2">
      <c r="A157" s="5" t="s">
        <v>62</v>
      </c>
      <c r="B157" s="6">
        <f t="shared" ref="B157:B167" si="67">+F156</f>
        <v>100612.0370296943</v>
      </c>
      <c r="C157" s="6">
        <f t="shared" si="64"/>
        <v>294.06405667049501</v>
      </c>
      <c r="D157" s="6">
        <f t="shared" si="65"/>
        <v>343.75779318478885</v>
      </c>
      <c r="E157" s="6">
        <f t="shared" si="43"/>
        <v>637.82184985528386</v>
      </c>
      <c r="F157" s="6">
        <f t="shared" si="66"/>
        <v>100317.9729730238</v>
      </c>
    </row>
    <row r="158" spans="1:6" x14ac:dyDescent="0.2">
      <c r="A158" s="5" t="s">
        <v>63</v>
      </c>
      <c r="B158" s="6">
        <f t="shared" si="67"/>
        <v>100317.9729730238</v>
      </c>
      <c r="C158" s="6">
        <f t="shared" si="64"/>
        <v>295.06877553078584</v>
      </c>
      <c r="D158" s="6">
        <f t="shared" si="65"/>
        <v>342.75307432449802</v>
      </c>
      <c r="E158" s="6">
        <f t="shared" si="43"/>
        <v>637.82184985528386</v>
      </c>
      <c r="F158" s="6">
        <f t="shared" si="66"/>
        <v>100022.90419749302</v>
      </c>
    </row>
    <row r="159" spans="1:6" x14ac:dyDescent="0.2">
      <c r="A159" s="5" t="s">
        <v>64</v>
      </c>
      <c r="B159" s="6">
        <f t="shared" si="67"/>
        <v>100022.90419749302</v>
      </c>
      <c r="C159" s="6">
        <f t="shared" si="64"/>
        <v>296.07692718051607</v>
      </c>
      <c r="D159" s="6">
        <f t="shared" si="65"/>
        <v>341.74492267476779</v>
      </c>
      <c r="E159" s="6">
        <f t="shared" si="43"/>
        <v>637.82184985528386</v>
      </c>
      <c r="F159" s="6">
        <f t="shared" si="66"/>
        <v>99726.827270312497</v>
      </c>
    </row>
    <row r="160" spans="1:6" x14ac:dyDescent="0.2">
      <c r="A160" s="5" t="s">
        <v>65</v>
      </c>
      <c r="B160" s="6">
        <f t="shared" si="67"/>
        <v>99726.827270312497</v>
      </c>
      <c r="C160" s="6">
        <f t="shared" si="64"/>
        <v>297.08852334838281</v>
      </c>
      <c r="D160" s="6">
        <f t="shared" si="65"/>
        <v>340.73332650690105</v>
      </c>
      <c r="E160" s="6">
        <f t="shared" si="43"/>
        <v>637.82184985528386</v>
      </c>
      <c r="F160" s="6">
        <f t="shared" si="66"/>
        <v>99429.738746964111</v>
      </c>
    </row>
    <row r="161" spans="1:6" x14ac:dyDescent="0.2">
      <c r="A161" s="5" t="s">
        <v>66</v>
      </c>
      <c r="B161" s="6">
        <f t="shared" si="67"/>
        <v>99429.738746964111</v>
      </c>
      <c r="C161" s="6">
        <f t="shared" si="64"/>
        <v>298.10357580315645</v>
      </c>
      <c r="D161" s="6">
        <f t="shared" si="65"/>
        <v>339.71827405212741</v>
      </c>
      <c r="E161" s="6">
        <f t="shared" si="43"/>
        <v>637.82184985528386</v>
      </c>
      <c r="F161" s="6">
        <f t="shared" si="66"/>
        <v>99131.63517116096</v>
      </c>
    </row>
    <row r="162" spans="1:6" x14ac:dyDescent="0.2">
      <c r="A162" s="5" t="s">
        <v>67</v>
      </c>
      <c r="B162" s="6">
        <f t="shared" si="67"/>
        <v>99131.63517116096</v>
      </c>
      <c r="C162" s="6">
        <f t="shared" si="64"/>
        <v>299.12209635381726</v>
      </c>
      <c r="D162" s="6">
        <f t="shared" si="65"/>
        <v>338.6997535014666</v>
      </c>
      <c r="E162" s="6">
        <f t="shared" si="43"/>
        <v>637.82184985528386</v>
      </c>
      <c r="F162" s="6">
        <f t="shared" si="66"/>
        <v>98832.513074807139</v>
      </c>
    </row>
    <row r="163" spans="1:6" x14ac:dyDescent="0.2">
      <c r="A163" s="5" t="s">
        <v>68</v>
      </c>
      <c r="B163" s="6">
        <f t="shared" si="67"/>
        <v>98832.513074807139</v>
      </c>
      <c r="C163" s="6">
        <f t="shared" si="64"/>
        <v>300.1440968496928</v>
      </c>
      <c r="D163" s="6">
        <f t="shared" si="65"/>
        <v>337.67775300559106</v>
      </c>
      <c r="E163" s="6">
        <f t="shared" si="43"/>
        <v>637.82184985528386</v>
      </c>
      <c r="F163" s="6">
        <f t="shared" si="66"/>
        <v>98532.368977957449</v>
      </c>
    </row>
    <row r="164" spans="1:6" x14ac:dyDescent="0.2">
      <c r="A164" s="5" t="s">
        <v>69</v>
      </c>
      <c r="B164" s="6">
        <f t="shared" si="67"/>
        <v>98532.368977957449</v>
      </c>
      <c r="C164" s="6">
        <f t="shared" si="64"/>
        <v>301.16958918059589</v>
      </c>
      <c r="D164" s="6">
        <f t="shared" si="65"/>
        <v>336.65226067468797</v>
      </c>
      <c r="E164" s="6">
        <f t="shared" si="43"/>
        <v>637.82184985528386</v>
      </c>
      <c r="F164" s="6">
        <f t="shared" si="66"/>
        <v>98231.199388776848</v>
      </c>
    </row>
    <row r="165" spans="1:6" x14ac:dyDescent="0.2">
      <c r="A165" s="5" t="s">
        <v>70</v>
      </c>
      <c r="B165" s="6">
        <f t="shared" si="67"/>
        <v>98231.199388776848</v>
      </c>
      <c r="C165" s="6">
        <f t="shared" si="64"/>
        <v>302.19858527696294</v>
      </c>
      <c r="D165" s="6">
        <f t="shared" si="65"/>
        <v>335.62326457832091</v>
      </c>
      <c r="E165" s="6">
        <f t="shared" si="43"/>
        <v>637.82184985528386</v>
      </c>
      <c r="F165" s="6">
        <f t="shared" si="66"/>
        <v>97929.00080349989</v>
      </c>
    </row>
    <row r="166" spans="1:6" x14ac:dyDescent="0.2">
      <c r="A166" s="5" t="s">
        <v>71</v>
      </c>
      <c r="B166" s="6">
        <f t="shared" si="67"/>
        <v>97929.00080349989</v>
      </c>
      <c r="C166" s="6">
        <f t="shared" si="64"/>
        <v>303.23109710999256</v>
      </c>
      <c r="D166" s="6">
        <f t="shared" si="65"/>
        <v>334.5907527452913</v>
      </c>
      <c r="E166" s="6">
        <f t="shared" si="43"/>
        <v>637.82184985528386</v>
      </c>
      <c r="F166" s="6">
        <f t="shared" si="66"/>
        <v>97625.769706389896</v>
      </c>
    </row>
    <row r="167" spans="1:6" x14ac:dyDescent="0.2">
      <c r="A167" s="5" t="s">
        <v>72</v>
      </c>
      <c r="B167" s="6">
        <f t="shared" si="67"/>
        <v>97625.769706389896</v>
      </c>
      <c r="C167" s="6">
        <f t="shared" si="64"/>
        <v>304.26713669178503</v>
      </c>
      <c r="D167" s="6">
        <f t="shared" si="65"/>
        <v>333.55471316349883</v>
      </c>
      <c r="E167" s="6">
        <f t="shared" si="43"/>
        <v>637.82184985528386</v>
      </c>
      <c r="F167" s="7">
        <f t="shared" si="66"/>
        <v>97321.502569698117</v>
      </c>
    </row>
    <row r="168" spans="1:6" x14ac:dyDescent="0.2">
      <c r="A168" s="8" t="s">
        <v>42</v>
      </c>
      <c r="B168" s="9"/>
      <c r="C168" s="7">
        <f t="shared" ref="C168:D168" si="68">SUM(C156:C167)</f>
        <v>3583.5972189070653</v>
      </c>
      <c r="D168" s="7">
        <f t="shared" si="68"/>
        <v>4070.2649793563414</v>
      </c>
    </row>
    <row r="170" spans="1:6" x14ac:dyDescent="0.2">
      <c r="A170" s="5" t="s">
        <v>73</v>
      </c>
      <c r="B170" s="6">
        <f t="shared" ref="B170" si="69">+F167</f>
        <v>97321.502569698117</v>
      </c>
      <c r="C170" s="6">
        <f t="shared" ref="C170:C181" si="70">+E170-D170</f>
        <v>305.30671607548192</v>
      </c>
      <c r="D170" s="6">
        <f t="shared" ref="D170:D181" si="71">B170*$I$2</f>
        <v>332.51513377980194</v>
      </c>
      <c r="E170" s="6">
        <f t="shared" si="43"/>
        <v>637.82184985528386</v>
      </c>
      <c r="F170" s="6">
        <f t="shared" ref="F170:F181" si="72">+B170-C170</f>
        <v>97016.19585362263</v>
      </c>
    </row>
    <row r="171" spans="1:6" x14ac:dyDescent="0.2">
      <c r="A171" s="5" t="s">
        <v>74</v>
      </c>
      <c r="B171" s="6">
        <f t="shared" ref="B171:B181" si="73">+F170</f>
        <v>97016.19585362263</v>
      </c>
      <c r="C171" s="6">
        <f t="shared" si="70"/>
        <v>306.34984735540655</v>
      </c>
      <c r="D171" s="6">
        <f t="shared" si="71"/>
        <v>331.47200249987731</v>
      </c>
      <c r="E171" s="6">
        <f t="shared" si="43"/>
        <v>637.82184985528386</v>
      </c>
      <c r="F171" s="6">
        <f t="shared" si="72"/>
        <v>96709.846006267224</v>
      </c>
    </row>
    <row r="172" spans="1:6" x14ac:dyDescent="0.2">
      <c r="A172" s="5" t="s">
        <v>75</v>
      </c>
      <c r="B172" s="6">
        <f t="shared" si="73"/>
        <v>96709.846006267224</v>
      </c>
      <c r="C172" s="6">
        <f t="shared" si="70"/>
        <v>307.39654266720419</v>
      </c>
      <c r="D172" s="6">
        <f t="shared" si="71"/>
        <v>330.42530718807967</v>
      </c>
      <c r="E172" s="6">
        <f t="shared" ref="E172:E181" si="74">-$I$8</f>
        <v>637.82184985528386</v>
      </c>
      <c r="F172" s="6">
        <f t="shared" si="72"/>
        <v>96402.449463600016</v>
      </c>
    </row>
    <row r="173" spans="1:6" x14ac:dyDescent="0.2">
      <c r="A173" s="5" t="s">
        <v>76</v>
      </c>
      <c r="B173" s="6">
        <f t="shared" si="73"/>
        <v>96402.449463600016</v>
      </c>
      <c r="C173" s="6">
        <f t="shared" si="70"/>
        <v>308.44681418798376</v>
      </c>
      <c r="D173" s="6">
        <f t="shared" si="71"/>
        <v>329.3750356673001</v>
      </c>
      <c r="E173" s="6">
        <f t="shared" si="74"/>
        <v>637.82184985528386</v>
      </c>
      <c r="F173" s="6">
        <f t="shared" si="72"/>
        <v>96094.002649412039</v>
      </c>
    </row>
    <row r="174" spans="1:6" x14ac:dyDescent="0.2">
      <c r="A174" s="5" t="s">
        <v>77</v>
      </c>
      <c r="B174" s="6">
        <f t="shared" si="73"/>
        <v>96094.002649412039</v>
      </c>
      <c r="C174" s="6">
        <f t="shared" si="70"/>
        <v>309.50067413645939</v>
      </c>
      <c r="D174" s="6">
        <f t="shared" si="71"/>
        <v>328.32117571882446</v>
      </c>
      <c r="E174" s="6">
        <f t="shared" si="74"/>
        <v>637.82184985528386</v>
      </c>
      <c r="F174" s="6">
        <f t="shared" si="72"/>
        <v>95784.501975275576</v>
      </c>
    </row>
    <row r="175" spans="1:6" x14ac:dyDescent="0.2">
      <c r="A175" s="5" t="s">
        <v>78</v>
      </c>
      <c r="B175" s="6">
        <f t="shared" si="73"/>
        <v>95784.501975275576</v>
      </c>
      <c r="C175" s="6">
        <f t="shared" si="70"/>
        <v>310.55813477309232</v>
      </c>
      <c r="D175" s="6">
        <f t="shared" si="71"/>
        <v>327.26371508219154</v>
      </c>
      <c r="E175" s="6">
        <f t="shared" si="74"/>
        <v>637.82184985528386</v>
      </c>
      <c r="F175" s="6">
        <f t="shared" si="72"/>
        <v>95473.943840502485</v>
      </c>
    </row>
    <row r="176" spans="1:6" x14ac:dyDescent="0.2">
      <c r="A176" s="5" t="s">
        <v>79</v>
      </c>
      <c r="B176" s="6">
        <f t="shared" si="73"/>
        <v>95473.943840502485</v>
      </c>
      <c r="C176" s="6">
        <f t="shared" si="70"/>
        <v>311.61920840023367</v>
      </c>
      <c r="D176" s="6">
        <f t="shared" si="71"/>
        <v>326.20264145505018</v>
      </c>
      <c r="E176" s="6">
        <f t="shared" si="74"/>
        <v>637.82184985528386</v>
      </c>
      <c r="F176" s="6">
        <f t="shared" si="72"/>
        <v>95162.324632102245</v>
      </c>
    </row>
    <row r="177" spans="1:6" x14ac:dyDescent="0.2">
      <c r="A177" s="5" t="s">
        <v>80</v>
      </c>
      <c r="B177" s="6">
        <f t="shared" si="73"/>
        <v>95162.324632102245</v>
      </c>
      <c r="C177" s="6">
        <f t="shared" si="70"/>
        <v>312.68390736226786</v>
      </c>
      <c r="D177" s="6">
        <f t="shared" si="71"/>
        <v>325.137942493016</v>
      </c>
      <c r="E177" s="6">
        <f t="shared" si="74"/>
        <v>637.82184985528386</v>
      </c>
      <c r="F177" s="6">
        <f t="shared" si="72"/>
        <v>94849.640724739977</v>
      </c>
    </row>
    <row r="178" spans="1:6" x14ac:dyDescent="0.2">
      <c r="A178" s="5" t="s">
        <v>81</v>
      </c>
      <c r="B178" s="6">
        <f t="shared" si="73"/>
        <v>94849.640724739977</v>
      </c>
      <c r="C178" s="6">
        <f t="shared" si="70"/>
        <v>313.75224404575562</v>
      </c>
      <c r="D178" s="6">
        <f t="shared" si="71"/>
        <v>324.06960580952824</v>
      </c>
      <c r="E178" s="6">
        <f t="shared" si="74"/>
        <v>637.82184985528386</v>
      </c>
      <c r="F178" s="6">
        <f t="shared" si="72"/>
        <v>94535.888480694222</v>
      </c>
    </row>
    <row r="179" spans="1:6" x14ac:dyDescent="0.2">
      <c r="A179" s="5" t="s">
        <v>82</v>
      </c>
      <c r="B179" s="6">
        <f t="shared" si="73"/>
        <v>94535.888480694222</v>
      </c>
      <c r="C179" s="6">
        <f t="shared" si="70"/>
        <v>314.82423087957858</v>
      </c>
      <c r="D179" s="6">
        <f t="shared" si="71"/>
        <v>322.99761897570528</v>
      </c>
      <c r="E179" s="6">
        <f t="shared" si="74"/>
        <v>637.82184985528386</v>
      </c>
      <c r="F179" s="6">
        <f t="shared" si="72"/>
        <v>94221.064249814648</v>
      </c>
    </row>
    <row r="180" spans="1:6" x14ac:dyDescent="0.2">
      <c r="A180" s="5" t="s">
        <v>83</v>
      </c>
      <c r="B180" s="6">
        <f t="shared" si="73"/>
        <v>94221.064249814648</v>
      </c>
      <c r="C180" s="6">
        <f t="shared" si="70"/>
        <v>315.89988033508382</v>
      </c>
      <c r="D180" s="6">
        <f t="shared" si="71"/>
        <v>321.92196952020004</v>
      </c>
      <c r="E180" s="6">
        <f t="shared" si="74"/>
        <v>637.82184985528386</v>
      </c>
      <c r="F180" s="6">
        <f t="shared" si="72"/>
        <v>93905.164369479564</v>
      </c>
    </row>
    <row r="181" spans="1:6" x14ac:dyDescent="0.2">
      <c r="A181" s="5" t="s">
        <v>84</v>
      </c>
      <c r="B181" s="6">
        <f t="shared" si="73"/>
        <v>93905.164369479564</v>
      </c>
      <c r="C181" s="6">
        <f t="shared" si="70"/>
        <v>316.97920492622865</v>
      </c>
      <c r="D181" s="6">
        <f t="shared" si="71"/>
        <v>320.84264492905521</v>
      </c>
      <c r="E181" s="6">
        <f t="shared" si="74"/>
        <v>637.82184985528386</v>
      </c>
      <c r="F181" s="7">
        <f t="shared" si="72"/>
        <v>93588.185164553332</v>
      </c>
    </row>
    <row r="182" spans="1:6" x14ac:dyDescent="0.2">
      <c r="A182" s="8" t="s">
        <v>42</v>
      </c>
      <c r="B182" s="9"/>
      <c r="C182" s="7">
        <f t="shared" ref="C182:D182" si="75">SUM(C170:C181)</f>
        <v>3733.3174051447759</v>
      </c>
      <c r="D182" s="7">
        <f t="shared" si="75"/>
        <v>3920.54479311863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3"/>
  <sheetViews>
    <sheetView topLeftCell="A76" zoomScale="80" zoomScaleNormal="80" workbookViewId="0">
      <selection activeCell="C103" sqref="C103"/>
    </sheetView>
  </sheetViews>
  <sheetFormatPr defaultColWidth="9.42578125" defaultRowHeight="15" x14ac:dyDescent="0.25"/>
  <cols>
    <col min="1" max="1" width="4.85546875" style="1" customWidth="1"/>
    <col min="2" max="2" width="37.85546875" style="1" customWidth="1"/>
    <col min="3" max="3" width="20.140625" style="1" bestFit="1" customWidth="1"/>
    <col min="4" max="4" width="14.140625" style="1" customWidth="1"/>
    <col min="5" max="5" width="14" style="1" customWidth="1"/>
    <col min="6" max="8" width="14.140625" style="1" customWidth="1"/>
    <col min="9" max="9" width="14" style="1" customWidth="1"/>
    <col min="10" max="14" width="14.140625" style="1" customWidth="1"/>
    <col min="15" max="15" width="12.42578125" style="1" customWidth="1"/>
    <col min="16" max="16" width="15.28515625" style="1" customWidth="1"/>
    <col min="17" max="17" width="5.140625" style="1" customWidth="1"/>
    <col min="18" max="18" width="13.7109375" style="1" bestFit="1" customWidth="1"/>
    <col min="19" max="19" width="16.5703125" style="1" bestFit="1" customWidth="1"/>
    <col min="20" max="20" width="10.7109375" style="1" bestFit="1" customWidth="1"/>
    <col min="21" max="21" width="11.42578125" style="1" bestFit="1" customWidth="1"/>
    <col min="22" max="22" width="8.85546875" style="1" bestFit="1" customWidth="1"/>
    <col min="23" max="16384" width="9.42578125" style="1"/>
  </cols>
  <sheetData>
    <row r="1" spans="1:16" x14ac:dyDescent="0.25">
      <c r="A1" s="1" t="s">
        <v>30</v>
      </c>
    </row>
    <row r="2" spans="1:16" x14ac:dyDescent="0.25">
      <c r="D2" s="1">
        <v>2014</v>
      </c>
      <c r="E2" s="1">
        <v>2015</v>
      </c>
      <c r="F2" s="1">
        <v>2016</v>
      </c>
      <c r="G2" s="1">
        <v>2017</v>
      </c>
      <c r="H2" s="1">
        <v>2018</v>
      </c>
      <c r="I2" s="1">
        <v>2019</v>
      </c>
      <c r="J2" s="1">
        <v>2020</v>
      </c>
      <c r="K2" s="1">
        <v>2021</v>
      </c>
      <c r="L2" s="1">
        <v>2022</v>
      </c>
      <c r="M2" s="1">
        <v>2023</v>
      </c>
      <c r="N2" s="1">
        <v>2024</v>
      </c>
    </row>
    <row r="3" spans="1:16" x14ac:dyDescent="0.25">
      <c r="A3" t="s">
        <v>58</v>
      </c>
      <c r="D3" s="14">
        <v>38</v>
      </c>
      <c r="E3" s="14">
        <f>D3*(1+$O$3)</f>
        <v>39.14</v>
      </c>
      <c r="F3" s="14">
        <f>E3*(1+$O$3)</f>
        <v>40.3142</v>
      </c>
      <c r="G3" s="14">
        <f>F3*(1+$O$3)</f>
        <v>41.523626</v>
      </c>
      <c r="H3" s="14">
        <f t="shared" ref="H3:N3" si="0">G3*(1+$O$3)</f>
        <v>42.769334780000001</v>
      </c>
      <c r="I3" s="14">
        <f t="shared" si="0"/>
        <v>44.052414823399999</v>
      </c>
      <c r="J3" s="14">
        <f t="shared" si="0"/>
        <v>45.373987268101999</v>
      </c>
      <c r="K3" s="14">
        <f t="shared" si="0"/>
        <v>46.735206886145058</v>
      </c>
      <c r="L3" s="14">
        <f t="shared" si="0"/>
        <v>48.137263092729413</v>
      </c>
      <c r="M3" s="14">
        <f>L3*(1+$O$3)</f>
        <v>49.581380985511295</v>
      </c>
      <c r="N3" s="14">
        <f t="shared" si="0"/>
        <v>51.068822415076632</v>
      </c>
      <c r="O3" s="20">
        <v>0.03</v>
      </c>
      <c r="P3" s="1" t="s">
        <v>88</v>
      </c>
    </row>
    <row r="4" spans="1:16" x14ac:dyDescent="0.25">
      <c r="A4" t="s">
        <v>43</v>
      </c>
      <c r="D4" s="14">
        <v>3000</v>
      </c>
      <c r="E4" s="14">
        <f>D4*(1+$O$10)</f>
        <v>3060</v>
      </c>
      <c r="F4" s="14">
        <f t="shared" ref="F4:N4" si="1">E4*(1+$O$10)</f>
        <v>3121.2000000000003</v>
      </c>
      <c r="G4" s="14">
        <f t="shared" si="1"/>
        <v>3183.6240000000003</v>
      </c>
      <c r="H4" s="14">
        <f t="shared" si="1"/>
        <v>3247.2964800000004</v>
      </c>
      <c r="I4" s="14">
        <f t="shared" si="1"/>
        <v>3312.2424096000004</v>
      </c>
      <c r="J4" s="14">
        <f t="shared" si="1"/>
        <v>3378.4872577920005</v>
      </c>
      <c r="K4" s="14">
        <f t="shared" si="1"/>
        <v>3446.0570029478404</v>
      </c>
      <c r="L4" s="14">
        <f t="shared" si="1"/>
        <v>3514.9781430067974</v>
      </c>
      <c r="M4" s="14">
        <f t="shared" si="1"/>
        <v>3585.2777058669335</v>
      </c>
      <c r="N4" s="14">
        <f t="shared" si="1"/>
        <v>3656.9832599842721</v>
      </c>
    </row>
    <row r="5" spans="1:16" x14ac:dyDescent="0.25">
      <c r="A5" t="s">
        <v>44</v>
      </c>
      <c r="D5" s="18">
        <f>D4/(1+$O$5)</f>
        <v>1500</v>
      </c>
      <c r="E5" s="18">
        <f t="shared" ref="E5:M5" si="2">E4/(1+$O$5)</f>
        <v>1530</v>
      </c>
      <c r="F5" s="18">
        <f t="shared" si="2"/>
        <v>1560.6000000000001</v>
      </c>
      <c r="G5" s="18">
        <f t="shared" si="2"/>
        <v>1591.8120000000001</v>
      </c>
      <c r="H5" s="18">
        <f t="shared" si="2"/>
        <v>1623.6482400000002</v>
      </c>
      <c r="I5" s="18">
        <f t="shared" si="2"/>
        <v>1656.1212048000002</v>
      </c>
      <c r="J5" s="18">
        <f t="shared" si="2"/>
        <v>1689.2436288960002</v>
      </c>
      <c r="K5" s="18">
        <f t="shared" si="2"/>
        <v>1723.0285014739202</v>
      </c>
      <c r="L5" s="18">
        <f t="shared" si="2"/>
        <v>1757.4890715033987</v>
      </c>
      <c r="M5" s="18">
        <f t="shared" si="2"/>
        <v>1792.6388529334668</v>
      </c>
      <c r="N5" s="18">
        <f>N4/(1+$O$5)</f>
        <v>1828.491629992136</v>
      </c>
      <c r="O5" s="15">
        <v>1</v>
      </c>
      <c r="P5" s="1" t="s">
        <v>89</v>
      </c>
    </row>
    <row r="6" spans="1:16" x14ac:dyDescent="0.25">
      <c r="A6" t="s">
        <v>56</v>
      </c>
      <c r="D6" s="14">
        <v>52</v>
      </c>
      <c r="E6" s="14">
        <f>D6*(1+$O$3)</f>
        <v>53.56</v>
      </c>
      <c r="F6" s="14">
        <f t="shared" ref="F6:N6" si="3">E6*(1+$O$3)</f>
        <v>55.166800000000002</v>
      </c>
      <c r="G6" s="14">
        <f t="shared" si="3"/>
        <v>56.821804</v>
      </c>
      <c r="H6" s="14">
        <f t="shared" si="3"/>
        <v>58.526458120000001</v>
      </c>
      <c r="I6" s="14">
        <f t="shared" si="3"/>
        <v>60.282251863600003</v>
      </c>
      <c r="J6" s="14">
        <f t="shared" si="3"/>
        <v>62.090719419508005</v>
      </c>
      <c r="K6" s="14">
        <f t="shared" si="3"/>
        <v>63.95344100209325</v>
      </c>
      <c r="L6" s="14">
        <f t="shared" si="3"/>
        <v>65.872044232156043</v>
      </c>
      <c r="M6" s="14">
        <f t="shared" si="3"/>
        <v>67.848205559120728</v>
      </c>
      <c r="N6" s="14">
        <f t="shared" si="3"/>
        <v>69.883651725894353</v>
      </c>
      <c r="O6" s="20"/>
    </row>
    <row r="7" spans="1:16" x14ac:dyDescent="0.25">
      <c r="A7" t="s">
        <v>52</v>
      </c>
      <c r="D7" s="1">
        <v>1800</v>
      </c>
      <c r="E7" s="17">
        <f>D7*(1+$O$10)</f>
        <v>1836</v>
      </c>
      <c r="F7" s="17">
        <f>E7*(1+$O$10)</f>
        <v>1872.72</v>
      </c>
      <c r="G7" s="17">
        <f t="shared" ref="G7:N7" si="4">F7*(1+$O$10)</f>
        <v>1910.1744000000001</v>
      </c>
      <c r="H7" s="17">
        <f t="shared" si="4"/>
        <v>1948.3778880000002</v>
      </c>
      <c r="I7" s="17">
        <f t="shared" si="4"/>
        <v>1987.3454457600003</v>
      </c>
      <c r="J7" s="17">
        <f t="shared" si="4"/>
        <v>2027.0923546752003</v>
      </c>
      <c r="K7" s="17">
        <f t="shared" si="4"/>
        <v>2067.6342017687043</v>
      </c>
      <c r="L7" s="17">
        <f t="shared" si="4"/>
        <v>2108.9868858040786</v>
      </c>
      <c r="M7" s="17">
        <f t="shared" si="4"/>
        <v>2151.1666235201601</v>
      </c>
      <c r="N7" s="17">
        <f t="shared" si="4"/>
        <v>2194.1899559905632</v>
      </c>
      <c r="O7" s="20"/>
    </row>
    <row r="8" spans="1:16" x14ac:dyDescent="0.25">
      <c r="A8" s="1" t="s">
        <v>54</v>
      </c>
      <c r="D8" s="18">
        <f>D7/1.8</f>
        <v>1000</v>
      </c>
      <c r="E8" s="18">
        <f>E7/(1+$O$5)</f>
        <v>918</v>
      </c>
      <c r="F8" s="18">
        <f t="shared" ref="F8:N8" si="5">F7/(1+$O$5)</f>
        <v>936.36</v>
      </c>
      <c r="G8" s="18">
        <f t="shared" si="5"/>
        <v>955.08720000000005</v>
      </c>
      <c r="H8" s="18">
        <f t="shared" si="5"/>
        <v>974.18894400000011</v>
      </c>
      <c r="I8" s="18">
        <f t="shared" si="5"/>
        <v>993.67272288000015</v>
      </c>
      <c r="J8" s="18">
        <f t="shared" si="5"/>
        <v>1013.5461773376002</v>
      </c>
      <c r="K8" s="18">
        <f t="shared" si="5"/>
        <v>1033.8171008843522</v>
      </c>
      <c r="L8" s="18">
        <f t="shared" si="5"/>
        <v>1054.4934429020393</v>
      </c>
      <c r="M8" s="18">
        <f t="shared" si="5"/>
        <v>1075.5833117600801</v>
      </c>
      <c r="N8" s="18">
        <f t="shared" si="5"/>
        <v>1097.0949779952816</v>
      </c>
      <c r="O8" s="21"/>
    </row>
    <row r="9" spans="1:16" x14ac:dyDescent="0.25">
      <c r="A9" t="s">
        <v>57</v>
      </c>
      <c r="D9" s="14">
        <v>360</v>
      </c>
      <c r="E9" s="14">
        <f>D9*(1+$O$3)</f>
        <v>370.8</v>
      </c>
      <c r="F9" s="14">
        <f t="shared" ref="F9:N9" si="6">E9*(1+$O$3)</f>
        <v>381.92400000000004</v>
      </c>
      <c r="G9" s="14">
        <f t="shared" si="6"/>
        <v>393.38172000000003</v>
      </c>
      <c r="H9" s="14">
        <f t="shared" si="6"/>
        <v>405.18317160000004</v>
      </c>
      <c r="I9" s="14">
        <f t="shared" si="6"/>
        <v>417.33866674800004</v>
      </c>
      <c r="J9" s="14">
        <f t="shared" si="6"/>
        <v>429.85882675044007</v>
      </c>
      <c r="K9" s="14">
        <f t="shared" si="6"/>
        <v>442.75459155295329</v>
      </c>
      <c r="L9" s="14">
        <f t="shared" si="6"/>
        <v>456.03722929954188</v>
      </c>
      <c r="M9" s="14">
        <f t="shared" si="6"/>
        <v>469.71834617852812</v>
      </c>
      <c r="N9" s="14">
        <f t="shared" si="6"/>
        <v>483.80989656388397</v>
      </c>
      <c r="O9" s="20"/>
    </row>
    <row r="10" spans="1:16" x14ac:dyDescent="0.25">
      <c r="A10" t="s">
        <v>53</v>
      </c>
      <c r="D10" s="1">
        <v>70</v>
      </c>
      <c r="E10" s="17">
        <f>D10*(1+$O$10)</f>
        <v>71.400000000000006</v>
      </c>
      <c r="F10" s="17">
        <f t="shared" ref="F10:N10" si="7">E10*(1+$O$10)</f>
        <v>72.828000000000003</v>
      </c>
      <c r="G10" s="17">
        <f t="shared" si="7"/>
        <v>74.284559999999999</v>
      </c>
      <c r="H10" s="17">
        <f t="shared" si="7"/>
        <v>75.770251200000004</v>
      </c>
      <c r="I10" s="17">
        <f t="shared" si="7"/>
        <v>77.285656224000007</v>
      </c>
      <c r="J10" s="17">
        <f t="shared" si="7"/>
        <v>78.83136934848001</v>
      </c>
      <c r="K10" s="17">
        <f t="shared" si="7"/>
        <v>80.407996735449615</v>
      </c>
      <c r="L10" s="17">
        <f t="shared" si="7"/>
        <v>82.016156670158608</v>
      </c>
      <c r="M10" s="17">
        <f t="shared" si="7"/>
        <v>83.65647980356178</v>
      </c>
      <c r="N10" s="17">
        <f t="shared" si="7"/>
        <v>85.329609399633014</v>
      </c>
      <c r="O10" s="21">
        <v>0.02</v>
      </c>
      <c r="P10" s="1" t="s">
        <v>87</v>
      </c>
    </row>
    <row r="11" spans="1:16" x14ac:dyDescent="0.25">
      <c r="A11" s="1" t="s">
        <v>55</v>
      </c>
      <c r="D11" s="18">
        <f>D10/(1+$O$11)</f>
        <v>36.842105263157897</v>
      </c>
      <c r="E11" s="18">
        <f t="shared" ref="E11:N11" si="8">E10/(1+$O$11)</f>
        <v>37.578947368421055</v>
      </c>
      <c r="F11" s="18">
        <f t="shared" si="8"/>
        <v>38.330526315789477</v>
      </c>
      <c r="G11" s="18">
        <f t="shared" si="8"/>
        <v>39.097136842105265</v>
      </c>
      <c r="H11" s="18">
        <f t="shared" si="8"/>
        <v>39.879079578947369</v>
      </c>
      <c r="I11" s="18">
        <f t="shared" si="8"/>
        <v>40.676661170526323</v>
      </c>
      <c r="J11" s="18">
        <f t="shared" si="8"/>
        <v>41.490194393936846</v>
      </c>
      <c r="K11" s="18">
        <f t="shared" si="8"/>
        <v>42.319998281815586</v>
      </c>
      <c r="L11" s="18">
        <f t="shared" si="8"/>
        <v>43.166398247451902</v>
      </c>
      <c r="M11" s="18">
        <f t="shared" si="8"/>
        <v>44.029726212400938</v>
      </c>
      <c r="N11" s="18">
        <f t="shared" si="8"/>
        <v>44.910320736648956</v>
      </c>
      <c r="O11" s="22">
        <v>0.9</v>
      </c>
      <c r="P11" s="1" t="s">
        <v>90</v>
      </c>
    </row>
    <row r="12" spans="1:16" x14ac:dyDescent="0.25">
      <c r="A12" s="1" t="s">
        <v>130</v>
      </c>
      <c r="D12" s="18">
        <v>3000</v>
      </c>
      <c r="E12" s="18">
        <f>D12</f>
        <v>3000</v>
      </c>
      <c r="F12" s="18">
        <f t="shared" ref="F12:K12" si="9">E12</f>
        <v>3000</v>
      </c>
      <c r="G12" s="18">
        <f t="shared" si="9"/>
        <v>3000</v>
      </c>
      <c r="H12" s="18">
        <f t="shared" si="9"/>
        <v>3000</v>
      </c>
      <c r="I12" s="18">
        <f t="shared" si="9"/>
        <v>3000</v>
      </c>
      <c r="J12" s="18">
        <f t="shared" si="9"/>
        <v>3000</v>
      </c>
      <c r="K12" s="18">
        <f t="shared" si="9"/>
        <v>3000</v>
      </c>
      <c r="L12" s="18">
        <f>K12</f>
        <v>3000</v>
      </c>
      <c r="M12" s="18">
        <f t="shared" ref="M12:N12" si="10">L12</f>
        <v>3000</v>
      </c>
      <c r="N12" s="18">
        <f t="shared" si="10"/>
        <v>3000</v>
      </c>
      <c r="O12" s="22"/>
    </row>
    <row r="13" spans="1:16" x14ac:dyDescent="0.25">
      <c r="A13" s="1" t="s">
        <v>131</v>
      </c>
      <c r="D13" s="51">
        <v>50</v>
      </c>
      <c r="E13" s="51">
        <f>D13</f>
        <v>50</v>
      </c>
      <c r="F13" s="51">
        <f t="shared" ref="F13:K13" si="11">E13</f>
        <v>50</v>
      </c>
      <c r="G13" s="51">
        <f t="shared" si="11"/>
        <v>50</v>
      </c>
      <c r="H13" s="51">
        <f t="shared" si="11"/>
        <v>50</v>
      </c>
      <c r="I13" s="51">
        <v>55</v>
      </c>
      <c r="J13" s="51">
        <f t="shared" si="11"/>
        <v>55</v>
      </c>
      <c r="K13" s="51">
        <f t="shared" si="11"/>
        <v>55</v>
      </c>
      <c r="L13" s="51">
        <f>K13</f>
        <v>55</v>
      </c>
      <c r="M13" s="51">
        <f t="shared" ref="M13:N13" si="12">L13</f>
        <v>55</v>
      </c>
      <c r="N13" s="51">
        <f t="shared" si="12"/>
        <v>55</v>
      </c>
      <c r="O13" s="22"/>
    </row>
    <row r="14" spans="1:16" x14ac:dyDescent="0.25">
      <c r="A14" s="1" t="s">
        <v>132</v>
      </c>
      <c r="D14" s="51">
        <f>D12*D13</f>
        <v>150000</v>
      </c>
      <c r="E14" s="51">
        <f t="shared" ref="E14:H14" si="13">E12*E13</f>
        <v>150000</v>
      </c>
      <c r="F14" s="51">
        <f t="shared" si="13"/>
        <v>150000</v>
      </c>
      <c r="G14" s="51">
        <f t="shared" si="13"/>
        <v>150000</v>
      </c>
      <c r="H14" s="51">
        <f t="shared" si="13"/>
        <v>150000</v>
      </c>
      <c r="I14" s="51">
        <v>185000</v>
      </c>
      <c r="J14" s="51">
        <v>185000</v>
      </c>
      <c r="K14" s="51">
        <v>185000</v>
      </c>
      <c r="L14" s="51">
        <v>185000</v>
      </c>
      <c r="M14" s="51">
        <v>185000</v>
      </c>
      <c r="N14" s="51">
        <v>185000</v>
      </c>
      <c r="O14" s="21"/>
    </row>
    <row r="15" spans="1:16" x14ac:dyDescent="0.25">
      <c r="A15" s="1" t="s">
        <v>24</v>
      </c>
      <c r="D15" s="1">
        <v>15000</v>
      </c>
      <c r="E15" s="1">
        <v>1500</v>
      </c>
      <c r="F15" s="1">
        <v>1500</v>
      </c>
      <c r="G15" s="1">
        <v>1500</v>
      </c>
      <c r="H15" s="1">
        <v>1500</v>
      </c>
      <c r="I15" s="1">
        <v>1500</v>
      </c>
      <c r="J15" s="1">
        <v>1500</v>
      </c>
      <c r="K15" s="1">
        <v>1500</v>
      </c>
      <c r="L15" s="1">
        <v>1500</v>
      </c>
      <c r="M15" s="1">
        <v>1500</v>
      </c>
      <c r="N15" s="1">
        <v>1500</v>
      </c>
      <c r="O15" s="21"/>
    </row>
    <row r="16" spans="1:16" x14ac:dyDescent="0.25">
      <c r="B16" s="1" t="s">
        <v>145</v>
      </c>
      <c r="C16" s="56">
        <v>2E-3</v>
      </c>
      <c r="D16" s="55">
        <f>SUM(D14:D15)*C16</f>
        <v>330</v>
      </c>
      <c r="O16" s="21"/>
    </row>
    <row r="17" spans="1:15" x14ac:dyDescent="0.25">
      <c r="B17" s="1" t="s">
        <v>142</v>
      </c>
      <c r="C17" s="1">
        <v>12</v>
      </c>
      <c r="D17" s="55">
        <f>D16*C17</f>
        <v>3960</v>
      </c>
      <c r="O17" s="21"/>
    </row>
    <row r="18" spans="1:15" x14ac:dyDescent="0.25">
      <c r="D18" s="55"/>
      <c r="O18" s="21"/>
    </row>
    <row r="19" spans="1:15" x14ac:dyDescent="0.25">
      <c r="A19" s="1" t="s">
        <v>45</v>
      </c>
      <c r="D19" s="1">
        <v>120</v>
      </c>
      <c r="E19" s="1">
        <f>D19*(1+$O$19)</f>
        <v>120</v>
      </c>
      <c r="F19" s="17">
        <f>E19*(1+$O$19)</f>
        <v>120</v>
      </c>
      <c r="G19" s="17">
        <f>F19*(1+$O$19)</f>
        <v>120</v>
      </c>
      <c r="H19" s="17">
        <f t="shared" ref="H19:N19" si="14">G19*(1+$O$19)</f>
        <v>120</v>
      </c>
      <c r="I19" s="17">
        <f t="shared" si="14"/>
        <v>120</v>
      </c>
      <c r="J19" s="17">
        <f t="shared" si="14"/>
        <v>120</v>
      </c>
      <c r="K19" s="17">
        <f t="shared" si="14"/>
        <v>120</v>
      </c>
      <c r="L19" s="17">
        <f t="shared" si="14"/>
        <v>120</v>
      </c>
      <c r="M19" s="17">
        <f t="shared" si="14"/>
        <v>120</v>
      </c>
      <c r="N19" s="17">
        <f t="shared" si="14"/>
        <v>120</v>
      </c>
      <c r="O19" s="20">
        <v>0</v>
      </c>
    </row>
    <row r="20" spans="1:15" x14ac:dyDescent="0.25">
      <c r="A20" s="1" t="s">
        <v>46</v>
      </c>
      <c r="D20" s="1">
        <v>180</v>
      </c>
      <c r="E20" s="17">
        <f>D20*(1+$O$3)</f>
        <v>185.4</v>
      </c>
      <c r="F20" s="17">
        <f t="shared" ref="F20:N20" si="15">E20*(1+$O$3)</f>
        <v>190.96200000000002</v>
      </c>
      <c r="G20" s="17">
        <f t="shared" si="15"/>
        <v>196.69086000000001</v>
      </c>
      <c r="H20" s="17">
        <f t="shared" si="15"/>
        <v>202.59158580000002</v>
      </c>
      <c r="I20" s="17">
        <f t="shared" si="15"/>
        <v>208.66933337400002</v>
      </c>
      <c r="J20" s="17">
        <f t="shared" si="15"/>
        <v>214.92941337522004</v>
      </c>
      <c r="K20" s="17">
        <f t="shared" si="15"/>
        <v>221.37729577647664</v>
      </c>
      <c r="L20" s="17">
        <f t="shared" si="15"/>
        <v>228.01861464977094</v>
      </c>
      <c r="M20" s="17">
        <f t="shared" si="15"/>
        <v>234.85917308926406</v>
      </c>
      <c r="N20" s="17">
        <f t="shared" si="15"/>
        <v>241.90494828194198</v>
      </c>
      <c r="O20" s="20"/>
    </row>
    <row r="21" spans="1:15" x14ac:dyDescent="0.25">
      <c r="A21" s="1" t="s">
        <v>86</v>
      </c>
      <c r="D21" s="1">
        <v>40</v>
      </c>
      <c r="E21" s="1">
        <v>40</v>
      </c>
      <c r="F21" s="1">
        <v>40</v>
      </c>
      <c r="G21" s="1">
        <v>40</v>
      </c>
      <c r="H21" s="1">
        <v>40</v>
      </c>
      <c r="I21" s="1">
        <v>40</v>
      </c>
      <c r="J21" s="1">
        <v>40</v>
      </c>
      <c r="K21" s="1">
        <v>40</v>
      </c>
      <c r="L21" s="1">
        <v>40</v>
      </c>
      <c r="M21" s="1">
        <v>40</v>
      </c>
      <c r="N21" s="1">
        <v>40</v>
      </c>
    </row>
    <row r="22" spans="1:15" x14ac:dyDescent="0.25">
      <c r="A22" s="1" t="s">
        <v>47</v>
      </c>
      <c r="D22" s="1">
        <v>90</v>
      </c>
      <c r="E22" s="1">
        <v>90</v>
      </c>
      <c r="F22" s="1">
        <v>90</v>
      </c>
      <c r="G22" s="1">
        <v>90</v>
      </c>
      <c r="H22" s="1">
        <v>90</v>
      </c>
      <c r="I22" s="1">
        <v>90</v>
      </c>
      <c r="J22" s="1">
        <v>90</v>
      </c>
      <c r="K22" s="1">
        <v>90</v>
      </c>
      <c r="L22" s="1">
        <v>90</v>
      </c>
      <c r="M22" s="1">
        <v>90</v>
      </c>
      <c r="N22" s="1">
        <v>90</v>
      </c>
    </row>
    <row r="24" spans="1:15" x14ac:dyDescent="0.25">
      <c r="A24" s="1" t="s">
        <v>136</v>
      </c>
      <c r="D24" s="1">
        <v>1000</v>
      </c>
    </row>
    <row r="25" spans="1:15" x14ac:dyDescent="0.25">
      <c r="A25" s="1" t="s">
        <v>137</v>
      </c>
      <c r="D25" s="1">
        <v>75000</v>
      </c>
    </row>
    <row r="26" spans="1:15" x14ac:dyDescent="0.25">
      <c r="A26" s="1" t="s">
        <v>138</v>
      </c>
    </row>
    <row r="27" spans="1:15" x14ac:dyDescent="0.25">
      <c r="A27" s="1" t="s">
        <v>143</v>
      </c>
      <c r="C27" s="1" t="s">
        <v>141</v>
      </c>
      <c r="D27" s="1" t="s">
        <v>144</v>
      </c>
      <c r="E27" s="1" t="s">
        <v>36</v>
      </c>
      <c r="F27" s="1" t="s">
        <v>142</v>
      </c>
    </row>
    <row r="28" spans="1:15" x14ac:dyDescent="0.25">
      <c r="A28" s="1">
        <v>1</v>
      </c>
      <c r="B28" s="1" t="s">
        <v>139</v>
      </c>
      <c r="C28" s="1">
        <v>50</v>
      </c>
      <c r="D28" s="1">
        <v>52</v>
      </c>
      <c r="E28" s="51">
        <f>F28/(D28*C28*A28)</f>
        <v>14.923076923076923</v>
      </c>
      <c r="F28" s="55">
        <f>70000-F29</f>
        <v>38800</v>
      </c>
    </row>
    <row r="29" spans="1:15" x14ac:dyDescent="0.25">
      <c r="A29" s="1">
        <v>2</v>
      </c>
      <c r="B29" s="1" t="s">
        <v>140</v>
      </c>
      <c r="C29" s="1">
        <v>30</v>
      </c>
      <c r="D29" s="1">
        <v>52</v>
      </c>
      <c r="E29" s="51">
        <v>10</v>
      </c>
      <c r="F29" s="51">
        <f>A29*C29*D29*E29</f>
        <v>31200</v>
      </c>
      <c r="G29" s="16"/>
      <c r="H29" s="15"/>
    </row>
    <row r="31" spans="1:15" s="3" customFormat="1" x14ac:dyDescent="0.25">
      <c r="A31" s="2" t="s">
        <v>91</v>
      </c>
    </row>
    <row r="32" spans="1:15" x14ac:dyDescent="0.25">
      <c r="A32" s="4" t="s">
        <v>0</v>
      </c>
    </row>
    <row r="33" spans="1:15" x14ac:dyDescent="0.25">
      <c r="A33" s="58"/>
      <c r="B33" s="58"/>
      <c r="C33" s="58"/>
      <c r="D33" s="58">
        <v>2014</v>
      </c>
      <c r="E33" s="58">
        <v>2015</v>
      </c>
      <c r="F33" s="58">
        <v>2016</v>
      </c>
      <c r="G33" s="58">
        <v>2017</v>
      </c>
      <c r="H33" s="58">
        <v>2018</v>
      </c>
      <c r="I33" s="58">
        <v>2019</v>
      </c>
      <c r="J33" s="58">
        <v>2020</v>
      </c>
      <c r="K33" s="58">
        <v>2021</v>
      </c>
      <c r="L33" s="58">
        <v>2022</v>
      </c>
      <c r="M33" s="58">
        <v>2023</v>
      </c>
      <c r="N33" s="58">
        <v>2024</v>
      </c>
    </row>
    <row r="34" spans="1:15" x14ac:dyDescent="0.25">
      <c r="A34" s="59" t="s">
        <v>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5" x14ac:dyDescent="0.25">
      <c r="A35" s="60" t="s">
        <v>19</v>
      </c>
      <c r="B35" s="58"/>
      <c r="C35" s="58"/>
      <c r="D35" s="61">
        <f t="shared" ref="D35:N35" si="16">D3*D4</f>
        <v>114000</v>
      </c>
      <c r="E35" s="61">
        <f t="shared" si="16"/>
        <v>119768.40000000001</v>
      </c>
      <c r="F35" s="61">
        <f t="shared" si="16"/>
        <v>125828.68104000001</v>
      </c>
      <c r="G35" s="61">
        <f t="shared" si="16"/>
        <v>132195.61230062402</v>
      </c>
      <c r="H35" s="61">
        <f t="shared" si="16"/>
        <v>138884.71028303559</v>
      </c>
      <c r="I35" s="61">
        <f t="shared" si="16"/>
        <v>145912.2766233572</v>
      </c>
      <c r="J35" s="61">
        <f t="shared" si="16"/>
        <v>153295.43782049906</v>
      </c>
      <c r="K35" s="61">
        <f t="shared" si="16"/>
        <v>161052.18697421631</v>
      </c>
      <c r="L35" s="61">
        <f t="shared" si="16"/>
        <v>169201.42763511167</v>
      </c>
      <c r="M35" s="61">
        <f t="shared" si="16"/>
        <v>177763.01987344833</v>
      </c>
      <c r="N35" s="61">
        <f t="shared" si="16"/>
        <v>186757.82867904482</v>
      </c>
    </row>
    <row r="36" spans="1:15" x14ac:dyDescent="0.25">
      <c r="A36" s="60" t="s">
        <v>50</v>
      </c>
      <c r="B36" s="58"/>
      <c r="C36" s="58"/>
      <c r="D36" s="61">
        <f t="shared" ref="D36:N36" si="17">D6*D7</f>
        <v>93600</v>
      </c>
      <c r="E36" s="61">
        <f t="shared" si="17"/>
        <v>98336.16</v>
      </c>
      <c r="F36" s="61">
        <f t="shared" si="17"/>
        <v>103311.969696</v>
      </c>
      <c r="G36" s="61">
        <f t="shared" si="17"/>
        <v>108539.55536261761</v>
      </c>
      <c r="H36" s="61">
        <f t="shared" si="17"/>
        <v>114031.65686396607</v>
      </c>
      <c r="I36" s="61">
        <f t="shared" si="17"/>
        <v>119801.65870128275</v>
      </c>
      <c r="J36" s="61">
        <f t="shared" si="17"/>
        <v>125863.62263156768</v>
      </c>
      <c r="K36" s="61">
        <f t="shared" si="17"/>
        <v>132232.321936725</v>
      </c>
      <c r="L36" s="61">
        <f t="shared" si="17"/>
        <v>138923.2774267233</v>
      </c>
      <c r="M36" s="61">
        <f t="shared" si="17"/>
        <v>145952.7952645155</v>
      </c>
      <c r="N36" s="61">
        <f t="shared" si="17"/>
        <v>153338.00670489998</v>
      </c>
    </row>
    <row r="37" spans="1:15" x14ac:dyDescent="0.25">
      <c r="A37" s="60" t="s">
        <v>51</v>
      </c>
      <c r="B37" s="58"/>
      <c r="C37" s="58"/>
      <c r="D37" s="61">
        <f t="shared" ref="D37:N37" si="18">D9*D10</f>
        <v>25200</v>
      </c>
      <c r="E37" s="61">
        <f t="shared" si="18"/>
        <v>26475.120000000003</v>
      </c>
      <c r="F37" s="61">
        <f t="shared" si="18"/>
        <v>27814.761072000005</v>
      </c>
      <c r="G37" s="61">
        <f t="shared" si="18"/>
        <v>29222.187982243202</v>
      </c>
      <c r="H37" s="61">
        <f t="shared" si="18"/>
        <v>30700.830694144712</v>
      </c>
      <c r="I37" s="61">
        <f t="shared" si="18"/>
        <v>32254.292727268436</v>
      </c>
      <c r="J37" s="61">
        <f t="shared" si="18"/>
        <v>33886.359939268223</v>
      </c>
      <c r="K37" s="61">
        <f t="shared" si="18"/>
        <v>35601.009752195198</v>
      </c>
      <c r="L37" s="61">
        <f t="shared" si="18"/>
        <v>37402.42084565627</v>
      </c>
      <c r="M37" s="61">
        <f t="shared" si="18"/>
        <v>39294.983340446481</v>
      </c>
      <c r="N37" s="61">
        <f t="shared" si="18"/>
        <v>41283.30949747307</v>
      </c>
    </row>
    <row r="38" spans="1:15" x14ac:dyDescent="0.25">
      <c r="A38" s="60"/>
      <c r="B38" s="58"/>
      <c r="C38" s="58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5" x14ac:dyDescent="0.25">
      <c r="A39" s="58" t="s">
        <v>18</v>
      </c>
      <c r="B39" s="58"/>
      <c r="C39" s="58"/>
      <c r="D39" s="61">
        <f t="shared" ref="D39:N39" si="19">D3*D5</f>
        <v>57000</v>
      </c>
      <c r="E39" s="61">
        <f t="shared" si="19"/>
        <v>59884.200000000004</v>
      </c>
      <c r="F39" s="61">
        <f t="shared" si="19"/>
        <v>62914.340520000005</v>
      </c>
      <c r="G39" s="61">
        <f t="shared" si="19"/>
        <v>66097.806150312012</v>
      </c>
      <c r="H39" s="61">
        <f t="shared" si="19"/>
        <v>69442.355141517794</v>
      </c>
      <c r="I39" s="61">
        <f t="shared" si="19"/>
        <v>72956.138311678602</v>
      </c>
      <c r="J39" s="61">
        <f t="shared" si="19"/>
        <v>76647.718910249532</v>
      </c>
      <c r="K39" s="61">
        <f t="shared" si="19"/>
        <v>80526.093487108155</v>
      </c>
      <c r="L39" s="61">
        <f t="shared" si="19"/>
        <v>84600.713817555836</v>
      </c>
      <c r="M39" s="61">
        <f t="shared" si="19"/>
        <v>88881.509936724164</v>
      </c>
      <c r="N39" s="61">
        <f t="shared" si="19"/>
        <v>93378.914339522409</v>
      </c>
    </row>
    <row r="40" spans="1:15" x14ac:dyDescent="0.25">
      <c r="A40" s="58" t="s">
        <v>59</v>
      </c>
      <c r="B40" s="58"/>
      <c r="C40" s="58"/>
      <c r="D40" s="61">
        <f t="shared" ref="D40:N40" si="20">D6*D8</f>
        <v>52000</v>
      </c>
      <c r="E40" s="61">
        <f t="shared" si="20"/>
        <v>49168.08</v>
      </c>
      <c r="F40" s="61">
        <f t="shared" si="20"/>
        <v>51655.984848</v>
      </c>
      <c r="G40" s="61">
        <f t="shared" si="20"/>
        <v>54269.777681308806</v>
      </c>
      <c r="H40" s="61">
        <f t="shared" si="20"/>
        <v>57015.828431983035</v>
      </c>
      <c r="I40" s="61">
        <f t="shared" si="20"/>
        <v>59900.829350641376</v>
      </c>
      <c r="J40" s="61">
        <f t="shared" si="20"/>
        <v>62931.811315783838</v>
      </c>
      <c r="K40" s="61">
        <f t="shared" si="20"/>
        <v>66116.160968362499</v>
      </c>
      <c r="L40" s="61">
        <f t="shared" si="20"/>
        <v>69461.638713361652</v>
      </c>
      <c r="M40" s="61">
        <f t="shared" si="20"/>
        <v>72976.397632257751</v>
      </c>
      <c r="N40" s="61">
        <f t="shared" si="20"/>
        <v>76669.003352449989</v>
      </c>
    </row>
    <row r="41" spans="1:15" x14ac:dyDescent="0.25">
      <c r="A41" s="58" t="s">
        <v>60</v>
      </c>
      <c r="B41" s="58"/>
      <c r="C41" s="58"/>
      <c r="D41" s="61">
        <f t="shared" ref="D41:N41" si="21">D9*D11</f>
        <v>13263.157894736843</v>
      </c>
      <c r="E41" s="61">
        <f t="shared" si="21"/>
        <v>13934.273684210528</v>
      </c>
      <c r="F41" s="61">
        <f t="shared" si="21"/>
        <v>14639.347932631581</v>
      </c>
      <c r="G41" s="61">
        <f t="shared" si="21"/>
        <v>15380.098938022738</v>
      </c>
      <c r="H41" s="61">
        <f t="shared" si="21"/>
        <v>16158.331944286689</v>
      </c>
      <c r="I41" s="61">
        <f t="shared" si="21"/>
        <v>16975.943540667598</v>
      </c>
      <c r="J41" s="61">
        <f t="shared" si="21"/>
        <v>17834.926283825378</v>
      </c>
      <c r="K41" s="61">
        <f t="shared" si="21"/>
        <v>18737.373553786943</v>
      </c>
      <c r="L41" s="61">
        <f t="shared" si="21"/>
        <v>19685.484655608565</v>
      </c>
      <c r="M41" s="61">
        <f t="shared" si="21"/>
        <v>20681.570179182356</v>
      </c>
      <c r="N41" s="61">
        <f t="shared" si="21"/>
        <v>21728.057630248986</v>
      </c>
    </row>
    <row r="42" spans="1:15" x14ac:dyDescent="0.25">
      <c r="A42" s="60"/>
      <c r="B42" s="58"/>
      <c r="C42" s="5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5" x14ac:dyDescent="0.25">
      <c r="A43" s="58" t="s">
        <v>2</v>
      </c>
      <c r="B43" s="58"/>
      <c r="C43" s="5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5" x14ac:dyDescent="0.25">
      <c r="A44" s="58"/>
      <c r="B44" s="58" t="s">
        <v>17</v>
      </c>
      <c r="C44" s="58"/>
      <c r="D44" s="61">
        <f>SUM(F28:F29)</f>
        <v>70000</v>
      </c>
      <c r="E44" s="62">
        <f>SUM(E35:E37)*$O$44</f>
        <v>73542</v>
      </c>
      <c r="F44" s="62">
        <f>SUM(F35:F37)*$O$44</f>
        <v>77263.225200000001</v>
      </c>
      <c r="G44" s="62">
        <f>SUM(G35:G37)*$O$44</f>
        <v>81172.744395119997</v>
      </c>
      <c r="H44" s="62">
        <f t="shared" ref="H44:N44" si="22">SUM(H35:H37)*$O$44</f>
        <v>85280.085261513086</v>
      </c>
      <c r="I44" s="62">
        <f t="shared" si="22"/>
        <v>89595.257575745636</v>
      </c>
      <c r="J44" s="62">
        <f t="shared" si="22"/>
        <v>94128.777609078359</v>
      </c>
      <c r="K44" s="62">
        <f t="shared" si="22"/>
        <v>98891.693756097753</v>
      </c>
      <c r="L44" s="62">
        <f t="shared" si="22"/>
        <v>103895.6134601563</v>
      </c>
      <c r="M44" s="62">
        <f t="shared" si="22"/>
        <v>109152.73150124023</v>
      </c>
      <c r="N44" s="62">
        <f t="shared" si="22"/>
        <v>114675.85971520295</v>
      </c>
      <c r="O44" s="15">
        <f>D44/SUM(D35:D37)</f>
        <v>0.30068728522336768</v>
      </c>
    </row>
    <row r="45" spans="1:15" x14ac:dyDescent="0.25">
      <c r="A45" s="58"/>
      <c r="B45" s="58" t="s">
        <v>85</v>
      </c>
      <c r="C45" s="58"/>
      <c r="D45" s="61">
        <f>D17</f>
        <v>3960</v>
      </c>
      <c r="E45" s="61">
        <f>D45*(1+$O$10)</f>
        <v>4039.2000000000003</v>
      </c>
      <c r="F45" s="61">
        <f t="shared" ref="F45:N45" si="23">E45*(1+$O$10)</f>
        <v>4119.9840000000004</v>
      </c>
      <c r="G45" s="61">
        <f t="shared" si="23"/>
        <v>4202.3836800000008</v>
      </c>
      <c r="H45" s="61">
        <f t="shared" si="23"/>
        <v>4286.4313536000009</v>
      </c>
      <c r="I45" s="61">
        <f t="shared" si="23"/>
        <v>4372.1599806720005</v>
      </c>
      <c r="J45" s="61">
        <f t="shared" si="23"/>
        <v>4459.6031802854404</v>
      </c>
      <c r="K45" s="61">
        <f t="shared" si="23"/>
        <v>4548.7952438911498</v>
      </c>
      <c r="L45" s="61">
        <f t="shared" si="23"/>
        <v>4639.771148768973</v>
      </c>
      <c r="M45" s="61">
        <f t="shared" si="23"/>
        <v>4732.5665717443526</v>
      </c>
      <c r="N45" s="61">
        <f t="shared" si="23"/>
        <v>4827.2179031792393</v>
      </c>
      <c r="O45" s="15">
        <v>0.3</v>
      </c>
    </row>
    <row r="46" spans="1:15" x14ac:dyDescent="0.25">
      <c r="A46" s="58"/>
      <c r="B46" s="58"/>
      <c r="C46" s="5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5" x14ac:dyDescent="0.25">
      <c r="A47" s="58" t="s">
        <v>3</v>
      </c>
      <c r="B47" s="58"/>
      <c r="C47" s="58"/>
      <c r="D47" s="63">
        <f t="shared" ref="D47:N47" si="24">$P$64</f>
        <v>7500</v>
      </c>
      <c r="E47" s="63">
        <f t="shared" si="24"/>
        <v>7500</v>
      </c>
      <c r="F47" s="63">
        <f t="shared" si="24"/>
        <v>7500</v>
      </c>
      <c r="G47" s="63">
        <f t="shared" si="24"/>
        <v>7500</v>
      </c>
      <c r="H47" s="63">
        <f t="shared" si="24"/>
        <v>7500</v>
      </c>
      <c r="I47" s="63">
        <f t="shared" si="24"/>
        <v>7500</v>
      </c>
      <c r="J47" s="63">
        <f t="shared" si="24"/>
        <v>7500</v>
      </c>
      <c r="K47" s="63">
        <f t="shared" si="24"/>
        <v>7500</v>
      </c>
      <c r="L47" s="63">
        <f t="shared" si="24"/>
        <v>7500</v>
      </c>
      <c r="M47" s="63">
        <f t="shared" si="24"/>
        <v>7500</v>
      </c>
      <c r="N47" s="63">
        <f t="shared" si="24"/>
        <v>7500</v>
      </c>
    </row>
    <row r="48" spans="1:15" x14ac:dyDescent="0.25">
      <c r="A48" s="58" t="s">
        <v>4</v>
      </c>
      <c r="B48" s="58"/>
      <c r="C48" s="58"/>
      <c r="D48" s="61">
        <f>Mortgage!D14</f>
        <v>6633.4905839456933</v>
      </c>
      <c r="E48" s="61">
        <f>Mortgage!D28</f>
        <v>6523.4352262750017</v>
      </c>
      <c r="F48" s="61">
        <f>Mortgage!D42</f>
        <v>6408.3239447281367</v>
      </c>
      <c r="G48" s="61">
        <f>Mortgage!D56</f>
        <v>6287.9244710468092</v>
      </c>
      <c r="H48" s="61">
        <f>Mortgage!D70</f>
        <v>6161.9938666095823</v>
      </c>
      <c r="I48" s="61">
        <f>Mortgage!D84</f>
        <v>6030.2780322372555</v>
      </c>
      <c r="J48" s="61">
        <f>Mortgage!D98</f>
        <v>5892.5111954787881</v>
      </c>
      <c r="K48" s="61">
        <f>Mortgage!D112</f>
        <v>5748.4153743432407</v>
      </c>
      <c r="L48" s="61">
        <f>Mortgage!D126</f>
        <v>5597.6998163956468</v>
      </c>
      <c r="M48" s="61">
        <f>Mortgage!D140</f>
        <v>5440.0604120850448</v>
      </c>
      <c r="N48" s="61">
        <f>Mortgage!D154</f>
        <v>5275.1790811209121</v>
      </c>
    </row>
    <row r="49" spans="1:23" x14ac:dyDescent="0.25">
      <c r="A49" s="58" t="s">
        <v>20</v>
      </c>
      <c r="B49" s="58"/>
      <c r="C49" s="58"/>
      <c r="D49" s="61">
        <f t="shared" ref="D49:F49" si="25">$O$49*D73</f>
        <v>1021.4162836068373</v>
      </c>
      <c r="E49" s="61">
        <f t="shared" si="25"/>
        <v>0</v>
      </c>
      <c r="F49" s="61">
        <f t="shared" si="25"/>
        <v>0</v>
      </c>
      <c r="G49" s="61">
        <f>$O$49*G73</f>
        <v>0</v>
      </c>
      <c r="H49" s="61">
        <f t="shared" ref="H49:N49" si="26">$O$49*H73</f>
        <v>0</v>
      </c>
      <c r="I49" s="61">
        <f t="shared" si="26"/>
        <v>0</v>
      </c>
      <c r="J49" s="61">
        <f t="shared" si="26"/>
        <v>0</v>
      </c>
      <c r="K49" s="61">
        <f t="shared" si="26"/>
        <v>0</v>
      </c>
      <c r="L49" s="61">
        <f t="shared" si="26"/>
        <v>0</v>
      </c>
      <c r="M49" s="61">
        <f t="shared" si="26"/>
        <v>0</v>
      </c>
      <c r="N49" s="61">
        <f t="shared" si="26"/>
        <v>0</v>
      </c>
      <c r="O49" s="15">
        <v>0.11</v>
      </c>
    </row>
    <row r="50" spans="1:23" x14ac:dyDescent="0.25">
      <c r="A50" s="58"/>
      <c r="B50" s="58"/>
      <c r="C50" s="5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23" x14ac:dyDescent="0.25">
      <c r="A51" s="58" t="s">
        <v>5</v>
      </c>
      <c r="B51" s="58"/>
      <c r="C51" s="58"/>
      <c r="D51" s="61">
        <f>SUM(D35:D37)-SUM(D39:D49)</f>
        <v>21421.935237710597</v>
      </c>
      <c r="E51" s="61">
        <f t="shared" ref="E51:G51" si="27">SUM(E35:E37)-SUM(E39:E49)</f>
        <v>29988.491089514457</v>
      </c>
      <c r="F51" s="61">
        <f t="shared" si="27"/>
        <v>32454.205362640292</v>
      </c>
      <c r="G51" s="61">
        <f t="shared" si="27"/>
        <v>35046.62032967445</v>
      </c>
      <c r="H51" s="61">
        <f t="shared" ref="H51:N51" si="28">SUM(H35:H37)-SUM(H39:H49)</f>
        <v>37772.171841636184</v>
      </c>
      <c r="I51" s="61">
        <f t="shared" si="28"/>
        <v>40637.621260265907</v>
      </c>
      <c r="J51" s="61">
        <f t="shared" si="28"/>
        <v>43650.071896633657</v>
      </c>
      <c r="K51" s="61">
        <f t="shared" si="28"/>
        <v>46816.986279546807</v>
      </c>
      <c r="L51" s="61">
        <f t="shared" si="28"/>
        <v>50146.204295644304</v>
      </c>
      <c r="M51" s="61">
        <f t="shared" si="28"/>
        <v>53645.962245176488</v>
      </c>
      <c r="N51" s="61">
        <f t="shared" si="28"/>
        <v>57324.912859693344</v>
      </c>
    </row>
    <row r="52" spans="1:23" x14ac:dyDescent="0.25">
      <c r="A52" s="58" t="s">
        <v>6</v>
      </c>
      <c r="B52" s="58"/>
      <c r="C52" s="58"/>
      <c r="D52" s="61">
        <f>IF(D51&lt;=0,0,$O$52*D51)</f>
        <v>6426.5805713131786</v>
      </c>
      <c r="E52" s="61">
        <f t="shared" ref="E52:N52" si="29">IF(E51&lt;=0,0,$O$52*E51)</f>
        <v>8996.5473268543374</v>
      </c>
      <c r="F52" s="61">
        <f t="shared" si="29"/>
        <v>9736.2616087920869</v>
      </c>
      <c r="G52" s="61">
        <f t="shared" si="29"/>
        <v>10513.986098902335</v>
      </c>
      <c r="H52" s="61">
        <f t="shared" si="29"/>
        <v>11331.651552490855</v>
      </c>
      <c r="I52" s="61">
        <f t="shared" si="29"/>
        <v>12191.286378079772</v>
      </c>
      <c r="J52" s="61">
        <f t="shared" si="29"/>
        <v>13095.021568990096</v>
      </c>
      <c r="K52" s="61">
        <f t="shared" si="29"/>
        <v>14045.095883864042</v>
      </c>
      <c r="L52" s="61">
        <f t="shared" si="29"/>
        <v>15043.86128869329</v>
      </c>
      <c r="M52" s="61">
        <f t="shared" si="29"/>
        <v>16093.788673552946</v>
      </c>
      <c r="N52" s="61">
        <f t="shared" si="29"/>
        <v>17197.473857908004</v>
      </c>
      <c r="O52" s="15">
        <v>0.3</v>
      </c>
      <c r="P52" s="1" t="s">
        <v>128</v>
      </c>
    </row>
    <row r="53" spans="1:23" x14ac:dyDescent="0.25">
      <c r="A53" s="59" t="s">
        <v>21</v>
      </c>
      <c r="B53" s="58"/>
      <c r="C53" s="58"/>
      <c r="D53" s="61">
        <f>D51-D52</f>
        <v>14995.354666397419</v>
      </c>
      <c r="E53" s="61">
        <f t="shared" ref="E53:G53" si="30">E51-E52</f>
        <v>20991.943762660121</v>
      </c>
      <c r="F53" s="61">
        <f t="shared" si="30"/>
        <v>22717.943753848205</v>
      </c>
      <c r="G53" s="61">
        <f t="shared" si="30"/>
        <v>24532.634230772113</v>
      </c>
      <c r="H53" s="61">
        <f t="shared" ref="H53:N53" si="31">H51-H52</f>
        <v>26440.52028914533</v>
      </c>
      <c r="I53" s="61">
        <f t="shared" si="31"/>
        <v>28446.334882186136</v>
      </c>
      <c r="J53" s="61">
        <f t="shared" si="31"/>
        <v>30555.050327643563</v>
      </c>
      <c r="K53" s="61">
        <f t="shared" si="31"/>
        <v>32771.890395682763</v>
      </c>
      <c r="L53" s="61">
        <f t="shared" si="31"/>
        <v>35102.343006951014</v>
      </c>
      <c r="M53" s="61">
        <f t="shared" si="31"/>
        <v>37552.173571623542</v>
      </c>
      <c r="N53" s="61">
        <f t="shared" si="31"/>
        <v>40127.439001785344</v>
      </c>
    </row>
    <row r="54" spans="1:23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23" x14ac:dyDescent="0.25">
      <c r="A55" s="59" t="s">
        <v>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23" x14ac:dyDescent="0.25">
      <c r="A56" s="59" t="s">
        <v>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23" x14ac:dyDescent="0.25">
      <c r="A57" s="58" t="s">
        <v>22</v>
      </c>
      <c r="B57" s="58"/>
      <c r="C57" s="58"/>
      <c r="D57" s="61">
        <f>D24</f>
        <v>1000</v>
      </c>
      <c r="E57" s="61">
        <f>D57</f>
        <v>1000</v>
      </c>
      <c r="F57" s="61">
        <f t="shared" ref="F57:N57" si="32">E57</f>
        <v>1000</v>
      </c>
      <c r="G57" s="61">
        <f t="shared" si="32"/>
        <v>1000</v>
      </c>
      <c r="H57" s="61">
        <f t="shared" si="32"/>
        <v>1000</v>
      </c>
      <c r="I57" s="61">
        <f t="shared" si="32"/>
        <v>1000</v>
      </c>
      <c r="J57" s="61">
        <f t="shared" si="32"/>
        <v>1000</v>
      </c>
      <c r="K57" s="61">
        <f t="shared" si="32"/>
        <v>1000</v>
      </c>
      <c r="L57" s="61">
        <f t="shared" si="32"/>
        <v>1000</v>
      </c>
      <c r="M57" s="61">
        <f t="shared" si="32"/>
        <v>1000</v>
      </c>
      <c r="N57" s="61">
        <f t="shared" si="32"/>
        <v>1000</v>
      </c>
    </row>
    <row r="58" spans="1:23" x14ac:dyDescent="0.25">
      <c r="A58" s="58" t="s">
        <v>23</v>
      </c>
      <c r="B58" s="58"/>
      <c r="C58" s="58"/>
      <c r="D58" s="57"/>
      <c r="E58" s="57">
        <v>14282.723486158899</v>
      </c>
      <c r="F58" s="57">
        <v>35899.74076967709</v>
      </c>
      <c r="G58" s="57">
        <v>58765.668928692328</v>
      </c>
      <c r="H58" s="57">
        <v>82933.870622285729</v>
      </c>
      <c r="I58" s="57">
        <v>73459.484875041497</v>
      </c>
      <c r="J58" s="57">
        <v>100399.43862309512</v>
      </c>
      <c r="K58" s="57">
        <v>128812.45235493779</v>
      </c>
      <c r="L58" s="57">
        <v>158759.03901381843</v>
      </c>
      <c r="M58" s="57">
        <v>190301.49524250539</v>
      </c>
      <c r="N58" s="57">
        <v>223503.88395712405</v>
      </c>
    </row>
    <row r="59" spans="1:23" x14ac:dyDescent="0.25">
      <c r="A59" s="58" t="s">
        <v>9</v>
      </c>
      <c r="B59" s="58"/>
      <c r="C59" s="58"/>
      <c r="D59" s="63">
        <f t="shared" ref="D59:N59" si="33">(SUM(D35:D36)/365)*D19</f>
        <v>68252.054794520547</v>
      </c>
      <c r="E59" s="63">
        <f t="shared" si="33"/>
        <v>71705.608767123282</v>
      </c>
      <c r="F59" s="63">
        <f t="shared" si="33"/>
        <v>75333.912570739732</v>
      </c>
      <c r="G59" s="63">
        <f t="shared" si="33"/>
        <v>79145.808546819157</v>
      </c>
      <c r="H59" s="63">
        <f t="shared" si="33"/>
        <v>83150.586459288214</v>
      </c>
      <c r="I59" s="63">
        <f t="shared" si="33"/>
        <v>87358.006134128198</v>
      </c>
      <c r="J59" s="63">
        <f t="shared" si="33"/>
        <v>91778.321244515086</v>
      </c>
      <c r="K59" s="63">
        <f t="shared" si="33"/>
        <v>96422.304299487558</v>
      </c>
      <c r="L59" s="63">
        <f t="shared" si="33"/>
        <v>101301.27289704165</v>
      </c>
      <c r="M59" s="63">
        <f t="shared" si="33"/>
        <v>106427.11730563195</v>
      </c>
      <c r="N59" s="63">
        <f t="shared" si="33"/>
        <v>111812.32944129691</v>
      </c>
    </row>
    <row r="60" spans="1:23" x14ac:dyDescent="0.25">
      <c r="A60" s="58" t="s">
        <v>28</v>
      </c>
      <c r="B60" s="58"/>
      <c r="C60" s="58"/>
      <c r="D60" s="64">
        <f t="shared" ref="D60:N60" si="34">(SUM(D39:D40)/365)*D20+(D41/365)*D21</f>
        <v>55206.92141312184</v>
      </c>
      <c r="E60" s="64">
        <f t="shared" si="34"/>
        <v>56919.626464023066</v>
      </c>
      <c r="F60" s="64">
        <f t="shared" si="34"/>
        <v>61545.622986929549</v>
      </c>
      <c r="G60" s="64">
        <f t="shared" si="34"/>
        <v>66549.061746532883</v>
      </c>
      <c r="H60" s="64">
        <f t="shared" si="34"/>
        <v>71960.814315930169</v>
      </c>
      <c r="I60" s="64">
        <f t="shared" si="34"/>
        <v>77814.281144696142</v>
      </c>
      <c r="J60" s="64">
        <f t="shared" si="34"/>
        <v>84145.598909652486</v>
      </c>
      <c r="K60" s="64">
        <f t="shared" si="34"/>
        <v>90993.86487690288</v>
      </c>
      <c r="L60" s="64">
        <f t="shared" si="34"/>
        <v>98401.379671256946</v>
      </c>
      <c r="M60" s="64">
        <f t="shared" si="34"/>
        <v>106413.9099637724</v>
      </c>
      <c r="N60" s="64">
        <f t="shared" si="34"/>
        <v>115080.97271216019</v>
      </c>
    </row>
    <row r="61" spans="1:23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P61" s="52" t="s">
        <v>48</v>
      </c>
      <c r="R61" s="26" t="s">
        <v>98</v>
      </c>
      <c r="S61" s="43">
        <v>0.99</v>
      </c>
      <c r="T61" s="27"/>
      <c r="U61" s="27" t="s">
        <v>92</v>
      </c>
      <c r="V61" s="27"/>
      <c r="W61" s="28"/>
    </row>
    <row r="62" spans="1:23" x14ac:dyDescent="0.25">
      <c r="A62" s="58" t="s">
        <v>24</v>
      </c>
      <c r="B62" s="58"/>
      <c r="C62" s="58"/>
      <c r="D62" s="63">
        <f>D15</f>
        <v>15000</v>
      </c>
      <c r="E62" s="63">
        <f>D62</f>
        <v>15000</v>
      </c>
      <c r="F62" s="63">
        <f t="shared" ref="F62:N62" si="35">E62</f>
        <v>15000</v>
      </c>
      <c r="G62" s="63">
        <f t="shared" si="35"/>
        <v>15000</v>
      </c>
      <c r="H62" s="63">
        <f t="shared" si="35"/>
        <v>15000</v>
      </c>
      <c r="I62" s="63">
        <f t="shared" si="35"/>
        <v>15000</v>
      </c>
      <c r="J62" s="63">
        <f t="shared" si="35"/>
        <v>15000</v>
      </c>
      <c r="K62" s="63">
        <f t="shared" si="35"/>
        <v>15000</v>
      </c>
      <c r="L62" s="63">
        <f t="shared" si="35"/>
        <v>15000</v>
      </c>
      <c r="M62" s="63">
        <f t="shared" si="35"/>
        <v>15000</v>
      </c>
      <c r="N62" s="63">
        <f t="shared" si="35"/>
        <v>15000</v>
      </c>
      <c r="P62" s="54">
        <v>20</v>
      </c>
      <c r="R62" s="29" t="s">
        <v>99</v>
      </c>
      <c r="S62" s="30">
        <f>S72+S73</f>
        <v>0.38655584171820362</v>
      </c>
      <c r="T62" s="31"/>
      <c r="U62" s="40">
        <f>O52</f>
        <v>0.3</v>
      </c>
      <c r="V62" s="31"/>
      <c r="W62" s="32"/>
    </row>
    <row r="63" spans="1:23" x14ac:dyDescent="0.25">
      <c r="A63" s="58" t="s">
        <v>10</v>
      </c>
      <c r="B63" s="58"/>
      <c r="C63" s="58"/>
      <c r="D63" s="61">
        <f>D14</f>
        <v>150000</v>
      </c>
      <c r="E63" s="61">
        <f t="shared" ref="E63:N63" si="36">E14</f>
        <v>150000</v>
      </c>
      <c r="F63" s="61">
        <f t="shared" si="36"/>
        <v>150000</v>
      </c>
      <c r="G63" s="61">
        <f t="shared" si="36"/>
        <v>150000</v>
      </c>
      <c r="H63" s="61">
        <f t="shared" si="36"/>
        <v>150000</v>
      </c>
      <c r="I63" s="61">
        <f t="shared" si="36"/>
        <v>185000</v>
      </c>
      <c r="J63" s="61">
        <f t="shared" si="36"/>
        <v>185000</v>
      </c>
      <c r="K63" s="61">
        <f t="shared" si="36"/>
        <v>185000</v>
      </c>
      <c r="L63" s="61">
        <f t="shared" si="36"/>
        <v>185000</v>
      </c>
      <c r="M63" s="61">
        <f t="shared" si="36"/>
        <v>185000</v>
      </c>
      <c r="N63" s="61">
        <f t="shared" si="36"/>
        <v>185000</v>
      </c>
      <c r="P63" s="52" t="s">
        <v>135</v>
      </c>
      <c r="R63" s="29" t="s">
        <v>100</v>
      </c>
      <c r="S63" s="30">
        <f>S75</f>
        <v>0.61344415828179644</v>
      </c>
      <c r="T63" s="31"/>
      <c r="U63" s="31"/>
      <c r="V63" s="31"/>
      <c r="W63" s="32"/>
    </row>
    <row r="64" spans="1:23" x14ac:dyDescent="0.25">
      <c r="A64" s="58" t="s">
        <v>11</v>
      </c>
      <c r="B64" s="58"/>
      <c r="C64" s="58"/>
      <c r="D64" s="61">
        <f>C64+D47</f>
        <v>7500</v>
      </c>
      <c r="E64" s="61">
        <f>D64+E47</f>
        <v>15000</v>
      </c>
      <c r="F64" s="61">
        <f t="shared" ref="F64:G64" si="37">E64+F47</f>
        <v>22500</v>
      </c>
      <c r="G64" s="61">
        <f t="shared" si="37"/>
        <v>30000</v>
      </c>
      <c r="H64" s="61">
        <f t="shared" ref="H64" si="38">G64+H47</f>
        <v>37500</v>
      </c>
      <c r="I64" s="61">
        <f t="shared" ref="I64" si="39">H64+I47</f>
        <v>45000</v>
      </c>
      <c r="J64" s="61">
        <f t="shared" ref="J64" si="40">I64+J47</f>
        <v>52500</v>
      </c>
      <c r="K64" s="61">
        <f t="shared" ref="K64" si="41">J64+K47</f>
        <v>60000</v>
      </c>
      <c r="L64" s="61">
        <f t="shared" ref="L64" si="42">K64+L47</f>
        <v>67500</v>
      </c>
      <c r="M64" s="61">
        <f t="shared" ref="M64" si="43">L64+M47</f>
        <v>75000</v>
      </c>
      <c r="N64" s="61">
        <f t="shared" ref="N64" si="44">M64+N47</f>
        <v>82500</v>
      </c>
      <c r="P64" s="53">
        <f>G63/P62</f>
        <v>7500</v>
      </c>
      <c r="R64" s="29" t="s">
        <v>95</v>
      </c>
      <c r="S64" s="33">
        <f>S61*(1+(1-U62)/(S62/S63))</f>
        <v>2.0897552120792731</v>
      </c>
      <c r="T64" s="31"/>
      <c r="U64" s="31"/>
      <c r="V64" s="31"/>
      <c r="W64" s="32"/>
    </row>
    <row r="65" spans="1:23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R65" s="29"/>
      <c r="S65" s="31"/>
      <c r="T65" s="31"/>
      <c r="U65" s="31"/>
      <c r="V65" s="31"/>
      <c r="W65" s="32"/>
    </row>
    <row r="66" spans="1:23" x14ac:dyDescent="0.25">
      <c r="A66" s="59" t="s">
        <v>12</v>
      </c>
      <c r="B66" s="58"/>
      <c r="C66" s="58"/>
      <c r="D66" s="65">
        <f>SUM(D57:D63)-D64</f>
        <v>281958.97620764235</v>
      </c>
      <c r="E66" s="65">
        <f>SUM(E57:E63)-E64</f>
        <v>293907.95871730521</v>
      </c>
      <c r="F66" s="65">
        <f t="shared" ref="F66:N66" si="45">SUM(F57:F63)-F64</f>
        <v>316279.27632734634</v>
      </c>
      <c r="G66" s="65">
        <f t="shared" si="45"/>
        <v>340460.5392220444</v>
      </c>
      <c r="H66" s="65">
        <f t="shared" si="45"/>
        <v>366545.27139750414</v>
      </c>
      <c r="I66" s="65">
        <f t="shared" si="45"/>
        <v>394631.77215386584</v>
      </c>
      <c r="J66" s="65">
        <f t="shared" si="45"/>
        <v>424823.35877726268</v>
      </c>
      <c r="K66" s="65">
        <f t="shared" si="45"/>
        <v>457228.62153132824</v>
      </c>
      <c r="L66" s="65">
        <f t="shared" si="45"/>
        <v>491961.691582117</v>
      </c>
      <c r="M66" s="65">
        <f t="shared" si="45"/>
        <v>529142.52251190972</v>
      </c>
      <c r="N66" s="65">
        <f t="shared" si="45"/>
        <v>568897.18611058115</v>
      </c>
      <c r="R66" s="29" t="s">
        <v>101</v>
      </c>
      <c r="S66" s="42">
        <v>0.02</v>
      </c>
      <c r="T66" s="31"/>
      <c r="U66" s="31"/>
      <c r="V66" s="31"/>
      <c r="W66" s="32"/>
    </row>
    <row r="67" spans="1:23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R67" s="29" t="s">
        <v>96</v>
      </c>
      <c r="S67" s="42">
        <v>0.06</v>
      </c>
      <c r="T67" s="31"/>
      <c r="U67" s="31"/>
      <c r="V67" s="31"/>
      <c r="W67" s="32"/>
    </row>
    <row r="68" spans="1:23" x14ac:dyDescent="0.25">
      <c r="A68" s="59" t="s">
        <v>13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R68" s="29"/>
      <c r="S68" s="31"/>
      <c r="T68" s="31"/>
      <c r="U68" s="31"/>
      <c r="V68" s="31"/>
      <c r="W68" s="32"/>
    </row>
    <row r="69" spans="1:23" x14ac:dyDescent="0.25">
      <c r="A69" s="66" t="s">
        <v>29</v>
      </c>
      <c r="B69" s="58"/>
      <c r="C69" s="58"/>
      <c r="D69" s="63">
        <f t="shared" ref="D69:N69" si="46">(SUM(D39:D41)/365)*D22</f>
        <v>30147.080028839224</v>
      </c>
      <c r="E69" s="63">
        <f t="shared" si="46"/>
        <v>30325.451593366979</v>
      </c>
      <c r="F69" s="63">
        <f t="shared" si="46"/>
        <v>31859.919443991348</v>
      </c>
      <c r="G69" s="63">
        <f t="shared" si="46"/>
        <v>33472.031367857315</v>
      </c>
      <c r="H69" s="63">
        <f t="shared" si="46"/>
        <v>35165.716155070892</v>
      </c>
      <c r="I69" s="63">
        <f t="shared" si="46"/>
        <v>36945.101392517485</v>
      </c>
      <c r="J69" s="63">
        <f t="shared" si="46"/>
        <v>38814.523522978867</v>
      </c>
      <c r="K69" s="63">
        <f t="shared" si="46"/>
        <v>40778.5384132416</v>
      </c>
      <c r="L69" s="63">
        <f t="shared" si="46"/>
        <v>42841.932456951632</v>
      </c>
      <c r="M69" s="63">
        <f t="shared" si="46"/>
        <v>45009.734239273392</v>
      </c>
      <c r="N69" s="63">
        <f t="shared" si="46"/>
        <v>47287.226791780617</v>
      </c>
      <c r="R69" s="29" t="s">
        <v>97</v>
      </c>
      <c r="S69" s="34">
        <f>S66+S64*(S67-S66)</f>
        <v>0.10359020848317091</v>
      </c>
      <c r="T69" s="31"/>
      <c r="U69" s="31"/>
      <c r="V69" s="31"/>
      <c r="W69" s="32"/>
    </row>
    <row r="70" spans="1:23" x14ac:dyDescent="0.25">
      <c r="A70" s="58" t="s">
        <v>14</v>
      </c>
      <c r="B70" s="58"/>
      <c r="C70" s="58"/>
      <c r="D70" s="61">
        <f>D52</f>
        <v>6426.5805713131786</v>
      </c>
      <c r="E70" s="61">
        <f t="shared" ref="E70:G70" si="47">E52</f>
        <v>8996.5473268543374</v>
      </c>
      <c r="F70" s="61">
        <f t="shared" si="47"/>
        <v>9736.2616087920869</v>
      </c>
      <c r="G70" s="61">
        <f t="shared" si="47"/>
        <v>10513.986098902335</v>
      </c>
      <c r="H70" s="61">
        <f t="shared" ref="H70:N70" si="48">H52</f>
        <v>11331.651552490855</v>
      </c>
      <c r="I70" s="61">
        <f t="shared" si="48"/>
        <v>12191.286378079772</v>
      </c>
      <c r="J70" s="61">
        <f t="shared" si="48"/>
        <v>13095.021568990096</v>
      </c>
      <c r="K70" s="61">
        <f t="shared" si="48"/>
        <v>14045.095883864042</v>
      </c>
      <c r="L70" s="61">
        <f t="shared" si="48"/>
        <v>15043.86128869329</v>
      </c>
      <c r="M70" s="61">
        <f t="shared" si="48"/>
        <v>16093.788673552946</v>
      </c>
      <c r="N70" s="61">
        <f t="shared" si="48"/>
        <v>17197.473857908004</v>
      </c>
      <c r="R70" s="29"/>
      <c r="S70" s="31"/>
      <c r="T70" s="31"/>
      <c r="U70" s="31"/>
      <c r="V70" s="31"/>
      <c r="W70" s="32"/>
    </row>
    <row r="71" spans="1:23" x14ac:dyDescent="0.25">
      <c r="A71" s="58"/>
      <c r="B71" s="58"/>
      <c r="C71" s="58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R71" s="29" t="s">
        <v>102</v>
      </c>
      <c r="S71" s="31" t="s">
        <v>93</v>
      </c>
      <c r="T71" s="31" t="s">
        <v>36</v>
      </c>
      <c r="U71" s="31" t="s">
        <v>103</v>
      </c>
      <c r="V71" s="31" t="s">
        <v>94</v>
      </c>
      <c r="W71" s="32"/>
    </row>
    <row r="72" spans="1:23" x14ac:dyDescent="0.25">
      <c r="A72" s="58" t="s">
        <v>26</v>
      </c>
      <c r="B72" s="58"/>
      <c r="C72" s="58"/>
      <c r="D72" s="61">
        <f>Mortgage!F13</f>
        <v>146104.35836284849</v>
      </c>
      <c r="E72" s="61">
        <f>Mortgage!F27</f>
        <v>143598.66136802634</v>
      </c>
      <c r="F72" s="61">
        <f>Mortgage!F41</f>
        <v>140977.85309165725</v>
      </c>
      <c r="G72" s="61">
        <f>Mortgage!F55</f>
        <v>138236.64534160684</v>
      </c>
      <c r="H72" s="61">
        <f>Mortgage!F69</f>
        <v>135369.50698711924</v>
      </c>
      <c r="I72" s="61">
        <f>Mortgage!F83</f>
        <v>132370.65279825928</v>
      </c>
      <c r="J72" s="61">
        <f>Mortgage!F97</f>
        <v>129234.03177264088</v>
      </c>
      <c r="K72" s="61">
        <f>Mortgage!F111</f>
        <v>125953.31492588692</v>
      </c>
      <c r="L72" s="61">
        <f>Mortgage!F125</f>
        <v>122521.88252118538</v>
      </c>
      <c r="M72" s="61">
        <f>Mortgage!F139</f>
        <v>118932.81071217325</v>
      </c>
      <c r="N72" s="61">
        <f>Mortgage!F153</f>
        <v>115178.85757219698</v>
      </c>
      <c r="O72" s="23">
        <f>AVERAGE(D72:N72)</f>
        <v>131679.87049578188</v>
      </c>
      <c r="R72" s="35">
        <f>AVERAGE(D72:N72)</f>
        <v>131679.87049578188</v>
      </c>
      <c r="S72" s="34">
        <f>R72/R77</f>
        <v>0.36109284115345608</v>
      </c>
      <c r="T72" s="41">
        <v>4.1000000000000002E-2</v>
      </c>
      <c r="U72" s="34">
        <f>T72*(1-U62)</f>
        <v>2.87E-2</v>
      </c>
      <c r="V72" s="34">
        <f>S72*U72</f>
        <v>1.0363364541104189E-2</v>
      </c>
      <c r="W72" s="32"/>
    </row>
    <row r="73" spans="1:23" x14ac:dyDescent="0.25">
      <c r="A73" s="58" t="s">
        <v>25</v>
      </c>
      <c r="B73" s="58"/>
      <c r="C73" s="58"/>
      <c r="D73" s="57">
        <v>9285.6025782439756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23">
        <f>AVERAGE(D73:N73)</f>
        <v>9285.6025782439756</v>
      </c>
      <c r="R73" s="35">
        <f>AVERAGE(D73:N73)</f>
        <v>9285.6025782439756</v>
      </c>
      <c r="S73" s="34">
        <f>R73/R77</f>
        <v>2.5463000564747516E-2</v>
      </c>
      <c r="T73" s="41">
        <v>0.1</v>
      </c>
      <c r="U73" s="34">
        <f>T73*(1-U62)</f>
        <v>6.9999999999999993E-2</v>
      </c>
      <c r="V73" s="34">
        <f>S73*U73</f>
        <v>1.7824100395323259E-3</v>
      </c>
      <c r="W73" s="32"/>
    </row>
    <row r="74" spans="1:23" x14ac:dyDescent="0.25">
      <c r="A74" s="58"/>
      <c r="B74" s="58"/>
      <c r="C74" s="58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23">
        <f>SUM(O72:O73)</f>
        <v>140965.47307402585</v>
      </c>
      <c r="R74" s="35"/>
      <c r="S74" s="34"/>
      <c r="T74" s="34"/>
      <c r="U74" s="34"/>
      <c r="V74" s="34"/>
      <c r="W74" s="32"/>
    </row>
    <row r="75" spans="1:23" x14ac:dyDescent="0.25">
      <c r="A75" s="58" t="s">
        <v>27</v>
      </c>
      <c r="B75" s="58"/>
      <c r="C75" s="58"/>
      <c r="D75" s="61">
        <f>D25</f>
        <v>75000</v>
      </c>
      <c r="E75" s="61">
        <f>D75</f>
        <v>75000</v>
      </c>
      <c r="F75" s="61">
        <f t="shared" ref="F75:N75" si="49">E75</f>
        <v>75000</v>
      </c>
      <c r="G75" s="61">
        <f t="shared" si="49"/>
        <v>75000</v>
      </c>
      <c r="H75" s="61">
        <f t="shared" si="49"/>
        <v>75000</v>
      </c>
      <c r="I75" s="61">
        <f t="shared" si="49"/>
        <v>75000</v>
      </c>
      <c r="J75" s="61">
        <f t="shared" si="49"/>
        <v>75000</v>
      </c>
      <c r="K75" s="61">
        <f t="shared" si="49"/>
        <v>75000</v>
      </c>
      <c r="L75" s="61">
        <f t="shared" si="49"/>
        <v>75000</v>
      </c>
      <c r="M75" s="61">
        <f t="shared" si="49"/>
        <v>75000</v>
      </c>
      <c r="N75" s="61">
        <f t="shared" si="49"/>
        <v>75000</v>
      </c>
      <c r="O75" s="23">
        <f t="shared" ref="O75:O76" si="50">AVERAGE(D75:N75)</f>
        <v>75000</v>
      </c>
      <c r="R75" s="35">
        <f>AVERAGE(D75:N75)</f>
        <v>75000</v>
      </c>
      <c r="S75" s="34">
        <f>SUM(R75:R76)/R77</f>
        <v>0.61344415828179644</v>
      </c>
      <c r="T75" s="34">
        <f>S69</f>
        <v>0.10359020848317091</v>
      </c>
      <c r="U75" s="34">
        <f>T75</f>
        <v>0.10359020848317091</v>
      </c>
      <c r="V75" s="34">
        <f>S75*U75</f>
        <v>6.3546808249194592E-2</v>
      </c>
      <c r="W75" s="32"/>
    </row>
    <row r="76" spans="1:23" x14ac:dyDescent="0.25">
      <c r="A76" s="58" t="s">
        <v>15</v>
      </c>
      <c r="B76" s="58"/>
      <c r="C76" s="61"/>
      <c r="D76" s="61">
        <f>D53+C76</f>
        <v>14995.354666397419</v>
      </c>
      <c r="E76" s="61">
        <f t="shared" ref="E76:G76" si="51">E53+D76</f>
        <v>35987.29842905754</v>
      </c>
      <c r="F76" s="61">
        <f t="shared" si="51"/>
        <v>58705.242182905742</v>
      </c>
      <c r="G76" s="61">
        <f t="shared" si="51"/>
        <v>83237.876413677848</v>
      </c>
      <c r="H76" s="61">
        <f t="shared" ref="H76" si="52">H53+G76</f>
        <v>109678.39670282317</v>
      </c>
      <c r="I76" s="61">
        <f t="shared" ref="I76" si="53">I53+H76</f>
        <v>138124.73158500931</v>
      </c>
      <c r="J76" s="61">
        <f t="shared" ref="J76" si="54">J53+I76</f>
        <v>168679.78191265289</v>
      </c>
      <c r="K76" s="61">
        <f t="shared" ref="K76" si="55">K53+J76</f>
        <v>201451.67230833566</v>
      </c>
      <c r="L76" s="61">
        <f t="shared" ref="L76" si="56">L53+K76</f>
        <v>236554.01531528667</v>
      </c>
      <c r="M76" s="61">
        <f t="shared" ref="M76" si="57">M53+L76</f>
        <v>274106.18888691021</v>
      </c>
      <c r="N76" s="61">
        <f t="shared" ref="N76" si="58">N53+M76</f>
        <v>314233.62788869557</v>
      </c>
      <c r="O76" s="23">
        <f t="shared" si="50"/>
        <v>148704.92602652291</v>
      </c>
      <c r="R76" s="35">
        <f>AVERAGE(D76:N76)</f>
        <v>148704.92602652291</v>
      </c>
      <c r="S76" s="34"/>
      <c r="T76" s="34"/>
      <c r="U76" s="34"/>
      <c r="V76" s="34"/>
      <c r="W76" s="32"/>
    </row>
    <row r="77" spans="1:23" x14ac:dyDescent="0.25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23">
        <f>SUM(O75:O76)</f>
        <v>223704.92602652291</v>
      </c>
      <c r="R77" s="36">
        <f>SUM(R72:R76)</f>
        <v>364670.39910054876</v>
      </c>
      <c r="S77" s="37">
        <f>SUM(S72:S76)</f>
        <v>1</v>
      </c>
      <c r="T77" s="37"/>
      <c r="U77" s="37"/>
      <c r="V77" s="38">
        <f>SUM(V72:V76)</f>
        <v>7.5692582829831101E-2</v>
      </c>
      <c r="W77" s="39" t="s">
        <v>104</v>
      </c>
    </row>
    <row r="78" spans="1:23" x14ac:dyDescent="0.25">
      <c r="A78" s="59" t="s">
        <v>16</v>
      </c>
      <c r="B78" s="58"/>
      <c r="C78" s="58"/>
      <c r="D78" s="61">
        <f>SUM(D69:D76)</f>
        <v>281958.97620764235</v>
      </c>
      <c r="E78" s="61">
        <f t="shared" ref="E78:G78" si="59">SUM(E69:E76)</f>
        <v>293907.95871730521</v>
      </c>
      <c r="F78" s="61">
        <f t="shared" si="59"/>
        <v>316279.27632734639</v>
      </c>
      <c r="G78" s="61">
        <f t="shared" si="59"/>
        <v>340460.53922204435</v>
      </c>
      <c r="H78" s="61">
        <f t="shared" ref="H78:N78" si="60">SUM(H69:H76)</f>
        <v>366545.27139750414</v>
      </c>
      <c r="I78" s="61">
        <f t="shared" si="60"/>
        <v>394631.77215386584</v>
      </c>
      <c r="J78" s="61">
        <f t="shared" si="60"/>
        <v>424823.35877726274</v>
      </c>
      <c r="K78" s="61">
        <f t="shared" si="60"/>
        <v>457228.62153132824</v>
      </c>
      <c r="L78" s="61">
        <f t="shared" si="60"/>
        <v>491961.691582117</v>
      </c>
      <c r="M78" s="61">
        <f t="shared" si="60"/>
        <v>529142.52251190983</v>
      </c>
      <c r="N78" s="61">
        <f t="shared" si="60"/>
        <v>568897.18611058115</v>
      </c>
    </row>
    <row r="79" spans="1:23" x14ac:dyDescent="0.25">
      <c r="A79" s="59"/>
      <c r="B79" s="58"/>
      <c r="C79" s="58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23"/>
    </row>
    <row r="80" spans="1:23" x14ac:dyDescent="0.25">
      <c r="A80" s="59" t="s">
        <v>49</v>
      </c>
      <c r="B80" s="58"/>
      <c r="C80" s="58"/>
      <c r="D80" s="61">
        <f>D66-D78</f>
        <v>0</v>
      </c>
      <c r="E80" s="61">
        <f t="shared" ref="E80:G80" si="61">E66-E78</f>
        <v>0</v>
      </c>
      <c r="F80" s="61">
        <f t="shared" si="61"/>
        <v>0</v>
      </c>
      <c r="G80" s="61">
        <f t="shared" si="61"/>
        <v>0</v>
      </c>
      <c r="H80" s="61">
        <f t="shared" ref="H80:N80" si="62">H66-H78</f>
        <v>0</v>
      </c>
      <c r="I80" s="61">
        <f t="shared" si="62"/>
        <v>0</v>
      </c>
      <c r="J80" s="61">
        <f t="shared" si="62"/>
        <v>0</v>
      </c>
      <c r="K80" s="61">
        <f t="shared" si="62"/>
        <v>0</v>
      </c>
      <c r="L80" s="61">
        <f t="shared" si="62"/>
        <v>0</v>
      </c>
      <c r="M80" s="61">
        <f t="shared" si="62"/>
        <v>0</v>
      </c>
      <c r="N80" s="61">
        <f t="shared" si="62"/>
        <v>0</v>
      </c>
    </row>
    <row r="81" spans="1:24" s="10" customFormat="1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3" spans="1:24" x14ac:dyDescent="0.25">
      <c r="A83" s="9" t="s">
        <v>105</v>
      </c>
      <c r="B83"/>
      <c r="C83"/>
      <c r="D83" s="12"/>
      <c r="E83"/>
      <c r="F83"/>
      <c r="G83"/>
      <c r="H83"/>
      <c r="I83"/>
      <c r="O83"/>
      <c r="P83"/>
    </row>
    <row r="84" spans="1:24" x14ac:dyDescent="0.25">
      <c r="A84" t="s">
        <v>106</v>
      </c>
      <c r="B84"/>
      <c r="C84"/>
      <c r="D84" s="12"/>
      <c r="E84"/>
      <c r="F84"/>
      <c r="G84"/>
      <c r="H84"/>
      <c r="I84"/>
      <c r="O84"/>
      <c r="P84"/>
    </row>
    <row r="85" spans="1:24" x14ac:dyDescent="0.25">
      <c r="A85"/>
      <c r="B85" t="s">
        <v>107</v>
      </c>
      <c r="C85"/>
      <c r="D85" s="44">
        <f>SUM(D35:D37)-SUM(D39:D45)</f>
        <v>36576.842105263146</v>
      </c>
      <c r="E85" s="44">
        <f t="shared" ref="E85:M85" si="63">SUM(E35:E37)-SUM(E39:E45)</f>
        <v>44011.92631578946</v>
      </c>
      <c r="F85" s="44">
        <f t="shared" si="63"/>
        <v>46362.529307368415</v>
      </c>
      <c r="G85" s="44">
        <f t="shared" si="63"/>
        <v>48834.544800721254</v>
      </c>
      <c r="H85" s="44">
        <f t="shared" si="63"/>
        <v>51434.165708245768</v>
      </c>
      <c r="I85" s="44">
        <f t="shared" si="63"/>
        <v>54167.899292503163</v>
      </c>
      <c r="J85" s="44">
        <f t="shared" si="63"/>
        <v>57042.583092112414</v>
      </c>
      <c r="K85" s="44">
        <f t="shared" si="63"/>
        <v>60065.401653890032</v>
      </c>
      <c r="L85" s="44">
        <f t="shared" si="63"/>
        <v>63243.904112039949</v>
      </c>
      <c r="M85" s="44">
        <f t="shared" si="63"/>
        <v>66586.022657261521</v>
      </c>
      <c r="N85" s="44">
        <f>SUM(N35:N37)-SUM(N39:N45)</f>
        <v>70100.09194081428</v>
      </c>
      <c r="O85"/>
      <c r="P85"/>
    </row>
    <row r="86" spans="1:24" x14ac:dyDescent="0.25">
      <c r="A86"/>
      <c r="B86" t="s">
        <v>108</v>
      </c>
      <c r="C86"/>
      <c r="D86" s="44">
        <f>D47</f>
        <v>7500</v>
      </c>
      <c r="E86" s="44">
        <f t="shared" ref="E86:M86" si="64">E47</f>
        <v>7500</v>
      </c>
      <c r="F86" s="44">
        <f t="shared" si="64"/>
        <v>7500</v>
      </c>
      <c r="G86" s="44">
        <f t="shared" si="64"/>
        <v>7500</v>
      </c>
      <c r="H86" s="44">
        <f t="shared" si="64"/>
        <v>7500</v>
      </c>
      <c r="I86" s="44">
        <f t="shared" si="64"/>
        <v>7500</v>
      </c>
      <c r="J86" s="44">
        <f t="shared" si="64"/>
        <v>7500</v>
      </c>
      <c r="K86" s="44">
        <f t="shared" si="64"/>
        <v>7500</v>
      </c>
      <c r="L86" s="44">
        <f t="shared" si="64"/>
        <v>7500</v>
      </c>
      <c r="M86" s="44">
        <f t="shared" si="64"/>
        <v>7500</v>
      </c>
      <c r="N86" s="44">
        <f>N47</f>
        <v>7500</v>
      </c>
      <c r="O86"/>
      <c r="P86"/>
      <c r="Q86" s="24"/>
      <c r="R86" s="24"/>
      <c r="S86" s="24"/>
      <c r="T86" s="24"/>
      <c r="U86" s="24"/>
      <c r="V86" s="24"/>
      <c r="W86" s="24"/>
      <c r="X86" s="24"/>
    </row>
    <row r="87" spans="1:24" x14ac:dyDescent="0.25">
      <c r="A87"/>
      <c r="B87" t="s">
        <v>109</v>
      </c>
      <c r="C87"/>
      <c r="D87" s="44">
        <f>D85-D86</f>
        <v>29076.842105263146</v>
      </c>
      <c r="E87" s="44">
        <f t="shared" ref="E87:M87" si="65">E85-E86</f>
        <v>36511.92631578946</v>
      </c>
      <c r="F87" s="44">
        <f t="shared" si="65"/>
        <v>38862.529307368415</v>
      </c>
      <c r="G87" s="44">
        <f t="shared" si="65"/>
        <v>41334.544800721254</v>
      </c>
      <c r="H87" s="44">
        <f t="shared" si="65"/>
        <v>43934.165708245768</v>
      </c>
      <c r="I87" s="44">
        <f t="shared" si="65"/>
        <v>46667.899292503163</v>
      </c>
      <c r="J87" s="44">
        <f t="shared" si="65"/>
        <v>49542.583092112414</v>
      </c>
      <c r="K87" s="44">
        <f t="shared" si="65"/>
        <v>52565.401653890032</v>
      </c>
      <c r="L87" s="44">
        <f t="shared" si="65"/>
        <v>55743.904112039949</v>
      </c>
      <c r="M87" s="44">
        <f t="shared" si="65"/>
        <v>59086.022657261521</v>
      </c>
      <c r="N87" s="44">
        <f>N85-N86</f>
        <v>62600.09194081428</v>
      </c>
      <c r="O87"/>
      <c r="P87"/>
      <c r="Q87" s="24"/>
      <c r="R87" s="24"/>
      <c r="S87" s="24"/>
      <c r="T87" s="24"/>
      <c r="U87" s="24"/>
      <c r="V87" s="24"/>
      <c r="W87" s="24"/>
      <c r="X87" s="24"/>
    </row>
    <row r="88" spans="1:24" x14ac:dyDescent="0.25">
      <c r="A88"/>
      <c r="B88" t="s">
        <v>110</v>
      </c>
      <c r="C88"/>
      <c r="D88" s="45">
        <f t="shared" ref="D88:N88" si="66">IF(D87&lt;=0,0,D87*$U$62)</f>
        <v>8723.052631578943</v>
      </c>
      <c r="E88" s="45">
        <f t="shared" si="66"/>
        <v>10953.577894736838</v>
      </c>
      <c r="F88" s="45">
        <f t="shared" si="66"/>
        <v>11658.758792210525</v>
      </c>
      <c r="G88" s="45">
        <f t="shared" si="66"/>
        <v>12400.363440216375</v>
      </c>
      <c r="H88" s="45">
        <f t="shared" si="66"/>
        <v>13180.249712473729</v>
      </c>
      <c r="I88" s="45">
        <f t="shared" si="66"/>
        <v>14000.369787750949</v>
      </c>
      <c r="J88" s="45">
        <f t="shared" si="66"/>
        <v>14862.774927633724</v>
      </c>
      <c r="K88" s="45">
        <f t="shared" si="66"/>
        <v>15769.620496167008</v>
      </c>
      <c r="L88" s="45">
        <f t="shared" si="66"/>
        <v>16723.171233611985</v>
      </c>
      <c r="M88" s="45">
        <f t="shared" si="66"/>
        <v>17725.806797178455</v>
      </c>
      <c r="N88" s="45">
        <f t="shared" si="66"/>
        <v>18780.027582244282</v>
      </c>
      <c r="O88"/>
      <c r="P88"/>
    </row>
    <row r="89" spans="1:24" x14ac:dyDescent="0.25">
      <c r="A89"/>
      <c r="B89" t="s">
        <v>111</v>
      </c>
      <c r="C89"/>
      <c r="D89" s="48">
        <f>D85-D88</f>
        <v>27853.789473684203</v>
      </c>
      <c r="E89" s="48">
        <f t="shared" ref="E89:M89" si="67">E85-E88</f>
        <v>33058.348421052622</v>
      </c>
      <c r="F89" s="48">
        <f t="shared" si="67"/>
        <v>34703.770515157892</v>
      </c>
      <c r="G89" s="48">
        <f t="shared" si="67"/>
        <v>36434.181360504881</v>
      </c>
      <c r="H89" s="48">
        <f t="shared" si="67"/>
        <v>38253.91599577204</v>
      </c>
      <c r="I89" s="48">
        <f t="shared" si="67"/>
        <v>40167.529504752216</v>
      </c>
      <c r="J89" s="48">
        <f t="shared" si="67"/>
        <v>42179.808164478687</v>
      </c>
      <c r="K89" s="48">
        <f t="shared" si="67"/>
        <v>44295.781157723024</v>
      </c>
      <c r="L89" s="48">
        <f t="shared" si="67"/>
        <v>46520.732878427967</v>
      </c>
      <c r="M89" s="48">
        <f t="shared" si="67"/>
        <v>48860.215860083066</v>
      </c>
      <c r="N89" s="48">
        <f>N85-N88</f>
        <v>51320.064358570002</v>
      </c>
      <c r="O89"/>
      <c r="P89"/>
    </row>
    <row r="90" spans="1:24" x14ac:dyDescent="0.25">
      <c r="A90"/>
      <c r="B90"/>
      <c r="C90"/>
      <c r="D90" s="12"/>
      <c r="E90" s="12"/>
      <c r="F90" s="12"/>
      <c r="G90" s="12"/>
      <c r="H90" s="12"/>
      <c r="I90" s="12"/>
      <c r="J90" s="12"/>
      <c r="K90" s="12"/>
      <c r="L90" s="12"/>
      <c r="M90" s="12"/>
      <c r="O90"/>
      <c r="P90"/>
    </row>
    <row r="91" spans="1:24" x14ac:dyDescent="0.25">
      <c r="A91" t="s">
        <v>112</v>
      </c>
      <c r="B91"/>
      <c r="C91"/>
      <c r="D91" s="12"/>
      <c r="E91" s="12"/>
      <c r="F91" s="12"/>
      <c r="G91" s="12"/>
      <c r="H91" s="12"/>
      <c r="I91" s="12"/>
      <c r="J91" s="12"/>
      <c r="K91" s="12"/>
      <c r="L91" s="12"/>
      <c r="M91" s="12"/>
      <c r="O91"/>
      <c r="P91"/>
    </row>
    <row r="92" spans="1:24" x14ac:dyDescent="0.25">
      <c r="A92" s="50" t="s">
        <v>113</v>
      </c>
      <c r="B92" t="s">
        <v>114</v>
      </c>
      <c r="C92" s="44">
        <f>-(D57-C57)</f>
        <v>-1000</v>
      </c>
      <c r="D92" s="44">
        <f>-(E57-D57)</f>
        <v>0</v>
      </c>
      <c r="E92" s="44">
        <f t="shared" ref="E92:N92" si="68">-(F57-E57)</f>
        <v>0</v>
      </c>
      <c r="F92" s="44">
        <f t="shared" si="68"/>
        <v>0</v>
      </c>
      <c r="G92" s="44">
        <f t="shared" si="68"/>
        <v>0</v>
      </c>
      <c r="H92" s="44">
        <f t="shared" si="68"/>
        <v>0</v>
      </c>
      <c r="I92" s="44">
        <f t="shared" si="68"/>
        <v>0</v>
      </c>
      <c r="J92" s="44">
        <f t="shared" si="68"/>
        <v>0</v>
      </c>
      <c r="K92" s="44">
        <f t="shared" si="68"/>
        <v>0</v>
      </c>
      <c r="L92" s="44">
        <f t="shared" si="68"/>
        <v>0</v>
      </c>
      <c r="M92" s="44">
        <f t="shared" si="68"/>
        <v>0</v>
      </c>
      <c r="N92" s="44">
        <f t="shared" si="68"/>
        <v>1000</v>
      </c>
      <c r="O92"/>
      <c r="P92"/>
    </row>
    <row r="93" spans="1:24" x14ac:dyDescent="0.25">
      <c r="A93" s="50" t="s">
        <v>113</v>
      </c>
      <c r="B93" t="s">
        <v>9</v>
      </c>
      <c r="C93" s="44">
        <f>-(D59-C59)</f>
        <v>-68252.054794520547</v>
      </c>
      <c r="D93" s="44">
        <f>-(E59-D59)</f>
        <v>-3453.5539726027346</v>
      </c>
      <c r="E93" s="44">
        <f t="shared" ref="E93:N93" si="69">-(F59-E59)</f>
        <v>-3628.3038036164508</v>
      </c>
      <c r="F93" s="44">
        <f t="shared" si="69"/>
        <v>-3811.8959760794241</v>
      </c>
      <c r="G93" s="44">
        <f t="shared" si="69"/>
        <v>-4004.7779124690569</v>
      </c>
      <c r="H93" s="44">
        <f t="shared" si="69"/>
        <v>-4207.4196748399845</v>
      </c>
      <c r="I93" s="44">
        <f t="shared" si="69"/>
        <v>-4420.3151103868877</v>
      </c>
      <c r="J93" s="44">
        <f t="shared" si="69"/>
        <v>-4643.983054972472</v>
      </c>
      <c r="K93" s="44">
        <f t="shared" si="69"/>
        <v>-4878.9685975540924</v>
      </c>
      <c r="L93" s="44">
        <f t="shared" si="69"/>
        <v>-5125.8444085903029</v>
      </c>
      <c r="M93" s="44">
        <f t="shared" si="69"/>
        <v>-5385.2121356649586</v>
      </c>
      <c r="N93" s="44">
        <f t="shared" si="69"/>
        <v>111812.32944129691</v>
      </c>
      <c r="O93"/>
      <c r="P93"/>
    </row>
    <row r="94" spans="1:24" x14ac:dyDescent="0.25">
      <c r="A94" s="50" t="s">
        <v>113</v>
      </c>
      <c r="B94" t="s">
        <v>115</v>
      </c>
      <c r="C94" s="44">
        <f>-(D60-C60)</f>
        <v>-55206.92141312184</v>
      </c>
      <c r="D94" s="44">
        <f>-(E60-D60)</f>
        <v>-1712.7050509012261</v>
      </c>
      <c r="E94" s="44">
        <f t="shared" ref="E94:N94" si="70">-(F60-E60)</f>
        <v>-4625.9965229064837</v>
      </c>
      <c r="F94" s="44">
        <f t="shared" si="70"/>
        <v>-5003.4387596033339</v>
      </c>
      <c r="G94" s="44">
        <f t="shared" si="70"/>
        <v>-5411.7525693972857</v>
      </c>
      <c r="H94" s="44">
        <f t="shared" si="70"/>
        <v>-5853.4668287659733</v>
      </c>
      <c r="I94" s="44">
        <f t="shared" si="70"/>
        <v>-6331.317764956344</v>
      </c>
      <c r="J94" s="44">
        <f t="shared" si="70"/>
        <v>-6848.2659672503942</v>
      </c>
      <c r="K94" s="44">
        <f t="shared" si="70"/>
        <v>-7407.5147943540651</v>
      </c>
      <c r="L94" s="44">
        <f t="shared" si="70"/>
        <v>-8012.5302925154538</v>
      </c>
      <c r="M94" s="44">
        <f t="shared" si="70"/>
        <v>-8667.0627483877906</v>
      </c>
      <c r="N94" s="44">
        <f t="shared" si="70"/>
        <v>115080.97271216019</v>
      </c>
      <c r="O94"/>
      <c r="P94"/>
    </row>
    <row r="95" spans="1:24" x14ac:dyDescent="0.25">
      <c r="A95" s="50"/>
      <c r="B95"/>
      <c r="C95"/>
      <c r="D95" s="12"/>
      <c r="E95" s="12"/>
      <c r="F95" s="12"/>
      <c r="G95" s="12"/>
      <c r="H95" s="12"/>
      <c r="I95" s="12"/>
      <c r="J95" s="12"/>
      <c r="K95" s="12"/>
      <c r="L95" s="12"/>
      <c r="M95" s="12"/>
      <c r="O95"/>
      <c r="P95"/>
    </row>
    <row r="96" spans="1:24" x14ac:dyDescent="0.25">
      <c r="A96" s="50" t="s">
        <v>113</v>
      </c>
      <c r="B96" t="s">
        <v>24</v>
      </c>
      <c r="C96" s="44">
        <f t="shared" ref="C96" si="71">-(D62-C62)</f>
        <v>-15000</v>
      </c>
      <c r="D96" s="44">
        <f>-(E62-D62)</f>
        <v>0</v>
      </c>
      <c r="E96" s="44">
        <f t="shared" ref="E96:M96" si="72">-(F62-E62)</f>
        <v>0</v>
      </c>
      <c r="F96" s="44">
        <f t="shared" si="72"/>
        <v>0</v>
      </c>
      <c r="G96" s="44">
        <f t="shared" si="72"/>
        <v>0</v>
      </c>
      <c r="H96" s="44">
        <f t="shared" si="72"/>
        <v>0</v>
      </c>
      <c r="I96" s="44">
        <f t="shared" si="72"/>
        <v>0</v>
      </c>
      <c r="J96" s="44">
        <f t="shared" si="72"/>
        <v>0</v>
      </c>
      <c r="K96" s="44">
        <f t="shared" si="72"/>
        <v>0</v>
      </c>
      <c r="L96" s="44">
        <f t="shared" si="72"/>
        <v>0</v>
      </c>
      <c r="M96" s="44">
        <f t="shared" si="72"/>
        <v>0</v>
      </c>
      <c r="N96" s="44">
        <f>-(O62-N62)</f>
        <v>15000</v>
      </c>
      <c r="O96" t="s">
        <v>117</v>
      </c>
      <c r="P96" s="47">
        <v>1.05</v>
      </c>
    </row>
    <row r="97" spans="1:24" x14ac:dyDescent="0.25">
      <c r="A97" s="50"/>
      <c r="B97" t="s">
        <v>116</v>
      </c>
      <c r="C9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46">
        <f>(P96-100%)*N96</f>
        <v>750.00000000000068</v>
      </c>
      <c r="O97" t="s">
        <v>119</v>
      </c>
      <c r="P97" s="44">
        <f>N62</f>
        <v>15000</v>
      </c>
    </row>
    <row r="98" spans="1:24" x14ac:dyDescent="0.25">
      <c r="A98" s="50" t="s">
        <v>113</v>
      </c>
      <c r="B98" t="s">
        <v>118</v>
      </c>
      <c r="C98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46">
        <f>-P98*$O$52</f>
        <v>-225</v>
      </c>
      <c r="O98" t="s">
        <v>120</v>
      </c>
      <c r="P98" s="44">
        <f>SUM(N96:N97)-P97</f>
        <v>750</v>
      </c>
    </row>
    <row r="99" spans="1:24" x14ac:dyDescent="0.25">
      <c r="A99" s="50"/>
      <c r="B99"/>
      <c r="C99"/>
      <c r="D99" s="12"/>
      <c r="E99" s="12"/>
      <c r="F99" s="12"/>
      <c r="G99" s="12"/>
      <c r="H99" s="12"/>
      <c r="I99" s="12"/>
      <c r="J99" s="12"/>
      <c r="K99" s="12"/>
      <c r="L99" s="12"/>
      <c r="M99" s="12"/>
      <c r="Q99" s="25"/>
      <c r="R99" s="25"/>
      <c r="S99" s="25"/>
      <c r="T99" s="25"/>
      <c r="U99" s="25"/>
      <c r="V99" s="25"/>
      <c r="W99" s="25"/>
      <c r="X99" s="25"/>
    </row>
    <row r="100" spans="1:24" x14ac:dyDescent="0.25">
      <c r="A100" s="50" t="s">
        <v>113</v>
      </c>
      <c r="B100" t="s">
        <v>10</v>
      </c>
      <c r="C100" s="44">
        <f t="shared" ref="C100" si="73">-(D63-C63)</f>
        <v>-150000</v>
      </c>
      <c r="D100" s="44">
        <f>-(E63-D63)</f>
        <v>0</v>
      </c>
      <c r="E100" s="44">
        <f t="shared" ref="E100:M100" si="74">-(F63-E63)</f>
        <v>0</v>
      </c>
      <c r="F100" s="44">
        <f t="shared" si="74"/>
        <v>0</v>
      </c>
      <c r="G100" s="44">
        <f t="shared" si="74"/>
        <v>0</v>
      </c>
      <c r="H100" s="44">
        <f>-(I63-H63)</f>
        <v>-35000</v>
      </c>
      <c r="I100" s="44">
        <f t="shared" si="74"/>
        <v>0</v>
      </c>
      <c r="J100" s="44">
        <f t="shared" si="74"/>
        <v>0</v>
      </c>
      <c r="K100" s="44">
        <f t="shared" si="74"/>
        <v>0</v>
      </c>
      <c r="L100" s="44">
        <f t="shared" si="74"/>
        <v>0</v>
      </c>
      <c r="M100" s="44">
        <f t="shared" si="74"/>
        <v>0</v>
      </c>
      <c r="N100" s="44">
        <f>-(O63-N63)</f>
        <v>185000</v>
      </c>
      <c r="O100" t="s">
        <v>117</v>
      </c>
      <c r="P100" s="47">
        <v>0.8</v>
      </c>
    </row>
    <row r="101" spans="1:24" x14ac:dyDescent="0.25">
      <c r="A101" s="50"/>
      <c r="B101" t="s">
        <v>116</v>
      </c>
      <c r="C10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46">
        <f>(P100-100%)*N100</f>
        <v>-36999.999999999993</v>
      </c>
      <c r="O101" t="s">
        <v>119</v>
      </c>
      <c r="P101" s="44">
        <f>I60-I61</f>
        <v>77814.281144696142</v>
      </c>
    </row>
    <row r="102" spans="1:24" x14ac:dyDescent="0.25">
      <c r="A102" s="50" t="s">
        <v>113</v>
      </c>
      <c r="B102" t="s">
        <v>118</v>
      </c>
      <c r="C10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46">
        <f>-P102*$O$52</f>
        <v>-21055.715656591157</v>
      </c>
      <c r="O102" t="s">
        <v>120</v>
      </c>
      <c r="P102" s="44">
        <f>SUM(N100:N101)-P101</f>
        <v>70185.718855303858</v>
      </c>
    </row>
    <row r="103" spans="1:24" x14ac:dyDescent="0.25">
      <c r="A103" s="50"/>
      <c r="B103"/>
      <c r="C103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24" x14ac:dyDescent="0.25">
      <c r="A104" s="50" t="s">
        <v>121</v>
      </c>
      <c r="B104" t="s">
        <v>122</v>
      </c>
      <c r="C104" s="44">
        <f>(D69-C69)</f>
        <v>30147.080028839224</v>
      </c>
      <c r="D104" s="44">
        <f>(E69-D69)</f>
        <v>178.37156452775525</v>
      </c>
      <c r="E104" s="44">
        <f t="shared" ref="E104:M104" si="75">(F69-E69)</f>
        <v>1534.467850624369</v>
      </c>
      <c r="F104" s="44">
        <f t="shared" si="75"/>
        <v>1612.1119238659667</v>
      </c>
      <c r="G104" s="44">
        <f t="shared" si="75"/>
        <v>1693.6847872135768</v>
      </c>
      <c r="H104" s="44">
        <f t="shared" si="75"/>
        <v>1779.3852374465932</v>
      </c>
      <c r="I104" s="44">
        <f t="shared" si="75"/>
        <v>1869.422130461382</v>
      </c>
      <c r="J104" s="44">
        <f t="shared" si="75"/>
        <v>1964.0148902627334</v>
      </c>
      <c r="K104" s="44">
        <f t="shared" si="75"/>
        <v>2063.3940437100318</v>
      </c>
      <c r="L104" s="44">
        <f t="shared" si="75"/>
        <v>2167.8017823217597</v>
      </c>
      <c r="M104" s="44">
        <f t="shared" si="75"/>
        <v>2277.4925525072249</v>
      </c>
      <c r="N104" s="44">
        <f>(O69-N69)</f>
        <v>-47287.226791780617</v>
      </c>
      <c r="O104"/>
      <c r="P104"/>
    </row>
    <row r="105" spans="1:24" x14ac:dyDescent="0.25">
      <c r="A105" s="50" t="s">
        <v>121</v>
      </c>
      <c r="B105" t="s">
        <v>123</v>
      </c>
      <c r="C105" s="46">
        <f>(D88-C88)</f>
        <v>8723.052631578943</v>
      </c>
      <c r="D105" s="46">
        <f>(E88-D88)</f>
        <v>2230.5252631578951</v>
      </c>
      <c r="E105" s="46">
        <f t="shared" ref="E105:L105" si="76">(F88-E88)</f>
        <v>705.18089747368685</v>
      </c>
      <c r="F105" s="46">
        <f t="shared" si="76"/>
        <v>741.60464800585032</v>
      </c>
      <c r="G105" s="46">
        <f t="shared" si="76"/>
        <v>779.88627225735399</v>
      </c>
      <c r="H105" s="46">
        <f t="shared" si="76"/>
        <v>820.12007527722017</v>
      </c>
      <c r="I105" s="46">
        <f t="shared" si="76"/>
        <v>862.40513988277417</v>
      </c>
      <c r="J105" s="46">
        <f t="shared" si="76"/>
        <v>906.84556853328468</v>
      </c>
      <c r="K105" s="46">
        <f t="shared" si="76"/>
        <v>953.55073744497713</v>
      </c>
      <c r="L105" s="46">
        <f t="shared" si="76"/>
        <v>1002.6355635664695</v>
      </c>
      <c r="M105" s="46">
        <f>(N88-M88)</f>
        <v>1054.2207850658269</v>
      </c>
      <c r="N105" s="46">
        <f>(O88-N88)</f>
        <v>-18780.027582244282</v>
      </c>
      <c r="O105"/>
      <c r="P105"/>
    </row>
    <row r="106" spans="1:24" x14ac:dyDescent="0.25">
      <c r="A106" s="50"/>
      <c r="B106"/>
      <c r="C106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O106"/>
      <c r="P106"/>
    </row>
    <row r="107" spans="1:24" x14ac:dyDescent="0.25">
      <c r="A107" s="50" t="s">
        <v>113</v>
      </c>
      <c r="B107" t="s">
        <v>129</v>
      </c>
      <c r="C107" s="46">
        <v>-9000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>
        <v>10000</v>
      </c>
      <c r="O107"/>
      <c r="P107"/>
    </row>
    <row r="108" spans="1:24" x14ac:dyDescent="0.25">
      <c r="A108"/>
      <c r="B108"/>
      <c r="C108"/>
      <c r="D108" s="12"/>
      <c r="E108"/>
      <c r="F108"/>
      <c r="G108"/>
      <c r="H108"/>
      <c r="I108"/>
      <c r="O108"/>
      <c r="P108"/>
    </row>
    <row r="109" spans="1:24" x14ac:dyDescent="0.25">
      <c r="A109" s="9" t="s">
        <v>124</v>
      </c>
      <c r="B109"/>
      <c r="C109" s="49">
        <f>SUM(C89:C107)</f>
        <v>-259588.84354722418</v>
      </c>
      <c r="D109" s="49">
        <f>SUM(D89:D107)</f>
        <v>25096.427277865892</v>
      </c>
      <c r="E109" s="49">
        <f t="shared" ref="E109:M109" si="77">SUM(E89:E107)</f>
        <v>27043.696842627745</v>
      </c>
      <c r="F109" s="49">
        <f t="shared" si="77"/>
        <v>28242.152351346951</v>
      </c>
      <c r="G109" s="49">
        <f t="shared" si="77"/>
        <v>29491.221938109469</v>
      </c>
      <c r="H109" s="49">
        <f t="shared" si="77"/>
        <v>-4207.4651951101041</v>
      </c>
      <c r="I109" s="49">
        <f t="shared" si="77"/>
        <v>32147.723899753139</v>
      </c>
      <c r="J109" s="49">
        <f t="shared" si="77"/>
        <v>33558.419601051835</v>
      </c>
      <c r="K109" s="49">
        <f t="shared" si="77"/>
        <v>35026.242546969879</v>
      </c>
      <c r="L109" s="49">
        <f t="shared" si="77"/>
        <v>36552.795523210443</v>
      </c>
      <c r="M109" s="49">
        <f t="shared" si="77"/>
        <v>38139.654313603372</v>
      </c>
      <c r="N109" s="49">
        <f>SUM(N89:N107)</f>
        <v>365615.39648141101</v>
      </c>
      <c r="O109"/>
      <c r="P109"/>
    </row>
    <row r="110" spans="1:24" x14ac:dyDescent="0.25">
      <c r="A110" s="9" t="s">
        <v>125</v>
      </c>
      <c r="B110"/>
      <c r="C110" s="68">
        <f>IRR(C109:N109)</f>
        <v>0.11825805968750203</v>
      </c>
      <c r="D110" s="12"/>
      <c r="E110"/>
      <c r="G110"/>
      <c r="H110"/>
      <c r="I110"/>
      <c r="O110"/>
      <c r="P110"/>
    </row>
    <row r="111" spans="1:24" x14ac:dyDescent="0.25">
      <c r="A111" s="9"/>
      <c r="B111"/>
      <c r="C111"/>
      <c r="D111" s="12"/>
      <c r="E111"/>
      <c r="F111"/>
      <c r="G111"/>
      <c r="H111"/>
      <c r="I111"/>
      <c r="O111"/>
      <c r="P111"/>
    </row>
    <row r="112" spans="1:24" x14ac:dyDescent="0.25">
      <c r="A112" s="9" t="s">
        <v>126</v>
      </c>
      <c r="B112"/>
      <c r="C112" s="68">
        <f>V77</f>
        <v>7.5692582829831101E-2</v>
      </c>
      <c r="D112" s="12"/>
      <c r="E112"/>
      <c r="G112"/>
      <c r="H112"/>
      <c r="I112"/>
      <c r="O112"/>
      <c r="P112"/>
    </row>
    <row r="113" spans="1:16" x14ac:dyDescent="0.25">
      <c r="A113" s="9" t="s">
        <v>127</v>
      </c>
      <c r="B113"/>
      <c r="C113" s="69">
        <f>NPV(C112,D109:N109)</f>
        <v>350116.54330782854</v>
      </c>
      <c r="D113" s="12"/>
      <c r="E113"/>
      <c r="G113"/>
      <c r="H113"/>
      <c r="I113"/>
      <c r="O113"/>
      <c r="P113"/>
    </row>
  </sheetData>
  <sheetProtection selectLockedCells="1" selectUnlockedCells="1"/>
  <pageMargins left="0.7" right="0.7" top="0.75" bottom="0.75" header="0.51180555555555596" footer="0.51180555555555596"/>
  <pageSetup scale="55" firstPageNumber="0" fitToHeight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opLeftCell="B55" zoomScale="80" zoomScaleNormal="80" workbookViewId="0">
      <selection activeCell="N80" sqref="N80"/>
    </sheetView>
  </sheetViews>
  <sheetFormatPr defaultColWidth="9.42578125" defaultRowHeight="15" x14ac:dyDescent="0.25"/>
  <cols>
    <col min="1" max="1" width="4.85546875" style="1" customWidth="1"/>
    <col min="2" max="2" width="37.85546875" style="1" customWidth="1"/>
    <col min="3" max="3" width="20.140625" style="1" bestFit="1" customWidth="1"/>
    <col min="4" max="4" width="14.140625" style="1" customWidth="1"/>
    <col min="5" max="5" width="14" style="1" customWidth="1"/>
    <col min="6" max="8" width="14.140625" style="1" customWidth="1"/>
    <col min="9" max="9" width="14" style="1" customWidth="1"/>
    <col min="10" max="14" width="14.140625" style="1" customWidth="1"/>
    <col min="15" max="15" width="12.42578125" style="1" customWidth="1"/>
    <col min="16" max="16" width="15.28515625" style="1" customWidth="1"/>
    <col min="17" max="17" width="5.140625" style="1" customWidth="1"/>
    <col min="18" max="18" width="13.7109375" style="1" bestFit="1" customWidth="1"/>
    <col min="19" max="19" width="16.5703125" style="1" bestFit="1" customWidth="1"/>
    <col min="20" max="20" width="10.7109375" style="1" bestFit="1" customWidth="1"/>
    <col min="21" max="21" width="11.42578125" style="1" bestFit="1" customWidth="1"/>
    <col min="22" max="22" width="8.85546875" style="1" bestFit="1" customWidth="1"/>
    <col min="23" max="16384" width="9.42578125" style="1"/>
  </cols>
  <sheetData>
    <row r="1" spans="1:18" x14ac:dyDescent="0.25">
      <c r="A1" s="104" t="s">
        <v>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x14ac:dyDescent="0.25">
      <c r="A2" s="104"/>
      <c r="B2" s="104"/>
      <c r="C2" s="104"/>
      <c r="D2" s="104">
        <v>2014</v>
      </c>
      <c r="E2" s="104">
        <v>2015</v>
      </c>
      <c r="F2" s="104">
        <v>2016</v>
      </c>
      <c r="G2" s="104">
        <v>2017</v>
      </c>
      <c r="H2" s="104">
        <v>2018</v>
      </c>
      <c r="I2" s="104">
        <v>2019</v>
      </c>
      <c r="J2" s="104">
        <v>2020</v>
      </c>
      <c r="K2" s="104">
        <v>2021</v>
      </c>
      <c r="L2" s="104">
        <v>2022</v>
      </c>
      <c r="M2" s="104">
        <v>2023</v>
      </c>
      <c r="N2" s="104">
        <v>2024</v>
      </c>
      <c r="O2" s="104"/>
      <c r="P2" s="104"/>
      <c r="Q2" s="104"/>
      <c r="R2" s="104"/>
    </row>
    <row r="3" spans="1:18" x14ac:dyDescent="0.25">
      <c r="A3" s="105" t="s">
        <v>58</v>
      </c>
      <c r="B3" s="104"/>
      <c r="C3" s="104"/>
      <c r="D3" s="106">
        <v>38</v>
      </c>
      <c r="E3" s="106">
        <f>D3*(1+$O$3)</f>
        <v>37.24</v>
      </c>
      <c r="F3" s="106">
        <f>E3*(1+$O$3)</f>
        <v>36.495200000000004</v>
      </c>
      <c r="G3" s="106">
        <f>F3*(1+$O$3)</f>
        <v>35.765296000000006</v>
      </c>
      <c r="H3" s="106">
        <f t="shared" ref="H3:N3" si="0">G3*(1+$O$3)</f>
        <v>35.049990080000008</v>
      </c>
      <c r="I3" s="106">
        <f t="shared" si="0"/>
        <v>34.348990278400009</v>
      </c>
      <c r="J3" s="106">
        <f t="shared" si="0"/>
        <v>33.662010472832009</v>
      </c>
      <c r="K3" s="106">
        <f t="shared" si="0"/>
        <v>32.988770263375365</v>
      </c>
      <c r="L3" s="106">
        <f t="shared" si="0"/>
        <v>32.328994858107855</v>
      </c>
      <c r="M3" s="106">
        <f>L3*(1+$O$3)</f>
        <v>31.682414960945696</v>
      </c>
      <c r="N3" s="106">
        <f t="shared" si="0"/>
        <v>31.048766661726781</v>
      </c>
      <c r="O3" s="107">
        <v>-0.02</v>
      </c>
      <c r="P3" s="104" t="s">
        <v>88</v>
      </c>
      <c r="Q3" s="104"/>
      <c r="R3" s="104"/>
    </row>
    <row r="4" spans="1:18" x14ac:dyDescent="0.25">
      <c r="A4" s="105" t="s">
        <v>43</v>
      </c>
      <c r="B4" s="104"/>
      <c r="C4" s="104"/>
      <c r="D4" s="106">
        <v>3000</v>
      </c>
      <c r="E4" s="106">
        <f>D4*(1+$O$10)</f>
        <v>3090</v>
      </c>
      <c r="F4" s="106">
        <f t="shared" ref="F4:N4" si="1">E4*(1+$O$10)</f>
        <v>3182.7000000000003</v>
      </c>
      <c r="G4" s="106">
        <f t="shared" si="1"/>
        <v>3278.1810000000005</v>
      </c>
      <c r="H4" s="106">
        <f t="shared" si="1"/>
        <v>3376.5264300000008</v>
      </c>
      <c r="I4" s="106">
        <f t="shared" si="1"/>
        <v>3477.8222229000007</v>
      </c>
      <c r="J4" s="106">
        <f t="shared" si="1"/>
        <v>3582.1568895870009</v>
      </c>
      <c r="K4" s="106">
        <f t="shared" si="1"/>
        <v>3689.621596274611</v>
      </c>
      <c r="L4" s="106">
        <f t="shared" si="1"/>
        <v>3800.3102441628494</v>
      </c>
      <c r="M4" s="106">
        <f t="shared" si="1"/>
        <v>3914.3195514877348</v>
      </c>
      <c r="N4" s="106">
        <f t="shared" si="1"/>
        <v>4031.7491380323668</v>
      </c>
      <c r="O4" s="104"/>
      <c r="P4" s="104"/>
      <c r="Q4" s="104"/>
      <c r="R4" s="104"/>
    </row>
    <row r="5" spans="1:18" x14ac:dyDescent="0.25">
      <c r="A5" s="105" t="s">
        <v>44</v>
      </c>
      <c r="B5" s="104"/>
      <c r="C5" s="104"/>
      <c r="D5" s="108">
        <f>D4/(1+$O$5)</f>
        <v>1666.6666666666665</v>
      </c>
      <c r="E5" s="108">
        <f t="shared" ref="E5:M5" si="2">E4/(1+$O$5)</f>
        <v>1716.6666666666665</v>
      </c>
      <c r="F5" s="108">
        <f t="shared" si="2"/>
        <v>1768.1666666666667</v>
      </c>
      <c r="G5" s="108">
        <f t="shared" si="2"/>
        <v>1821.2116666666668</v>
      </c>
      <c r="H5" s="108">
        <f t="shared" si="2"/>
        <v>1875.848016666667</v>
      </c>
      <c r="I5" s="108">
        <f t="shared" si="2"/>
        <v>1932.1234571666671</v>
      </c>
      <c r="J5" s="108">
        <f t="shared" si="2"/>
        <v>1990.0871608816672</v>
      </c>
      <c r="K5" s="108">
        <f t="shared" si="2"/>
        <v>2049.7897757081173</v>
      </c>
      <c r="L5" s="108">
        <f t="shared" si="2"/>
        <v>2111.2834689793608</v>
      </c>
      <c r="M5" s="108">
        <f t="shared" si="2"/>
        <v>2174.6219730487414</v>
      </c>
      <c r="N5" s="108">
        <f>N4/(1+$O$5)</f>
        <v>2239.8606322402038</v>
      </c>
      <c r="O5" s="109">
        <v>0.8</v>
      </c>
      <c r="P5" s="104" t="s">
        <v>89</v>
      </c>
      <c r="Q5" s="104"/>
      <c r="R5" s="104"/>
    </row>
    <row r="6" spans="1:18" x14ac:dyDescent="0.25">
      <c r="A6" s="105" t="s">
        <v>56</v>
      </c>
      <c r="B6" s="104"/>
      <c r="C6" s="104"/>
      <c r="D6" s="106">
        <v>52</v>
      </c>
      <c r="E6" s="106">
        <f>D6*(1+$O$3)</f>
        <v>50.96</v>
      </c>
      <c r="F6" s="106">
        <f t="shared" ref="F6:N6" si="3">E6*(1+$O$3)</f>
        <v>49.940800000000003</v>
      </c>
      <c r="G6" s="106">
        <f t="shared" si="3"/>
        <v>48.941984000000005</v>
      </c>
      <c r="H6" s="106">
        <f t="shared" si="3"/>
        <v>47.963144320000005</v>
      </c>
      <c r="I6" s="106">
        <f t="shared" si="3"/>
        <v>47.003881433600007</v>
      </c>
      <c r="J6" s="106">
        <f t="shared" si="3"/>
        <v>46.063803804928007</v>
      </c>
      <c r="K6" s="106">
        <f t="shared" si="3"/>
        <v>45.14252772882945</v>
      </c>
      <c r="L6" s="106">
        <f t="shared" si="3"/>
        <v>44.239677174252861</v>
      </c>
      <c r="M6" s="106">
        <f t="shared" si="3"/>
        <v>43.354883630767802</v>
      </c>
      <c r="N6" s="106">
        <f t="shared" si="3"/>
        <v>42.487785958152443</v>
      </c>
      <c r="O6" s="107"/>
      <c r="P6" s="104"/>
      <c r="Q6" s="104"/>
      <c r="R6" s="104"/>
    </row>
    <row r="7" spans="1:18" x14ac:dyDescent="0.25">
      <c r="A7" s="105" t="s">
        <v>52</v>
      </c>
      <c r="B7" s="104"/>
      <c r="C7" s="104"/>
      <c r="D7" s="104">
        <v>1800</v>
      </c>
      <c r="E7" s="110">
        <f>D7*(1+$O$10)</f>
        <v>1854</v>
      </c>
      <c r="F7" s="110">
        <f>E7*(1+$O$10)</f>
        <v>1909.6200000000001</v>
      </c>
      <c r="G7" s="110">
        <f t="shared" ref="G7:N7" si="4">F7*(1+$O$10)</f>
        <v>1966.9086000000002</v>
      </c>
      <c r="H7" s="110">
        <f t="shared" si="4"/>
        <v>2025.9158580000003</v>
      </c>
      <c r="I7" s="110">
        <f t="shared" si="4"/>
        <v>2086.6933337400005</v>
      </c>
      <c r="J7" s="110">
        <f t="shared" si="4"/>
        <v>2149.2941337522007</v>
      </c>
      <c r="K7" s="110">
        <f t="shared" si="4"/>
        <v>2213.7729577647669</v>
      </c>
      <c r="L7" s="110">
        <f t="shared" si="4"/>
        <v>2280.1861464977101</v>
      </c>
      <c r="M7" s="110">
        <f t="shared" si="4"/>
        <v>2348.5917308926414</v>
      </c>
      <c r="N7" s="110">
        <f t="shared" si="4"/>
        <v>2419.0494828194205</v>
      </c>
      <c r="O7" s="107"/>
      <c r="P7" s="104"/>
      <c r="Q7" s="104"/>
      <c r="R7" s="104"/>
    </row>
    <row r="8" spans="1:18" x14ac:dyDescent="0.25">
      <c r="A8" s="104" t="s">
        <v>54</v>
      </c>
      <c r="B8" s="104"/>
      <c r="C8" s="104"/>
      <c r="D8" s="108">
        <f>D7/1.8</f>
        <v>1000</v>
      </c>
      <c r="E8" s="108">
        <f>E7/(1+$O$5)</f>
        <v>1030</v>
      </c>
      <c r="F8" s="108">
        <f t="shared" ref="F8:N8" si="5">F7/(1+$O$5)</f>
        <v>1060.9000000000001</v>
      </c>
      <c r="G8" s="108">
        <f t="shared" si="5"/>
        <v>1092.7270000000001</v>
      </c>
      <c r="H8" s="108">
        <f t="shared" si="5"/>
        <v>1125.50881</v>
      </c>
      <c r="I8" s="108">
        <f t="shared" si="5"/>
        <v>1159.2740743000002</v>
      </c>
      <c r="J8" s="108">
        <f t="shared" si="5"/>
        <v>1194.0522965290004</v>
      </c>
      <c r="K8" s="108">
        <f t="shared" si="5"/>
        <v>1229.8738654248705</v>
      </c>
      <c r="L8" s="108">
        <f t="shared" si="5"/>
        <v>1266.7700813876168</v>
      </c>
      <c r="M8" s="108">
        <f t="shared" si="5"/>
        <v>1304.7731838292452</v>
      </c>
      <c r="N8" s="108">
        <f t="shared" si="5"/>
        <v>1343.9163793441226</v>
      </c>
      <c r="O8" s="111"/>
      <c r="P8" s="104"/>
      <c r="Q8" s="104"/>
      <c r="R8" s="104"/>
    </row>
    <row r="9" spans="1:18" x14ac:dyDescent="0.25">
      <c r="A9" s="105" t="s">
        <v>57</v>
      </c>
      <c r="B9" s="104"/>
      <c r="C9" s="104"/>
      <c r="D9" s="106">
        <v>360</v>
      </c>
      <c r="E9" s="106">
        <f>D9*(1+$O$3)</f>
        <v>352.8</v>
      </c>
      <c r="F9" s="106">
        <f t="shared" ref="F9:N9" si="6">E9*(1+$O$3)</f>
        <v>345.74400000000003</v>
      </c>
      <c r="G9" s="106">
        <f t="shared" si="6"/>
        <v>338.82912000000005</v>
      </c>
      <c r="H9" s="106">
        <f t="shared" si="6"/>
        <v>332.05253760000005</v>
      </c>
      <c r="I9" s="106">
        <f t="shared" si="6"/>
        <v>325.41148684800004</v>
      </c>
      <c r="J9" s="106">
        <f t="shared" si="6"/>
        <v>318.90325711104003</v>
      </c>
      <c r="K9" s="106">
        <f t="shared" si="6"/>
        <v>312.52519196881923</v>
      </c>
      <c r="L9" s="106">
        <f t="shared" si="6"/>
        <v>306.27468812944284</v>
      </c>
      <c r="M9" s="106">
        <f t="shared" si="6"/>
        <v>300.14919436685398</v>
      </c>
      <c r="N9" s="106">
        <f t="shared" si="6"/>
        <v>294.14621047951687</v>
      </c>
      <c r="O9" s="107"/>
      <c r="P9" s="104"/>
      <c r="Q9" s="104"/>
      <c r="R9" s="104"/>
    </row>
    <row r="10" spans="1:18" x14ac:dyDescent="0.25">
      <c r="A10" s="105" t="s">
        <v>53</v>
      </c>
      <c r="B10" s="104"/>
      <c r="C10" s="104"/>
      <c r="D10" s="104">
        <v>70</v>
      </c>
      <c r="E10" s="110">
        <f>D10*(1+$O$10)</f>
        <v>72.100000000000009</v>
      </c>
      <c r="F10" s="110">
        <f t="shared" ref="F10:N10" si="7">E10*(1+$O$10)</f>
        <v>74.263000000000005</v>
      </c>
      <c r="G10" s="110">
        <f t="shared" si="7"/>
        <v>76.490890000000007</v>
      </c>
      <c r="H10" s="110">
        <f t="shared" si="7"/>
        <v>78.785616700000006</v>
      </c>
      <c r="I10" s="110">
        <f t="shared" si="7"/>
        <v>81.149185201000009</v>
      </c>
      <c r="J10" s="110">
        <f t="shared" si="7"/>
        <v>83.583660757030017</v>
      </c>
      <c r="K10" s="110">
        <f t="shared" si="7"/>
        <v>86.091170579740918</v>
      </c>
      <c r="L10" s="110">
        <f t="shared" si="7"/>
        <v>88.673905697133151</v>
      </c>
      <c r="M10" s="110">
        <f t="shared" si="7"/>
        <v>91.334122868047146</v>
      </c>
      <c r="N10" s="110">
        <f t="shared" si="7"/>
        <v>94.074146554088557</v>
      </c>
      <c r="O10" s="111">
        <v>0.03</v>
      </c>
      <c r="P10" s="104" t="s">
        <v>87</v>
      </c>
      <c r="Q10" s="104"/>
      <c r="R10" s="104"/>
    </row>
    <row r="11" spans="1:18" x14ac:dyDescent="0.25">
      <c r="A11" s="104" t="s">
        <v>55</v>
      </c>
      <c r="B11" s="104"/>
      <c r="C11" s="104"/>
      <c r="D11" s="108">
        <f>D10/(1+$O$11)</f>
        <v>46.666666666666664</v>
      </c>
      <c r="E11" s="108">
        <f t="shared" ref="E11:N11" si="8">E10/(1+$O$11)</f>
        <v>48.06666666666667</v>
      </c>
      <c r="F11" s="108">
        <f t="shared" si="8"/>
        <v>49.50866666666667</v>
      </c>
      <c r="G11" s="108">
        <f t="shared" si="8"/>
        <v>50.993926666666674</v>
      </c>
      <c r="H11" s="108">
        <f t="shared" si="8"/>
        <v>52.52374446666667</v>
      </c>
      <c r="I11" s="108">
        <f t="shared" si="8"/>
        <v>54.099456800666673</v>
      </c>
      <c r="J11" s="108">
        <f t="shared" si="8"/>
        <v>55.722440504686681</v>
      </c>
      <c r="K11" s="108">
        <f t="shared" si="8"/>
        <v>57.394113719827281</v>
      </c>
      <c r="L11" s="108">
        <f t="shared" si="8"/>
        <v>59.1159371314221</v>
      </c>
      <c r="M11" s="108">
        <f t="shared" si="8"/>
        <v>60.889415245364766</v>
      </c>
      <c r="N11" s="108">
        <f t="shared" si="8"/>
        <v>62.716097702725705</v>
      </c>
      <c r="O11" s="112">
        <v>0.5</v>
      </c>
      <c r="P11" s="104" t="s">
        <v>90</v>
      </c>
      <c r="Q11" s="104"/>
      <c r="R11" s="104"/>
    </row>
    <row r="12" spans="1:18" x14ac:dyDescent="0.25">
      <c r="A12" s="104" t="s">
        <v>130</v>
      </c>
      <c r="B12" s="104"/>
      <c r="C12" s="104"/>
      <c r="D12" s="108">
        <v>3000</v>
      </c>
      <c r="E12" s="108">
        <f>D12</f>
        <v>3000</v>
      </c>
      <c r="F12" s="108">
        <f t="shared" ref="F12:K13" si="9">E12</f>
        <v>3000</v>
      </c>
      <c r="G12" s="108">
        <f t="shared" si="9"/>
        <v>3000</v>
      </c>
      <c r="H12" s="108">
        <f t="shared" si="9"/>
        <v>3000</v>
      </c>
      <c r="I12" s="108">
        <f t="shared" si="9"/>
        <v>3000</v>
      </c>
      <c r="J12" s="108">
        <f t="shared" si="9"/>
        <v>3000</v>
      </c>
      <c r="K12" s="108">
        <f t="shared" si="9"/>
        <v>3000</v>
      </c>
      <c r="L12" s="108">
        <f>K12</f>
        <v>3000</v>
      </c>
      <c r="M12" s="108">
        <f t="shared" ref="M12:N13" si="10">L12</f>
        <v>3000</v>
      </c>
      <c r="N12" s="108">
        <f t="shared" si="10"/>
        <v>3000</v>
      </c>
      <c r="O12" s="112"/>
      <c r="P12" s="104"/>
      <c r="Q12" s="104"/>
      <c r="R12" s="104"/>
    </row>
    <row r="13" spans="1:18" x14ac:dyDescent="0.25">
      <c r="A13" s="104" t="s">
        <v>131</v>
      </c>
      <c r="B13" s="104"/>
      <c r="C13" s="104"/>
      <c r="D13" s="113">
        <v>50</v>
      </c>
      <c r="E13" s="113">
        <f>D13</f>
        <v>50</v>
      </c>
      <c r="F13" s="113">
        <f t="shared" si="9"/>
        <v>50</v>
      </c>
      <c r="G13" s="113">
        <f t="shared" si="9"/>
        <v>50</v>
      </c>
      <c r="H13" s="113">
        <f t="shared" si="9"/>
        <v>50</v>
      </c>
      <c r="I13" s="113">
        <f>H13</f>
        <v>50</v>
      </c>
      <c r="J13" s="113">
        <f t="shared" si="9"/>
        <v>50</v>
      </c>
      <c r="K13" s="113">
        <f t="shared" si="9"/>
        <v>50</v>
      </c>
      <c r="L13" s="113">
        <f>K13</f>
        <v>50</v>
      </c>
      <c r="M13" s="113">
        <f t="shared" si="10"/>
        <v>50</v>
      </c>
      <c r="N13" s="113">
        <f t="shared" si="10"/>
        <v>50</v>
      </c>
      <c r="O13" s="112"/>
      <c r="P13" s="104"/>
      <c r="Q13" s="104"/>
      <c r="R13" s="104"/>
    </row>
    <row r="14" spans="1:18" x14ac:dyDescent="0.25">
      <c r="A14" s="104" t="s">
        <v>132</v>
      </c>
      <c r="B14" s="104"/>
      <c r="C14" s="104"/>
      <c r="D14" s="113">
        <f>D12*D13</f>
        <v>150000</v>
      </c>
      <c r="E14" s="113">
        <f t="shared" ref="E14:N14" si="11">E12*E13</f>
        <v>150000</v>
      </c>
      <c r="F14" s="113">
        <f t="shared" si="11"/>
        <v>150000</v>
      </c>
      <c r="G14" s="113">
        <f t="shared" si="11"/>
        <v>150000</v>
      </c>
      <c r="H14" s="113">
        <f t="shared" si="11"/>
        <v>150000</v>
      </c>
      <c r="I14" s="113">
        <f t="shared" si="11"/>
        <v>150000</v>
      </c>
      <c r="J14" s="113">
        <f t="shared" si="11"/>
        <v>150000</v>
      </c>
      <c r="K14" s="113">
        <f t="shared" si="11"/>
        <v>150000</v>
      </c>
      <c r="L14" s="113">
        <f t="shared" si="11"/>
        <v>150000</v>
      </c>
      <c r="M14" s="113">
        <f t="shared" si="11"/>
        <v>150000</v>
      </c>
      <c r="N14" s="113">
        <f t="shared" si="11"/>
        <v>150000</v>
      </c>
      <c r="O14" s="111"/>
      <c r="P14" s="104"/>
      <c r="Q14" s="104"/>
      <c r="R14" s="104"/>
    </row>
    <row r="15" spans="1:18" x14ac:dyDescent="0.25">
      <c r="A15" s="104" t="s">
        <v>24</v>
      </c>
      <c r="B15" s="104"/>
      <c r="C15" s="104"/>
      <c r="D15" s="104">
        <v>15000</v>
      </c>
      <c r="E15" s="104">
        <v>1500</v>
      </c>
      <c r="F15" s="104">
        <v>1500</v>
      </c>
      <c r="G15" s="104">
        <v>1500</v>
      </c>
      <c r="H15" s="104">
        <v>1500</v>
      </c>
      <c r="I15" s="104">
        <v>1500</v>
      </c>
      <c r="J15" s="104">
        <v>1500</v>
      </c>
      <c r="K15" s="104">
        <v>1500</v>
      </c>
      <c r="L15" s="104">
        <v>1500</v>
      </c>
      <c r="M15" s="104">
        <v>1500</v>
      </c>
      <c r="N15" s="104">
        <v>1500</v>
      </c>
      <c r="O15" s="111"/>
      <c r="P15" s="104"/>
      <c r="Q15" s="104"/>
      <c r="R15" s="104"/>
    </row>
    <row r="16" spans="1:18" x14ac:dyDescent="0.25">
      <c r="A16" s="104"/>
      <c r="B16" s="104" t="s">
        <v>145</v>
      </c>
      <c r="C16" s="114">
        <v>2E-3</v>
      </c>
      <c r="D16" s="115">
        <f>SUM(D14:D15)*C16</f>
        <v>330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11"/>
      <c r="P16" s="104"/>
      <c r="Q16" s="104"/>
      <c r="R16" s="104"/>
    </row>
    <row r="17" spans="1:18" x14ac:dyDescent="0.25">
      <c r="A17" s="104"/>
      <c r="B17" s="104" t="s">
        <v>142</v>
      </c>
      <c r="C17" s="104">
        <v>12</v>
      </c>
      <c r="D17" s="115">
        <f>D16*C17</f>
        <v>3960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11"/>
      <c r="P17" s="104"/>
      <c r="Q17" s="104"/>
      <c r="R17" s="104"/>
    </row>
    <row r="18" spans="1:18" x14ac:dyDescent="0.25">
      <c r="A18" s="104"/>
      <c r="B18" s="104"/>
      <c r="C18" s="104"/>
      <c r="D18" s="115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11"/>
      <c r="P18" s="104"/>
      <c r="Q18" s="104"/>
      <c r="R18" s="104"/>
    </row>
    <row r="19" spans="1:18" x14ac:dyDescent="0.25">
      <c r="A19" s="104" t="s">
        <v>45</v>
      </c>
      <c r="B19" s="104"/>
      <c r="C19" s="104"/>
      <c r="D19" s="104">
        <v>120</v>
      </c>
      <c r="E19" s="104">
        <f>D19*(1+$O$19)</f>
        <v>120</v>
      </c>
      <c r="F19" s="110">
        <f>E19*(1+$O$19)</f>
        <v>120</v>
      </c>
      <c r="G19" s="110">
        <f>F19*(1+$O$19)</f>
        <v>120</v>
      </c>
      <c r="H19" s="110">
        <f t="shared" ref="H19:N19" si="12">G19*(1+$O$19)</f>
        <v>120</v>
      </c>
      <c r="I19" s="110">
        <f t="shared" si="12"/>
        <v>120</v>
      </c>
      <c r="J19" s="110">
        <f t="shared" si="12"/>
        <v>120</v>
      </c>
      <c r="K19" s="110">
        <f t="shared" si="12"/>
        <v>120</v>
      </c>
      <c r="L19" s="110">
        <f t="shared" si="12"/>
        <v>120</v>
      </c>
      <c r="M19" s="110">
        <f t="shared" si="12"/>
        <v>120</v>
      </c>
      <c r="N19" s="110">
        <f t="shared" si="12"/>
        <v>120</v>
      </c>
      <c r="O19" s="107">
        <v>0</v>
      </c>
      <c r="P19" s="104"/>
      <c r="Q19" s="104"/>
      <c r="R19" s="104"/>
    </row>
    <row r="20" spans="1:18" x14ac:dyDescent="0.25">
      <c r="A20" s="104" t="s">
        <v>46</v>
      </c>
      <c r="B20" s="104"/>
      <c r="C20" s="104"/>
      <c r="D20" s="104">
        <v>180</v>
      </c>
      <c r="E20" s="110">
        <f>D20*(1+$O$3)</f>
        <v>176.4</v>
      </c>
      <c r="F20" s="110">
        <f t="shared" ref="F20:N20" si="13">E20*(1+$O$3)</f>
        <v>172.87200000000001</v>
      </c>
      <c r="G20" s="110">
        <f t="shared" si="13"/>
        <v>169.41456000000002</v>
      </c>
      <c r="H20" s="110">
        <f t="shared" si="13"/>
        <v>166.02626880000003</v>
      </c>
      <c r="I20" s="110">
        <f t="shared" si="13"/>
        <v>162.70574342400002</v>
      </c>
      <c r="J20" s="110">
        <f t="shared" si="13"/>
        <v>159.45162855552002</v>
      </c>
      <c r="K20" s="110">
        <f t="shared" si="13"/>
        <v>156.26259598440961</v>
      </c>
      <c r="L20" s="110">
        <f t="shared" si="13"/>
        <v>153.13734406472142</v>
      </c>
      <c r="M20" s="110">
        <f t="shared" si="13"/>
        <v>150.07459718342699</v>
      </c>
      <c r="N20" s="110">
        <f t="shared" si="13"/>
        <v>147.07310523975843</v>
      </c>
      <c r="O20" s="107"/>
      <c r="P20" s="104"/>
      <c r="Q20" s="104"/>
      <c r="R20" s="104"/>
    </row>
    <row r="21" spans="1:18" x14ac:dyDescent="0.25">
      <c r="A21" s="104" t="s">
        <v>86</v>
      </c>
      <c r="B21" s="104"/>
      <c r="C21" s="104"/>
      <c r="D21" s="104">
        <v>40</v>
      </c>
      <c r="E21" s="104">
        <v>40</v>
      </c>
      <c r="F21" s="104">
        <v>40</v>
      </c>
      <c r="G21" s="104">
        <v>40</v>
      </c>
      <c r="H21" s="104">
        <v>40</v>
      </c>
      <c r="I21" s="104">
        <v>40</v>
      </c>
      <c r="J21" s="104">
        <v>40</v>
      </c>
      <c r="K21" s="104">
        <v>40</v>
      </c>
      <c r="L21" s="104">
        <v>40</v>
      </c>
      <c r="M21" s="104">
        <v>40</v>
      </c>
      <c r="N21" s="104">
        <v>40</v>
      </c>
      <c r="O21" s="104"/>
      <c r="P21" s="104"/>
      <c r="Q21" s="104"/>
      <c r="R21" s="104"/>
    </row>
    <row r="22" spans="1:18" x14ac:dyDescent="0.25">
      <c r="A22" s="104" t="s">
        <v>47</v>
      </c>
      <c r="B22" s="104"/>
      <c r="C22" s="104"/>
      <c r="D22" s="104">
        <v>90</v>
      </c>
      <c r="E22" s="104">
        <v>90</v>
      </c>
      <c r="F22" s="104">
        <v>90</v>
      </c>
      <c r="G22" s="104">
        <v>90</v>
      </c>
      <c r="H22" s="104">
        <v>90</v>
      </c>
      <c r="I22" s="104">
        <v>90</v>
      </c>
      <c r="J22" s="104">
        <v>90</v>
      </c>
      <c r="K22" s="104">
        <v>90</v>
      </c>
      <c r="L22" s="104">
        <v>90</v>
      </c>
      <c r="M22" s="104">
        <v>90</v>
      </c>
      <c r="N22" s="104">
        <v>90</v>
      </c>
      <c r="O22" s="104"/>
      <c r="P22" s="104"/>
      <c r="Q22" s="104"/>
      <c r="R22" s="104"/>
    </row>
    <row r="23" spans="1:18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8" x14ac:dyDescent="0.25">
      <c r="A24" s="104" t="s">
        <v>136</v>
      </c>
      <c r="B24" s="104"/>
      <c r="C24" s="104"/>
      <c r="D24" s="104">
        <v>1000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x14ac:dyDescent="0.25">
      <c r="A25" s="104" t="s">
        <v>137</v>
      </c>
      <c r="B25" s="104"/>
      <c r="C25" s="104"/>
      <c r="D25" s="104">
        <v>75000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1:18" x14ac:dyDescent="0.25">
      <c r="A26" s="104" t="s">
        <v>138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</row>
    <row r="27" spans="1:18" x14ac:dyDescent="0.25">
      <c r="A27" s="104" t="s">
        <v>143</v>
      </c>
      <c r="B27" s="104"/>
      <c r="C27" s="104" t="s">
        <v>141</v>
      </c>
      <c r="D27" s="104" t="s">
        <v>144</v>
      </c>
      <c r="E27" s="104" t="s">
        <v>36</v>
      </c>
      <c r="F27" s="104" t="s">
        <v>142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  <row r="28" spans="1:18" x14ac:dyDescent="0.25">
      <c r="A28" s="104">
        <v>1</v>
      </c>
      <c r="B28" s="104" t="s">
        <v>139</v>
      </c>
      <c r="C28" s="104">
        <v>50</v>
      </c>
      <c r="D28" s="104">
        <v>52</v>
      </c>
      <c r="E28" s="113">
        <f>F28/(D28*C28*A28)</f>
        <v>14.923076923076923</v>
      </c>
      <c r="F28" s="115">
        <f>70000-F29</f>
        <v>38800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1:18" x14ac:dyDescent="0.25">
      <c r="A29" s="104">
        <v>2</v>
      </c>
      <c r="B29" s="104" t="s">
        <v>140</v>
      </c>
      <c r="C29" s="104">
        <v>30</v>
      </c>
      <c r="D29" s="104">
        <v>52</v>
      </c>
      <c r="E29" s="113">
        <v>10</v>
      </c>
      <c r="F29" s="113">
        <f>A29*C29*D29*E29</f>
        <v>31200</v>
      </c>
      <c r="G29" s="116"/>
      <c r="H29" s="109"/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1" spans="1:18" s="3" customFormat="1" x14ac:dyDescent="0.25">
      <c r="A31" s="2" t="s">
        <v>91</v>
      </c>
    </row>
    <row r="32" spans="1:18" x14ac:dyDescent="0.25">
      <c r="A32" s="4" t="s">
        <v>0</v>
      </c>
    </row>
    <row r="33" spans="1:15" x14ac:dyDescent="0.25">
      <c r="A33" s="58"/>
      <c r="B33" s="58"/>
      <c r="C33" s="58"/>
      <c r="D33" s="58">
        <v>2014</v>
      </c>
      <c r="E33" s="58">
        <v>2015</v>
      </c>
      <c r="F33" s="58">
        <v>2016</v>
      </c>
      <c r="G33" s="58">
        <v>2017</v>
      </c>
      <c r="H33" s="58">
        <v>2018</v>
      </c>
      <c r="I33" s="58">
        <v>2019</v>
      </c>
      <c r="J33" s="58">
        <v>2020</v>
      </c>
      <c r="K33" s="58">
        <v>2021</v>
      </c>
      <c r="L33" s="58">
        <v>2022</v>
      </c>
      <c r="M33" s="58">
        <v>2023</v>
      </c>
      <c r="N33" s="58">
        <v>2024</v>
      </c>
    </row>
    <row r="34" spans="1:15" x14ac:dyDescent="0.25">
      <c r="A34" s="59" t="s">
        <v>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5" x14ac:dyDescent="0.25">
      <c r="A35" s="60" t="s">
        <v>19</v>
      </c>
      <c r="B35" s="58"/>
      <c r="C35" s="58"/>
      <c r="D35" s="61">
        <f t="shared" ref="D35:N35" si="14">D3*D4</f>
        <v>114000</v>
      </c>
      <c r="E35" s="61">
        <f t="shared" si="14"/>
        <v>115071.6</v>
      </c>
      <c r="F35" s="61">
        <f t="shared" si="14"/>
        <v>116153.27304000003</v>
      </c>
      <c r="G35" s="61">
        <f t="shared" si="14"/>
        <v>117245.11380657603</v>
      </c>
      <c r="H35" s="61">
        <f t="shared" si="14"/>
        <v>118347.21787635787</v>
      </c>
      <c r="I35" s="61">
        <f t="shared" si="14"/>
        <v>119459.68172439563</v>
      </c>
      <c r="J35" s="61">
        <f t="shared" si="14"/>
        <v>120582.60273260495</v>
      </c>
      <c r="K35" s="61">
        <f t="shared" si="14"/>
        <v>121716.07919829144</v>
      </c>
      <c r="L35" s="61">
        <f t="shared" si="14"/>
        <v>122860.21034275537</v>
      </c>
      <c r="M35" s="61">
        <f t="shared" si="14"/>
        <v>124015.09631997725</v>
      </c>
      <c r="N35" s="61">
        <f t="shared" si="14"/>
        <v>125180.83822538503</v>
      </c>
    </row>
    <row r="36" spans="1:15" x14ac:dyDescent="0.25">
      <c r="A36" s="60" t="s">
        <v>50</v>
      </c>
      <c r="B36" s="58"/>
      <c r="C36" s="58"/>
      <c r="D36" s="61">
        <f t="shared" ref="D36:N36" si="15">D6*D7</f>
        <v>93600</v>
      </c>
      <c r="E36" s="61">
        <f t="shared" si="15"/>
        <v>94479.84</v>
      </c>
      <c r="F36" s="61">
        <f t="shared" si="15"/>
        <v>95367.950496000005</v>
      </c>
      <c r="G36" s="61">
        <f t="shared" si="15"/>
        <v>96264.409230662422</v>
      </c>
      <c r="H36" s="61">
        <f t="shared" si="15"/>
        <v>97169.294677430647</v>
      </c>
      <c r="I36" s="61">
        <f t="shared" si="15"/>
        <v>98082.686047398514</v>
      </c>
      <c r="J36" s="61">
        <f t="shared" si="15"/>
        <v>99004.663296244064</v>
      </c>
      <c r="K36" s="61">
        <f t="shared" si="15"/>
        <v>99935.307131228779</v>
      </c>
      <c r="L36" s="61">
        <f t="shared" si="15"/>
        <v>100874.69901826234</v>
      </c>
      <c r="M36" s="61">
        <f t="shared" si="15"/>
        <v>101822.92118903399</v>
      </c>
      <c r="N36" s="61">
        <f t="shared" si="15"/>
        <v>102780.0566482109</v>
      </c>
    </row>
    <row r="37" spans="1:15" x14ac:dyDescent="0.25">
      <c r="A37" s="60" t="s">
        <v>51</v>
      </c>
      <c r="B37" s="58"/>
      <c r="C37" s="58"/>
      <c r="D37" s="61">
        <f t="shared" ref="D37:N37" si="16">D9*D10</f>
        <v>25200</v>
      </c>
      <c r="E37" s="61">
        <f t="shared" si="16"/>
        <v>25436.880000000005</v>
      </c>
      <c r="F37" s="61">
        <f t="shared" si="16"/>
        <v>25675.986672000003</v>
      </c>
      <c r="G37" s="61">
        <f t="shared" si="16"/>
        <v>25917.340946716806</v>
      </c>
      <c r="H37" s="61">
        <f t="shared" si="16"/>
        <v>26160.963951615944</v>
      </c>
      <c r="I37" s="61">
        <f t="shared" si="16"/>
        <v>26406.877012761135</v>
      </c>
      <c r="J37" s="61">
        <f t="shared" si="16"/>
        <v>26655.10165668109</v>
      </c>
      <c r="K37" s="61">
        <f t="shared" si="16"/>
        <v>26905.659612253894</v>
      </c>
      <c r="L37" s="61">
        <f t="shared" si="16"/>
        <v>27158.57281260908</v>
      </c>
      <c r="M37" s="61">
        <f t="shared" si="16"/>
        <v>27413.863397047604</v>
      </c>
      <c r="N37" s="61">
        <f t="shared" si="16"/>
        <v>27671.55371297985</v>
      </c>
    </row>
    <row r="38" spans="1:15" x14ac:dyDescent="0.25">
      <c r="A38" s="60"/>
      <c r="B38" s="58"/>
      <c r="C38" s="58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5" x14ac:dyDescent="0.25">
      <c r="A39" s="58" t="s">
        <v>18</v>
      </c>
      <c r="B39" s="58"/>
      <c r="C39" s="58"/>
      <c r="D39" s="61">
        <f>D3*D5</f>
        <v>63333.333333333328</v>
      </c>
      <c r="E39" s="61">
        <f t="shared" ref="E39:N39" si="17">E3*E5</f>
        <v>63928.666666666664</v>
      </c>
      <c r="F39" s="61">
        <f t="shared" si="17"/>
        <v>64529.59613333334</v>
      </c>
      <c r="G39" s="61">
        <f t="shared" si="17"/>
        <v>65136.174336986682</v>
      </c>
      <c r="H39" s="61">
        <f t="shared" si="17"/>
        <v>65748.454375754372</v>
      </c>
      <c r="I39" s="61">
        <f t="shared" si="17"/>
        <v>66366.48984688647</v>
      </c>
      <c r="J39" s="61">
        <f t="shared" si="17"/>
        <v>66990.334851447202</v>
      </c>
      <c r="K39" s="61">
        <f t="shared" si="17"/>
        <v>67620.043999050802</v>
      </c>
      <c r="L39" s="61">
        <f t="shared" si="17"/>
        <v>68255.67241264187</v>
      </c>
      <c r="M39" s="61">
        <f t="shared" si="17"/>
        <v>68897.275733320697</v>
      </c>
      <c r="N39" s="61">
        <f t="shared" si="17"/>
        <v>69544.910125213908</v>
      </c>
    </row>
    <row r="40" spans="1:15" x14ac:dyDescent="0.25">
      <c r="A40" s="58" t="s">
        <v>59</v>
      </c>
      <c r="B40" s="58"/>
      <c r="C40" s="58"/>
      <c r="D40" s="61">
        <f>D6*D8</f>
        <v>52000</v>
      </c>
      <c r="E40" s="61">
        <f t="shared" ref="E40:N40" si="18">E6*E8</f>
        <v>52488.800000000003</v>
      </c>
      <c r="F40" s="61">
        <f t="shared" si="18"/>
        <v>52982.194720000007</v>
      </c>
      <c r="G40" s="61">
        <f t="shared" si="18"/>
        <v>53480.227350368012</v>
      </c>
      <c r="H40" s="61">
        <f t="shared" si="18"/>
        <v>53982.941487461467</v>
      </c>
      <c r="I40" s="61">
        <f t="shared" si="18"/>
        <v>54490.381137443612</v>
      </c>
      <c r="J40" s="61">
        <f t="shared" si="18"/>
        <v>55002.590720135595</v>
      </c>
      <c r="K40" s="61">
        <f t="shared" si="18"/>
        <v>55519.615072904875</v>
      </c>
      <c r="L40" s="61">
        <f t="shared" si="18"/>
        <v>56041.499454590186</v>
      </c>
      <c r="M40" s="61">
        <f t="shared" si="18"/>
        <v>56568.289549463334</v>
      </c>
      <c r="N40" s="61">
        <f t="shared" si="18"/>
        <v>57100.031471228285</v>
      </c>
    </row>
    <row r="41" spans="1:15" x14ac:dyDescent="0.25">
      <c r="A41" s="58" t="s">
        <v>60</v>
      </c>
      <c r="B41" s="58"/>
      <c r="C41" s="58"/>
      <c r="D41" s="61">
        <f>D9*D11</f>
        <v>16800</v>
      </c>
      <c r="E41" s="61">
        <f t="shared" ref="E41:N41" si="19">E9*E11</f>
        <v>16957.920000000002</v>
      </c>
      <c r="F41" s="61">
        <f t="shared" si="19"/>
        <v>17117.324448000003</v>
      </c>
      <c r="G41" s="61">
        <f t="shared" si="19"/>
        <v>17278.227297811205</v>
      </c>
      <c r="H41" s="61">
        <f t="shared" si="19"/>
        <v>17440.642634410629</v>
      </c>
      <c r="I41" s="61">
        <f t="shared" si="19"/>
        <v>17604.58467517409</v>
      </c>
      <c r="J41" s="61">
        <f t="shared" si="19"/>
        <v>17770.067771120728</v>
      </c>
      <c r="K41" s="61">
        <f t="shared" si="19"/>
        <v>17937.106408169264</v>
      </c>
      <c r="L41" s="61">
        <f t="shared" si="19"/>
        <v>18105.715208406054</v>
      </c>
      <c r="M41" s="61">
        <f t="shared" si="19"/>
        <v>18275.908931365069</v>
      </c>
      <c r="N41" s="61">
        <f t="shared" si="19"/>
        <v>18447.7024753199</v>
      </c>
    </row>
    <row r="42" spans="1:15" x14ac:dyDescent="0.25">
      <c r="A42" s="60"/>
      <c r="B42" s="58"/>
      <c r="C42" s="5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5" x14ac:dyDescent="0.25">
      <c r="A43" s="58" t="s">
        <v>2</v>
      </c>
      <c r="B43" s="58"/>
      <c r="C43" s="5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5" x14ac:dyDescent="0.25">
      <c r="A44" s="58"/>
      <c r="B44" s="58" t="s">
        <v>17</v>
      </c>
      <c r="C44" s="58"/>
      <c r="D44" s="61">
        <f>SUM(F28:F29)</f>
        <v>70000</v>
      </c>
      <c r="E44" s="62">
        <f>SUM(E35:E37)*$O$44</f>
        <v>70658</v>
      </c>
      <c r="F44" s="62">
        <f>SUM(F35:F37)*$O$44</f>
        <v>71322.185200000007</v>
      </c>
      <c r="G44" s="62">
        <f>SUM(G35:G37)*$O$44</f>
        <v>71992.613740880013</v>
      </c>
      <c r="H44" s="62">
        <f t="shared" ref="H44:N44" si="20">SUM(H35:H37)*$O$44</f>
        <v>72669.344310044296</v>
      </c>
      <c r="I44" s="62">
        <f t="shared" si="20"/>
        <v>73352.436146558714</v>
      </c>
      <c r="J44" s="62">
        <f t="shared" si="20"/>
        <v>74041.949046336362</v>
      </c>
      <c r="K44" s="62">
        <f t="shared" si="20"/>
        <v>74737.943367371932</v>
      </c>
      <c r="L44" s="62">
        <f t="shared" si="20"/>
        <v>75440.480035025234</v>
      </c>
      <c r="M44" s="62">
        <f t="shared" si="20"/>
        <v>76149.620547354469</v>
      </c>
      <c r="N44" s="62">
        <f t="shared" si="20"/>
        <v>76865.426980499586</v>
      </c>
      <c r="O44" s="15">
        <f>D44/SUM(D35:D37)</f>
        <v>0.30068728522336768</v>
      </c>
    </row>
    <row r="45" spans="1:15" x14ac:dyDescent="0.25">
      <c r="A45" s="58"/>
      <c r="B45" s="58" t="s">
        <v>85</v>
      </c>
      <c r="C45" s="58"/>
      <c r="D45" s="61">
        <f>D17</f>
        <v>3960</v>
      </c>
      <c r="E45" s="61">
        <f>D45*(1+$O$10)</f>
        <v>4078.8</v>
      </c>
      <c r="F45" s="61">
        <f t="shared" ref="F45:N45" si="21">E45*(1+$O$10)</f>
        <v>4201.1640000000007</v>
      </c>
      <c r="G45" s="61">
        <f t="shared" si="21"/>
        <v>4327.1989200000007</v>
      </c>
      <c r="H45" s="61">
        <f t="shared" si="21"/>
        <v>4457.0148876000012</v>
      </c>
      <c r="I45" s="61">
        <f t="shared" si="21"/>
        <v>4590.725334228001</v>
      </c>
      <c r="J45" s="61">
        <f t="shared" si="21"/>
        <v>4728.4470942548414</v>
      </c>
      <c r="K45" s="61">
        <f t="shared" si="21"/>
        <v>4870.3005070824865</v>
      </c>
      <c r="L45" s="61">
        <f t="shared" si="21"/>
        <v>5016.4095222949609</v>
      </c>
      <c r="M45" s="61">
        <f t="shared" si="21"/>
        <v>5166.9018079638099</v>
      </c>
      <c r="N45" s="61">
        <f t="shared" si="21"/>
        <v>5321.9088622027248</v>
      </c>
      <c r="O45" s="15">
        <v>0.3</v>
      </c>
    </row>
    <row r="46" spans="1:15" x14ac:dyDescent="0.25">
      <c r="A46" s="58"/>
      <c r="B46" s="58"/>
      <c r="C46" s="5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5" x14ac:dyDescent="0.25">
      <c r="A47" s="58" t="s">
        <v>3</v>
      </c>
      <c r="B47" s="58"/>
      <c r="C47" s="58"/>
      <c r="D47" s="63">
        <f t="shared" ref="D47:N47" si="22">$P$64</f>
        <v>7500</v>
      </c>
      <c r="E47" s="63">
        <f t="shared" si="22"/>
        <v>7500</v>
      </c>
      <c r="F47" s="63">
        <f t="shared" si="22"/>
        <v>7500</v>
      </c>
      <c r="G47" s="63">
        <f t="shared" si="22"/>
        <v>7500</v>
      </c>
      <c r="H47" s="63">
        <f t="shared" si="22"/>
        <v>7500</v>
      </c>
      <c r="I47" s="63">
        <f t="shared" si="22"/>
        <v>7500</v>
      </c>
      <c r="J47" s="63">
        <f t="shared" si="22"/>
        <v>7500</v>
      </c>
      <c r="K47" s="63">
        <f t="shared" si="22"/>
        <v>7500</v>
      </c>
      <c r="L47" s="63">
        <f t="shared" si="22"/>
        <v>7500</v>
      </c>
      <c r="M47" s="63">
        <f t="shared" si="22"/>
        <v>7500</v>
      </c>
      <c r="N47" s="63">
        <f t="shared" si="22"/>
        <v>7500</v>
      </c>
    </row>
    <row r="48" spans="1:15" x14ac:dyDescent="0.25">
      <c r="A48" s="58" t="s">
        <v>4</v>
      </c>
      <c r="B48" s="58"/>
      <c r="C48" s="58"/>
      <c r="D48" s="61">
        <f>Mortgage!D14</f>
        <v>6633.4905839456933</v>
      </c>
      <c r="E48" s="61">
        <f>Mortgage!D28</f>
        <v>6523.4352262750017</v>
      </c>
      <c r="F48" s="61">
        <f>Mortgage!D42</f>
        <v>6408.3239447281367</v>
      </c>
      <c r="G48" s="61">
        <f>Mortgage!D56</f>
        <v>6287.9244710468092</v>
      </c>
      <c r="H48" s="61">
        <f>Mortgage!D70</f>
        <v>6161.9938666095823</v>
      </c>
      <c r="I48" s="61">
        <f>Mortgage!D84</f>
        <v>6030.2780322372555</v>
      </c>
      <c r="J48" s="61">
        <f>Mortgage!D98</f>
        <v>5892.5111954787881</v>
      </c>
      <c r="K48" s="61">
        <f>Mortgage!D112</f>
        <v>5748.4153743432407</v>
      </c>
      <c r="L48" s="61">
        <f>Mortgage!D126</f>
        <v>5597.6998163956468</v>
      </c>
      <c r="M48" s="61">
        <f>Mortgage!D140</f>
        <v>5440.0604120850448</v>
      </c>
      <c r="N48" s="61">
        <f>Mortgage!D154</f>
        <v>5275.1790811209121</v>
      </c>
    </row>
    <row r="49" spans="1:23" x14ac:dyDescent="0.25">
      <c r="A49" s="58" t="s">
        <v>20</v>
      </c>
      <c r="B49" s="58"/>
      <c r="C49" s="58"/>
      <c r="D49" s="61">
        <f t="shared" ref="D49:F49" si="23">$O$49*D73</f>
        <v>2374.4558781295623</v>
      </c>
      <c r="E49" s="61">
        <f t="shared" si="23"/>
        <v>808.01889156628442</v>
      </c>
      <c r="F49" s="61">
        <f t="shared" si="23"/>
        <v>0</v>
      </c>
      <c r="G49" s="61">
        <f>$O$49*G73</f>
        <v>0</v>
      </c>
      <c r="H49" s="61">
        <f t="shared" ref="H49:N49" si="24">$O$49*H73</f>
        <v>0</v>
      </c>
      <c r="I49" s="61">
        <f t="shared" si="24"/>
        <v>0</v>
      </c>
      <c r="J49" s="61">
        <f t="shared" si="24"/>
        <v>0</v>
      </c>
      <c r="K49" s="61">
        <f t="shared" si="24"/>
        <v>0</v>
      </c>
      <c r="L49" s="61">
        <f t="shared" si="24"/>
        <v>0</v>
      </c>
      <c r="M49" s="61">
        <f t="shared" si="24"/>
        <v>0</v>
      </c>
      <c r="N49" s="61">
        <f t="shared" si="24"/>
        <v>0</v>
      </c>
      <c r="O49" s="15">
        <v>0.11</v>
      </c>
    </row>
    <row r="50" spans="1:23" x14ac:dyDescent="0.25">
      <c r="A50" s="58"/>
      <c r="B50" s="58"/>
      <c r="C50" s="5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23" x14ac:dyDescent="0.25">
      <c r="A51" s="58" t="s">
        <v>5</v>
      </c>
      <c r="B51" s="58"/>
      <c r="C51" s="58"/>
      <c r="D51" s="61">
        <f>SUM(D35:D37)-SUM(D39:D49)</f>
        <v>10198.720204591431</v>
      </c>
      <c r="E51" s="61">
        <f t="shared" ref="E51:G51" si="25">SUM(E35:E37)-SUM(E39:E49)</f>
        <v>12044.67921549204</v>
      </c>
      <c r="F51" s="61">
        <f t="shared" si="25"/>
        <v>13136.421761938574</v>
      </c>
      <c r="G51" s="61">
        <f t="shared" si="25"/>
        <v>13424.497866862541</v>
      </c>
      <c r="H51" s="61">
        <f t="shared" ref="H51:N51" si="26">SUM(H35:H37)-SUM(H39:H49)</f>
        <v>13717.084943524067</v>
      </c>
      <c r="I51" s="61">
        <f t="shared" si="26"/>
        <v>14014.349612027145</v>
      </c>
      <c r="J51" s="61">
        <f t="shared" si="26"/>
        <v>14316.467006756575</v>
      </c>
      <c r="K51" s="61">
        <f t="shared" si="26"/>
        <v>14623.62121285146</v>
      </c>
      <c r="L51" s="61">
        <f t="shared" si="26"/>
        <v>14936.005724272836</v>
      </c>
      <c r="M51" s="61">
        <f t="shared" si="26"/>
        <v>15253.823924506432</v>
      </c>
      <c r="N51" s="61">
        <f t="shared" si="26"/>
        <v>15577.289590990462</v>
      </c>
    </row>
    <row r="52" spans="1:23" x14ac:dyDescent="0.25">
      <c r="A52" s="58" t="s">
        <v>6</v>
      </c>
      <c r="B52" s="58"/>
      <c r="C52" s="58"/>
      <c r="D52" s="61">
        <f>IF(D51&lt;=0,0,$O$52*D51)</f>
        <v>3059.6160613774291</v>
      </c>
      <c r="E52" s="61">
        <f t="shared" ref="E52:N52" si="27">IF(E51&lt;=0,0,$O$52*E51)</f>
        <v>3613.4037646476122</v>
      </c>
      <c r="F52" s="61">
        <f t="shared" si="27"/>
        <v>3940.9265285815723</v>
      </c>
      <c r="G52" s="61">
        <f t="shared" si="27"/>
        <v>4027.3493600587622</v>
      </c>
      <c r="H52" s="61">
        <f t="shared" si="27"/>
        <v>4115.1254830572198</v>
      </c>
      <c r="I52" s="61">
        <f t="shared" si="27"/>
        <v>4204.3048836081434</v>
      </c>
      <c r="J52" s="61">
        <f t="shared" si="27"/>
        <v>4294.9401020269725</v>
      </c>
      <c r="K52" s="61">
        <f t="shared" si="27"/>
        <v>4387.0863638554374</v>
      </c>
      <c r="L52" s="61">
        <f t="shared" si="27"/>
        <v>4480.8017172818509</v>
      </c>
      <c r="M52" s="61">
        <f t="shared" si="27"/>
        <v>4576.1471773519297</v>
      </c>
      <c r="N52" s="61">
        <f t="shared" si="27"/>
        <v>4673.1868772971384</v>
      </c>
      <c r="O52" s="15">
        <v>0.3</v>
      </c>
      <c r="P52" s="1" t="s">
        <v>128</v>
      </c>
    </row>
    <row r="53" spans="1:23" x14ac:dyDescent="0.25">
      <c r="A53" s="59" t="s">
        <v>21</v>
      </c>
      <c r="B53" s="58"/>
      <c r="C53" s="58"/>
      <c r="D53" s="61">
        <f>D51-D52</f>
        <v>7139.1041432140019</v>
      </c>
      <c r="E53" s="61">
        <f t="shared" ref="E53:N53" si="28">E51-E52</f>
        <v>8431.2754508444286</v>
      </c>
      <c r="F53" s="61">
        <f t="shared" si="28"/>
        <v>9195.4952333570018</v>
      </c>
      <c r="G53" s="61">
        <f t="shared" si="28"/>
        <v>9397.1485068037782</v>
      </c>
      <c r="H53" s="61">
        <f t="shared" si="28"/>
        <v>9601.9594604668473</v>
      </c>
      <c r="I53" s="61">
        <f t="shared" si="28"/>
        <v>9810.0447284190013</v>
      </c>
      <c r="J53" s="61">
        <f t="shared" si="28"/>
        <v>10021.526904729602</v>
      </c>
      <c r="K53" s="61">
        <f t="shared" si="28"/>
        <v>10236.534848996023</v>
      </c>
      <c r="L53" s="61">
        <f t="shared" si="28"/>
        <v>10455.204006990985</v>
      </c>
      <c r="M53" s="61">
        <f t="shared" si="28"/>
        <v>10677.676747154503</v>
      </c>
      <c r="N53" s="61">
        <f t="shared" si="28"/>
        <v>10904.102713693323</v>
      </c>
    </row>
    <row r="54" spans="1:23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23" x14ac:dyDescent="0.25">
      <c r="A55" s="59" t="s">
        <v>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23" x14ac:dyDescent="0.25">
      <c r="A56" s="59" t="s">
        <v>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23" x14ac:dyDescent="0.25">
      <c r="A57" s="58" t="s">
        <v>22</v>
      </c>
      <c r="B57" s="58"/>
      <c r="C57" s="58"/>
      <c r="D57" s="61">
        <f>D24</f>
        <v>1000</v>
      </c>
      <c r="E57" s="61">
        <f>D57</f>
        <v>1000</v>
      </c>
      <c r="F57" s="61">
        <f t="shared" ref="F57:N57" si="29">E57</f>
        <v>1000</v>
      </c>
      <c r="G57" s="61">
        <f t="shared" si="29"/>
        <v>1000</v>
      </c>
      <c r="H57" s="61">
        <f t="shared" si="29"/>
        <v>1000</v>
      </c>
      <c r="I57" s="61">
        <f t="shared" si="29"/>
        <v>1000</v>
      </c>
      <c r="J57" s="61">
        <f t="shared" si="29"/>
        <v>1000</v>
      </c>
      <c r="K57" s="61">
        <f t="shared" si="29"/>
        <v>1000</v>
      </c>
      <c r="L57" s="61">
        <f t="shared" si="29"/>
        <v>1000</v>
      </c>
      <c r="M57" s="61">
        <f t="shared" si="29"/>
        <v>1000</v>
      </c>
      <c r="N57" s="61">
        <f t="shared" si="29"/>
        <v>1000</v>
      </c>
    </row>
    <row r="58" spans="1:23" x14ac:dyDescent="0.25">
      <c r="A58" s="58" t="s">
        <v>23</v>
      </c>
      <c r="B58" s="58"/>
      <c r="C58" s="58"/>
      <c r="D58" s="57"/>
      <c r="E58" s="57"/>
      <c r="F58" s="57">
        <v>7307.6195613050904</v>
      </c>
      <c r="G58" s="57">
        <v>21791.125574617516</v>
      </c>
      <c r="H58" s="57">
        <v>36345.010715738805</v>
      </c>
      <c r="I58" s="57">
        <v>50966.852186696415</v>
      </c>
      <c r="J58" s="57">
        <v>65654.085513174839</v>
      </c>
      <c r="K58" s="57">
        <v>80403.998736773385</v>
      </c>
      <c r="L58" s="57">
        <v>95213.726373370853</v>
      </c>
      <c r="M58" s="57">
        <v>110080.24312798819</v>
      </c>
      <c r="N58" s="57">
        <v>125000.35735612987</v>
      </c>
    </row>
    <row r="59" spans="1:23" x14ac:dyDescent="0.25">
      <c r="A59" s="58" t="s">
        <v>9</v>
      </c>
      <c r="B59" s="58"/>
      <c r="C59" s="58"/>
      <c r="D59" s="63">
        <f t="shared" ref="D59:N59" si="30">(SUM(D35:D36)/365)*D19</f>
        <v>68252.054794520547</v>
      </c>
      <c r="E59" s="63">
        <f t="shared" si="30"/>
        <v>68893.624109589044</v>
      </c>
      <c r="F59" s="63">
        <f t="shared" si="30"/>
        <v>69541.224176219199</v>
      </c>
      <c r="G59" s="63">
        <f t="shared" si="30"/>
        <v>70194.911683475657</v>
      </c>
      <c r="H59" s="63">
        <f t="shared" si="30"/>
        <v>70854.74385330033</v>
      </c>
      <c r="I59" s="63">
        <f t="shared" si="30"/>
        <v>71520.778445521355</v>
      </c>
      <c r="J59" s="63">
        <f t="shared" si="30"/>
        <v>72193.073762909262</v>
      </c>
      <c r="K59" s="63">
        <f t="shared" si="30"/>
        <v>72871.688656280618</v>
      </c>
      <c r="L59" s="63">
        <f t="shared" si="30"/>
        <v>73556.682529649654</v>
      </c>
      <c r="M59" s="63">
        <f t="shared" si="30"/>
        <v>74248.115345428363</v>
      </c>
      <c r="N59" s="63">
        <f t="shared" si="30"/>
        <v>74946.047629675377</v>
      </c>
    </row>
    <row r="60" spans="1:23" x14ac:dyDescent="0.25">
      <c r="A60" s="58" t="s">
        <v>28</v>
      </c>
      <c r="B60" s="58"/>
      <c r="C60" s="58"/>
      <c r="D60" s="64">
        <f>(SUM(D39:D40)/365)*D20+(D41/365)*D21</f>
        <v>58717.808219178078</v>
      </c>
      <c r="E60" s="64">
        <f t="shared" ref="E60:N60" si="31">(SUM(E39:E40)/365)*E20+(E41/365)*E21</f>
        <v>58121.528547945207</v>
      </c>
      <c r="F60" s="64">
        <f t="shared" si="31"/>
        <v>57532.030921417652</v>
      </c>
      <c r="G60" s="64">
        <f t="shared" si="31"/>
        <v>56949.245459065489</v>
      </c>
      <c r="H60" s="64">
        <f t="shared" si="31"/>
        <v>56373.103065101124</v>
      </c>
      <c r="I60" s="64">
        <f t="shared" si="31"/>
        <v>55803.535420303684</v>
      </c>
      <c r="J60" s="64">
        <f t="shared" si="31"/>
        <v>55240.474973934382</v>
      </c>
      <c r="K60" s="64">
        <f t="shared" si="31"/>
        <v>54683.8549357417</v>
      </c>
      <c r="L60" s="64">
        <f t="shared" si="31"/>
        <v>54133.609268055807</v>
      </c>
      <c r="M60" s="64">
        <f t="shared" si="31"/>
        <v>53589.672677970899</v>
      </c>
      <c r="N60" s="64">
        <f t="shared" si="31"/>
        <v>53051.980609614795</v>
      </c>
    </row>
    <row r="61" spans="1:23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P61" s="52" t="s">
        <v>48</v>
      </c>
      <c r="R61" s="26" t="s">
        <v>98</v>
      </c>
      <c r="S61" s="43">
        <v>0.99</v>
      </c>
      <c r="T61" s="27"/>
      <c r="U61" s="27" t="s">
        <v>92</v>
      </c>
      <c r="V61" s="27"/>
      <c r="W61" s="28"/>
    </row>
    <row r="62" spans="1:23" x14ac:dyDescent="0.25">
      <c r="A62" s="58" t="s">
        <v>24</v>
      </c>
      <c r="B62" s="58"/>
      <c r="C62" s="58"/>
      <c r="D62" s="63">
        <f>D15</f>
        <v>15000</v>
      </c>
      <c r="E62" s="63">
        <f>D62</f>
        <v>15000</v>
      </c>
      <c r="F62" s="63">
        <f t="shared" ref="F62:N62" si="32">E62</f>
        <v>15000</v>
      </c>
      <c r="G62" s="63">
        <f t="shared" si="32"/>
        <v>15000</v>
      </c>
      <c r="H62" s="63">
        <f t="shared" si="32"/>
        <v>15000</v>
      </c>
      <c r="I62" s="63">
        <f t="shared" si="32"/>
        <v>15000</v>
      </c>
      <c r="J62" s="63">
        <f t="shared" si="32"/>
        <v>15000</v>
      </c>
      <c r="K62" s="63">
        <f t="shared" si="32"/>
        <v>15000</v>
      </c>
      <c r="L62" s="63">
        <f t="shared" si="32"/>
        <v>15000</v>
      </c>
      <c r="M62" s="63">
        <f t="shared" si="32"/>
        <v>15000</v>
      </c>
      <c r="N62" s="63">
        <f t="shared" si="32"/>
        <v>15000</v>
      </c>
      <c r="P62" s="54">
        <v>20</v>
      </c>
      <c r="R62" s="29" t="s">
        <v>99</v>
      </c>
      <c r="S62" s="30">
        <f>S72+S73</f>
        <v>0.52983881084743367</v>
      </c>
      <c r="T62" s="31"/>
      <c r="U62" s="40">
        <f>O52</f>
        <v>0.3</v>
      </c>
      <c r="V62" s="31"/>
      <c r="W62" s="32"/>
    </row>
    <row r="63" spans="1:23" x14ac:dyDescent="0.25">
      <c r="A63" s="58" t="s">
        <v>10</v>
      </c>
      <c r="B63" s="58"/>
      <c r="C63" s="58"/>
      <c r="D63" s="61">
        <f>D14</f>
        <v>150000</v>
      </c>
      <c r="E63" s="61">
        <f t="shared" ref="E63:N63" si="33">E14</f>
        <v>150000</v>
      </c>
      <c r="F63" s="61">
        <f t="shared" si="33"/>
        <v>150000</v>
      </c>
      <c r="G63" s="61">
        <f t="shared" si="33"/>
        <v>150000</v>
      </c>
      <c r="H63" s="61">
        <f t="shared" si="33"/>
        <v>150000</v>
      </c>
      <c r="I63" s="61">
        <f t="shared" si="33"/>
        <v>150000</v>
      </c>
      <c r="J63" s="61">
        <f t="shared" si="33"/>
        <v>150000</v>
      </c>
      <c r="K63" s="61">
        <f t="shared" si="33"/>
        <v>150000</v>
      </c>
      <c r="L63" s="61">
        <f t="shared" si="33"/>
        <v>150000</v>
      </c>
      <c r="M63" s="61">
        <f t="shared" si="33"/>
        <v>150000</v>
      </c>
      <c r="N63" s="61">
        <f t="shared" si="33"/>
        <v>150000</v>
      </c>
      <c r="P63" s="52" t="s">
        <v>135</v>
      </c>
      <c r="R63" s="29" t="s">
        <v>100</v>
      </c>
      <c r="S63" s="30">
        <f>S75</f>
        <v>0.47016118915256638</v>
      </c>
      <c r="T63" s="31"/>
      <c r="U63" s="31"/>
      <c r="V63" s="31"/>
      <c r="W63" s="32"/>
    </row>
    <row r="64" spans="1:23" x14ac:dyDescent="0.25">
      <c r="A64" s="58" t="s">
        <v>11</v>
      </c>
      <c r="B64" s="58"/>
      <c r="C64" s="58"/>
      <c r="D64" s="61">
        <f>C64+D47</f>
        <v>7500</v>
      </c>
      <c r="E64" s="61">
        <f>D64+E47</f>
        <v>15000</v>
      </c>
      <c r="F64" s="61">
        <f t="shared" ref="F64:N64" si="34">E64+F47</f>
        <v>22500</v>
      </c>
      <c r="G64" s="61">
        <f t="shared" si="34"/>
        <v>30000</v>
      </c>
      <c r="H64" s="61">
        <f t="shared" si="34"/>
        <v>37500</v>
      </c>
      <c r="I64" s="61">
        <f t="shared" si="34"/>
        <v>45000</v>
      </c>
      <c r="J64" s="61">
        <f t="shared" si="34"/>
        <v>52500</v>
      </c>
      <c r="K64" s="61">
        <f t="shared" si="34"/>
        <v>60000</v>
      </c>
      <c r="L64" s="61">
        <f t="shared" si="34"/>
        <v>67500</v>
      </c>
      <c r="M64" s="61">
        <f t="shared" si="34"/>
        <v>75000</v>
      </c>
      <c r="N64" s="61">
        <f t="shared" si="34"/>
        <v>82500</v>
      </c>
      <c r="P64" s="53">
        <f>G63/P62</f>
        <v>7500</v>
      </c>
      <c r="R64" s="29" t="s">
        <v>95</v>
      </c>
      <c r="S64" s="33">
        <f>S61*(1+(1-U62)/(S62/S63))</f>
        <v>1.6049449557339965</v>
      </c>
      <c r="T64" s="31"/>
      <c r="U64" s="31"/>
      <c r="V64" s="31"/>
      <c r="W64" s="32"/>
    </row>
    <row r="65" spans="1:23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R65" s="29"/>
      <c r="S65" s="31"/>
      <c r="T65" s="31"/>
      <c r="U65" s="31"/>
      <c r="V65" s="31"/>
      <c r="W65" s="32"/>
    </row>
    <row r="66" spans="1:23" x14ac:dyDescent="0.25">
      <c r="A66" s="59" t="s">
        <v>12</v>
      </c>
      <c r="B66" s="58"/>
      <c r="C66" s="58"/>
      <c r="D66" s="65">
        <f>SUM(D57:D63)-D64</f>
        <v>285469.8630136986</v>
      </c>
      <c r="E66" s="65">
        <f>SUM(E57:E63)-E64</f>
        <v>278015.15265753423</v>
      </c>
      <c r="F66" s="65">
        <f t="shared" ref="F66:N66" si="35">SUM(F57:F63)-F64</f>
        <v>277880.87465894193</v>
      </c>
      <c r="G66" s="65">
        <f t="shared" si="35"/>
        <v>284935.28271715867</v>
      </c>
      <c r="H66" s="65">
        <f t="shared" si="35"/>
        <v>292072.85763414024</v>
      </c>
      <c r="I66" s="65">
        <f t="shared" si="35"/>
        <v>299291.16605252144</v>
      </c>
      <c r="J66" s="65">
        <f t="shared" si="35"/>
        <v>306587.63425001851</v>
      </c>
      <c r="K66" s="65">
        <f t="shared" si="35"/>
        <v>313959.54232879571</v>
      </c>
      <c r="L66" s="65">
        <f t="shared" si="35"/>
        <v>321404.01817107631</v>
      </c>
      <c r="M66" s="65">
        <f t="shared" si="35"/>
        <v>328918.03115138743</v>
      </c>
      <c r="N66" s="65">
        <f t="shared" si="35"/>
        <v>336498.38559542003</v>
      </c>
      <c r="R66" s="29" t="s">
        <v>101</v>
      </c>
      <c r="S66" s="42">
        <v>0.02</v>
      </c>
      <c r="T66" s="31"/>
      <c r="U66" s="31"/>
      <c r="V66" s="31"/>
      <c r="W66" s="32"/>
    </row>
    <row r="67" spans="1:23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R67" s="29" t="s">
        <v>96</v>
      </c>
      <c r="S67" s="42">
        <v>0.06</v>
      </c>
      <c r="T67" s="31"/>
      <c r="U67" s="31"/>
      <c r="V67" s="31"/>
      <c r="W67" s="32"/>
    </row>
    <row r="68" spans="1:23" x14ac:dyDescent="0.25">
      <c r="A68" s="59" t="s">
        <v>13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R68" s="29"/>
      <c r="S68" s="31"/>
      <c r="T68" s="31"/>
      <c r="U68" s="31"/>
      <c r="V68" s="31"/>
      <c r="W68" s="32"/>
    </row>
    <row r="69" spans="1:23" x14ac:dyDescent="0.25">
      <c r="A69" s="66" t="s">
        <v>29</v>
      </c>
      <c r="B69" s="58"/>
      <c r="C69" s="58"/>
      <c r="D69" s="63">
        <f t="shared" ref="D69:N69" si="36">(SUM(D39:D41)/365)*D22</f>
        <v>32580.821917808211</v>
      </c>
      <c r="E69" s="63">
        <f t="shared" si="36"/>
        <v>32887.08164383562</v>
      </c>
      <c r="F69" s="63">
        <f t="shared" si="36"/>
        <v>33196.220211287669</v>
      </c>
      <c r="G69" s="63">
        <f t="shared" si="36"/>
        <v>33508.264681273788</v>
      </c>
      <c r="H69" s="63">
        <f t="shared" si="36"/>
        <v>33823.242369277767</v>
      </c>
      <c r="I69" s="63">
        <f t="shared" si="36"/>
        <v>34141.180847548967</v>
      </c>
      <c r="J69" s="63">
        <f t="shared" si="36"/>
        <v>34462.107947515942</v>
      </c>
      <c r="K69" s="63">
        <f t="shared" si="36"/>
        <v>34786.051762222589</v>
      </c>
      <c r="L69" s="63">
        <f t="shared" si="36"/>
        <v>35113.040648787479</v>
      </c>
      <c r="M69" s="63">
        <f t="shared" si="36"/>
        <v>35443.103230886074</v>
      </c>
      <c r="N69" s="63">
        <f t="shared" si="36"/>
        <v>35776.268401256413</v>
      </c>
      <c r="R69" s="29" t="s">
        <v>97</v>
      </c>
      <c r="S69" s="34">
        <f>S66+S64*(S67-S66)</f>
        <v>8.4197798229359855E-2</v>
      </c>
      <c r="T69" s="31"/>
      <c r="U69" s="31"/>
      <c r="V69" s="31"/>
      <c r="W69" s="32"/>
    </row>
    <row r="70" spans="1:23" x14ac:dyDescent="0.25">
      <c r="A70" s="58" t="s">
        <v>14</v>
      </c>
      <c r="B70" s="58"/>
      <c r="C70" s="58"/>
      <c r="D70" s="61">
        <f>D52</f>
        <v>3059.6160613774291</v>
      </c>
      <c r="E70" s="61">
        <f t="shared" ref="E70:N70" si="37">E52</f>
        <v>3613.4037646476122</v>
      </c>
      <c r="F70" s="61">
        <f t="shared" si="37"/>
        <v>3940.9265285815723</v>
      </c>
      <c r="G70" s="61">
        <f t="shared" si="37"/>
        <v>4027.3493600587622</v>
      </c>
      <c r="H70" s="61">
        <f t="shared" si="37"/>
        <v>4115.1254830572198</v>
      </c>
      <c r="I70" s="61">
        <f t="shared" si="37"/>
        <v>4204.3048836081434</v>
      </c>
      <c r="J70" s="61">
        <f t="shared" si="37"/>
        <v>4294.9401020269725</v>
      </c>
      <c r="K70" s="61">
        <f t="shared" si="37"/>
        <v>4387.0863638554374</v>
      </c>
      <c r="L70" s="61">
        <f t="shared" si="37"/>
        <v>4480.8017172818509</v>
      </c>
      <c r="M70" s="61">
        <f t="shared" si="37"/>
        <v>4576.1471773519297</v>
      </c>
      <c r="N70" s="61">
        <f t="shared" si="37"/>
        <v>4673.1868772971384</v>
      </c>
      <c r="R70" s="29"/>
      <c r="S70" s="31"/>
      <c r="T70" s="31"/>
      <c r="U70" s="31"/>
      <c r="V70" s="31"/>
      <c r="W70" s="32"/>
    </row>
    <row r="71" spans="1:23" x14ac:dyDescent="0.25">
      <c r="A71" s="58"/>
      <c r="B71" s="58"/>
      <c r="C71" s="58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R71" s="29" t="s">
        <v>102</v>
      </c>
      <c r="S71" s="31" t="s">
        <v>93</v>
      </c>
      <c r="T71" s="31" t="s">
        <v>36</v>
      </c>
      <c r="U71" s="31" t="s">
        <v>103</v>
      </c>
      <c r="V71" s="31" t="s">
        <v>94</v>
      </c>
      <c r="W71" s="32"/>
    </row>
    <row r="72" spans="1:23" x14ac:dyDescent="0.25">
      <c r="A72" s="58" t="s">
        <v>26</v>
      </c>
      <c r="B72" s="58"/>
      <c r="C72" s="58"/>
      <c r="D72" s="61">
        <f>Mortgage!F13</f>
        <v>146104.35836284849</v>
      </c>
      <c r="E72" s="61">
        <f>Mortgage!F27</f>
        <v>143598.66136802634</v>
      </c>
      <c r="F72" s="61">
        <f>Mortgage!F41</f>
        <v>140977.85309165725</v>
      </c>
      <c r="G72" s="61">
        <f>Mortgage!F55</f>
        <v>138236.64534160684</v>
      </c>
      <c r="H72" s="61">
        <f>Mortgage!F69</f>
        <v>135369.50698711924</v>
      </c>
      <c r="I72" s="61">
        <f>Mortgage!F83</f>
        <v>132370.65279825928</v>
      </c>
      <c r="J72" s="61">
        <f>Mortgage!F97</f>
        <v>129234.03177264088</v>
      </c>
      <c r="K72" s="61">
        <f>Mortgage!F111</f>
        <v>125953.31492588692</v>
      </c>
      <c r="L72" s="61">
        <f>Mortgage!F125</f>
        <v>122521.88252118538</v>
      </c>
      <c r="M72" s="61">
        <f>Mortgage!F139</f>
        <v>118932.81071217325</v>
      </c>
      <c r="N72" s="61">
        <f>Mortgage!F153</f>
        <v>115178.85757219698</v>
      </c>
      <c r="O72" s="23">
        <f>AVERAGE(D72:N72)</f>
        <v>131679.87049578188</v>
      </c>
      <c r="R72" s="35">
        <f>AVERAGE(D72:N72)</f>
        <v>131679.87049578188</v>
      </c>
      <c r="S72" s="34">
        <f>R72/R77</f>
        <v>0.47739429043004677</v>
      </c>
      <c r="T72" s="41">
        <v>4.1000000000000002E-2</v>
      </c>
      <c r="U72" s="34">
        <f>T72*(1-U62)</f>
        <v>2.87E-2</v>
      </c>
      <c r="V72" s="34">
        <f>S72*U72</f>
        <v>1.3701216135342342E-2</v>
      </c>
      <c r="W72" s="32"/>
    </row>
    <row r="73" spans="1:23" x14ac:dyDescent="0.25">
      <c r="A73" s="58" t="s">
        <v>25</v>
      </c>
      <c r="B73" s="58"/>
      <c r="C73" s="58"/>
      <c r="D73" s="57">
        <v>21585.962528450567</v>
      </c>
      <c r="E73" s="57">
        <v>7345.6262869662223</v>
      </c>
      <c r="F73" s="57"/>
      <c r="G73" s="57"/>
      <c r="H73" s="57"/>
      <c r="I73" s="57"/>
      <c r="J73" s="57"/>
      <c r="K73" s="57"/>
      <c r="L73" s="57"/>
      <c r="M73" s="57"/>
      <c r="N73" s="57"/>
      <c r="O73" s="23">
        <f>AVERAGE(D73:N73)</f>
        <v>14465.794407708396</v>
      </c>
      <c r="R73" s="35">
        <f>AVERAGE(D73:N73)</f>
        <v>14465.794407708396</v>
      </c>
      <c r="S73" s="34">
        <f>R73/R77</f>
        <v>5.2444520417386842E-2</v>
      </c>
      <c r="T73" s="41">
        <v>0.1</v>
      </c>
      <c r="U73" s="34">
        <f>T73*(1-U62)</f>
        <v>6.9999999999999993E-2</v>
      </c>
      <c r="V73" s="34">
        <f>S73*U73</f>
        <v>3.6711164292170784E-3</v>
      </c>
      <c r="W73" s="32"/>
    </row>
    <row r="74" spans="1:23" x14ac:dyDescent="0.25">
      <c r="A74" s="58"/>
      <c r="B74" s="58"/>
      <c r="C74" s="58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23">
        <f>SUM(O72:O73)</f>
        <v>146145.66490349028</v>
      </c>
      <c r="R74" s="35"/>
      <c r="S74" s="34"/>
      <c r="T74" s="34"/>
      <c r="U74" s="34"/>
      <c r="V74" s="34"/>
      <c r="W74" s="32"/>
    </row>
    <row r="75" spans="1:23" x14ac:dyDescent="0.25">
      <c r="A75" s="58" t="s">
        <v>27</v>
      </c>
      <c r="B75" s="58"/>
      <c r="C75" s="58"/>
      <c r="D75" s="61">
        <f>D25</f>
        <v>75000</v>
      </c>
      <c r="E75" s="61">
        <f>D75</f>
        <v>75000</v>
      </c>
      <c r="F75" s="61">
        <f t="shared" ref="F75:N75" si="38">E75</f>
        <v>75000</v>
      </c>
      <c r="G75" s="61">
        <f t="shared" si="38"/>
        <v>75000</v>
      </c>
      <c r="H75" s="61">
        <f t="shared" si="38"/>
        <v>75000</v>
      </c>
      <c r="I75" s="61">
        <f t="shared" si="38"/>
        <v>75000</v>
      </c>
      <c r="J75" s="61">
        <f t="shared" si="38"/>
        <v>75000</v>
      </c>
      <c r="K75" s="61">
        <f t="shared" si="38"/>
        <v>75000</v>
      </c>
      <c r="L75" s="61">
        <f t="shared" si="38"/>
        <v>75000</v>
      </c>
      <c r="M75" s="61">
        <f t="shared" si="38"/>
        <v>75000</v>
      </c>
      <c r="N75" s="61">
        <f t="shared" si="38"/>
        <v>75000</v>
      </c>
      <c r="O75" s="23">
        <f t="shared" ref="O75:O76" si="39">AVERAGE(D75:N75)</f>
        <v>75000</v>
      </c>
      <c r="R75" s="35">
        <f>AVERAGE(D75:N75)</f>
        <v>75000</v>
      </c>
      <c r="S75" s="34">
        <f>SUM(R75:R76)/R77</f>
        <v>0.47016118915256638</v>
      </c>
      <c r="T75" s="34">
        <f>S69</f>
        <v>8.4197798229359855E-2</v>
      </c>
      <c r="U75" s="34">
        <f>T75</f>
        <v>8.4197798229359855E-2</v>
      </c>
      <c r="V75" s="34">
        <f>S75*U75</f>
        <v>3.9586536939543678E-2</v>
      </c>
      <c r="W75" s="32"/>
    </row>
    <row r="76" spans="1:23" x14ac:dyDescent="0.25">
      <c r="A76" s="58" t="s">
        <v>15</v>
      </c>
      <c r="B76" s="58"/>
      <c r="C76" s="61"/>
      <c r="D76" s="61">
        <f>D53+C76</f>
        <v>7139.1041432140019</v>
      </c>
      <c r="E76" s="61">
        <f t="shared" ref="E76:N76" si="40">E53+D76</f>
        <v>15570.379594058431</v>
      </c>
      <c r="F76" s="61">
        <f t="shared" si="40"/>
        <v>24765.874827415435</v>
      </c>
      <c r="G76" s="61">
        <f t="shared" si="40"/>
        <v>34163.023334219215</v>
      </c>
      <c r="H76" s="61">
        <f t="shared" si="40"/>
        <v>43764.982794686061</v>
      </c>
      <c r="I76" s="61">
        <f t="shared" si="40"/>
        <v>53575.027523105062</v>
      </c>
      <c r="J76" s="61">
        <f t="shared" si="40"/>
        <v>63596.554427834664</v>
      </c>
      <c r="K76" s="61">
        <f t="shared" si="40"/>
        <v>73833.089276830695</v>
      </c>
      <c r="L76" s="61">
        <f t="shared" si="40"/>
        <v>84288.29328382168</v>
      </c>
      <c r="M76" s="61">
        <f t="shared" si="40"/>
        <v>94965.970030976183</v>
      </c>
      <c r="N76" s="61">
        <f t="shared" si="40"/>
        <v>105870.07274466951</v>
      </c>
      <c r="O76" s="23">
        <f t="shared" si="39"/>
        <v>54684.761089166444</v>
      </c>
      <c r="R76" s="35">
        <f>AVERAGE(D76:N76)</f>
        <v>54684.761089166444</v>
      </c>
      <c r="S76" s="34"/>
      <c r="T76" s="34"/>
      <c r="U76" s="34"/>
      <c r="V76" s="34"/>
      <c r="W76" s="32"/>
    </row>
    <row r="77" spans="1:23" x14ac:dyDescent="0.25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23">
        <f>SUM(O75:O76)</f>
        <v>129684.76108916645</v>
      </c>
      <c r="R77" s="36">
        <f>SUM(R72:R76)</f>
        <v>275830.42599265673</v>
      </c>
      <c r="S77" s="37">
        <f>SUM(S72:S76)</f>
        <v>1</v>
      </c>
      <c r="T77" s="37"/>
      <c r="U77" s="37"/>
      <c r="V77" s="38">
        <f>SUM(V72:V76)</f>
        <v>5.6958869504103102E-2</v>
      </c>
      <c r="W77" s="39" t="s">
        <v>104</v>
      </c>
    </row>
    <row r="78" spans="1:23" x14ac:dyDescent="0.25">
      <c r="A78" s="59" t="s">
        <v>16</v>
      </c>
      <c r="B78" s="58"/>
      <c r="C78" s="58"/>
      <c r="D78" s="61">
        <f>SUM(D69:D76)</f>
        <v>285469.86301369866</v>
      </c>
      <c r="E78" s="61">
        <f t="shared" ref="E78:N78" si="41">SUM(E69:E76)</f>
        <v>278015.15265753429</v>
      </c>
      <c r="F78" s="61">
        <f t="shared" si="41"/>
        <v>277880.87465894193</v>
      </c>
      <c r="G78" s="61">
        <f t="shared" si="41"/>
        <v>284935.28271715861</v>
      </c>
      <c r="H78" s="61">
        <f t="shared" si="41"/>
        <v>292072.85763414029</v>
      </c>
      <c r="I78" s="61">
        <f t="shared" si="41"/>
        <v>299291.16605252144</v>
      </c>
      <c r="J78" s="61">
        <f t="shared" si="41"/>
        <v>306587.63425001845</v>
      </c>
      <c r="K78" s="61">
        <f t="shared" si="41"/>
        <v>313959.54232879565</v>
      </c>
      <c r="L78" s="61">
        <f t="shared" si="41"/>
        <v>321404.01817107637</v>
      </c>
      <c r="M78" s="61">
        <f t="shared" si="41"/>
        <v>328918.03115138743</v>
      </c>
      <c r="N78" s="61">
        <f t="shared" si="41"/>
        <v>336498.38559542003</v>
      </c>
    </row>
    <row r="79" spans="1:23" x14ac:dyDescent="0.25">
      <c r="A79" s="59"/>
      <c r="B79" s="58"/>
      <c r="C79" s="58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23"/>
    </row>
    <row r="80" spans="1:23" x14ac:dyDescent="0.25">
      <c r="A80" s="59" t="s">
        <v>49</v>
      </c>
      <c r="B80" s="58"/>
      <c r="C80" s="58"/>
      <c r="D80" s="61">
        <f>D66-D78</f>
        <v>0</v>
      </c>
      <c r="E80" s="61">
        <f t="shared" ref="E80:N80" si="42">E66-E78</f>
        <v>0</v>
      </c>
      <c r="F80" s="61">
        <f t="shared" si="42"/>
        <v>0</v>
      </c>
      <c r="G80" s="61">
        <f t="shared" si="42"/>
        <v>0</v>
      </c>
      <c r="H80" s="61">
        <f t="shared" si="42"/>
        <v>0</v>
      </c>
      <c r="I80" s="61">
        <f t="shared" si="42"/>
        <v>0</v>
      </c>
      <c r="J80" s="61">
        <f t="shared" si="42"/>
        <v>0</v>
      </c>
      <c r="K80" s="61">
        <f t="shared" si="42"/>
        <v>0</v>
      </c>
      <c r="L80" s="61">
        <f t="shared" si="42"/>
        <v>0</v>
      </c>
      <c r="M80" s="61">
        <f t="shared" si="42"/>
        <v>0</v>
      </c>
      <c r="N80" s="61">
        <f t="shared" si="42"/>
        <v>0</v>
      </c>
    </row>
    <row r="81" spans="1:24" s="10" customFormat="1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3" spans="1:24" x14ac:dyDescent="0.25">
      <c r="A83" s="9" t="s">
        <v>105</v>
      </c>
      <c r="B83"/>
      <c r="C83"/>
      <c r="D83" s="12"/>
      <c r="E83"/>
      <c r="F83"/>
      <c r="G83"/>
      <c r="H83"/>
      <c r="I83"/>
      <c r="O83"/>
      <c r="P83"/>
    </row>
    <row r="84" spans="1:24" x14ac:dyDescent="0.25">
      <c r="A84" t="s">
        <v>106</v>
      </c>
      <c r="B84"/>
      <c r="C84"/>
      <c r="D84" s="12"/>
      <c r="E84"/>
      <c r="F84"/>
      <c r="G84"/>
      <c r="H84"/>
      <c r="I84"/>
      <c r="O84"/>
      <c r="P84"/>
    </row>
    <row r="85" spans="1:24" x14ac:dyDescent="0.25">
      <c r="A85"/>
      <c r="B85" t="s">
        <v>107</v>
      </c>
      <c r="C85"/>
      <c r="D85" s="44">
        <f>SUM(D35:D37)-SUM(D39:D45)</f>
        <v>26706.666666666686</v>
      </c>
      <c r="E85" s="44">
        <f t="shared" ref="E85:M85" si="43">SUM(E35:E37)-SUM(E39:E45)</f>
        <v>26876.133333333331</v>
      </c>
      <c r="F85" s="44">
        <f t="shared" si="43"/>
        <v>27044.745706666698</v>
      </c>
      <c r="G85" s="44">
        <f t="shared" si="43"/>
        <v>27212.422337909346</v>
      </c>
      <c r="H85" s="44">
        <f t="shared" si="43"/>
        <v>27379.078810133651</v>
      </c>
      <c r="I85" s="44">
        <f t="shared" si="43"/>
        <v>27544.627644264401</v>
      </c>
      <c r="J85" s="44">
        <f t="shared" si="43"/>
        <v>27708.978202235361</v>
      </c>
      <c r="K85" s="44">
        <f t="shared" si="43"/>
        <v>27872.036587194714</v>
      </c>
      <c r="L85" s="44">
        <f t="shared" si="43"/>
        <v>28033.705540668481</v>
      </c>
      <c r="M85" s="44">
        <f t="shared" si="43"/>
        <v>28193.884336591465</v>
      </c>
      <c r="N85" s="44">
        <f>SUM(N35:N37)-SUM(N39:N45)</f>
        <v>28352.468672111369</v>
      </c>
      <c r="O85"/>
      <c r="P85"/>
    </row>
    <row r="86" spans="1:24" x14ac:dyDescent="0.25">
      <c r="A86"/>
      <c r="B86" t="s">
        <v>108</v>
      </c>
      <c r="C86"/>
      <c r="D86" s="44">
        <f>D47</f>
        <v>7500</v>
      </c>
      <c r="E86" s="44">
        <f t="shared" ref="E86:M86" si="44">E47</f>
        <v>7500</v>
      </c>
      <c r="F86" s="44">
        <f t="shared" si="44"/>
        <v>7500</v>
      </c>
      <c r="G86" s="44">
        <f t="shared" si="44"/>
        <v>7500</v>
      </c>
      <c r="H86" s="44">
        <f t="shared" si="44"/>
        <v>7500</v>
      </c>
      <c r="I86" s="44">
        <f t="shared" si="44"/>
        <v>7500</v>
      </c>
      <c r="J86" s="44">
        <f t="shared" si="44"/>
        <v>7500</v>
      </c>
      <c r="K86" s="44">
        <f t="shared" si="44"/>
        <v>7500</v>
      </c>
      <c r="L86" s="44">
        <f t="shared" si="44"/>
        <v>7500</v>
      </c>
      <c r="M86" s="44">
        <f t="shared" si="44"/>
        <v>7500</v>
      </c>
      <c r="N86" s="44">
        <f>N47</f>
        <v>7500</v>
      </c>
      <c r="O86"/>
      <c r="P86"/>
      <c r="Q86" s="24"/>
      <c r="R86" s="24"/>
      <c r="S86" s="24"/>
      <c r="T86" s="24"/>
      <c r="U86" s="24"/>
      <c r="V86" s="24"/>
      <c r="W86" s="24"/>
      <c r="X86" s="24"/>
    </row>
    <row r="87" spans="1:24" x14ac:dyDescent="0.25">
      <c r="A87"/>
      <c r="B87" t="s">
        <v>109</v>
      </c>
      <c r="C87"/>
      <c r="D87" s="44">
        <f>D85-D86</f>
        <v>19206.666666666686</v>
      </c>
      <c r="E87" s="44">
        <f t="shared" ref="E87:M87" si="45">E85-E86</f>
        <v>19376.133333333331</v>
      </c>
      <c r="F87" s="44">
        <f t="shared" si="45"/>
        <v>19544.745706666698</v>
      </c>
      <c r="G87" s="44">
        <f t="shared" si="45"/>
        <v>19712.422337909346</v>
      </c>
      <c r="H87" s="44">
        <f t="shared" si="45"/>
        <v>19879.078810133651</v>
      </c>
      <c r="I87" s="44">
        <f t="shared" si="45"/>
        <v>20044.627644264401</v>
      </c>
      <c r="J87" s="44">
        <f t="shared" si="45"/>
        <v>20208.978202235361</v>
      </c>
      <c r="K87" s="44">
        <f t="shared" si="45"/>
        <v>20372.036587194714</v>
      </c>
      <c r="L87" s="44">
        <f t="shared" si="45"/>
        <v>20533.705540668481</v>
      </c>
      <c r="M87" s="44">
        <f t="shared" si="45"/>
        <v>20693.884336591465</v>
      </c>
      <c r="N87" s="44">
        <f>N85-N86</f>
        <v>20852.468672111369</v>
      </c>
      <c r="O87"/>
      <c r="P87"/>
      <c r="Q87" s="24"/>
      <c r="R87" s="24"/>
      <c r="S87" s="24"/>
      <c r="T87" s="24"/>
      <c r="U87" s="24"/>
      <c r="V87" s="24"/>
      <c r="W87" s="24"/>
      <c r="X87" s="24"/>
    </row>
    <row r="88" spans="1:24" x14ac:dyDescent="0.25">
      <c r="A88"/>
      <c r="B88" t="s">
        <v>110</v>
      </c>
      <c r="C88"/>
      <c r="D88" s="45">
        <f t="shared" ref="D88:N88" si="46">IF(D87&lt;=0,0,D87*$U$62)</f>
        <v>5762.0000000000055</v>
      </c>
      <c r="E88" s="45">
        <f t="shared" si="46"/>
        <v>5812.8399999999992</v>
      </c>
      <c r="F88" s="45">
        <f t="shared" si="46"/>
        <v>5863.4237120000089</v>
      </c>
      <c r="G88" s="45">
        <f t="shared" si="46"/>
        <v>5913.7267013728033</v>
      </c>
      <c r="H88" s="45">
        <f t="shared" si="46"/>
        <v>5963.7236430400953</v>
      </c>
      <c r="I88" s="45">
        <f t="shared" si="46"/>
        <v>6013.3882932793204</v>
      </c>
      <c r="J88" s="45">
        <f t="shared" si="46"/>
        <v>6062.6934606706081</v>
      </c>
      <c r="K88" s="45">
        <f t="shared" si="46"/>
        <v>6111.6109761584139</v>
      </c>
      <c r="L88" s="45">
        <f t="shared" si="46"/>
        <v>6160.1116622005438</v>
      </c>
      <c r="M88" s="45">
        <f t="shared" si="46"/>
        <v>6208.1653009774391</v>
      </c>
      <c r="N88" s="45">
        <f t="shared" si="46"/>
        <v>6255.7406016334107</v>
      </c>
      <c r="O88"/>
      <c r="P88"/>
    </row>
    <row r="89" spans="1:24" x14ac:dyDescent="0.25">
      <c r="A89"/>
      <c r="B89" t="s">
        <v>111</v>
      </c>
      <c r="C89"/>
      <c r="D89" s="48">
        <f>D85-D88</f>
        <v>20944.666666666679</v>
      </c>
      <c r="E89" s="48">
        <f t="shared" ref="E89:M89" si="47">E85-E88</f>
        <v>21063.293333333331</v>
      </c>
      <c r="F89" s="48">
        <f t="shared" si="47"/>
        <v>21181.321994666687</v>
      </c>
      <c r="G89" s="48">
        <f t="shared" si="47"/>
        <v>21298.69563653654</v>
      </c>
      <c r="H89" s="48">
        <f t="shared" si="47"/>
        <v>21415.355167093556</v>
      </c>
      <c r="I89" s="48">
        <f t="shared" si="47"/>
        <v>21531.239350985081</v>
      </c>
      <c r="J89" s="48">
        <f t="shared" si="47"/>
        <v>21646.284741564752</v>
      </c>
      <c r="K89" s="48">
        <f t="shared" si="47"/>
        <v>21760.425611036299</v>
      </c>
      <c r="L89" s="48">
        <f t="shared" si="47"/>
        <v>21873.593878467938</v>
      </c>
      <c r="M89" s="48">
        <f t="shared" si="47"/>
        <v>21985.719035614027</v>
      </c>
      <c r="N89" s="48">
        <f>N85-N88</f>
        <v>22096.728070477959</v>
      </c>
      <c r="O89"/>
      <c r="P89"/>
    </row>
    <row r="90" spans="1:24" x14ac:dyDescent="0.25">
      <c r="A90"/>
      <c r="B90"/>
      <c r="C90"/>
      <c r="D90" s="12"/>
      <c r="E90" s="12"/>
      <c r="F90" s="12"/>
      <c r="G90" s="12"/>
      <c r="H90" s="12"/>
      <c r="I90" s="12"/>
      <c r="J90" s="12"/>
      <c r="K90" s="12"/>
      <c r="L90" s="12"/>
      <c r="M90" s="12"/>
      <c r="O90"/>
      <c r="P90"/>
    </row>
    <row r="91" spans="1:24" x14ac:dyDescent="0.25">
      <c r="A91" t="s">
        <v>112</v>
      </c>
      <c r="B91"/>
      <c r="C91"/>
      <c r="D91" s="12"/>
      <c r="E91" s="12"/>
      <c r="F91" s="12"/>
      <c r="G91" s="12"/>
      <c r="H91" s="12"/>
      <c r="I91" s="12"/>
      <c r="J91" s="12"/>
      <c r="K91" s="12"/>
      <c r="L91" s="12"/>
      <c r="M91" s="12"/>
      <c r="O91"/>
      <c r="P91"/>
    </row>
    <row r="92" spans="1:24" x14ac:dyDescent="0.25">
      <c r="A92" s="50" t="s">
        <v>113</v>
      </c>
      <c r="B92" t="s">
        <v>114</v>
      </c>
      <c r="C92" s="44">
        <f>-(D57-C57)</f>
        <v>-1000</v>
      </c>
      <c r="D92" s="44">
        <f>-(E57-D57)</f>
        <v>0</v>
      </c>
      <c r="E92" s="44">
        <f t="shared" ref="E92:N92" si="48">-(F57-E57)</f>
        <v>0</v>
      </c>
      <c r="F92" s="44">
        <f t="shared" si="48"/>
        <v>0</v>
      </c>
      <c r="G92" s="44">
        <f t="shared" si="48"/>
        <v>0</v>
      </c>
      <c r="H92" s="44">
        <f t="shared" si="48"/>
        <v>0</v>
      </c>
      <c r="I92" s="44">
        <f t="shared" si="48"/>
        <v>0</v>
      </c>
      <c r="J92" s="44">
        <f t="shared" si="48"/>
        <v>0</v>
      </c>
      <c r="K92" s="44">
        <f t="shared" si="48"/>
        <v>0</v>
      </c>
      <c r="L92" s="44">
        <f t="shared" si="48"/>
        <v>0</v>
      </c>
      <c r="M92" s="44">
        <f t="shared" si="48"/>
        <v>0</v>
      </c>
      <c r="N92" s="44">
        <f t="shared" si="48"/>
        <v>1000</v>
      </c>
      <c r="O92"/>
      <c r="P92"/>
    </row>
    <row r="93" spans="1:24" x14ac:dyDescent="0.25">
      <c r="A93" s="50" t="s">
        <v>113</v>
      </c>
      <c r="B93" t="s">
        <v>9</v>
      </c>
      <c r="C93" s="44">
        <f>-(D59-C59)</f>
        <v>-68252.054794520547</v>
      </c>
      <c r="D93" s="44">
        <f>-(E59-D59)</f>
        <v>-641.56931506849651</v>
      </c>
      <c r="E93" s="44">
        <f t="shared" ref="E93:N94" si="49">-(F59-E59)</f>
        <v>-647.6000666301552</v>
      </c>
      <c r="F93" s="44">
        <f t="shared" si="49"/>
        <v>-653.68750725645805</v>
      </c>
      <c r="G93" s="44">
        <f t="shared" si="49"/>
        <v>-659.83216982467275</v>
      </c>
      <c r="H93" s="44">
        <f t="shared" si="49"/>
        <v>-666.03459222102538</v>
      </c>
      <c r="I93" s="44">
        <f t="shared" si="49"/>
        <v>-672.29531738790683</v>
      </c>
      <c r="J93" s="44">
        <f t="shared" si="49"/>
        <v>-678.61489337135572</v>
      </c>
      <c r="K93" s="44">
        <f t="shared" si="49"/>
        <v>-684.99387336903601</v>
      </c>
      <c r="L93" s="44">
        <f t="shared" si="49"/>
        <v>-691.43281577870948</v>
      </c>
      <c r="M93" s="44">
        <f t="shared" si="49"/>
        <v>-697.93228424701374</v>
      </c>
      <c r="N93" s="44">
        <f t="shared" si="49"/>
        <v>74946.047629675377</v>
      </c>
      <c r="O93"/>
      <c r="P93"/>
    </row>
    <row r="94" spans="1:24" x14ac:dyDescent="0.25">
      <c r="A94" s="50" t="s">
        <v>113</v>
      </c>
      <c r="B94" t="s">
        <v>115</v>
      </c>
      <c r="C94" s="44">
        <f>-(D60-C60)</f>
        <v>-58717.808219178078</v>
      </c>
      <c r="D94" s="44">
        <f>-(E60-D60)</f>
        <v>596.2796712328709</v>
      </c>
      <c r="E94" s="44">
        <f t="shared" si="49"/>
        <v>589.49762652755453</v>
      </c>
      <c r="F94" s="44">
        <f t="shared" si="49"/>
        <v>582.78546235216345</v>
      </c>
      <c r="G94" s="44">
        <f t="shared" si="49"/>
        <v>576.1423939643646</v>
      </c>
      <c r="H94" s="44">
        <f t="shared" si="49"/>
        <v>569.56764479744015</v>
      </c>
      <c r="I94" s="44">
        <f t="shared" si="49"/>
        <v>563.06044636930164</v>
      </c>
      <c r="J94" s="44">
        <f t="shared" si="49"/>
        <v>556.62003819268284</v>
      </c>
      <c r="K94" s="44">
        <f t="shared" si="49"/>
        <v>550.24566768589284</v>
      </c>
      <c r="L94" s="44">
        <f t="shared" si="49"/>
        <v>543.93659008490795</v>
      </c>
      <c r="M94" s="44">
        <f t="shared" si="49"/>
        <v>537.69206835610385</v>
      </c>
      <c r="N94" s="44">
        <f t="shared" si="49"/>
        <v>53051.980609614795</v>
      </c>
      <c r="O94"/>
      <c r="P94"/>
    </row>
    <row r="95" spans="1:24" x14ac:dyDescent="0.25">
      <c r="A95" s="50"/>
      <c r="B95"/>
      <c r="C95"/>
      <c r="D95" s="12"/>
      <c r="E95" s="12"/>
      <c r="F95" s="12"/>
      <c r="G95" s="12"/>
      <c r="H95" s="12"/>
      <c r="I95" s="12"/>
      <c r="J95" s="12"/>
      <c r="K95" s="12"/>
      <c r="L95" s="12"/>
      <c r="M95" s="12"/>
      <c r="O95"/>
      <c r="P95"/>
    </row>
    <row r="96" spans="1:24" x14ac:dyDescent="0.25">
      <c r="A96" s="50" t="s">
        <v>113</v>
      </c>
      <c r="B96" t="s">
        <v>24</v>
      </c>
      <c r="C96" s="44">
        <f t="shared" ref="C96" si="50">-(D62-C62)</f>
        <v>-15000</v>
      </c>
      <c r="D96" s="44">
        <f>-(E62-D62)</f>
        <v>0</v>
      </c>
      <c r="E96" s="44">
        <f t="shared" ref="E96:M96" si="51">-(F62-E62)</f>
        <v>0</v>
      </c>
      <c r="F96" s="44">
        <f t="shared" si="51"/>
        <v>0</v>
      </c>
      <c r="G96" s="44">
        <f t="shared" si="51"/>
        <v>0</v>
      </c>
      <c r="H96" s="44">
        <f t="shared" si="51"/>
        <v>0</v>
      </c>
      <c r="I96" s="44">
        <f t="shared" si="51"/>
        <v>0</v>
      </c>
      <c r="J96" s="44">
        <f t="shared" si="51"/>
        <v>0</v>
      </c>
      <c r="K96" s="44">
        <f t="shared" si="51"/>
        <v>0</v>
      </c>
      <c r="L96" s="44">
        <f t="shared" si="51"/>
        <v>0</v>
      </c>
      <c r="M96" s="44">
        <f t="shared" si="51"/>
        <v>0</v>
      </c>
      <c r="N96" s="44">
        <f>-(O62-N62)</f>
        <v>15000</v>
      </c>
      <c r="O96" t="s">
        <v>117</v>
      </c>
      <c r="P96" s="47">
        <v>1.05</v>
      </c>
    </row>
    <row r="97" spans="1:24" x14ac:dyDescent="0.25">
      <c r="A97" s="50"/>
      <c r="B97" t="s">
        <v>116</v>
      </c>
      <c r="C9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46">
        <f>(P96-100%)*N96</f>
        <v>750.00000000000068</v>
      </c>
      <c r="O97" t="s">
        <v>119</v>
      </c>
      <c r="P97" s="44">
        <f>N62</f>
        <v>15000</v>
      </c>
    </row>
    <row r="98" spans="1:24" x14ac:dyDescent="0.25">
      <c r="A98" s="50" t="s">
        <v>113</v>
      </c>
      <c r="B98" t="s">
        <v>118</v>
      </c>
      <c r="C98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46">
        <f>-P98*$O$52</f>
        <v>-225</v>
      </c>
      <c r="O98" t="s">
        <v>120</v>
      </c>
      <c r="P98" s="44">
        <f>SUM(N96:N97)-P97</f>
        <v>750</v>
      </c>
    </row>
    <row r="99" spans="1:24" x14ac:dyDescent="0.25">
      <c r="A99" s="50"/>
      <c r="B99"/>
      <c r="C99"/>
      <c r="D99" s="12"/>
      <c r="E99" s="12"/>
      <c r="F99" s="12"/>
      <c r="G99" s="12"/>
      <c r="H99" s="12"/>
      <c r="I99" s="12"/>
      <c r="J99" s="12"/>
      <c r="K99" s="12"/>
      <c r="L99" s="12"/>
      <c r="M99" s="12"/>
      <c r="Q99" s="25"/>
      <c r="R99" s="25"/>
      <c r="S99" s="25"/>
      <c r="T99" s="25"/>
      <c r="U99" s="25"/>
      <c r="V99" s="25"/>
      <c r="W99" s="25"/>
      <c r="X99" s="25"/>
    </row>
    <row r="100" spans="1:24" x14ac:dyDescent="0.25">
      <c r="A100" s="50" t="s">
        <v>113</v>
      </c>
      <c r="B100" t="s">
        <v>10</v>
      </c>
      <c r="C100" s="44">
        <f t="shared" ref="C100" si="52">-(D63-C63)</f>
        <v>-150000</v>
      </c>
      <c r="D100" s="44">
        <f>-(E63-D63)</f>
        <v>0</v>
      </c>
      <c r="E100" s="44">
        <f t="shared" ref="E100:M100" si="53">-(F63-E63)</f>
        <v>0</v>
      </c>
      <c r="F100" s="44">
        <f t="shared" si="53"/>
        <v>0</v>
      </c>
      <c r="G100" s="44">
        <f t="shared" si="53"/>
        <v>0</v>
      </c>
      <c r="H100" s="44">
        <f t="shared" si="53"/>
        <v>0</v>
      </c>
      <c r="I100" s="44">
        <f t="shared" si="53"/>
        <v>0</v>
      </c>
      <c r="J100" s="44">
        <f t="shared" si="53"/>
        <v>0</v>
      </c>
      <c r="K100" s="44">
        <f t="shared" si="53"/>
        <v>0</v>
      </c>
      <c r="L100" s="44">
        <f t="shared" si="53"/>
        <v>0</v>
      </c>
      <c r="M100" s="44">
        <f t="shared" si="53"/>
        <v>0</v>
      </c>
      <c r="N100" s="44">
        <f>-(O63-N63)</f>
        <v>150000</v>
      </c>
      <c r="O100" t="s">
        <v>117</v>
      </c>
      <c r="P100" s="47">
        <v>0.8</v>
      </c>
    </row>
    <row r="101" spans="1:24" x14ac:dyDescent="0.25">
      <c r="A101" s="50"/>
      <c r="B101" t="s">
        <v>116</v>
      </c>
      <c r="C10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46">
        <f>(P100-100%)*N100</f>
        <v>-29999.999999999993</v>
      </c>
      <c r="O101" t="s">
        <v>119</v>
      </c>
      <c r="P101" s="44">
        <f>I60-I61</f>
        <v>55803.535420303684</v>
      </c>
    </row>
    <row r="102" spans="1:24" x14ac:dyDescent="0.25">
      <c r="A102" s="50" t="s">
        <v>113</v>
      </c>
      <c r="B102" t="s">
        <v>118</v>
      </c>
      <c r="C10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46">
        <f>-P102*$O$52</f>
        <v>-19258.939373908896</v>
      </c>
      <c r="O102" t="s">
        <v>120</v>
      </c>
      <c r="P102" s="44">
        <f>SUM(N100:N101)-P101</f>
        <v>64196.464579696316</v>
      </c>
    </row>
    <row r="103" spans="1:24" x14ac:dyDescent="0.25">
      <c r="A103" s="50"/>
      <c r="B103"/>
      <c r="C103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24" x14ac:dyDescent="0.25">
      <c r="A104" s="50" t="s">
        <v>121</v>
      </c>
      <c r="B104" t="s">
        <v>122</v>
      </c>
      <c r="C104" s="44">
        <f>(D69-C69)</f>
        <v>32580.821917808211</v>
      </c>
      <c r="D104" s="44">
        <f>(E69-D69)</f>
        <v>306.25972602740876</v>
      </c>
      <c r="E104" s="44">
        <f t="shared" ref="E104:M104" si="54">(F69-E69)</f>
        <v>309.13856745204976</v>
      </c>
      <c r="F104" s="44">
        <f t="shared" si="54"/>
        <v>312.0444699861182</v>
      </c>
      <c r="G104" s="44">
        <f t="shared" si="54"/>
        <v>314.97768800397898</v>
      </c>
      <c r="H104" s="44">
        <f t="shared" si="54"/>
        <v>317.93847827120044</v>
      </c>
      <c r="I104" s="44">
        <f t="shared" si="54"/>
        <v>320.92709996697522</v>
      </c>
      <c r="J104" s="44">
        <f t="shared" si="54"/>
        <v>323.94381470664666</v>
      </c>
      <c r="K104" s="44">
        <f t="shared" si="54"/>
        <v>326.98888656488998</v>
      </c>
      <c r="L104" s="44">
        <f t="shared" si="54"/>
        <v>330.06258209859516</v>
      </c>
      <c r="M104" s="44">
        <f t="shared" si="54"/>
        <v>333.16517037033918</v>
      </c>
      <c r="N104" s="44">
        <f>(O69-N69)</f>
        <v>-35776.268401256413</v>
      </c>
      <c r="O104"/>
      <c r="P104"/>
    </row>
    <row r="105" spans="1:24" x14ac:dyDescent="0.25">
      <c r="A105" s="50" t="s">
        <v>121</v>
      </c>
      <c r="B105" t="s">
        <v>123</v>
      </c>
      <c r="C105" s="46">
        <f>(D88-C88)</f>
        <v>5762.0000000000055</v>
      </c>
      <c r="D105" s="46">
        <f>(E88-D88)</f>
        <v>50.839999999993779</v>
      </c>
      <c r="E105" s="46">
        <f t="shared" ref="E105:L105" si="55">(F88-E88)</f>
        <v>50.583712000009655</v>
      </c>
      <c r="F105" s="46">
        <f t="shared" si="55"/>
        <v>50.3029893727944</v>
      </c>
      <c r="G105" s="46">
        <f t="shared" si="55"/>
        <v>49.996941667292049</v>
      </c>
      <c r="H105" s="46">
        <f t="shared" si="55"/>
        <v>49.664650239225011</v>
      </c>
      <c r="I105" s="46">
        <f t="shared" si="55"/>
        <v>49.305167391287796</v>
      </c>
      <c r="J105" s="46">
        <f t="shared" si="55"/>
        <v>48.917515487805758</v>
      </c>
      <c r="K105" s="46">
        <f t="shared" si="55"/>
        <v>48.500686042129928</v>
      </c>
      <c r="L105" s="46">
        <f t="shared" si="55"/>
        <v>48.053638776895241</v>
      </c>
      <c r="M105" s="46">
        <f>(N88-M88)</f>
        <v>47.57530065597166</v>
      </c>
      <c r="N105" s="46">
        <f>(O88-N88)</f>
        <v>-6255.7406016334107</v>
      </c>
      <c r="O105"/>
      <c r="P105"/>
    </row>
    <row r="106" spans="1:24" x14ac:dyDescent="0.25">
      <c r="A106" s="50"/>
      <c r="B106"/>
      <c r="C106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O106"/>
      <c r="P106"/>
    </row>
    <row r="107" spans="1:24" x14ac:dyDescent="0.25">
      <c r="A107" s="50" t="s">
        <v>113</v>
      </c>
      <c r="B107" t="s">
        <v>129</v>
      </c>
      <c r="C107" s="46">
        <v>-9000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>
        <v>10000</v>
      </c>
      <c r="O107"/>
      <c r="P107"/>
    </row>
    <row r="108" spans="1:24" x14ac:dyDescent="0.25">
      <c r="A108"/>
      <c r="B108"/>
      <c r="C108"/>
      <c r="D108" s="12"/>
      <c r="E108"/>
      <c r="F108"/>
      <c r="G108"/>
      <c r="H108"/>
      <c r="I108"/>
      <c r="O108"/>
      <c r="P108"/>
    </row>
    <row r="109" spans="1:24" x14ac:dyDescent="0.25">
      <c r="A109" s="9" t="s">
        <v>124</v>
      </c>
      <c r="B109"/>
      <c r="C109" s="49">
        <f>SUM(C89:C107)</f>
        <v>-263627.0410958904</v>
      </c>
      <c r="D109" s="49">
        <f>SUM(D89:D107)</f>
        <v>21256.476748858455</v>
      </c>
      <c r="E109" s="49">
        <f t="shared" ref="E109:M109" si="56">SUM(E89:E107)</f>
        <v>21364.913172682791</v>
      </c>
      <c r="F109" s="49">
        <f t="shared" si="56"/>
        <v>21472.767409121305</v>
      </c>
      <c r="G109" s="49">
        <f t="shared" si="56"/>
        <v>21579.980490347501</v>
      </c>
      <c r="H109" s="49">
        <f t="shared" si="56"/>
        <v>21686.491348180396</v>
      </c>
      <c r="I109" s="49">
        <f t="shared" si="56"/>
        <v>21792.23674732474</v>
      </c>
      <c r="J109" s="49">
        <f t="shared" si="56"/>
        <v>21897.151216580532</v>
      </c>
      <c r="K109" s="49">
        <f t="shared" si="56"/>
        <v>22001.166977960176</v>
      </c>
      <c r="L109" s="49">
        <f t="shared" si="56"/>
        <v>22104.213873649627</v>
      </c>
      <c r="M109" s="49">
        <f t="shared" si="56"/>
        <v>22206.219290749428</v>
      </c>
      <c r="N109" s="49">
        <f>SUM(N89:N107)</f>
        <v>235328.80793296939</v>
      </c>
      <c r="O109"/>
      <c r="P109"/>
    </row>
    <row r="110" spans="1:24" x14ac:dyDescent="0.25">
      <c r="A110" s="9" t="s">
        <v>125</v>
      </c>
      <c r="B110"/>
      <c r="C110" s="68">
        <f>IRR(C109:N109)</f>
        <v>7.0231891774949595E-2</v>
      </c>
      <c r="D110" s="12"/>
      <c r="E110"/>
      <c r="G110"/>
      <c r="H110"/>
      <c r="I110"/>
      <c r="O110"/>
      <c r="P110"/>
    </row>
    <row r="111" spans="1:24" x14ac:dyDescent="0.25">
      <c r="A111" s="9"/>
      <c r="B111"/>
      <c r="C111"/>
      <c r="D111" s="12"/>
      <c r="E111"/>
      <c r="F111"/>
      <c r="G111"/>
      <c r="H111"/>
      <c r="I111"/>
      <c r="O111"/>
      <c r="P111"/>
    </row>
    <row r="112" spans="1:24" x14ac:dyDescent="0.25">
      <c r="A112" s="9" t="s">
        <v>126</v>
      </c>
      <c r="B112"/>
      <c r="C112" s="68">
        <f>V77</f>
        <v>5.6958869504103102E-2</v>
      </c>
      <c r="D112" s="12"/>
      <c r="E112"/>
      <c r="G112"/>
      <c r="H112"/>
      <c r="I112"/>
      <c r="O112"/>
      <c r="P112"/>
    </row>
    <row r="113" spans="1:16" x14ac:dyDescent="0.25">
      <c r="A113" s="9" t="s">
        <v>127</v>
      </c>
      <c r="B113"/>
      <c r="C113" s="69">
        <f>NPV(C112,D109:N109)</f>
        <v>289900.57764853956</v>
      </c>
      <c r="D113" s="12"/>
      <c r="E113"/>
      <c r="G113"/>
      <c r="H113"/>
      <c r="I113"/>
      <c r="O113"/>
      <c r="P113"/>
    </row>
  </sheetData>
  <dataConsolidate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9"/>
  <sheetViews>
    <sheetView tabSelected="1" topLeftCell="A108" zoomScale="80" zoomScaleNormal="80" workbookViewId="0">
      <pane xSplit="2" topLeftCell="C1" activePane="topRight" state="frozen"/>
      <selection activeCell="A52" sqref="A52"/>
      <selection pane="topRight" activeCell="C116" sqref="C116"/>
    </sheetView>
  </sheetViews>
  <sheetFormatPr defaultColWidth="9.42578125" defaultRowHeight="15" x14ac:dyDescent="0.25"/>
  <cols>
    <col min="1" max="1" width="4.85546875" style="1" customWidth="1"/>
    <col min="2" max="2" width="37.85546875" style="1" customWidth="1"/>
    <col min="3" max="3" width="20.140625" style="1" bestFit="1" customWidth="1"/>
    <col min="4" max="4" width="14.140625" style="1" customWidth="1"/>
    <col min="5" max="5" width="14" style="1" customWidth="1"/>
    <col min="6" max="8" width="14.140625" style="1" customWidth="1"/>
    <col min="9" max="9" width="14" style="1" customWidth="1"/>
    <col min="10" max="15" width="14.140625" style="1" customWidth="1"/>
    <col min="16" max="16" width="14.42578125" style="1" customWidth="1"/>
    <col min="17" max="17" width="15.28515625" style="1" customWidth="1"/>
    <col min="18" max="18" width="17.7109375" style="1" customWidth="1"/>
    <col min="19" max="19" width="13.7109375" style="1" customWidth="1"/>
    <col min="20" max="20" width="16.5703125" style="1" customWidth="1"/>
    <col min="21" max="21" width="10.7109375" style="1" customWidth="1"/>
    <col min="22" max="22" width="11.42578125" style="1" customWidth="1"/>
    <col min="23" max="23" width="8.85546875" style="1" customWidth="1"/>
    <col min="24" max="24" width="9.42578125" style="1" customWidth="1"/>
    <col min="25" max="25" width="6.85546875" style="1" customWidth="1"/>
    <col min="26" max="26" width="19.42578125" style="1" customWidth="1"/>
    <col min="27" max="27" width="9.42578125" style="1"/>
    <col min="28" max="28" width="10.7109375" style="1" bestFit="1" customWidth="1"/>
    <col min="29" max="29" width="13.140625" style="1" bestFit="1" customWidth="1"/>
    <col min="30" max="30" width="9.42578125" style="1"/>
    <col min="31" max="31" width="12.140625" style="1" customWidth="1"/>
    <col min="32" max="32" width="11.7109375" style="1" customWidth="1"/>
    <col min="33" max="16384" width="9.42578125" style="1"/>
  </cols>
  <sheetData>
    <row r="1" spans="1:18" x14ac:dyDescent="0.25">
      <c r="A1" s="148" t="s">
        <v>30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x14ac:dyDescent="0.25">
      <c r="A2" s="148"/>
      <c r="B2" s="148"/>
      <c r="C2" s="148"/>
      <c r="D2" s="148">
        <v>2014</v>
      </c>
      <c r="E2" s="148">
        <v>2015</v>
      </c>
      <c r="F2" s="148">
        <v>2016</v>
      </c>
      <c r="G2" s="148">
        <v>2017</v>
      </c>
      <c r="H2" s="148">
        <v>2018</v>
      </c>
      <c r="I2" s="148">
        <v>2019</v>
      </c>
      <c r="J2" s="148">
        <v>2020</v>
      </c>
      <c r="K2" s="148">
        <v>2021</v>
      </c>
      <c r="L2" s="148">
        <v>2022</v>
      </c>
      <c r="M2" s="148">
        <v>2023</v>
      </c>
      <c r="N2" s="148">
        <v>2024</v>
      </c>
      <c r="O2" s="148"/>
      <c r="P2" s="148"/>
      <c r="Q2" s="148"/>
      <c r="R2" s="148"/>
    </row>
    <row r="3" spans="1:18" x14ac:dyDescent="0.25">
      <c r="A3" s="149" t="s">
        <v>58</v>
      </c>
      <c r="B3" s="148"/>
      <c r="C3" s="148"/>
      <c r="D3" s="150">
        <v>38</v>
      </c>
      <c r="E3" s="150">
        <f t="shared" ref="E3:N3" si="0">D3*(1+$P$3)</f>
        <v>36.1</v>
      </c>
      <c r="F3" s="150">
        <f t="shared" si="0"/>
        <v>34.295000000000002</v>
      </c>
      <c r="G3" s="150">
        <f t="shared" si="0"/>
        <v>32.580249999999999</v>
      </c>
      <c r="H3" s="150">
        <f t="shared" si="0"/>
        <v>30.951237499999998</v>
      </c>
      <c r="I3" s="150">
        <f t="shared" si="0"/>
        <v>29.403675624999998</v>
      </c>
      <c r="J3" s="150">
        <f t="shared" si="0"/>
        <v>27.933491843749998</v>
      </c>
      <c r="K3" s="150">
        <f t="shared" si="0"/>
        <v>26.536817251562496</v>
      </c>
      <c r="L3" s="150">
        <f t="shared" si="0"/>
        <v>25.209976388984369</v>
      </c>
      <c r="M3" s="150">
        <f t="shared" si="0"/>
        <v>23.949477569535151</v>
      </c>
      <c r="N3" s="150">
        <f t="shared" si="0"/>
        <v>22.752003691058391</v>
      </c>
      <c r="O3" s="150"/>
      <c r="P3" s="151">
        <v>-0.05</v>
      </c>
      <c r="Q3" s="148" t="s">
        <v>88</v>
      </c>
      <c r="R3" s="148"/>
    </row>
    <row r="4" spans="1:18" x14ac:dyDescent="0.25">
      <c r="A4" s="149" t="s">
        <v>43</v>
      </c>
      <c r="B4" s="148"/>
      <c r="C4" s="148"/>
      <c r="D4" s="150">
        <v>3000</v>
      </c>
      <c r="E4" s="150">
        <f t="shared" ref="E4:N4" si="1">D4*(1+$P$10)</f>
        <v>3060</v>
      </c>
      <c r="F4" s="150">
        <f t="shared" si="1"/>
        <v>3121.2000000000003</v>
      </c>
      <c r="G4" s="150">
        <f t="shared" si="1"/>
        <v>3183.6240000000003</v>
      </c>
      <c r="H4" s="150">
        <f t="shared" si="1"/>
        <v>3247.2964800000004</v>
      </c>
      <c r="I4" s="150">
        <f t="shared" si="1"/>
        <v>3312.2424096000004</v>
      </c>
      <c r="J4" s="150">
        <f t="shared" si="1"/>
        <v>3378.4872577920005</v>
      </c>
      <c r="K4" s="150">
        <f t="shared" si="1"/>
        <v>3446.0570029478404</v>
      </c>
      <c r="L4" s="150">
        <f t="shared" si="1"/>
        <v>3514.9781430067974</v>
      </c>
      <c r="M4" s="150">
        <f t="shared" si="1"/>
        <v>3585.2777058669335</v>
      </c>
      <c r="N4" s="150">
        <f t="shared" si="1"/>
        <v>3656.9832599842721</v>
      </c>
      <c r="O4" s="150"/>
      <c r="P4" s="148"/>
      <c r="Q4" s="148"/>
      <c r="R4" s="148"/>
    </row>
    <row r="5" spans="1:18" x14ac:dyDescent="0.25">
      <c r="A5" s="149" t="s">
        <v>44</v>
      </c>
      <c r="B5" s="148"/>
      <c r="C5" s="148"/>
      <c r="D5" s="152">
        <f t="shared" ref="D5:N5" si="2">D4/(1+$P$5)</f>
        <v>2307.6923076923076</v>
      </c>
      <c r="E5" s="152">
        <f t="shared" si="2"/>
        <v>2353.8461538461538</v>
      </c>
      <c r="F5" s="152">
        <f t="shared" si="2"/>
        <v>2400.9230769230771</v>
      </c>
      <c r="G5" s="152">
        <f t="shared" si="2"/>
        <v>2448.9415384615386</v>
      </c>
      <c r="H5" s="152">
        <f t="shared" si="2"/>
        <v>2497.9203692307697</v>
      </c>
      <c r="I5" s="152">
        <f t="shared" si="2"/>
        <v>2547.878776615385</v>
      </c>
      <c r="J5" s="152">
        <f t="shared" si="2"/>
        <v>2598.8363521476927</v>
      </c>
      <c r="K5" s="152">
        <f t="shared" si="2"/>
        <v>2650.8130791906465</v>
      </c>
      <c r="L5" s="152">
        <f t="shared" si="2"/>
        <v>2703.8293407744595</v>
      </c>
      <c r="M5" s="152">
        <f t="shared" si="2"/>
        <v>2757.9059275899485</v>
      </c>
      <c r="N5" s="152">
        <f t="shared" si="2"/>
        <v>2813.0640461417474</v>
      </c>
      <c r="O5" s="152"/>
      <c r="P5" s="153">
        <v>0.3</v>
      </c>
      <c r="Q5" s="148" t="s">
        <v>89</v>
      </c>
      <c r="R5" s="148"/>
    </row>
    <row r="6" spans="1:18" x14ac:dyDescent="0.25">
      <c r="A6" s="149" t="s">
        <v>56</v>
      </c>
      <c r="B6" s="148"/>
      <c r="C6" s="148"/>
      <c r="D6" s="150">
        <v>52</v>
      </c>
      <c r="E6" s="150">
        <f t="shared" ref="E6:N6" si="3">D6*(1+$P$3)</f>
        <v>49.4</v>
      </c>
      <c r="F6" s="150">
        <f t="shared" si="3"/>
        <v>46.93</v>
      </c>
      <c r="G6" s="150">
        <f t="shared" si="3"/>
        <v>44.583500000000001</v>
      </c>
      <c r="H6" s="150">
        <f t="shared" si="3"/>
        <v>42.354324999999996</v>
      </c>
      <c r="I6" s="150">
        <f t="shared" si="3"/>
        <v>40.236608749999995</v>
      </c>
      <c r="J6" s="150">
        <f t="shared" si="3"/>
        <v>38.224778312499993</v>
      </c>
      <c r="K6" s="150">
        <f t="shared" si="3"/>
        <v>36.313539396874994</v>
      </c>
      <c r="L6" s="150">
        <f t="shared" si="3"/>
        <v>34.497862427031244</v>
      </c>
      <c r="M6" s="150">
        <f t="shared" si="3"/>
        <v>32.77296930567968</v>
      </c>
      <c r="N6" s="150">
        <f t="shared" si="3"/>
        <v>31.134320840395695</v>
      </c>
      <c r="O6" s="150"/>
      <c r="P6" s="151"/>
      <c r="Q6" s="148"/>
      <c r="R6" s="148"/>
    </row>
    <row r="7" spans="1:18" x14ac:dyDescent="0.25">
      <c r="A7" s="149" t="s">
        <v>52</v>
      </c>
      <c r="B7" s="148"/>
      <c r="C7" s="148"/>
      <c r="D7" s="148">
        <v>1800</v>
      </c>
      <c r="E7" s="154">
        <f t="shared" ref="E7:N7" si="4">D7*(1+$P$10)</f>
        <v>1836</v>
      </c>
      <c r="F7" s="154">
        <f t="shared" si="4"/>
        <v>1872.72</v>
      </c>
      <c r="G7" s="154">
        <f t="shared" si="4"/>
        <v>1910.1744000000001</v>
      </c>
      <c r="H7" s="154">
        <f t="shared" si="4"/>
        <v>1948.3778880000002</v>
      </c>
      <c r="I7" s="154">
        <f t="shared" si="4"/>
        <v>1987.3454457600003</v>
      </c>
      <c r="J7" s="154">
        <f t="shared" si="4"/>
        <v>2027.0923546752003</v>
      </c>
      <c r="K7" s="154">
        <f t="shared" si="4"/>
        <v>2067.6342017687043</v>
      </c>
      <c r="L7" s="154">
        <f t="shared" si="4"/>
        <v>2108.9868858040786</v>
      </c>
      <c r="M7" s="154">
        <f t="shared" si="4"/>
        <v>2151.1666235201601</v>
      </c>
      <c r="N7" s="154">
        <f t="shared" si="4"/>
        <v>2194.1899559905632</v>
      </c>
      <c r="O7" s="154"/>
      <c r="P7" s="151"/>
      <c r="Q7" s="148"/>
      <c r="R7" s="148"/>
    </row>
    <row r="8" spans="1:18" x14ac:dyDescent="0.25">
      <c r="A8" s="148" t="s">
        <v>54</v>
      </c>
      <c r="B8" s="148"/>
      <c r="C8" s="148"/>
      <c r="D8" s="152">
        <f>D7/1.8</f>
        <v>1000</v>
      </c>
      <c r="E8" s="152">
        <f t="shared" ref="E8:N8" si="5">E7/(1+$P$5)</f>
        <v>1412.3076923076922</v>
      </c>
      <c r="F8" s="152">
        <f t="shared" si="5"/>
        <v>1440.5538461538461</v>
      </c>
      <c r="G8" s="152">
        <f t="shared" si="5"/>
        <v>1469.3649230769231</v>
      </c>
      <c r="H8" s="152">
        <f t="shared" si="5"/>
        <v>1498.7522215384618</v>
      </c>
      <c r="I8" s="152">
        <f t="shared" si="5"/>
        <v>1528.727265969231</v>
      </c>
      <c r="J8" s="152">
        <f t="shared" si="5"/>
        <v>1559.3018112886157</v>
      </c>
      <c r="K8" s="152">
        <f t="shared" si="5"/>
        <v>1590.4878475143878</v>
      </c>
      <c r="L8" s="152">
        <f t="shared" si="5"/>
        <v>1622.2976044646757</v>
      </c>
      <c r="M8" s="152">
        <f t="shared" si="5"/>
        <v>1654.7435565539693</v>
      </c>
      <c r="N8" s="152">
        <f t="shared" si="5"/>
        <v>1687.8384276850486</v>
      </c>
      <c r="O8" s="152"/>
      <c r="P8" s="155"/>
      <c r="Q8" s="148"/>
      <c r="R8" s="148"/>
    </row>
    <row r="9" spans="1:18" x14ac:dyDescent="0.25">
      <c r="A9" s="149" t="s">
        <v>57</v>
      </c>
      <c r="B9" s="148"/>
      <c r="C9" s="148"/>
      <c r="D9" s="150">
        <v>360</v>
      </c>
      <c r="E9" s="150">
        <f t="shared" ref="E9:N9" si="6">D9*(1+$P$3)</f>
        <v>342</v>
      </c>
      <c r="F9" s="150">
        <f t="shared" si="6"/>
        <v>324.89999999999998</v>
      </c>
      <c r="G9" s="150">
        <f t="shared" si="6"/>
        <v>308.65499999999997</v>
      </c>
      <c r="H9" s="150">
        <f t="shared" si="6"/>
        <v>293.22224999999997</v>
      </c>
      <c r="I9" s="150">
        <f t="shared" si="6"/>
        <v>278.56113749999997</v>
      </c>
      <c r="J9" s="150">
        <f t="shared" si="6"/>
        <v>264.63308062499993</v>
      </c>
      <c r="K9" s="150">
        <f t="shared" si="6"/>
        <v>251.40142659374993</v>
      </c>
      <c r="L9" s="150">
        <f t="shared" si="6"/>
        <v>238.83135526406244</v>
      </c>
      <c r="M9" s="150">
        <f t="shared" si="6"/>
        <v>226.88978750085931</v>
      </c>
      <c r="N9" s="150">
        <f t="shared" si="6"/>
        <v>215.54529812581634</v>
      </c>
      <c r="O9" s="150"/>
      <c r="P9" s="151"/>
      <c r="Q9" s="148"/>
      <c r="R9" s="148"/>
    </row>
    <row r="10" spans="1:18" x14ac:dyDescent="0.25">
      <c r="A10" s="149" t="s">
        <v>53</v>
      </c>
      <c r="B10" s="148"/>
      <c r="C10" s="148"/>
      <c r="D10" s="148">
        <v>70</v>
      </c>
      <c r="E10" s="154">
        <f t="shared" ref="E10:N10" si="7">D10*(1+$P$10)</f>
        <v>71.400000000000006</v>
      </c>
      <c r="F10" s="154">
        <f t="shared" si="7"/>
        <v>72.828000000000003</v>
      </c>
      <c r="G10" s="154">
        <f t="shared" si="7"/>
        <v>74.284559999999999</v>
      </c>
      <c r="H10" s="154">
        <f t="shared" si="7"/>
        <v>75.770251200000004</v>
      </c>
      <c r="I10" s="154">
        <f t="shared" si="7"/>
        <v>77.285656224000007</v>
      </c>
      <c r="J10" s="154">
        <f t="shared" si="7"/>
        <v>78.83136934848001</v>
      </c>
      <c r="K10" s="154">
        <f t="shared" si="7"/>
        <v>80.407996735449615</v>
      </c>
      <c r="L10" s="154">
        <f t="shared" si="7"/>
        <v>82.016156670158608</v>
      </c>
      <c r="M10" s="154">
        <f t="shared" si="7"/>
        <v>83.65647980356178</v>
      </c>
      <c r="N10" s="154">
        <f t="shared" si="7"/>
        <v>85.329609399633014</v>
      </c>
      <c r="O10" s="154"/>
      <c r="P10" s="155">
        <v>0.02</v>
      </c>
      <c r="Q10" s="148" t="s">
        <v>87</v>
      </c>
      <c r="R10" s="148"/>
    </row>
    <row r="11" spans="1:18" x14ac:dyDescent="0.25">
      <c r="A11" s="148" t="s">
        <v>55</v>
      </c>
      <c r="B11" s="148"/>
      <c r="C11" s="148"/>
      <c r="D11" s="152">
        <f t="shared" ref="D11:N11" si="8">D10/(1+$P$11)</f>
        <v>53.846153846153847</v>
      </c>
      <c r="E11" s="152">
        <f t="shared" si="8"/>
        <v>54.923076923076927</v>
      </c>
      <c r="F11" s="152">
        <f t="shared" si="8"/>
        <v>56.021538461538462</v>
      </c>
      <c r="G11" s="152">
        <f t="shared" si="8"/>
        <v>57.141969230769227</v>
      </c>
      <c r="H11" s="152">
        <f t="shared" si="8"/>
        <v>58.28480861538462</v>
      </c>
      <c r="I11" s="152">
        <f t="shared" si="8"/>
        <v>59.45050478769231</v>
      </c>
      <c r="J11" s="152">
        <f t="shared" si="8"/>
        <v>60.639514883446161</v>
      </c>
      <c r="K11" s="152">
        <f t="shared" si="8"/>
        <v>61.852305181115085</v>
      </c>
      <c r="L11" s="152">
        <f t="shared" si="8"/>
        <v>63.08935128473739</v>
      </c>
      <c r="M11" s="152">
        <f t="shared" si="8"/>
        <v>64.351138310432134</v>
      </c>
      <c r="N11" s="152">
        <f t="shared" si="8"/>
        <v>65.638161076640785</v>
      </c>
      <c r="O11" s="152"/>
      <c r="P11" s="156">
        <v>0.3</v>
      </c>
      <c r="Q11" s="148" t="s">
        <v>90</v>
      </c>
      <c r="R11" s="148"/>
    </row>
    <row r="12" spans="1:18" x14ac:dyDescent="0.25">
      <c r="A12" s="148" t="s">
        <v>130</v>
      </c>
      <c r="B12" s="148"/>
      <c r="C12" s="148"/>
      <c r="D12" s="152">
        <v>3000</v>
      </c>
      <c r="E12" s="152">
        <f>D12</f>
        <v>3000</v>
      </c>
      <c r="F12" s="152">
        <f t="shared" ref="F12:K13" si="9">E12</f>
        <v>3000</v>
      </c>
      <c r="G12" s="152">
        <f t="shared" si="9"/>
        <v>3000</v>
      </c>
      <c r="H12" s="152">
        <f t="shared" si="9"/>
        <v>3000</v>
      </c>
      <c r="I12" s="152">
        <f t="shared" si="9"/>
        <v>3000</v>
      </c>
      <c r="J12" s="152">
        <f t="shared" si="9"/>
        <v>3000</v>
      </c>
      <c r="K12" s="152">
        <f t="shared" si="9"/>
        <v>3000</v>
      </c>
      <c r="L12" s="152">
        <f>K12</f>
        <v>3000</v>
      </c>
      <c r="M12" s="152">
        <f t="shared" ref="M12:N13" si="10">L12</f>
        <v>3000</v>
      </c>
      <c r="N12" s="152">
        <f t="shared" si="10"/>
        <v>3000</v>
      </c>
      <c r="O12" s="152"/>
      <c r="P12" s="156"/>
      <c r="Q12" s="148"/>
      <c r="R12" s="148"/>
    </row>
    <row r="13" spans="1:18" x14ac:dyDescent="0.25">
      <c r="A13" s="148" t="s">
        <v>131</v>
      </c>
      <c r="B13" s="148"/>
      <c r="C13" s="148"/>
      <c r="D13" s="157">
        <v>50</v>
      </c>
      <c r="E13" s="157">
        <f>D13</f>
        <v>50</v>
      </c>
      <c r="F13" s="157">
        <f t="shared" si="9"/>
        <v>50</v>
      </c>
      <c r="G13" s="157">
        <f t="shared" si="9"/>
        <v>50</v>
      </c>
      <c r="H13" s="157">
        <f t="shared" si="9"/>
        <v>50</v>
      </c>
      <c r="I13" s="157">
        <v>55</v>
      </c>
      <c r="J13" s="157">
        <f t="shared" si="9"/>
        <v>55</v>
      </c>
      <c r="K13" s="157">
        <f t="shared" si="9"/>
        <v>55</v>
      </c>
      <c r="L13" s="157">
        <f>K13</f>
        <v>55</v>
      </c>
      <c r="M13" s="157">
        <f t="shared" si="10"/>
        <v>55</v>
      </c>
      <c r="N13" s="157">
        <f t="shared" si="10"/>
        <v>55</v>
      </c>
      <c r="O13" s="157"/>
      <c r="P13" s="156"/>
      <c r="Q13" s="148"/>
      <c r="R13" s="148"/>
    </row>
    <row r="14" spans="1:18" x14ac:dyDescent="0.25">
      <c r="A14" s="148" t="s">
        <v>132</v>
      </c>
      <c r="B14" s="148"/>
      <c r="C14" s="148"/>
      <c r="D14" s="157">
        <f>D12*D13</f>
        <v>150000</v>
      </c>
      <c r="E14" s="157">
        <f t="shared" ref="E14:N14" si="11">E12*E13</f>
        <v>150000</v>
      </c>
      <c r="F14" s="157">
        <f t="shared" si="11"/>
        <v>150000</v>
      </c>
      <c r="G14" s="157">
        <f t="shared" si="11"/>
        <v>150000</v>
      </c>
      <c r="H14" s="157">
        <f t="shared" si="11"/>
        <v>150000</v>
      </c>
      <c r="I14" s="157">
        <f t="shared" si="11"/>
        <v>165000</v>
      </c>
      <c r="J14" s="157">
        <f t="shared" si="11"/>
        <v>165000</v>
      </c>
      <c r="K14" s="157">
        <f t="shared" si="11"/>
        <v>165000</v>
      </c>
      <c r="L14" s="157">
        <f t="shared" si="11"/>
        <v>165000</v>
      </c>
      <c r="M14" s="157">
        <f t="shared" si="11"/>
        <v>165000</v>
      </c>
      <c r="N14" s="157">
        <f t="shared" si="11"/>
        <v>165000</v>
      </c>
      <c r="O14" s="157"/>
      <c r="P14" s="155"/>
      <c r="Q14" s="148"/>
      <c r="R14" s="148"/>
    </row>
    <row r="15" spans="1:18" x14ac:dyDescent="0.25">
      <c r="A15" s="148" t="s">
        <v>24</v>
      </c>
      <c r="B15" s="148"/>
      <c r="C15" s="148"/>
      <c r="D15" s="148">
        <v>15000</v>
      </c>
      <c r="E15" s="148">
        <v>1500</v>
      </c>
      <c r="F15" s="148">
        <v>1500</v>
      </c>
      <c r="G15" s="148">
        <v>1500</v>
      </c>
      <c r="H15" s="148">
        <v>1500</v>
      </c>
      <c r="I15" s="148">
        <v>1500</v>
      </c>
      <c r="J15" s="148">
        <v>1500</v>
      </c>
      <c r="K15" s="148">
        <v>1500</v>
      </c>
      <c r="L15" s="148">
        <v>1500</v>
      </c>
      <c r="M15" s="148">
        <v>1500</v>
      </c>
      <c r="N15" s="148">
        <v>1500</v>
      </c>
      <c r="O15" s="148"/>
      <c r="P15" s="155"/>
      <c r="Q15" s="148"/>
      <c r="R15" s="148"/>
    </row>
    <row r="16" spans="1:18" x14ac:dyDescent="0.25">
      <c r="A16" s="148"/>
      <c r="B16" s="148" t="s">
        <v>145</v>
      </c>
      <c r="C16" s="158">
        <v>2E-3</v>
      </c>
      <c r="D16" s="159">
        <f>SUM(D14:D15)*C16</f>
        <v>330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55"/>
      <c r="Q16" s="148"/>
      <c r="R16" s="148"/>
    </row>
    <row r="17" spans="1:18" x14ac:dyDescent="0.25">
      <c r="A17" s="148"/>
      <c r="B17" s="148" t="s">
        <v>142</v>
      </c>
      <c r="C17" s="148">
        <v>12</v>
      </c>
      <c r="D17" s="159">
        <f>D16*C17</f>
        <v>3960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55"/>
      <c r="Q17" s="148"/>
      <c r="R17" s="148"/>
    </row>
    <row r="18" spans="1:18" x14ac:dyDescent="0.25">
      <c r="A18" s="148"/>
      <c r="B18" s="148"/>
      <c r="C18" s="148"/>
      <c r="D18" s="159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55"/>
      <c r="Q18" s="148"/>
      <c r="R18" s="148"/>
    </row>
    <row r="19" spans="1:18" x14ac:dyDescent="0.25">
      <c r="A19" s="148" t="s">
        <v>45</v>
      </c>
      <c r="B19" s="148"/>
      <c r="C19" s="148"/>
      <c r="D19" s="148">
        <v>120</v>
      </c>
      <c r="E19" s="148">
        <f t="shared" ref="E19:N19" si="12">D19*(1+$P$19)</f>
        <v>130.80000000000001</v>
      </c>
      <c r="F19" s="154">
        <f t="shared" si="12"/>
        <v>142.57200000000003</v>
      </c>
      <c r="G19" s="154">
        <f t="shared" si="12"/>
        <v>155.40348000000006</v>
      </c>
      <c r="H19" s="154">
        <f t="shared" si="12"/>
        <v>169.38979320000007</v>
      </c>
      <c r="I19" s="154">
        <f t="shared" si="12"/>
        <v>184.63487458800009</v>
      </c>
      <c r="J19" s="154">
        <f t="shared" si="12"/>
        <v>201.25201330092011</v>
      </c>
      <c r="K19" s="154">
        <f t="shared" si="12"/>
        <v>219.36469449800293</v>
      </c>
      <c r="L19" s="154">
        <f t="shared" si="12"/>
        <v>239.10751700282322</v>
      </c>
      <c r="M19" s="154">
        <f t="shared" si="12"/>
        <v>260.62719353307733</v>
      </c>
      <c r="N19" s="154">
        <f t="shared" si="12"/>
        <v>284.08364095105429</v>
      </c>
      <c r="O19" s="154"/>
      <c r="P19" s="151">
        <v>0.09</v>
      </c>
      <c r="Q19" s="148"/>
      <c r="R19" s="148"/>
    </row>
    <row r="20" spans="1:18" x14ac:dyDescent="0.25">
      <c r="A20" s="148" t="s">
        <v>46</v>
      </c>
      <c r="B20" s="148"/>
      <c r="C20" s="148"/>
      <c r="D20" s="148">
        <v>180</v>
      </c>
      <c r="E20" s="154">
        <f t="shared" ref="E20:N20" si="13">D20*(1+$P$3)</f>
        <v>171</v>
      </c>
      <c r="F20" s="154">
        <f t="shared" si="13"/>
        <v>162.44999999999999</v>
      </c>
      <c r="G20" s="154">
        <f t="shared" si="13"/>
        <v>154.32749999999999</v>
      </c>
      <c r="H20" s="154">
        <f t="shared" si="13"/>
        <v>146.61112499999999</v>
      </c>
      <c r="I20" s="154">
        <f t="shared" si="13"/>
        <v>139.28056874999999</v>
      </c>
      <c r="J20" s="154">
        <f t="shared" si="13"/>
        <v>132.31654031249997</v>
      </c>
      <c r="K20" s="154">
        <f t="shared" si="13"/>
        <v>125.70071329687497</v>
      </c>
      <c r="L20" s="154">
        <f t="shared" si="13"/>
        <v>119.41567763203122</v>
      </c>
      <c r="M20" s="154">
        <f t="shared" si="13"/>
        <v>113.44489375042966</v>
      </c>
      <c r="N20" s="154">
        <f t="shared" si="13"/>
        <v>107.77264906290817</v>
      </c>
      <c r="O20" s="154"/>
      <c r="P20" s="151"/>
      <c r="Q20" s="148"/>
      <c r="R20" s="148"/>
    </row>
    <row r="21" spans="1:18" x14ac:dyDescent="0.25">
      <c r="A21" s="148" t="s">
        <v>86</v>
      </c>
      <c r="B21" s="148"/>
      <c r="C21" s="148"/>
      <c r="D21" s="148">
        <v>40</v>
      </c>
      <c r="E21" s="148">
        <v>40</v>
      </c>
      <c r="F21" s="148">
        <v>40</v>
      </c>
      <c r="G21" s="148">
        <v>40</v>
      </c>
      <c r="H21" s="148">
        <v>40</v>
      </c>
      <c r="I21" s="148">
        <v>40</v>
      </c>
      <c r="J21" s="148">
        <v>40</v>
      </c>
      <c r="K21" s="148">
        <v>40</v>
      </c>
      <c r="L21" s="148">
        <v>40</v>
      </c>
      <c r="M21" s="148">
        <v>40</v>
      </c>
      <c r="N21" s="148">
        <v>40</v>
      </c>
      <c r="O21" s="148"/>
      <c r="P21" s="148"/>
      <c r="Q21" s="148"/>
      <c r="R21" s="148"/>
    </row>
    <row r="22" spans="1:18" x14ac:dyDescent="0.25">
      <c r="A22" s="148" t="s">
        <v>47</v>
      </c>
      <c r="B22" s="148"/>
      <c r="C22" s="148"/>
      <c r="D22" s="148">
        <v>90</v>
      </c>
      <c r="E22" s="148">
        <v>90</v>
      </c>
      <c r="F22" s="148">
        <v>90</v>
      </c>
      <c r="G22" s="148">
        <v>90</v>
      </c>
      <c r="H22" s="148">
        <v>90</v>
      </c>
      <c r="I22" s="148">
        <v>90</v>
      </c>
      <c r="J22" s="148">
        <v>90</v>
      </c>
      <c r="K22" s="148">
        <v>90</v>
      </c>
      <c r="L22" s="148">
        <v>90</v>
      </c>
      <c r="M22" s="148">
        <v>90</v>
      </c>
      <c r="N22" s="148">
        <v>90</v>
      </c>
      <c r="O22" s="148"/>
      <c r="P22" s="148"/>
      <c r="Q22" s="148"/>
      <c r="R22" s="148"/>
    </row>
    <row r="23" spans="1:18" x14ac:dyDescent="0.2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</row>
    <row r="24" spans="1:18" x14ac:dyDescent="0.25">
      <c r="A24" s="148" t="s">
        <v>136</v>
      </c>
      <c r="B24" s="148"/>
      <c r="C24" s="148"/>
      <c r="D24" s="148">
        <v>1000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1:18" x14ac:dyDescent="0.25">
      <c r="A25" s="148" t="s">
        <v>137</v>
      </c>
      <c r="B25" s="148"/>
      <c r="C25" s="148"/>
      <c r="D25" s="148">
        <v>75000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1:18" x14ac:dyDescent="0.25">
      <c r="A26" s="148" t="s">
        <v>138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x14ac:dyDescent="0.25">
      <c r="A27" s="148" t="s">
        <v>143</v>
      </c>
      <c r="B27" s="148"/>
      <c r="C27" s="148" t="s">
        <v>141</v>
      </c>
      <c r="D27" s="148" t="s">
        <v>144</v>
      </c>
      <c r="E27" s="148" t="s">
        <v>36</v>
      </c>
      <c r="F27" s="148" t="s">
        <v>142</v>
      </c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1:18" x14ac:dyDescent="0.25">
      <c r="A28" s="148">
        <v>1</v>
      </c>
      <c r="B28" s="148" t="s">
        <v>139</v>
      </c>
      <c r="C28" s="148">
        <v>50</v>
      </c>
      <c r="D28" s="148">
        <v>52</v>
      </c>
      <c r="E28" s="157">
        <f>F28/(D28*C28*A28)</f>
        <v>14.923076923076923</v>
      </c>
      <c r="F28" s="159">
        <f>70000-F29</f>
        <v>38800</v>
      </c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</row>
    <row r="29" spans="1:18" x14ac:dyDescent="0.25">
      <c r="A29" s="148">
        <v>2</v>
      </c>
      <c r="B29" s="148" t="s">
        <v>140</v>
      </c>
      <c r="C29" s="148">
        <v>30</v>
      </c>
      <c r="D29" s="148">
        <v>52</v>
      </c>
      <c r="E29" s="157">
        <v>10</v>
      </c>
      <c r="F29" s="157">
        <f>A29*C29*D29*E29</f>
        <v>31200</v>
      </c>
      <c r="G29" s="160"/>
      <c r="H29" s="153"/>
      <c r="I29" s="148"/>
      <c r="J29" s="148"/>
      <c r="K29" s="148"/>
      <c r="L29" s="148"/>
      <c r="M29" s="148"/>
      <c r="N29" s="148"/>
      <c r="O29" s="148"/>
      <c r="P29" s="148"/>
      <c r="Q29" s="148"/>
      <c r="R29" s="148"/>
    </row>
    <row r="31" spans="1:18" x14ac:dyDescent="0.25">
      <c r="B31" s="1" t="s">
        <v>164</v>
      </c>
      <c r="D31" s="1">
        <f>D50/SUM(D53:D54)</f>
        <v>-1.8173619690347625E-2</v>
      </c>
      <c r="E31" s="1">
        <f t="shared" ref="E31:N31" si="14">E50/SUM(E53:E54)</f>
        <v>-1.11589332975275</v>
      </c>
      <c r="F31" s="1">
        <f t="shared" si="14"/>
        <v>-0.86290842952301705</v>
      </c>
      <c r="G31" s="1">
        <f t="shared" si="14"/>
        <v>-0.68281930258487944</v>
      </c>
      <c r="H31" s="1">
        <f t="shared" si="14"/>
        <v>-0.54971407232254244</v>
      </c>
      <c r="I31" s="1">
        <f t="shared" si="14"/>
        <v>-0.42899974839613303</v>
      </c>
      <c r="J31" s="1">
        <f t="shared" si="14"/>
        <v>-0.35463627710555351</v>
      </c>
      <c r="K31" s="1">
        <f t="shared" si="14"/>
        <v>-0.29558778230329685</v>
      </c>
      <c r="L31" s="1">
        <f t="shared" si="14"/>
        <v>-0.24806747948039498</v>
      </c>
      <c r="M31" s="1">
        <f>M50/SUM(M53:M54)</f>
        <v>-0.20939773712498014</v>
      </c>
      <c r="N31" s="1">
        <f t="shared" si="14"/>
        <v>-0.17763561920190993</v>
      </c>
    </row>
    <row r="32" spans="1:18" x14ac:dyDescent="0.25">
      <c r="B32" s="1" t="s">
        <v>165</v>
      </c>
      <c r="D32" s="142">
        <f>D71/SUM(D77:D78)</f>
        <v>1.4573865458280366</v>
      </c>
      <c r="E32" s="142">
        <f t="shared" ref="E32:N32" si="15">E71/SUM(E77:E78)</f>
        <v>1.2114335062958375</v>
      </c>
      <c r="F32" s="142">
        <f t="shared" si="15"/>
        <v>1.004291420736785</v>
      </c>
      <c r="G32" s="142">
        <f t="shared" si="15"/>
        <v>0.8371957347965906</v>
      </c>
      <c r="H32" s="142">
        <f t="shared" si="15"/>
        <v>0.70148183888214466</v>
      </c>
      <c r="I32" s="142">
        <f t="shared" si="15"/>
        <v>0.60143158950408371</v>
      </c>
      <c r="J32" s="142">
        <f t="shared" si="15"/>
        <v>0.50978906039065008</v>
      </c>
      <c r="K32" s="142">
        <f>K71/SUM(K77:K78)</f>
        <v>0.43387617187613686</v>
      </c>
      <c r="L32" s="142">
        <f t="shared" si="15"/>
        <v>0.37071097204847736</v>
      </c>
      <c r="M32" s="142">
        <f t="shared" si="15"/>
        <v>0.31793575040931771</v>
      </c>
      <c r="N32" s="142">
        <f t="shared" si="15"/>
        <v>0.27367280678790074</v>
      </c>
    </row>
    <row r="34" spans="1:16" s="3" customFormat="1" x14ac:dyDescent="0.25">
      <c r="A34" s="2" t="s">
        <v>91</v>
      </c>
    </row>
    <row r="35" spans="1:16" x14ac:dyDescent="0.25">
      <c r="A35" s="4" t="s">
        <v>0</v>
      </c>
    </row>
    <row r="36" spans="1:16" x14ac:dyDescent="0.25">
      <c r="A36" s="58"/>
      <c r="B36" s="58"/>
      <c r="C36" s="58"/>
      <c r="D36" s="58">
        <v>2014</v>
      </c>
      <c r="E36" s="58">
        <v>2015</v>
      </c>
      <c r="F36" s="58">
        <v>2016</v>
      </c>
      <c r="G36" s="58">
        <v>2017</v>
      </c>
      <c r="H36" s="58">
        <v>2018</v>
      </c>
      <c r="I36" s="58">
        <v>2019</v>
      </c>
      <c r="J36" s="58">
        <v>2020</v>
      </c>
      <c r="K36" s="58">
        <v>2021</v>
      </c>
      <c r="L36" s="58">
        <v>2022</v>
      </c>
      <c r="M36" s="58">
        <v>2023</v>
      </c>
      <c r="N36" s="58">
        <v>2024</v>
      </c>
      <c r="O36" s="58"/>
    </row>
    <row r="37" spans="1:16" x14ac:dyDescent="0.25">
      <c r="A37" s="59" t="s">
        <v>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6" x14ac:dyDescent="0.25">
      <c r="A38" s="60" t="s">
        <v>19</v>
      </c>
      <c r="B38" s="58"/>
      <c r="C38" s="58"/>
      <c r="D38" s="61">
        <f t="shared" ref="D38:N38" si="16">D3*D4</f>
        <v>114000</v>
      </c>
      <c r="E38" s="61">
        <f t="shared" si="16"/>
        <v>110466</v>
      </c>
      <c r="F38" s="61">
        <f t="shared" si="16"/>
        <v>107041.55400000002</v>
      </c>
      <c r="G38" s="61">
        <f t="shared" si="16"/>
        <v>103723.265826</v>
      </c>
      <c r="H38" s="61">
        <f t="shared" si="16"/>
        <v>100507.84458539401</v>
      </c>
      <c r="I38" s="61">
        <f t="shared" si="16"/>
        <v>97392.101403246794</v>
      </c>
      <c r="J38" s="61">
        <f t="shared" si="16"/>
        <v>94372.946259746139</v>
      </c>
      <c r="K38" s="61">
        <f t="shared" si="16"/>
        <v>91447.384925694001</v>
      </c>
      <c r="L38" s="61">
        <f t="shared" si="16"/>
        <v>88612.515992997491</v>
      </c>
      <c r="M38" s="61">
        <f t="shared" si="16"/>
        <v>85865.527997214565</v>
      </c>
      <c r="N38" s="61">
        <f t="shared" si="16"/>
        <v>83203.696629300903</v>
      </c>
      <c r="O38" s="61"/>
    </row>
    <row r="39" spans="1:16" x14ac:dyDescent="0.25">
      <c r="A39" s="60" t="s">
        <v>50</v>
      </c>
      <c r="B39" s="58"/>
      <c r="C39" s="58"/>
      <c r="D39" s="61">
        <f t="shared" ref="D39:N39" si="17">D6*D7</f>
        <v>93600</v>
      </c>
      <c r="E39" s="61">
        <f t="shared" si="17"/>
        <v>90698.4</v>
      </c>
      <c r="F39" s="61">
        <f t="shared" si="17"/>
        <v>87886.749599999996</v>
      </c>
      <c r="G39" s="61">
        <f t="shared" si="17"/>
        <v>85162.260362400004</v>
      </c>
      <c r="H39" s="61">
        <f t="shared" si="17"/>
        <v>82522.230291165601</v>
      </c>
      <c r="I39" s="61">
        <f t="shared" si="17"/>
        <v>79964.041152139471</v>
      </c>
      <c r="J39" s="61">
        <f t="shared" si="17"/>
        <v>77485.155876423145</v>
      </c>
      <c r="K39" s="61">
        <f t="shared" si="17"/>
        <v>75083.116044254028</v>
      </c>
      <c r="L39" s="61">
        <f t="shared" si="17"/>
        <v>72755.539446882161</v>
      </c>
      <c r="M39" s="61">
        <f t="shared" si="17"/>
        <v>70500.117724028809</v>
      </c>
      <c r="N39" s="61">
        <f t="shared" si="17"/>
        <v>68314.614074583907</v>
      </c>
      <c r="O39" s="61"/>
    </row>
    <row r="40" spans="1:16" x14ac:dyDescent="0.25">
      <c r="A40" s="60" t="s">
        <v>51</v>
      </c>
      <c r="B40" s="58"/>
      <c r="C40" s="58"/>
      <c r="D40" s="61">
        <f t="shared" ref="D40:N40" si="18">D9*D10</f>
        <v>25200</v>
      </c>
      <c r="E40" s="61">
        <f t="shared" si="18"/>
        <v>24418.800000000003</v>
      </c>
      <c r="F40" s="61">
        <f t="shared" si="18"/>
        <v>23661.817199999998</v>
      </c>
      <c r="G40" s="61">
        <f t="shared" si="18"/>
        <v>22928.300866799997</v>
      </c>
      <c r="H40" s="61">
        <f t="shared" si="18"/>
        <v>22217.5235399292</v>
      </c>
      <c r="I40" s="61">
        <f t="shared" si="18"/>
        <v>21528.780310191396</v>
      </c>
      <c r="J40" s="61">
        <f t="shared" si="18"/>
        <v>20861.388120575459</v>
      </c>
      <c r="K40" s="61">
        <f t="shared" si="18"/>
        <v>20214.685088837621</v>
      </c>
      <c r="L40" s="61">
        <f t="shared" si="18"/>
        <v>19588.029851083655</v>
      </c>
      <c r="M40" s="61">
        <f t="shared" si="18"/>
        <v>18980.800925700059</v>
      </c>
      <c r="N40" s="61">
        <f t="shared" si="18"/>
        <v>18392.396097003359</v>
      </c>
      <c r="O40" s="61"/>
    </row>
    <row r="41" spans="1:16" x14ac:dyDescent="0.25">
      <c r="A41" s="60"/>
      <c r="B41" s="58"/>
      <c r="C41" s="5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6" x14ac:dyDescent="0.25">
      <c r="A42" s="58" t="s">
        <v>18</v>
      </c>
      <c r="B42" s="58"/>
      <c r="C42" s="58"/>
      <c r="D42" s="61">
        <f t="shared" ref="D42:N42" si="19">D3*D5</f>
        <v>87692.307692307688</v>
      </c>
      <c r="E42" s="61">
        <f t="shared" si="19"/>
        <v>84973.846153846156</v>
      </c>
      <c r="F42" s="61">
        <f t="shared" si="19"/>
        <v>82339.656923076938</v>
      </c>
      <c r="G42" s="61">
        <f t="shared" si="19"/>
        <v>79787.127558461536</v>
      </c>
      <c r="H42" s="61">
        <f t="shared" si="19"/>
        <v>77313.72660414924</v>
      </c>
      <c r="I42" s="61">
        <f t="shared" si="19"/>
        <v>74917.001079420617</v>
      </c>
      <c r="J42" s="61">
        <f t="shared" si="19"/>
        <v>72594.574045958565</v>
      </c>
      <c r="K42" s="61">
        <f t="shared" si="19"/>
        <v>70344.142250533856</v>
      </c>
      <c r="L42" s="61">
        <f t="shared" si="19"/>
        <v>68163.473840767299</v>
      </c>
      <c r="M42" s="61">
        <f t="shared" si="19"/>
        <v>66050.406151703501</v>
      </c>
      <c r="N42" s="61">
        <f t="shared" si="19"/>
        <v>64002.843561000693</v>
      </c>
      <c r="O42" s="61"/>
    </row>
    <row r="43" spans="1:16" x14ac:dyDescent="0.25">
      <c r="A43" s="58" t="s">
        <v>59</v>
      </c>
      <c r="B43" s="58"/>
      <c r="C43" s="58"/>
      <c r="D43" s="61">
        <f t="shared" ref="D43:N43" si="20">D6*D8</f>
        <v>52000</v>
      </c>
      <c r="E43" s="61">
        <f t="shared" si="20"/>
        <v>69767.999999999985</v>
      </c>
      <c r="F43" s="61">
        <f t="shared" si="20"/>
        <v>67605.191999999995</v>
      </c>
      <c r="G43" s="61">
        <f t="shared" si="20"/>
        <v>65509.431048000006</v>
      </c>
      <c r="H43" s="61">
        <f t="shared" si="20"/>
        <v>63478.638685512</v>
      </c>
      <c r="I43" s="61">
        <f t="shared" si="20"/>
        <v>61510.800886261131</v>
      </c>
      <c r="J43" s="61">
        <f t="shared" si="20"/>
        <v>59603.966058787031</v>
      </c>
      <c r="K43" s="61">
        <f t="shared" si="20"/>
        <v>57756.243110964628</v>
      </c>
      <c r="L43" s="61">
        <f t="shared" si="20"/>
        <v>55965.799574524732</v>
      </c>
      <c r="M43" s="61">
        <f t="shared" si="20"/>
        <v>54230.859787714464</v>
      </c>
      <c r="N43" s="61">
        <f t="shared" si="20"/>
        <v>52549.703134295312</v>
      </c>
      <c r="O43" s="61"/>
    </row>
    <row r="44" spans="1:16" x14ac:dyDescent="0.25">
      <c r="A44" s="58" t="s">
        <v>60</v>
      </c>
      <c r="B44" s="58"/>
      <c r="C44" s="58"/>
      <c r="D44" s="61">
        <f t="shared" ref="D44:N44" si="21">D9*D11</f>
        <v>19384.615384615387</v>
      </c>
      <c r="E44" s="61">
        <f t="shared" si="21"/>
        <v>18783.692307692309</v>
      </c>
      <c r="F44" s="61">
        <f t="shared" si="21"/>
        <v>18201.397846153846</v>
      </c>
      <c r="G44" s="61">
        <f t="shared" si="21"/>
        <v>17637.154512923073</v>
      </c>
      <c r="H44" s="61">
        <f t="shared" si="21"/>
        <v>17090.40272302246</v>
      </c>
      <c r="I44" s="61">
        <f t="shared" si="21"/>
        <v>16560.600238608764</v>
      </c>
      <c r="J44" s="61">
        <f t="shared" si="21"/>
        <v>16047.221631211891</v>
      </c>
      <c r="K44" s="61">
        <f t="shared" si="21"/>
        <v>15549.757760644323</v>
      </c>
      <c r="L44" s="61">
        <f t="shared" si="21"/>
        <v>15067.715270064349</v>
      </c>
      <c r="M44" s="61">
        <f t="shared" si="21"/>
        <v>14600.616096692354</v>
      </c>
      <c r="N44" s="61">
        <f t="shared" si="21"/>
        <v>14147.996997694892</v>
      </c>
      <c r="O44" s="61"/>
    </row>
    <row r="45" spans="1:16" x14ac:dyDescent="0.25">
      <c r="A45" s="60"/>
      <c r="B45" s="58"/>
      <c r="C45" s="5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6" x14ac:dyDescent="0.25">
      <c r="A46" s="58" t="s">
        <v>2</v>
      </c>
      <c r="B46" s="58"/>
      <c r="C46" s="5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6" x14ac:dyDescent="0.25">
      <c r="A47" s="58"/>
      <c r="B47" s="58" t="s">
        <v>17</v>
      </c>
      <c r="C47" s="58"/>
      <c r="D47" s="61">
        <f>SUM(F28:F29)</f>
        <v>70000</v>
      </c>
      <c r="E47" s="62">
        <f t="shared" ref="E47:N47" si="22">SUM(E38:E40)*$P$47</f>
        <v>67830</v>
      </c>
      <c r="F47" s="62">
        <f t="shared" si="22"/>
        <v>65727.27</v>
      </c>
      <c r="G47" s="62">
        <f t="shared" si="22"/>
        <v>63689.724629999997</v>
      </c>
      <c r="H47" s="62">
        <f t="shared" si="22"/>
        <v>61715.343166469997</v>
      </c>
      <c r="I47" s="62">
        <f t="shared" si="22"/>
        <v>59802.16752830943</v>
      </c>
      <c r="J47" s="62">
        <f t="shared" si="22"/>
        <v>57948.300334931831</v>
      </c>
      <c r="K47" s="62">
        <f t="shared" si="22"/>
        <v>56151.903024548948</v>
      </c>
      <c r="L47" s="62">
        <f t="shared" si="22"/>
        <v>54411.194030787927</v>
      </c>
      <c r="M47" s="62">
        <f t="shared" si="22"/>
        <v>52724.447015833503</v>
      </c>
      <c r="N47" s="62">
        <f t="shared" si="22"/>
        <v>51089.989158342665</v>
      </c>
      <c r="O47" s="62"/>
      <c r="P47" s="15">
        <f>D47/SUM(D38:D40)</f>
        <v>0.30068728522336768</v>
      </c>
    </row>
    <row r="48" spans="1:16" x14ac:dyDescent="0.25">
      <c r="A48" s="58"/>
      <c r="B48" s="58" t="s">
        <v>85</v>
      </c>
      <c r="C48" s="58"/>
      <c r="D48" s="61">
        <f>D17</f>
        <v>3960</v>
      </c>
      <c r="E48" s="61">
        <f t="shared" ref="E48:N48" si="23">D48*(1+$P$10)</f>
        <v>4039.2000000000003</v>
      </c>
      <c r="F48" s="61">
        <f t="shared" si="23"/>
        <v>4119.9840000000004</v>
      </c>
      <c r="G48" s="61">
        <f t="shared" si="23"/>
        <v>4202.3836800000008</v>
      </c>
      <c r="H48" s="61">
        <f t="shared" si="23"/>
        <v>4286.4313536000009</v>
      </c>
      <c r="I48" s="61">
        <f t="shared" si="23"/>
        <v>4372.1599806720005</v>
      </c>
      <c r="J48" s="61">
        <f t="shared" si="23"/>
        <v>4459.6031802854404</v>
      </c>
      <c r="K48" s="61">
        <f t="shared" si="23"/>
        <v>4548.7952438911498</v>
      </c>
      <c r="L48" s="61">
        <f t="shared" si="23"/>
        <v>4639.771148768973</v>
      </c>
      <c r="M48" s="61">
        <f t="shared" si="23"/>
        <v>4732.5665717443526</v>
      </c>
      <c r="N48" s="61">
        <f t="shared" si="23"/>
        <v>4827.2179031792393</v>
      </c>
      <c r="O48" s="61"/>
      <c r="P48" s="15">
        <v>0.3</v>
      </c>
    </row>
    <row r="49" spans="1:33" x14ac:dyDescent="0.25">
      <c r="A49" s="58"/>
      <c r="B49" s="58"/>
      <c r="C49" s="5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33" x14ac:dyDescent="0.25">
      <c r="A50" s="58" t="s">
        <v>107</v>
      </c>
      <c r="B50" s="58"/>
      <c r="C50" s="58"/>
      <c r="D50" s="61">
        <f>SUM(D38:D40)-SUM(D42:D48)</f>
        <v>-236.92307692306349</v>
      </c>
      <c r="E50" s="61">
        <f t="shared" ref="E50:N50" si="24">SUM(E38:E40)-SUM(E42:E48)</f>
        <v>-19811.538461538439</v>
      </c>
      <c r="F50" s="61">
        <f t="shared" si="24"/>
        <v>-19403.379969230766</v>
      </c>
      <c r="G50" s="61">
        <f t="shared" si="24"/>
        <v>-19011.994374184607</v>
      </c>
      <c r="H50" s="61">
        <f t="shared" si="24"/>
        <v>-18636.944116264931</v>
      </c>
      <c r="I50" s="61">
        <f t="shared" si="24"/>
        <v>-18277.806847694272</v>
      </c>
      <c r="J50" s="61">
        <f t="shared" si="24"/>
        <v>-17934.174994430039</v>
      </c>
      <c r="K50" s="61">
        <f t="shared" si="24"/>
        <v>-17605.655331797287</v>
      </c>
      <c r="L50" s="61">
        <f t="shared" si="24"/>
        <v>-17291.868573949992</v>
      </c>
      <c r="M50" s="61">
        <f t="shared" si="24"/>
        <v>-16992.448976744781</v>
      </c>
      <c r="N50" s="61">
        <f t="shared" si="24"/>
        <v>-16707.043953624612</v>
      </c>
      <c r="O50" s="61"/>
    </row>
    <row r="51" spans="1:33" x14ac:dyDescent="0.25">
      <c r="A51" s="58"/>
      <c r="B51" s="58"/>
      <c r="C51" s="5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33" x14ac:dyDescent="0.25">
      <c r="A52" s="58" t="s">
        <v>3</v>
      </c>
      <c r="B52" s="58"/>
      <c r="C52" s="58"/>
      <c r="D52" s="63">
        <f t="shared" ref="D52:N52" si="25">$P$69</f>
        <v>7500</v>
      </c>
      <c r="E52" s="63">
        <f t="shared" si="25"/>
        <v>7500</v>
      </c>
      <c r="F52" s="63">
        <f t="shared" si="25"/>
        <v>7500</v>
      </c>
      <c r="G52" s="63">
        <f t="shared" si="25"/>
        <v>7500</v>
      </c>
      <c r="H52" s="63">
        <f t="shared" si="25"/>
        <v>7500</v>
      </c>
      <c r="I52" s="63">
        <f t="shared" si="25"/>
        <v>7500</v>
      </c>
      <c r="J52" s="63">
        <f t="shared" si="25"/>
        <v>7500</v>
      </c>
      <c r="K52" s="63">
        <f t="shared" si="25"/>
        <v>7500</v>
      </c>
      <c r="L52" s="63">
        <f t="shared" si="25"/>
        <v>7500</v>
      </c>
      <c r="M52" s="63">
        <f t="shared" si="25"/>
        <v>7500</v>
      </c>
      <c r="N52" s="63">
        <f t="shared" si="25"/>
        <v>7500</v>
      </c>
      <c r="O52" s="63"/>
    </row>
    <row r="53" spans="1:33" x14ac:dyDescent="0.25">
      <c r="A53" s="58" t="s">
        <v>4</v>
      </c>
      <c r="B53" s="58"/>
      <c r="C53" s="58"/>
      <c r="D53" s="61">
        <f>Mortgage!D14</f>
        <v>6633.4905839456933</v>
      </c>
      <c r="E53" s="61">
        <f>Mortgage!D28</f>
        <v>6523.4352262750017</v>
      </c>
      <c r="F53" s="61">
        <f>Mortgage!D42</f>
        <v>6408.3239447281367</v>
      </c>
      <c r="G53" s="61">
        <f>Mortgage!D56</f>
        <v>6287.9244710468092</v>
      </c>
      <c r="H53" s="61">
        <f>Mortgage!D70</f>
        <v>6161.9938666095823</v>
      </c>
      <c r="I53" s="61">
        <f>Mortgage!D84</f>
        <v>6030.2780322372555</v>
      </c>
      <c r="J53" s="61">
        <f>Mortgage!D98</f>
        <v>5892.5111954787881</v>
      </c>
      <c r="K53" s="61">
        <f>Mortgage!D112</f>
        <v>5748.4153743432407</v>
      </c>
      <c r="L53" s="61">
        <f>Mortgage!D126</f>
        <v>5597.6998163956468</v>
      </c>
      <c r="M53" s="61">
        <f>Mortgage!D140</f>
        <v>5440.0604120850448</v>
      </c>
      <c r="N53" s="61">
        <f>Mortgage!D154</f>
        <v>5275.1790811209121</v>
      </c>
      <c r="O53" s="61"/>
    </row>
    <row r="54" spans="1:33" x14ac:dyDescent="0.25">
      <c r="A54" s="58" t="s">
        <v>20</v>
      </c>
      <c r="B54" s="58"/>
      <c r="C54" s="58"/>
      <c r="D54" s="61">
        <f t="shared" ref="D54:N54" si="26">$P$54*D78</f>
        <v>6403.1570932860532</v>
      </c>
      <c r="E54" s="61">
        <f t="shared" si="26"/>
        <v>11230.536352646533</v>
      </c>
      <c r="F54" s="61">
        <f t="shared" si="26"/>
        <v>16077.700418200169</v>
      </c>
      <c r="G54" s="61">
        <f t="shared" si="26"/>
        <v>21555.451224708773</v>
      </c>
      <c r="H54" s="61">
        <f t="shared" si="26"/>
        <v>27740.98416253896</v>
      </c>
      <c r="I54" s="61">
        <f t="shared" si="26"/>
        <v>36575.357323093471</v>
      </c>
      <c r="J54" s="61">
        <f t="shared" si="26"/>
        <v>44678.104819340624</v>
      </c>
      <c r="K54" s="61">
        <f t="shared" si="26"/>
        <v>53813.096927042978</v>
      </c>
      <c r="L54" s="61">
        <f t="shared" si="26"/>
        <v>64108.609975479289</v>
      </c>
      <c r="M54" s="61">
        <f t="shared" si="26"/>
        <v>75709.092439565633</v>
      </c>
      <c r="N54" s="61">
        <f t="shared" si="26"/>
        <v>88777.151350618195</v>
      </c>
      <c r="O54" s="61"/>
      <c r="P54" s="15">
        <v>0.11</v>
      </c>
    </row>
    <row r="55" spans="1:33" x14ac:dyDescent="0.25">
      <c r="A55" s="58"/>
      <c r="B55" s="58"/>
      <c r="C55" s="5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33" x14ac:dyDescent="0.25">
      <c r="A56" s="58" t="s">
        <v>5</v>
      </c>
      <c r="B56" s="58"/>
      <c r="C56" s="58"/>
      <c r="D56" s="61">
        <f>SUM(D38:D40)-SUM(D42:D48)-SUM(D52:D54)</f>
        <v>-20773.570754154811</v>
      </c>
      <c r="E56" s="61">
        <f t="shared" ref="E56:N56" si="27">SUM(E38:E40)-SUM(E42:E48)-SUM(E52:E54)</f>
        <v>-45065.510040459973</v>
      </c>
      <c r="F56" s="61">
        <f t="shared" si="27"/>
        <v>-49389.404332159073</v>
      </c>
      <c r="G56" s="61">
        <f t="shared" si="27"/>
        <v>-54355.370069940189</v>
      </c>
      <c r="H56" s="61">
        <f t="shared" si="27"/>
        <v>-60039.922145413475</v>
      </c>
      <c r="I56" s="61">
        <f t="shared" si="27"/>
        <v>-68383.442203024999</v>
      </c>
      <c r="J56" s="61">
        <f t="shared" si="27"/>
        <v>-76004.791009249457</v>
      </c>
      <c r="K56" s="61">
        <f t="shared" si="27"/>
        <v>-84667.167633183504</v>
      </c>
      <c r="L56" s="61">
        <f t="shared" si="27"/>
        <v>-94498.178365824933</v>
      </c>
      <c r="M56" s="61">
        <f t="shared" si="27"/>
        <v>-105641.60182839546</v>
      </c>
      <c r="N56" s="61">
        <f t="shared" si="27"/>
        <v>-118259.37438536371</v>
      </c>
      <c r="O56" s="61"/>
    </row>
    <row r="57" spans="1:33" x14ac:dyDescent="0.25">
      <c r="A57" s="58" t="s">
        <v>6</v>
      </c>
      <c r="B57" s="58"/>
      <c r="C57" s="58"/>
      <c r="D57" s="61">
        <f t="shared" ref="D57:N57" si="28">IF(D56&lt;=0,0,$P$57*D56)</f>
        <v>0</v>
      </c>
      <c r="E57" s="61">
        <f t="shared" si="28"/>
        <v>0</v>
      </c>
      <c r="F57" s="61">
        <f t="shared" si="28"/>
        <v>0</v>
      </c>
      <c r="G57" s="61">
        <f t="shared" si="28"/>
        <v>0</v>
      </c>
      <c r="H57" s="61">
        <f t="shared" si="28"/>
        <v>0</v>
      </c>
      <c r="I57" s="61">
        <f t="shared" si="28"/>
        <v>0</v>
      </c>
      <c r="J57" s="61">
        <f t="shared" si="28"/>
        <v>0</v>
      </c>
      <c r="K57" s="61">
        <f t="shared" si="28"/>
        <v>0</v>
      </c>
      <c r="L57" s="61">
        <f t="shared" si="28"/>
        <v>0</v>
      </c>
      <c r="M57" s="61">
        <f t="shared" si="28"/>
        <v>0</v>
      </c>
      <c r="N57" s="61">
        <f t="shared" si="28"/>
        <v>0</v>
      </c>
      <c r="O57" s="61"/>
      <c r="P57" s="15">
        <v>0.3</v>
      </c>
      <c r="Q57" s="1" t="s">
        <v>128</v>
      </c>
    </row>
    <row r="58" spans="1:33" x14ac:dyDescent="0.25">
      <c r="A58" s="59" t="s">
        <v>21</v>
      </c>
      <c r="B58" s="58"/>
      <c r="C58" s="58"/>
      <c r="D58" s="61">
        <f>D56-D57</f>
        <v>-20773.570754154811</v>
      </c>
      <c r="E58" s="61">
        <f t="shared" ref="E58:N58" si="29">E56-E57</f>
        <v>-45065.510040459973</v>
      </c>
      <c r="F58" s="61">
        <f t="shared" si="29"/>
        <v>-49389.404332159073</v>
      </c>
      <c r="G58" s="61">
        <f t="shared" si="29"/>
        <v>-54355.370069940189</v>
      </c>
      <c r="H58" s="61">
        <f t="shared" si="29"/>
        <v>-60039.922145413475</v>
      </c>
      <c r="I58" s="61">
        <f t="shared" si="29"/>
        <v>-68383.442203024999</v>
      </c>
      <c r="J58" s="61">
        <f t="shared" si="29"/>
        <v>-76004.791009249457</v>
      </c>
      <c r="K58" s="61">
        <f t="shared" si="29"/>
        <v>-84667.167633183504</v>
      </c>
      <c r="L58" s="61">
        <f t="shared" si="29"/>
        <v>-94498.178365824933</v>
      </c>
      <c r="M58" s="61">
        <f t="shared" si="29"/>
        <v>-105641.60182839546</v>
      </c>
      <c r="N58" s="61">
        <f t="shared" si="29"/>
        <v>-118259.37438536371</v>
      </c>
      <c r="O58" s="61"/>
    </row>
    <row r="59" spans="1:33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33" x14ac:dyDescent="0.25">
      <c r="A60" s="59" t="s">
        <v>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Y60" s="86"/>
      <c r="Z60" s="73"/>
      <c r="AA60" s="87" t="s">
        <v>155</v>
      </c>
      <c r="AB60" s="87" t="s">
        <v>156</v>
      </c>
      <c r="AC60" s="73" t="s">
        <v>157</v>
      </c>
      <c r="AD60" s="73"/>
      <c r="AE60" s="73"/>
      <c r="AF60" s="73"/>
      <c r="AG60" s="88"/>
    </row>
    <row r="61" spans="1:33" x14ac:dyDescent="0.25">
      <c r="A61" s="59" t="s">
        <v>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Y61" s="89"/>
      <c r="Z61" s="70"/>
      <c r="AA61" s="70"/>
      <c r="AB61" s="70"/>
      <c r="AC61" s="70"/>
      <c r="AD61" s="70"/>
      <c r="AE61" s="70"/>
      <c r="AF61" s="70"/>
      <c r="AG61" s="90"/>
    </row>
    <row r="62" spans="1:33" x14ac:dyDescent="0.25">
      <c r="A62" s="58" t="s">
        <v>22</v>
      </c>
      <c r="B62" s="58"/>
      <c r="C62" s="58"/>
      <c r="D62" s="61">
        <f>D24</f>
        <v>1000</v>
      </c>
      <c r="E62" s="61">
        <f>D62</f>
        <v>1000</v>
      </c>
      <c r="F62" s="61">
        <f t="shared" ref="F62:N62" si="30">E62</f>
        <v>1000</v>
      </c>
      <c r="G62" s="61">
        <f t="shared" si="30"/>
        <v>1000</v>
      </c>
      <c r="H62" s="61">
        <f t="shared" si="30"/>
        <v>1000</v>
      </c>
      <c r="I62" s="61">
        <f t="shared" si="30"/>
        <v>1000</v>
      </c>
      <c r="J62" s="61">
        <f t="shared" si="30"/>
        <v>1000</v>
      </c>
      <c r="K62" s="61">
        <f t="shared" si="30"/>
        <v>1000</v>
      </c>
      <c r="L62" s="61">
        <f t="shared" si="30"/>
        <v>1000</v>
      </c>
      <c r="M62" s="61">
        <f t="shared" si="30"/>
        <v>1000</v>
      </c>
      <c r="N62" s="61">
        <f t="shared" si="30"/>
        <v>1000</v>
      </c>
      <c r="O62" s="61"/>
      <c r="Y62" s="91" t="s">
        <v>22</v>
      </c>
      <c r="Z62" s="92"/>
      <c r="AA62" s="75">
        <v>1</v>
      </c>
      <c r="AB62" s="74"/>
      <c r="AC62" s="84">
        <f>G62*AA62</f>
        <v>1000</v>
      </c>
      <c r="AD62" s="70"/>
      <c r="AE62" s="70"/>
      <c r="AF62" s="70"/>
      <c r="AG62" s="90"/>
    </row>
    <row r="63" spans="1:33" x14ac:dyDescent="0.25">
      <c r="A63" s="58" t="s">
        <v>23</v>
      </c>
      <c r="B63" s="58"/>
      <c r="C63" s="58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Y63" s="91" t="s">
        <v>23</v>
      </c>
      <c r="Z63" s="92"/>
      <c r="AA63" s="75"/>
      <c r="AB63" s="74"/>
      <c r="AC63" s="70"/>
      <c r="AD63" s="70"/>
      <c r="AE63" s="70"/>
      <c r="AF63" s="70"/>
      <c r="AG63" s="90"/>
    </row>
    <row r="64" spans="1:33" x14ac:dyDescent="0.25">
      <c r="A64" s="58" t="s">
        <v>9</v>
      </c>
      <c r="B64" s="58"/>
      <c r="C64" s="58"/>
      <c r="D64" s="63">
        <f>(SUM(D38:D39)/365)*D19</f>
        <v>68252.054794520547</v>
      </c>
      <c r="E64" s="63">
        <f t="shared" ref="E64:N64" si="31">(SUM(E38:E39)/365)*E19</f>
        <v>72088.502794520551</v>
      </c>
      <c r="F64" s="63">
        <f t="shared" si="31"/>
        <v>76140.597536600559</v>
      </c>
      <c r="G64" s="63">
        <f t="shared" si="31"/>
        <v>80420.460524132897</v>
      </c>
      <c r="H64" s="63">
        <f t="shared" si="31"/>
        <v>84940.894610194417</v>
      </c>
      <c r="I64" s="63">
        <f t="shared" si="31"/>
        <v>89715.422296233446</v>
      </c>
      <c r="J64" s="63">
        <f t="shared" si="31"/>
        <v>94758.326183504731</v>
      </c>
      <c r="K64" s="63">
        <f t="shared" si="31"/>
        <v>100084.69169827952</v>
      </c>
      <c r="L64" s="63">
        <f t="shared" si="31"/>
        <v>105710.45221863984</v>
      </c>
      <c r="M64" s="63">
        <f t="shared" si="31"/>
        <v>111652.4367378496</v>
      </c>
      <c r="N64" s="63">
        <f t="shared" si="31"/>
        <v>117928.42020688411</v>
      </c>
      <c r="O64" s="63"/>
      <c r="Y64" s="91" t="s">
        <v>9</v>
      </c>
      <c r="Z64" s="92"/>
      <c r="AA64" s="75">
        <v>0.5</v>
      </c>
      <c r="AB64" s="74"/>
      <c r="AC64" s="84">
        <f>G64*AA64</f>
        <v>40210.230262066449</v>
      </c>
      <c r="AD64" s="70"/>
      <c r="AE64" s="70"/>
      <c r="AF64" s="70"/>
      <c r="AG64" s="90"/>
    </row>
    <row r="65" spans="1:33" x14ac:dyDescent="0.25">
      <c r="A65" s="58" t="s">
        <v>28</v>
      </c>
      <c r="B65" s="58"/>
      <c r="C65" s="58"/>
      <c r="D65" s="64">
        <f>(SUM(D42:D43)/365)*D20+(D44/365)*D21</f>
        <v>71013.698630136976</v>
      </c>
      <c r="E65" s="64">
        <f t="shared" ref="E65:N65" si="32">(SUM(E42:E43)/365)*E20+(E44/365)*E21</f>
        <v>74553.981875658588</v>
      </c>
      <c r="F65" s="64">
        <f t="shared" si="32"/>
        <v>68730.401702465751</v>
      </c>
      <c r="G65" s="64">
        <f t="shared" si="32"/>
        <v>63366.413229741403</v>
      </c>
      <c r="H65" s="64">
        <f t="shared" si="32"/>
        <v>58425.597740956393</v>
      </c>
      <c r="I65" s="64">
        <f t="shared" si="32"/>
        <v>53874.427015443478</v>
      </c>
      <c r="J65" s="64">
        <f t="shared" si="32"/>
        <v>49682.03377060737</v>
      </c>
      <c r="K65" s="64">
        <f t="shared" si="32"/>
        <v>45820.000339645732</v>
      </c>
      <c r="L65" s="64">
        <f t="shared" si="32"/>
        <v>42262.164136058491</v>
      </c>
      <c r="M65" s="64">
        <f t="shared" si="32"/>
        <v>38984.438571320927</v>
      </c>
      <c r="N65" s="64">
        <f t="shared" si="32"/>
        <v>35964.648198049734</v>
      </c>
      <c r="O65" s="64"/>
      <c r="Y65" s="91" t="s">
        <v>28</v>
      </c>
      <c r="Z65" s="92"/>
      <c r="AA65" s="75">
        <v>0.5</v>
      </c>
      <c r="AB65" s="74"/>
      <c r="AC65" s="84">
        <f>G65*AA65</f>
        <v>31683.206614870702</v>
      </c>
      <c r="AD65" s="70"/>
      <c r="AE65" s="70"/>
      <c r="AF65" s="70"/>
      <c r="AG65" s="90"/>
    </row>
    <row r="66" spans="1:33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2" t="s">
        <v>48</v>
      </c>
      <c r="S66" s="26" t="s">
        <v>98</v>
      </c>
      <c r="T66" s="43">
        <v>0.99</v>
      </c>
      <c r="U66" s="27"/>
      <c r="V66" s="27" t="s">
        <v>92</v>
      </c>
      <c r="W66" s="27"/>
      <c r="X66" s="27"/>
      <c r="Y66" s="91"/>
      <c r="Z66" s="92"/>
      <c r="AA66" s="75"/>
      <c r="AB66" s="74"/>
      <c r="AC66" s="70"/>
      <c r="AD66" s="70"/>
      <c r="AE66" s="70"/>
      <c r="AF66" s="70"/>
      <c r="AG66" s="90"/>
    </row>
    <row r="67" spans="1:33" x14ac:dyDescent="0.25">
      <c r="A67" s="58" t="s">
        <v>24</v>
      </c>
      <c r="B67" s="58"/>
      <c r="C67" s="58"/>
      <c r="D67" s="63">
        <f>D15</f>
        <v>15000</v>
      </c>
      <c r="E67" s="63">
        <f>D67</f>
        <v>15000</v>
      </c>
      <c r="F67" s="63">
        <f t="shared" ref="F67:N67" si="33">E67</f>
        <v>15000</v>
      </c>
      <c r="G67" s="63">
        <f t="shared" si="33"/>
        <v>15000</v>
      </c>
      <c r="H67" s="63">
        <f t="shared" si="33"/>
        <v>15000</v>
      </c>
      <c r="I67" s="63">
        <f t="shared" si="33"/>
        <v>15000</v>
      </c>
      <c r="J67" s="63">
        <f t="shared" si="33"/>
        <v>15000</v>
      </c>
      <c r="K67" s="63">
        <f t="shared" si="33"/>
        <v>15000</v>
      </c>
      <c r="L67" s="63">
        <f t="shared" si="33"/>
        <v>15000</v>
      </c>
      <c r="M67" s="63">
        <f t="shared" si="33"/>
        <v>15000</v>
      </c>
      <c r="N67" s="63">
        <f t="shared" si="33"/>
        <v>15000</v>
      </c>
      <c r="O67" s="63"/>
      <c r="P67" s="54">
        <v>20</v>
      </c>
      <c r="S67" s="29" t="s">
        <v>99</v>
      </c>
      <c r="T67" s="30">
        <f>T77+T78</f>
        <v>2.1081150617453241</v>
      </c>
      <c r="U67" s="31"/>
      <c r="V67" s="40">
        <f>P57</f>
        <v>0.3</v>
      </c>
      <c r="W67" s="31"/>
      <c r="X67" s="31"/>
      <c r="Y67" s="91" t="s">
        <v>24</v>
      </c>
      <c r="Z67" s="92"/>
      <c r="AA67" s="75">
        <v>0.6</v>
      </c>
      <c r="AB67" s="74">
        <f>G67*AA67</f>
        <v>9000</v>
      </c>
      <c r="AC67" s="70"/>
      <c r="AD67" s="70"/>
      <c r="AE67" s="70"/>
      <c r="AF67" s="70"/>
      <c r="AG67" s="90"/>
    </row>
    <row r="68" spans="1:33" x14ac:dyDescent="0.25">
      <c r="A68" s="58" t="s">
        <v>10</v>
      </c>
      <c r="B68" s="58"/>
      <c r="C68" s="58"/>
      <c r="D68" s="61">
        <f>D14</f>
        <v>150000</v>
      </c>
      <c r="E68" s="61">
        <f t="shared" ref="E68:N68" si="34">E14</f>
        <v>150000</v>
      </c>
      <c r="F68" s="61">
        <f t="shared" si="34"/>
        <v>150000</v>
      </c>
      <c r="G68" s="61">
        <f t="shared" si="34"/>
        <v>150000</v>
      </c>
      <c r="H68" s="61">
        <f t="shared" si="34"/>
        <v>150000</v>
      </c>
      <c r="I68" s="61">
        <f t="shared" si="34"/>
        <v>165000</v>
      </c>
      <c r="J68" s="61">
        <f t="shared" si="34"/>
        <v>165000</v>
      </c>
      <c r="K68" s="61">
        <f t="shared" si="34"/>
        <v>165000</v>
      </c>
      <c r="L68" s="61">
        <f t="shared" si="34"/>
        <v>165000</v>
      </c>
      <c r="M68" s="61">
        <f t="shared" si="34"/>
        <v>165000</v>
      </c>
      <c r="N68" s="61">
        <f t="shared" si="34"/>
        <v>165000</v>
      </c>
      <c r="O68" s="61"/>
      <c r="P68" s="52" t="s">
        <v>135</v>
      </c>
      <c r="S68" s="29" t="s">
        <v>100</v>
      </c>
      <c r="T68" s="30">
        <f>T80</f>
        <v>-1.1081150617453239</v>
      </c>
      <c r="U68" s="31"/>
      <c r="V68" s="31"/>
      <c r="W68" s="31"/>
      <c r="X68" s="31"/>
      <c r="Y68" s="91" t="s">
        <v>10</v>
      </c>
      <c r="Z68" s="92"/>
      <c r="AA68" s="75">
        <v>0.6</v>
      </c>
      <c r="AB68" s="74">
        <f>G68*AA68</f>
        <v>90000</v>
      </c>
      <c r="AC68" s="70"/>
      <c r="AD68" s="70"/>
      <c r="AE68" s="70"/>
      <c r="AF68" s="70"/>
      <c r="AG68" s="90"/>
    </row>
    <row r="69" spans="1:33" x14ac:dyDescent="0.25">
      <c r="A69" s="58" t="s">
        <v>11</v>
      </c>
      <c r="B69" s="58"/>
      <c r="C69" s="58"/>
      <c r="D69" s="61">
        <f>C69+D52</f>
        <v>7500</v>
      </c>
      <c r="E69" s="61">
        <f>D69+E52</f>
        <v>15000</v>
      </c>
      <c r="F69" s="61">
        <f t="shared" ref="F69:N69" si="35">E69+F52</f>
        <v>22500</v>
      </c>
      <c r="G69" s="61">
        <f t="shared" si="35"/>
        <v>30000</v>
      </c>
      <c r="H69" s="61">
        <f t="shared" si="35"/>
        <v>37500</v>
      </c>
      <c r="I69" s="61">
        <f t="shared" si="35"/>
        <v>45000</v>
      </c>
      <c r="J69" s="61">
        <f t="shared" si="35"/>
        <v>52500</v>
      </c>
      <c r="K69" s="61">
        <f t="shared" si="35"/>
        <v>60000</v>
      </c>
      <c r="L69" s="61">
        <f t="shared" si="35"/>
        <v>67500</v>
      </c>
      <c r="M69" s="61">
        <f t="shared" si="35"/>
        <v>75000</v>
      </c>
      <c r="N69" s="61">
        <f t="shared" si="35"/>
        <v>82500</v>
      </c>
      <c r="O69" s="61"/>
      <c r="P69" s="53">
        <f>G68/P67</f>
        <v>7500</v>
      </c>
      <c r="S69" s="29" t="s">
        <v>95</v>
      </c>
      <c r="T69" s="33">
        <f>T66*(1+(1-V67)/(T67/T68))</f>
        <v>0.6257296849092574</v>
      </c>
      <c r="U69" s="31"/>
      <c r="V69" s="31"/>
      <c r="W69" s="31"/>
      <c r="X69" s="31"/>
      <c r="Y69" s="89"/>
      <c r="Z69" s="70"/>
      <c r="AA69" s="75"/>
      <c r="AB69" s="74"/>
      <c r="AC69" s="71"/>
      <c r="AD69" s="70"/>
      <c r="AE69" s="70"/>
      <c r="AF69" s="70"/>
      <c r="AG69" s="90"/>
    </row>
    <row r="70" spans="1:33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S70" s="29"/>
      <c r="T70" s="31"/>
      <c r="U70" s="31"/>
      <c r="V70" s="31"/>
      <c r="W70" s="31"/>
      <c r="X70" s="31"/>
      <c r="Y70" s="93" t="s">
        <v>29</v>
      </c>
      <c r="Z70" s="94"/>
      <c r="AA70" s="75">
        <v>-1</v>
      </c>
      <c r="AB70" s="74"/>
      <c r="AC70" s="84">
        <f>G74*AA70</f>
        <v>-40175.436111629082</v>
      </c>
      <c r="AD70" s="70"/>
      <c r="AE70" s="70"/>
      <c r="AF70" s="70"/>
      <c r="AG70" s="90"/>
    </row>
    <row r="71" spans="1:33" x14ac:dyDescent="0.25">
      <c r="A71" s="59" t="s">
        <v>12</v>
      </c>
      <c r="B71" s="58"/>
      <c r="C71" s="58"/>
      <c r="D71" s="65">
        <f>SUM(D62:D68)-D69</f>
        <v>297765.75342465751</v>
      </c>
      <c r="E71" s="65">
        <f>SUM(E62:E68)-E69</f>
        <v>297642.48467017914</v>
      </c>
      <c r="F71" s="65">
        <f t="shared" ref="F71:N71" si="36">SUM(F62:F68)-F69</f>
        <v>288370.99923906632</v>
      </c>
      <c r="G71" s="65">
        <f t="shared" si="36"/>
        <v>279786.87375387433</v>
      </c>
      <c r="H71" s="65">
        <f t="shared" si="36"/>
        <v>271866.49235115084</v>
      </c>
      <c r="I71" s="65">
        <f t="shared" si="36"/>
        <v>279589.84931167692</v>
      </c>
      <c r="J71" s="65">
        <f t="shared" si="36"/>
        <v>272940.35995411209</v>
      </c>
      <c r="K71" s="65">
        <f t="shared" si="36"/>
        <v>266904.69203792524</v>
      </c>
      <c r="L71" s="65">
        <f t="shared" si="36"/>
        <v>261472.61635469832</v>
      </c>
      <c r="M71" s="65">
        <f t="shared" si="36"/>
        <v>256636.87530917051</v>
      </c>
      <c r="N71" s="65">
        <f t="shared" si="36"/>
        <v>252393.06840493385</v>
      </c>
      <c r="O71" s="65"/>
      <c r="S71" s="29" t="s">
        <v>101</v>
      </c>
      <c r="T71" s="42">
        <v>0.02</v>
      </c>
      <c r="U71" s="31"/>
      <c r="V71" s="31"/>
      <c r="W71" s="31"/>
      <c r="X71" s="31"/>
      <c r="Y71" s="89"/>
      <c r="Z71" s="70"/>
      <c r="AA71" s="75"/>
      <c r="AB71" s="76"/>
      <c r="AC71" s="77"/>
      <c r="AD71" s="70"/>
      <c r="AE71" s="70"/>
      <c r="AF71" s="70"/>
      <c r="AG71" s="90"/>
    </row>
    <row r="72" spans="1:33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S72" s="29" t="s">
        <v>96</v>
      </c>
      <c r="T72" s="42">
        <v>0.06</v>
      </c>
      <c r="U72" s="31"/>
      <c r="V72" s="31"/>
      <c r="W72" s="31"/>
      <c r="X72" s="31"/>
      <c r="Y72" s="95" t="s">
        <v>142</v>
      </c>
      <c r="Z72" s="78"/>
      <c r="AA72" s="75"/>
      <c r="AB72" s="79">
        <f>SUM(AB62:AB71)</f>
        <v>99000</v>
      </c>
      <c r="AC72" s="79">
        <f>SUM(AC62:AC71)</f>
        <v>32718.000765308068</v>
      </c>
      <c r="AD72" s="70"/>
      <c r="AE72" s="70"/>
      <c r="AF72" s="70"/>
      <c r="AG72" s="90"/>
    </row>
    <row r="73" spans="1:33" x14ac:dyDescent="0.25">
      <c r="A73" s="59" t="s">
        <v>13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S73" s="29"/>
      <c r="T73" s="31"/>
      <c r="U73" s="31"/>
      <c r="V73" s="31"/>
      <c r="W73" s="31"/>
      <c r="X73" s="31"/>
      <c r="Y73" s="95" t="s">
        <v>163</v>
      </c>
      <c r="Z73" s="78"/>
      <c r="AA73" s="75"/>
      <c r="AB73" s="79"/>
      <c r="AC73" s="80">
        <v>0</v>
      </c>
      <c r="AD73" s="70"/>
      <c r="AE73" s="70"/>
      <c r="AF73" s="70"/>
      <c r="AG73" s="90"/>
    </row>
    <row r="74" spans="1:33" x14ac:dyDescent="0.25">
      <c r="A74" s="66" t="s">
        <v>29</v>
      </c>
      <c r="B74" s="58"/>
      <c r="C74" s="58"/>
      <c r="D74" s="63">
        <f t="shared" ref="D74:N74" si="37">(SUM(D42:D44)/365)*D22</f>
        <v>39224.446786090615</v>
      </c>
      <c r="E74" s="63">
        <f t="shared" si="37"/>
        <v>42787.119072708112</v>
      </c>
      <c r="F74" s="63">
        <f t="shared" si="37"/>
        <v>41460.718381454164</v>
      </c>
      <c r="G74" s="63">
        <f t="shared" si="37"/>
        <v>40175.436111629082</v>
      </c>
      <c r="H74" s="63">
        <f t="shared" si="37"/>
        <v>38929.997592168591</v>
      </c>
      <c r="I74" s="63">
        <f t="shared" si="37"/>
        <v>37723.167666811351</v>
      </c>
      <c r="J74" s="63">
        <f t="shared" si="37"/>
        <v>36553.749469140203</v>
      </c>
      <c r="K74" s="63">
        <f t="shared" si="37"/>
        <v>35420.58323559686</v>
      </c>
      <c r="L74" s="63">
        <f t="shared" si="37"/>
        <v>34322.545155293359</v>
      </c>
      <c r="M74" s="63">
        <f t="shared" si="37"/>
        <v>33258.546255479261</v>
      </c>
      <c r="N74" s="63">
        <f t="shared" si="37"/>
        <v>32227.5313215594</v>
      </c>
      <c r="O74" s="63"/>
      <c r="S74" s="29" t="s">
        <v>97</v>
      </c>
      <c r="T74" s="34">
        <f>T71+T69*(T72-T71)</f>
        <v>4.5029187396370296E-2</v>
      </c>
      <c r="U74" s="31"/>
      <c r="V74" s="31"/>
      <c r="W74" s="31"/>
      <c r="X74" s="31"/>
      <c r="Y74" s="95" t="s">
        <v>162</v>
      </c>
      <c r="Z74" s="78"/>
      <c r="AA74" s="75"/>
      <c r="AB74" s="79"/>
      <c r="AC74" s="79">
        <v>2000</v>
      </c>
      <c r="AD74" s="78"/>
      <c r="AE74" s="78"/>
      <c r="AF74" s="78"/>
      <c r="AG74" s="96"/>
    </row>
    <row r="75" spans="1:33" x14ac:dyDescent="0.25">
      <c r="A75" s="58" t="s">
        <v>14</v>
      </c>
      <c r="B75" s="58"/>
      <c r="C75" s="58"/>
      <c r="D75" s="61">
        <f>D57</f>
        <v>0</v>
      </c>
      <c r="E75" s="61">
        <f t="shared" ref="E75:N75" si="38">E57</f>
        <v>0</v>
      </c>
      <c r="F75" s="61">
        <f t="shared" si="38"/>
        <v>0</v>
      </c>
      <c r="G75" s="61">
        <f t="shared" si="38"/>
        <v>0</v>
      </c>
      <c r="H75" s="61">
        <f t="shared" si="38"/>
        <v>0</v>
      </c>
      <c r="I75" s="61">
        <f t="shared" si="38"/>
        <v>0</v>
      </c>
      <c r="J75" s="61">
        <f t="shared" si="38"/>
        <v>0</v>
      </c>
      <c r="K75" s="61">
        <f t="shared" si="38"/>
        <v>0</v>
      </c>
      <c r="L75" s="61">
        <f t="shared" si="38"/>
        <v>0</v>
      </c>
      <c r="M75" s="61">
        <f t="shared" si="38"/>
        <v>0</v>
      </c>
      <c r="N75" s="61">
        <f t="shared" si="38"/>
        <v>0</v>
      </c>
      <c r="O75" s="61"/>
      <c r="S75" s="29"/>
      <c r="T75" s="31"/>
      <c r="U75" s="31"/>
      <c r="V75" s="31"/>
      <c r="W75" s="31"/>
      <c r="X75" s="31"/>
      <c r="Y75" s="95" t="s">
        <v>142</v>
      </c>
      <c r="Z75" s="78"/>
      <c r="AA75" s="75"/>
      <c r="AB75" s="79"/>
      <c r="AC75" s="85">
        <f>AC72-AC74</f>
        <v>30718.000765308068</v>
      </c>
      <c r="AD75" s="78"/>
      <c r="AE75" s="78"/>
      <c r="AF75" s="78"/>
      <c r="AG75" s="96"/>
    </row>
    <row r="76" spans="1:33" x14ac:dyDescent="0.25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S76" s="29" t="s">
        <v>102</v>
      </c>
      <c r="T76" s="31" t="s">
        <v>93</v>
      </c>
      <c r="U76" s="31" t="s">
        <v>36</v>
      </c>
      <c r="V76" s="31" t="s">
        <v>103</v>
      </c>
      <c r="W76" s="31" t="s">
        <v>94</v>
      </c>
      <c r="X76" s="31"/>
      <c r="Y76" s="89"/>
      <c r="Z76" s="70"/>
      <c r="AA76" s="70"/>
      <c r="AB76" s="79" t="s">
        <v>156</v>
      </c>
      <c r="AC76" s="79" t="s">
        <v>158</v>
      </c>
      <c r="AD76" s="78" t="s">
        <v>159</v>
      </c>
      <c r="AE76" s="78" t="s">
        <v>157</v>
      </c>
      <c r="AF76" s="78" t="s">
        <v>160</v>
      </c>
      <c r="AG76" s="96" t="s">
        <v>161</v>
      </c>
    </row>
    <row r="77" spans="1:33" x14ac:dyDescent="0.25">
      <c r="A77" s="58" t="s">
        <v>26</v>
      </c>
      <c r="B77" s="58"/>
      <c r="C77" s="58"/>
      <c r="D77" s="61">
        <f>Mortgage!F13</f>
        <v>146104.35836284849</v>
      </c>
      <c r="E77" s="61">
        <f>Mortgage!F27</f>
        <v>143598.66136802634</v>
      </c>
      <c r="F77" s="61">
        <f>Mortgage!F41</f>
        <v>140977.85309165725</v>
      </c>
      <c r="G77" s="61">
        <f>Mortgage!F55</f>
        <v>138236.64534160684</v>
      </c>
      <c r="H77" s="61">
        <f>Mortgage!F69</f>
        <v>135369.50698711924</v>
      </c>
      <c r="I77" s="61">
        <f>Mortgage!F83</f>
        <v>132370.65279825928</v>
      </c>
      <c r="J77" s="61">
        <f>Mortgage!F97</f>
        <v>129234.03177264088</v>
      </c>
      <c r="K77" s="61">
        <f>Mortgage!F111</f>
        <v>125953.31492588692</v>
      </c>
      <c r="L77" s="61">
        <f>Mortgage!F125</f>
        <v>122521.88252118538</v>
      </c>
      <c r="M77" s="61">
        <f>Mortgage!F139</f>
        <v>118932.81071217325</v>
      </c>
      <c r="N77" s="61">
        <f>Mortgage!F153</f>
        <v>115178.85757219698</v>
      </c>
      <c r="O77" s="61"/>
      <c r="P77" s="23">
        <f>AVERAGE(D77:N77)</f>
        <v>131679.87049578188</v>
      </c>
      <c r="S77" s="35">
        <f>AVERAGE(D77:N77)</f>
        <v>131679.87049578188</v>
      </c>
      <c r="T77" s="34">
        <f>S77/S82</f>
        <v>0.55427475271636328</v>
      </c>
      <c r="U77" s="41">
        <v>4.1000000000000002E-2</v>
      </c>
      <c r="V77" s="34">
        <f>U77*(1-V67)</f>
        <v>2.87E-2</v>
      </c>
      <c r="W77" s="34">
        <f>T77*V77</f>
        <v>1.5907685402959625E-2</v>
      </c>
      <c r="X77" s="31"/>
      <c r="Y77" s="89"/>
      <c r="Z77" s="70"/>
      <c r="AA77" s="70"/>
      <c r="AB77" s="79">
        <f>AB72</f>
        <v>99000</v>
      </c>
      <c r="AC77" s="81">
        <f>G77-AB77</f>
        <v>39236.64534160684</v>
      </c>
      <c r="AD77" s="82">
        <f>AC77/AC79</f>
        <v>0.16682581044881958</v>
      </c>
      <c r="AE77" s="80">
        <f>AC75*AD77</f>
        <v>5124.5553730399788</v>
      </c>
      <c r="AF77" s="79">
        <f>AB77+AE77</f>
        <v>104124.55537303998</v>
      </c>
      <c r="AG77" s="97">
        <f>AF77/N77</f>
        <v>0.90402490151260717</v>
      </c>
    </row>
    <row r="78" spans="1:33" x14ac:dyDescent="0.25">
      <c r="A78" s="58" t="s">
        <v>25</v>
      </c>
      <c r="B78" s="58"/>
      <c r="C78" s="58"/>
      <c r="D78" s="57">
        <v>58210.519029873212</v>
      </c>
      <c r="E78" s="57">
        <v>102095.7850240594</v>
      </c>
      <c r="F78" s="57">
        <v>146160.91289272881</v>
      </c>
      <c r="G78" s="57">
        <v>195958.64749735247</v>
      </c>
      <c r="H78" s="57">
        <v>252190.76511399055</v>
      </c>
      <c r="I78" s="57">
        <v>332503.24839175883</v>
      </c>
      <c r="J78" s="57">
        <v>406164.58926673298</v>
      </c>
      <c r="K78" s="57">
        <v>489209.9720640271</v>
      </c>
      <c r="L78" s="57">
        <v>582805.54523162986</v>
      </c>
      <c r="M78" s="57">
        <v>688264.47672332393</v>
      </c>
      <c r="N78" s="57">
        <v>807065.01227834716</v>
      </c>
      <c r="O78" s="57"/>
      <c r="P78" s="23">
        <f>AVERAGE(D78:N78)</f>
        <v>369148.13395580224</v>
      </c>
      <c r="S78" s="35">
        <f>AVERAGE(D78:N78)</f>
        <v>369148.13395580224</v>
      </c>
      <c r="T78" s="34">
        <f>S78/S82</f>
        <v>1.5538403090289608</v>
      </c>
      <c r="U78" s="41">
        <v>0.1</v>
      </c>
      <c r="V78" s="34">
        <f>U78*(1-V67)</f>
        <v>6.9999999999999993E-2</v>
      </c>
      <c r="W78" s="34">
        <f>T78*V78</f>
        <v>0.10876882163202724</v>
      </c>
      <c r="X78" s="31"/>
      <c r="Y78" s="89"/>
      <c r="Z78" s="70"/>
      <c r="AA78" s="70"/>
      <c r="AB78" s="79">
        <f>AB72-AB77</f>
        <v>0</v>
      </c>
      <c r="AC78" s="81">
        <f>G78-AB78</f>
        <v>195958.64749735247</v>
      </c>
      <c r="AD78" s="83">
        <f>AC78/AC79</f>
        <v>0.83317418955118039</v>
      </c>
      <c r="AE78" s="80">
        <f>AC75*AD78</f>
        <v>25593.445392268088</v>
      </c>
      <c r="AF78" s="79">
        <f>AB78+AE78</f>
        <v>25593.445392268088</v>
      </c>
      <c r="AG78" s="97">
        <f>AF78/N78</f>
        <v>3.171175184514282E-2</v>
      </c>
    </row>
    <row r="79" spans="1:33" x14ac:dyDescent="0.25">
      <c r="A79" s="58"/>
      <c r="B79" s="58"/>
      <c r="C79" s="58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23">
        <f>SUM(P77:P78)</f>
        <v>500828.00445158413</v>
      </c>
      <c r="S79" s="35"/>
      <c r="T79" s="34"/>
      <c r="U79" s="34"/>
      <c r="V79" s="34"/>
      <c r="W79" s="34"/>
      <c r="X79" s="31"/>
      <c r="Y79" s="98"/>
      <c r="Z79" s="99"/>
      <c r="AA79" s="100"/>
      <c r="AB79" s="101"/>
      <c r="AC79" s="76">
        <f>SUM(AC77:AC78)</f>
        <v>235195.29283895931</v>
      </c>
      <c r="AD79" s="102"/>
      <c r="AE79" s="102"/>
      <c r="AF79" s="99"/>
      <c r="AG79" s="103"/>
    </row>
    <row r="80" spans="1:33" x14ac:dyDescent="0.25">
      <c r="A80" s="58" t="s">
        <v>27</v>
      </c>
      <c r="B80" s="58"/>
      <c r="C80" s="58"/>
      <c r="D80" s="61">
        <f>D25</f>
        <v>75000</v>
      </c>
      <c r="E80" s="61">
        <f>D80</f>
        <v>75000</v>
      </c>
      <c r="F80" s="61">
        <f t="shared" ref="F80:N80" si="39">E80</f>
        <v>75000</v>
      </c>
      <c r="G80" s="61">
        <f t="shared" si="39"/>
        <v>75000</v>
      </c>
      <c r="H80" s="61">
        <f t="shared" si="39"/>
        <v>75000</v>
      </c>
      <c r="I80" s="61">
        <f t="shared" si="39"/>
        <v>75000</v>
      </c>
      <c r="J80" s="61">
        <f t="shared" si="39"/>
        <v>75000</v>
      </c>
      <c r="K80" s="61">
        <f t="shared" si="39"/>
        <v>75000</v>
      </c>
      <c r="L80" s="61">
        <f t="shared" si="39"/>
        <v>75000</v>
      </c>
      <c r="M80" s="61">
        <f t="shared" si="39"/>
        <v>75000</v>
      </c>
      <c r="N80" s="61">
        <f t="shared" si="39"/>
        <v>75000</v>
      </c>
      <c r="O80" s="61"/>
      <c r="P80" s="23">
        <f t="shared" ref="P80:P81" si="40">AVERAGE(D80:N80)</f>
        <v>75000</v>
      </c>
      <c r="S80" s="35">
        <f>AVERAGE(D80:N80)</f>
        <v>75000</v>
      </c>
      <c r="T80" s="34">
        <f>SUM(S80:S81)/S82</f>
        <v>-1.1081150617453239</v>
      </c>
      <c r="U80" s="34">
        <f>T74</f>
        <v>4.5029187396370296E-2</v>
      </c>
      <c r="V80" s="34">
        <f>U80</f>
        <v>4.5029187396370296E-2</v>
      </c>
      <c r="W80" s="34">
        <f>T80*V80</f>
        <v>-4.989752077207063E-2</v>
      </c>
      <c r="X80" s="32"/>
    </row>
    <row r="81" spans="1:27" x14ac:dyDescent="0.25">
      <c r="A81" s="58" t="s">
        <v>15</v>
      </c>
      <c r="B81" s="58"/>
      <c r="C81" s="61"/>
      <c r="D81" s="61">
        <f>D58+C81</f>
        <v>-20773.570754154811</v>
      </c>
      <c r="E81" s="61">
        <f t="shared" ref="E81:N81" si="41">E58+D81</f>
        <v>-65839.080794614783</v>
      </c>
      <c r="F81" s="61">
        <f t="shared" si="41"/>
        <v>-115228.48512677386</v>
      </c>
      <c r="G81" s="61">
        <f t="shared" si="41"/>
        <v>-169583.85519671405</v>
      </c>
      <c r="H81" s="61">
        <f t="shared" si="41"/>
        <v>-229623.77734212752</v>
      </c>
      <c r="I81" s="61">
        <f t="shared" si="41"/>
        <v>-298007.2195451525</v>
      </c>
      <c r="J81" s="61">
        <f t="shared" si="41"/>
        <v>-374012.01055440196</v>
      </c>
      <c r="K81" s="61">
        <f t="shared" si="41"/>
        <v>-458679.17818758544</v>
      </c>
      <c r="L81" s="61">
        <f t="shared" si="41"/>
        <v>-553177.35655341041</v>
      </c>
      <c r="M81" s="61">
        <f t="shared" si="41"/>
        <v>-658818.95838180592</v>
      </c>
      <c r="N81" s="61">
        <f t="shared" si="41"/>
        <v>-777078.33276716969</v>
      </c>
      <c r="O81" s="61"/>
      <c r="P81" s="23">
        <f t="shared" si="40"/>
        <v>-338256.52956399188</v>
      </c>
      <c r="S81" s="35">
        <f>AVERAGE(D81:N81)</f>
        <v>-338256.52956399188</v>
      </c>
      <c r="T81" s="34"/>
      <c r="U81" s="34"/>
      <c r="V81" s="34"/>
      <c r="W81" s="34"/>
      <c r="X81" s="32"/>
      <c r="AA81" s="75"/>
    </row>
    <row r="82" spans="1:27" x14ac:dyDescent="0.25">
      <c r="A82" s="58"/>
      <c r="B82" s="58"/>
      <c r="C82" s="58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23">
        <f>SUM(P80:P81)</f>
        <v>-263256.52956399188</v>
      </c>
      <c r="S82" s="36">
        <f>SUM(S77:S81)</f>
        <v>237571.47488759219</v>
      </c>
      <c r="T82" s="37">
        <f>SUM(T77:T81)</f>
        <v>1.0000000000000002</v>
      </c>
      <c r="U82" s="37"/>
      <c r="V82" s="37"/>
      <c r="W82" s="38">
        <f>SUM(W77:W81)</f>
        <v>7.4778986262916236E-2</v>
      </c>
      <c r="X82" s="39" t="s">
        <v>104</v>
      </c>
      <c r="AA82" s="79"/>
    </row>
    <row r="83" spans="1:27" x14ac:dyDescent="0.25">
      <c r="A83" s="59" t="s">
        <v>16</v>
      </c>
      <c r="B83" s="58"/>
      <c r="C83" s="58"/>
      <c r="D83" s="61">
        <f>SUM(D74:D81)</f>
        <v>297765.75342465751</v>
      </c>
      <c r="E83" s="61">
        <f t="shared" ref="E83:N83" si="42">SUM(E74:E81)</f>
        <v>297642.48467017908</v>
      </c>
      <c r="F83" s="61">
        <f t="shared" si="42"/>
        <v>288370.99923906638</v>
      </c>
      <c r="G83" s="61">
        <f t="shared" si="42"/>
        <v>279786.87375387433</v>
      </c>
      <c r="H83" s="61">
        <f t="shared" si="42"/>
        <v>271866.49235115084</v>
      </c>
      <c r="I83" s="61">
        <f t="shared" si="42"/>
        <v>279589.84931167692</v>
      </c>
      <c r="J83" s="61">
        <f t="shared" si="42"/>
        <v>272940.35995411215</v>
      </c>
      <c r="K83" s="61">
        <f t="shared" si="42"/>
        <v>266904.69203792547</v>
      </c>
      <c r="L83" s="61">
        <f t="shared" si="42"/>
        <v>261472.6163546982</v>
      </c>
      <c r="M83" s="61">
        <f t="shared" si="42"/>
        <v>256636.87530917057</v>
      </c>
      <c r="N83" s="61">
        <f t="shared" si="42"/>
        <v>252393.0684049339</v>
      </c>
      <c r="O83" s="61"/>
      <c r="AA83" s="79"/>
    </row>
    <row r="84" spans="1:27" x14ac:dyDescent="0.25">
      <c r="A84" s="59"/>
      <c r="B84" s="58"/>
      <c r="C84" s="58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23"/>
      <c r="AA84" s="72"/>
    </row>
    <row r="85" spans="1:27" x14ac:dyDescent="0.25">
      <c r="A85" s="59" t="s">
        <v>49</v>
      </c>
      <c r="B85" s="58"/>
      <c r="C85" s="58"/>
      <c r="D85" s="61">
        <f>D71-D83</f>
        <v>0</v>
      </c>
      <c r="E85" s="61">
        <f t="shared" ref="E85:N85" si="43">E71-E83</f>
        <v>0</v>
      </c>
      <c r="F85" s="61">
        <f t="shared" si="43"/>
        <v>0</v>
      </c>
      <c r="G85" s="61">
        <f t="shared" si="43"/>
        <v>0</v>
      </c>
      <c r="H85" s="61">
        <f t="shared" si="43"/>
        <v>0</v>
      </c>
      <c r="I85" s="61">
        <f t="shared" si="43"/>
        <v>0</v>
      </c>
      <c r="J85" s="61">
        <f t="shared" si="43"/>
        <v>0</v>
      </c>
      <c r="K85" s="61">
        <f t="shared" si="43"/>
        <v>0</v>
      </c>
      <c r="L85" s="61">
        <f t="shared" si="43"/>
        <v>0</v>
      </c>
      <c r="M85" s="61">
        <f t="shared" si="43"/>
        <v>0</v>
      </c>
      <c r="N85" s="61">
        <f t="shared" si="43"/>
        <v>0</v>
      </c>
      <c r="O85" s="61"/>
    </row>
    <row r="86" spans="1:27" s="10" customFormat="1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8" spans="1:27" x14ac:dyDescent="0.25">
      <c r="A88" s="119" t="s">
        <v>105</v>
      </c>
      <c r="B88" s="120"/>
      <c r="C88" s="120"/>
      <c r="D88" s="121"/>
      <c r="E88" s="120"/>
      <c r="F88" s="120"/>
      <c r="G88" s="120"/>
      <c r="H88" s="120"/>
      <c r="I88" s="120"/>
      <c r="J88" s="122"/>
      <c r="K88" s="122"/>
      <c r="L88" s="122"/>
      <c r="M88" s="122"/>
      <c r="N88" s="122"/>
      <c r="O88" s="122"/>
      <c r="P88" s="120"/>
      <c r="Q88" s="120"/>
    </row>
    <row r="89" spans="1:27" x14ac:dyDescent="0.25">
      <c r="A89" s="120" t="s">
        <v>106</v>
      </c>
      <c r="B89" s="120"/>
      <c r="C89" s="120"/>
      <c r="D89" s="121"/>
      <c r="E89" s="120"/>
      <c r="F89" s="120"/>
      <c r="G89" s="120"/>
      <c r="H89" s="120"/>
      <c r="I89" s="120"/>
      <c r="J89" s="122"/>
      <c r="K89" s="122"/>
      <c r="L89" s="122"/>
      <c r="M89" s="122"/>
      <c r="N89" s="122"/>
      <c r="O89" s="122"/>
      <c r="P89" s="120"/>
      <c r="Q89" s="120"/>
    </row>
    <row r="90" spans="1:27" x14ac:dyDescent="0.25">
      <c r="A90" s="120"/>
      <c r="B90" s="120" t="s">
        <v>107</v>
      </c>
      <c r="C90" s="120"/>
      <c r="D90" s="123">
        <f>SUM(D38:D40)-SUM(D42:D48)</f>
        <v>-236.92307692306349</v>
      </c>
      <c r="E90" s="123">
        <f t="shared" ref="E90:M90" si="44">SUM(E38:E40)-SUM(E42:E48)</f>
        <v>-19811.538461538439</v>
      </c>
      <c r="F90" s="123">
        <f t="shared" si="44"/>
        <v>-19403.379969230766</v>
      </c>
      <c r="G90" s="123">
        <f t="shared" si="44"/>
        <v>-19011.994374184607</v>
      </c>
      <c r="H90" s="123">
        <f t="shared" si="44"/>
        <v>-18636.944116264931</v>
      </c>
      <c r="I90" s="123">
        <f t="shared" si="44"/>
        <v>-18277.806847694272</v>
      </c>
      <c r="J90" s="123">
        <f t="shared" si="44"/>
        <v>-17934.174994430039</v>
      </c>
      <c r="K90" s="123">
        <f t="shared" si="44"/>
        <v>-17605.655331797287</v>
      </c>
      <c r="L90" s="123">
        <f t="shared" si="44"/>
        <v>-17291.868573949992</v>
      </c>
      <c r="M90" s="123">
        <f t="shared" si="44"/>
        <v>-16992.448976744781</v>
      </c>
      <c r="N90" s="123">
        <f>SUM(N38:N40)-SUM(N42:N48)</f>
        <v>-16707.043953624612</v>
      </c>
      <c r="O90" s="123"/>
      <c r="P90" s="120"/>
      <c r="Q90" s="120"/>
    </row>
    <row r="91" spans="1:27" x14ac:dyDescent="0.25">
      <c r="A91" s="120"/>
      <c r="B91" s="120" t="s">
        <v>108</v>
      </c>
      <c r="C91" s="120"/>
      <c r="D91" s="123">
        <f>D52</f>
        <v>7500</v>
      </c>
      <c r="E91" s="123">
        <f t="shared" ref="E91:M91" si="45">E52</f>
        <v>7500</v>
      </c>
      <c r="F91" s="123">
        <f t="shared" si="45"/>
        <v>7500</v>
      </c>
      <c r="G91" s="123">
        <f t="shared" si="45"/>
        <v>7500</v>
      </c>
      <c r="H91" s="123">
        <f t="shared" si="45"/>
        <v>7500</v>
      </c>
      <c r="I91" s="123">
        <f t="shared" si="45"/>
        <v>7500</v>
      </c>
      <c r="J91" s="123">
        <f t="shared" si="45"/>
        <v>7500</v>
      </c>
      <c r="K91" s="123">
        <f t="shared" si="45"/>
        <v>7500</v>
      </c>
      <c r="L91" s="123">
        <f t="shared" si="45"/>
        <v>7500</v>
      </c>
      <c r="M91" s="123">
        <f t="shared" si="45"/>
        <v>7500</v>
      </c>
      <c r="N91" s="123">
        <f>N52</f>
        <v>7500</v>
      </c>
      <c r="O91" s="123"/>
      <c r="P91" s="120"/>
      <c r="Q91" s="120"/>
      <c r="R91" s="24"/>
      <c r="S91" s="24"/>
      <c r="T91" s="24"/>
      <c r="U91" s="24"/>
      <c r="V91" s="24"/>
      <c r="W91" s="24"/>
      <c r="X91" s="24"/>
      <c r="Y91" s="24"/>
      <c r="Z91" s="24"/>
    </row>
    <row r="92" spans="1:27" x14ac:dyDescent="0.25">
      <c r="A92" s="120"/>
      <c r="B92" s="120" t="s">
        <v>109</v>
      </c>
      <c r="C92" s="120"/>
      <c r="D92" s="123">
        <f>D90-D91</f>
        <v>-7736.9230769230635</v>
      </c>
      <c r="E92" s="123">
        <f t="shared" ref="E92:M92" si="46">E90-E91</f>
        <v>-27311.538461538439</v>
      </c>
      <c r="F92" s="123">
        <f t="shared" si="46"/>
        <v>-26903.379969230766</v>
      </c>
      <c r="G92" s="123">
        <f t="shared" si="46"/>
        <v>-26511.994374184607</v>
      </c>
      <c r="H92" s="123">
        <f t="shared" si="46"/>
        <v>-26136.944116264931</v>
      </c>
      <c r="I92" s="123">
        <f t="shared" si="46"/>
        <v>-25777.806847694272</v>
      </c>
      <c r="J92" s="123">
        <f t="shared" si="46"/>
        <v>-25434.174994430039</v>
      </c>
      <c r="K92" s="123">
        <f t="shared" si="46"/>
        <v>-25105.655331797287</v>
      </c>
      <c r="L92" s="123">
        <f t="shared" si="46"/>
        <v>-24791.868573949992</v>
      </c>
      <c r="M92" s="123">
        <f t="shared" si="46"/>
        <v>-24492.448976744781</v>
      </c>
      <c r="N92" s="123">
        <f>N90-N91</f>
        <v>-24207.043953624612</v>
      </c>
      <c r="O92" s="123"/>
      <c r="P92" s="120"/>
      <c r="Q92" s="120"/>
      <c r="R92" s="24"/>
      <c r="S92" s="24"/>
      <c r="T92" s="24"/>
      <c r="U92" s="24"/>
      <c r="V92" s="24"/>
      <c r="W92" s="24"/>
      <c r="X92" s="24"/>
      <c r="Y92" s="24"/>
      <c r="Z92" s="24"/>
    </row>
    <row r="93" spans="1:27" x14ac:dyDescent="0.25">
      <c r="A93" s="120"/>
      <c r="B93" s="120" t="s">
        <v>110</v>
      </c>
      <c r="C93" s="120"/>
      <c r="D93" s="124">
        <f t="shared" ref="D93:N93" si="47">IF(D92&lt;=0,0,D92*$V$67)</f>
        <v>0</v>
      </c>
      <c r="E93" s="124">
        <f t="shared" si="47"/>
        <v>0</v>
      </c>
      <c r="F93" s="124">
        <f t="shared" si="47"/>
        <v>0</v>
      </c>
      <c r="G93" s="124">
        <f t="shared" si="47"/>
        <v>0</v>
      </c>
      <c r="H93" s="124">
        <f t="shared" si="47"/>
        <v>0</v>
      </c>
      <c r="I93" s="124">
        <f t="shared" si="47"/>
        <v>0</v>
      </c>
      <c r="J93" s="124">
        <f t="shared" si="47"/>
        <v>0</v>
      </c>
      <c r="K93" s="124">
        <f t="shared" si="47"/>
        <v>0</v>
      </c>
      <c r="L93" s="124">
        <f t="shared" si="47"/>
        <v>0</v>
      </c>
      <c r="M93" s="124">
        <f t="shared" si="47"/>
        <v>0</v>
      </c>
      <c r="N93" s="124">
        <f t="shared" si="47"/>
        <v>0</v>
      </c>
      <c r="O93" s="124"/>
      <c r="P93" s="120"/>
      <c r="Q93" s="120"/>
    </row>
    <row r="94" spans="1:27" x14ac:dyDescent="0.25">
      <c r="A94" s="120"/>
      <c r="B94" s="120" t="s">
        <v>111</v>
      </c>
      <c r="C94" s="120"/>
      <c r="D94" s="125">
        <f>D90-D93</f>
        <v>-236.92307692306349</v>
      </c>
      <c r="E94" s="125">
        <f t="shared" ref="E94:M94" si="48">E90-E93</f>
        <v>-19811.538461538439</v>
      </c>
      <c r="F94" s="125">
        <f t="shared" si="48"/>
        <v>-19403.379969230766</v>
      </c>
      <c r="G94" s="125">
        <f t="shared" si="48"/>
        <v>-19011.994374184607</v>
      </c>
      <c r="H94" s="125">
        <f t="shared" si="48"/>
        <v>-18636.944116264931</v>
      </c>
      <c r="I94" s="125">
        <f t="shared" si="48"/>
        <v>-18277.806847694272</v>
      </c>
      <c r="J94" s="125">
        <f t="shared" si="48"/>
        <v>-17934.174994430039</v>
      </c>
      <c r="K94" s="125">
        <f t="shared" si="48"/>
        <v>-17605.655331797287</v>
      </c>
      <c r="L94" s="125">
        <f t="shared" si="48"/>
        <v>-17291.868573949992</v>
      </c>
      <c r="M94" s="125">
        <f t="shared" si="48"/>
        <v>-16992.448976744781</v>
      </c>
      <c r="N94" s="125">
        <f>N90-N93</f>
        <v>-16707.043953624612</v>
      </c>
      <c r="O94" s="126"/>
      <c r="P94" s="120"/>
      <c r="Q94" s="120"/>
    </row>
    <row r="95" spans="1:27" x14ac:dyDescent="0.25">
      <c r="A95" s="120"/>
      <c r="B95" s="120"/>
      <c r="C95" s="120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2"/>
      <c r="O95" s="122"/>
      <c r="P95" s="120"/>
      <c r="Q95" s="120"/>
    </row>
    <row r="96" spans="1:27" x14ac:dyDescent="0.25">
      <c r="A96" s="120" t="s">
        <v>112</v>
      </c>
      <c r="B96" s="120"/>
      <c r="C96" s="120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2"/>
      <c r="O96" s="122"/>
      <c r="P96" s="120"/>
      <c r="Q96" s="120"/>
    </row>
    <row r="97" spans="1:26" x14ac:dyDescent="0.25">
      <c r="A97" s="127" t="s">
        <v>113</v>
      </c>
      <c r="B97" s="120" t="s">
        <v>114</v>
      </c>
      <c r="C97" s="123">
        <f>-(D62-C62)</f>
        <v>-1000</v>
      </c>
      <c r="D97" s="123">
        <f>-(E62-D62)</f>
        <v>0</v>
      </c>
      <c r="E97" s="123">
        <f t="shared" ref="E97:M97" si="49">-(F62-E62)</f>
        <v>0</v>
      </c>
      <c r="F97" s="123">
        <f t="shared" si="49"/>
        <v>0</v>
      </c>
      <c r="G97" s="123">
        <f t="shared" si="49"/>
        <v>0</v>
      </c>
      <c r="H97" s="123">
        <f t="shared" si="49"/>
        <v>0</v>
      </c>
      <c r="I97" s="123">
        <f t="shared" si="49"/>
        <v>0</v>
      </c>
      <c r="J97" s="123">
        <f t="shared" si="49"/>
        <v>0</v>
      </c>
      <c r="K97" s="123">
        <f t="shared" si="49"/>
        <v>0</v>
      </c>
      <c r="L97" s="123">
        <f t="shared" si="49"/>
        <v>0</v>
      </c>
      <c r="M97" s="123">
        <f t="shared" si="49"/>
        <v>0</v>
      </c>
      <c r="N97" s="123">
        <f>-(P62-N62)</f>
        <v>1000</v>
      </c>
      <c r="O97" s="123"/>
      <c r="P97" s="120"/>
      <c r="Q97" s="120"/>
    </row>
    <row r="98" spans="1:26" x14ac:dyDescent="0.25">
      <c r="A98" s="127" t="s">
        <v>113</v>
      </c>
      <c r="B98" s="120" t="s">
        <v>9</v>
      </c>
      <c r="C98" s="123">
        <f>-(D64-C64)</f>
        <v>-68252.054794520547</v>
      </c>
      <c r="D98" s="123">
        <f>-(E64-D64)</f>
        <v>-3836.448000000004</v>
      </c>
      <c r="E98" s="123">
        <f t="shared" ref="E98:M99" si="50">-(F64-E64)</f>
        <v>-4052.0947420800076</v>
      </c>
      <c r="F98" s="123">
        <f t="shared" si="50"/>
        <v>-4279.8629875323386</v>
      </c>
      <c r="G98" s="123">
        <f t="shared" si="50"/>
        <v>-4520.4340860615193</v>
      </c>
      <c r="H98" s="123">
        <f t="shared" si="50"/>
        <v>-4774.5276860390295</v>
      </c>
      <c r="I98" s="123">
        <f t="shared" si="50"/>
        <v>-5042.9038872712845</v>
      </c>
      <c r="J98" s="123">
        <f t="shared" si="50"/>
        <v>-5326.3655147747922</v>
      </c>
      <c r="K98" s="123">
        <f t="shared" si="50"/>
        <v>-5625.7605203603161</v>
      </c>
      <c r="L98" s="123">
        <f t="shared" si="50"/>
        <v>-5941.9845192097564</v>
      </c>
      <c r="M98" s="123">
        <f t="shared" si="50"/>
        <v>-6275.983469034516</v>
      </c>
      <c r="N98" s="123">
        <f>-(P64-N64)</f>
        <v>117928.42020688411</v>
      </c>
      <c r="O98" s="123"/>
      <c r="P98" s="120"/>
      <c r="Q98" s="120"/>
    </row>
    <row r="99" spans="1:26" x14ac:dyDescent="0.25">
      <c r="A99" s="127" t="s">
        <v>113</v>
      </c>
      <c r="B99" s="120" t="s">
        <v>115</v>
      </c>
      <c r="C99" s="123">
        <f>-(D65-C65)</f>
        <v>-71013.698630136976</v>
      </c>
      <c r="D99" s="123">
        <f>-(E65-D65)</f>
        <v>-3540.2832455216121</v>
      </c>
      <c r="E99" s="123">
        <f t="shared" si="50"/>
        <v>5823.5801731928368</v>
      </c>
      <c r="F99" s="123">
        <f t="shared" si="50"/>
        <v>5363.988472724348</v>
      </c>
      <c r="G99" s="123">
        <f t="shared" si="50"/>
        <v>4940.8154887850105</v>
      </c>
      <c r="H99" s="123">
        <f t="shared" si="50"/>
        <v>4551.1707255129149</v>
      </c>
      <c r="I99" s="123">
        <f t="shared" si="50"/>
        <v>4192.3932448361084</v>
      </c>
      <c r="J99" s="123">
        <f t="shared" si="50"/>
        <v>3862.0334309616374</v>
      </c>
      <c r="K99" s="123">
        <f t="shared" si="50"/>
        <v>3557.8362035872415</v>
      </c>
      <c r="L99" s="123">
        <f t="shared" si="50"/>
        <v>3277.7255647375641</v>
      </c>
      <c r="M99" s="123">
        <f t="shared" si="50"/>
        <v>3019.7903732711929</v>
      </c>
      <c r="N99" s="123">
        <f>-(P65-N65)</f>
        <v>35964.648198049734</v>
      </c>
      <c r="O99" s="123"/>
      <c r="P99" s="120"/>
      <c r="Q99" s="120"/>
    </row>
    <row r="100" spans="1:26" x14ac:dyDescent="0.25">
      <c r="A100" s="127"/>
      <c r="B100" s="120"/>
      <c r="C100" s="120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2"/>
      <c r="O100" s="122"/>
      <c r="P100" s="120"/>
      <c r="Q100" s="120"/>
    </row>
    <row r="101" spans="1:26" x14ac:dyDescent="0.25">
      <c r="A101" s="127" t="s">
        <v>113</v>
      </c>
      <c r="B101" s="120" t="s">
        <v>24</v>
      </c>
      <c r="C101" s="123">
        <f t="shared" ref="C101" si="51">-(D67-C67)</f>
        <v>-15000</v>
      </c>
      <c r="D101" s="123">
        <f>-(E67-D67)</f>
        <v>0</v>
      </c>
      <c r="E101" s="123">
        <f t="shared" ref="E101:N101" si="52">-(F67-E67)</f>
        <v>0</v>
      </c>
      <c r="F101" s="123">
        <f t="shared" si="52"/>
        <v>0</v>
      </c>
      <c r="G101" s="123">
        <f t="shared" si="52"/>
        <v>0</v>
      </c>
      <c r="H101" s="123">
        <f t="shared" si="52"/>
        <v>0</v>
      </c>
      <c r="I101" s="123">
        <f t="shared" si="52"/>
        <v>0</v>
      </c>
      <c r="J101" s="123">
        <f t="shared" si="52"/>
        <v>0</v>
      </c>
      <c r="K101" s="123">
        <f t="shared" si="52"/>
        <v>0</v>
      </c>
      <c r="L101" s="123">
        <f t="shared" si="52"/>
        <v>0</v>
      </c>
      <c r="M101" s="123">
        <f t="shared" si="52"/>
        <v>0</v>
      </c>
      <c r="N101" s="123">
        <f t="shared" si="52"/>
        <v>15000</v>
      </c>
      <c r="O101" s="123"/>
      <c r="P101" s="120" t="s">
        <v>117</v>
      </c>
      <c r="Q101" s="128">
        <v>1.05</v>
      </c>
    </row>
    <row r="102" spans="1:26" x14ac:dyDescent="0.25">
      <c r="A102" s="127"/>
      <c r="B102" s="120" t="s">
        <v>116</v>
      </c>
      <c r="C102" s="120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9"/>
      <c r="P102" s="120" t="s">
        <v>119</v>
      </c>
      <c r="Q102" s="123">
        <f>N67</f>
        <v>15000</v>
      </c>
    </row>
    <row r="103" spans="1:26" x14ac:dyDescent="0.25">
      <c r="A103" s="127" t="s">
        <v>113</v>
      </c>
      <c r="B103" s="120" t="s">
        <v>118</v>
      </c>
      <c r="C103" s="120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9"/>
      <c r="P103" s="120" t="s">
        <v>120</v>
      </c>
      <c r="Q103" s="123">
        <f>SUM(N101:N102)-Q102</f>
        <v>0</v>
      </c>
    </row>
    <row r="104" spans="1:26" x14ac:dyDescent="0.25">
      <c r="A104" s="127"/>
      <c r="B104" s="120"/>
      <c r="C104" s="120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2"/>
      <c r="P104" s="122"/>
      <c r="Q104" s="122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x14ac:dyDescent="0.25">
      <c r="A105" s="127" t="s">
        <v>113</v>
      </c>
      <c r="B105" s="120" t="s">
        <v>10</v>
      </c>
      <c r="C105" s="123">
        <f t="shared" ref="C105" si="53">-(D68-C68)</f>
        <v>-150000</v>
      </c>
      <c r="D105" s="123">
        <f>-(E68-D68)</f>
        <v>0</v>
      </c>
      <c r="E105" s="123">
        <f t="shared" ref="E105:N105" si="54">-(F68-E68)</f>
        <v>0</v>
      </c>
      <c r="F105" s="123">
        <f t="shared" si="54"/>
        <v>0</v>
      </c>
      <c r="G105" s="123">
        <f t="shared" si="54"/>
        <v>0</v>
      </c>
      <c r="H105" s="123">
        <f t="shared" si="54"/>
        <v>-15000</v>
      </c>
      <c r="I105" s="123">
        <f t="shared" si="54"/>
        <v>0</v>
      </c>
      <c r="J105" s="123">
        <f t="shared" si="54"/>
        <v>0</v>
      </c>
      <c r="K105" s="123">
        <f t="shared" si="54"/>
        <v>0</v>
      </c>
      <c r="L105" s="123">
        <f t="shared" si="54"/>
        <v>0</v>
      </c>
      <c r="M105" s="123">
        <f t="shared" si="54"/>
        <v>0</v>
      </c>
      <c r="N105" s="123">
        <f t="shared" si="54"/>
        <v>165000</v>
      </c>
      <c r="O105" s="123"/>
      <c r="P105" s="120" t="s">
        <v>117</v>
      </c>
      <c r="Q105" s="128">
        <v>0.8</v>
      </c>
    </row>
    <row r="106" spans="1:26" x14ac:dyDescent="0.25">
      <c r="A106" s="127"/>
      <c r="B106" s="120" t="s">
        <v>116</v>
      </c>
      <c r="C106" s="120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9"/>
      <c r="P106" s="120" t="s">
        <v>119</v>
      </c>
      <c r="Q106" s="123">
        <f>I65-I66</f>
        <v>53874.427015443478</v>
      </c>
    </row>
    <row r="107" spans="1:26" x14ac:dyDescent="0.25">
      <c r="A107" s="127" t="s">
        <v>113</v>
      </c>
      <c r="B107" s="120" t="s">
        <v>118</v>
      </c>
      <c r="C107" s="120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9"/>
      <c r="P107" s="120" t="s">
        <v>120</v>
      </c>
      <c r="Q107" s="123">
        <f>SUM(N105:N106)-Q106</f>
        <v>111125.57298455652</v>
      </c>
    </row>
    <row r="108" spans="1:26" x14ac:dyDescent="0.25">
      <c r="A108" s="127"/>
      <c r="B108" s="120"/>
      <c r="C108" s="120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2"/>
      <c r="O108" s="122"/>
      <c r="P108" s="122"/>
      <c r="Q108" s="122"/>
    </row>
    <row r="109" spans="1:26" x14ac:dyDescent="0.25">
      <c r="A109" s="127" t="s">
        <v>121</v>
      </c>
      <c r="B109" s="120" t="s">
        <v>122</v>
      </c>
      <c r="C109" s="123">
        <f>(D74-C74)</f>
        <v>39224.446786090615</v>
      </c>
      <c r="D109" s="123">
        <f>(E74-D74)</f>
        <v>3562.6722866174969</v>
      </c>
      <c r="E109" s="123">
        <f t="shared" ref="E109:M109" si="55">(F74-E74)</f>
        <v>-1326.400691253948</v>
      </c>
      <c r="F109" s="123">
        <f t="shared" si="55"/>
        <v>-1285.282269825082</v>
      </c>
      <c r="G109" s="123">
        <f t="shared" si="55"/>
        <v>-1245.4385194604911</v>
      </c>
      <c r="H109" s="123">
        <f t="shared" si="55"/>
        <v>-1206.8299253572404</v>
      </c>
      <c r="I109" s="123">
        <f t="shared" si="55"/>
        <v>-1169.4181976711479</v>
      </c>
      <c r="J109" s="123">
        <f t="shared" si="55"/>
        <v>-1133.166233543343</v>
      </c>
      <c r="K109" s="123">
        <f t="shared" si="55"/>
        <v>-1098.0380803035005</v>
      </c>
      <c r="L109" s="123">
        <f t="shared" si="55"/>
        <v>-1063.998899814098</v>
      </c>
      <c r="M109" s="123">
        <f t="shared" si="55"/>
        <v>-1031.0149339198615</v>
      </c>
      <c r="N109" s="123">
        <f>(P74-N74)</f>
        <v>-32227.5313215594</v>
      </c>
      <c r="O109" s="123"/>
      <c r="P109" s="120"/>
      <c r="Q109" s="120"/>
    </row>
    <row r="110" spans="1:26" x14ac:dyDescent="0.25">
      <c r="A110" s="127" t="s">
        <v>121</v>
      </c>
      <c r="B110" s="120" t="s">
        <v>123</v>
      </c>
      <c r="C110" s="129">
        <f>(D93-C93)</f>
        <v>0</v>
      </c>
      <c r="D110" s="129">
        <f>(E93-D93)</f>
        <v>0</v>
      </c>
      <c r="E110" s="129">
        <f t="shared" ref="E110:L110" si="56">(F93-E93)</f>
        <v>0</v>
      </c>
      <c r="F110" s="129">
        <f t="shared" si="56"/>
        <v>0</v>
      </c>
      <c r="G110" s="129">
        <f t="shared" si="56"/>
        <v>0</v>
      </c>
      <c r="H110" s="129">
        <f t="shared" si="56"/>
        <v>0</v>
      </c>
      <c r="I110" s="129">
        <f t="shared" si="56"/>
        <v>0</v>
      </c>
      <c r="J110" s="129">
        <f t="shared" si="56"/>
        <v>0</v>
      </c>
      <c r="K110" s="129">
        <f t="shared" si="56"/>
        <v>0</v>
      </c>
      <c r="L110" s="129">
        <f t="shared" si="56"/>
        <v>0</v>
      </c>
      <c r="M110" s="129">
        <f>(N93-M93)</f>
        <v>0</v>
      </c>
      <c r="N110" s="129">
        <f>(P93-N93)</f>
        <v>0</v>
      </c>
      <c r="O110" s="129"/>
      <c r="P110" s="120"/>
      <c r="Q110" s="120"/>
    </row>
    <row r="111" spans="1:26" x14ac:dyDescent="0.25">
      <c r="A111" s="127"/>
      <c r="B111" s="120"/>
      <c r="C111" s="120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2"/>
      <c r="O111" s="122"/>
      <c r="P111" s="120"/>
      <c r="Q111" s="120"/>
    </row>
    <row r="112" spans="1:26" x14ac:dyDescent="0.25">
      <c r="A112" s="127" t="s">
        <v>113</v>
      </c>
      <c r="B112" s="120" t="s">
        <v>129</v>
      </c>
      <c r="C112" s="129">
        <v>-9000</v>
      </c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>
        <v>10000</v>
      </c>
      <c r="O112" s="129"/>
      <c r="P112" s="120"/>
      <c r="Q112" s="120"/>
    </row>
    <row r="113" spans="1:17" x14ac:dyDescent="0.25">
      <c r="A113" s="120"/>
      <c r="B113" s="120"/>
      <c r="C113" s="120"/>
      <c r="D113" s="121"/>
      <c r="E113" s="120"/>
      <c r="F113" s="120"/>
      <c r="G113" s="120"/>
      <c r="H113" s="120"/>
      <c r="I113" s="120"/>
      <c r="J113" s="122"/>
      <c r="K113" s="122"/>
      <c r="L113" s="122"/>
      <c r="M113" s="122"/>
      <c r="N113" s="122"/>
      <c r="O113" s="122"/>
      <c r="P113" s="120"/>
      <c r="Q113" s="120"/>
    </row>
    <row r="114" spans="1:17" x14ac:dyDescent="0.25">
      <c r="A114" s="119" t="s">
        <v>124</v>
      </c>
      <c r="B114" s="120"/>
      <c r="C114" s="130">
        <f>SUM(C94:C112)</f>
        <v>-275041.30663856689</v>
      </c>
      <c r="D114" s="130">
        <f>SUM(D94:D112)</f>
        <v>-4050.9820358271827</v>
      </c>
      <c r="E114" s="130">
        <f t="shared" ref="E114:M114" si="57">SUM(E94:E112)</f>
        <v>-19366.453721679558</v>
      </c>
      <c r="F114" s="130">
        <f t="shared" si="57"/>
        <v>-19604.536753863838</v>
      </c>
      <c r="G114" s="130">
        <f t="shared" si="57"/>
        <v>-19837.051490921607</v>
      </c>
      <c r="H114" s="130">
        <f t="shared" si="57"/>
        <v>-35067.131002148286</v>
      </c>
      <c r="I114" s="130">
        <f t="shared" si="57"/>
        <v>-20297.735687800596</v>
      </c>
      <c r="J114" s="130">
        <f t="shared" si="57"/>
        <v>-20531.673311786537</v>
      </c>
      <c r="K114" s="130">
        <f t="shared" si="57"/>
        <v>-20771.617728873862</v>
      </c>
      <c r="L114" s="130">
        <f t="shared" si="57"/>
        <v>-21020.126428236283</v>
      </c>
      <c r="M114" s="130">
        <f t="shared" si="57"/>
        <v>-21279.657006427966</v>
      </c>
      <c r="N114" s="130">
        <f>SUM(N94:N112)</f>
        <v>295958.49312974984</v>
      </c>
      <c r="O114" s="131"/>
      <c r="P114" s="120"/>
      <c r="Q114" s="120"/>
    </row>
    <row r="115" spans="1:17" x14ac:dyDescent="0.25">
      <c r="A115" s="119" t="s">
        <v>125</v>
      </c>
      <c r="B115" s="120"/>
      <c r="C115" s="133">
        <f>IRR(C114:N114)</f>
        <v>-5.6817466567106845E-2</v>
      </c>
      <c r="D115" s="121"/>
      <c r="E115" s="120"/>
      <c r="F115" s="122"/>
      <c r="G115" s="120"/>
      <c r="H115" s="120"/>
      <c r="I115" s="120"/>
      <c r="J115" s="122"/>
      <c r="K115" s="122"/>
      <c r="L115" s="122"/>
      <c r="M115" s="122"/>
      <c r="N115" s="122"/>
      <c r="O115" s="122"/>
      <c r="P115" s="120"/>
      <c r="Q115" s="120"/>
    </row>
    <row r="116" spans="1:17" x14ac:dyDescent="0.25">
      <c r="A116" s="119"/>
      <c r="B116" s="120"/>
      <c r="C116" s="120"/>
      <c r="D116" s="121"/>
      <c r="E116" s="120"/>
      <c r="F116" s="120"/>
      <c r="G116" s="120"/>
      <c r="H116" s="120"/>
      <c r="I116" s="120"/>
      <c r="J116" s="122"/>
      <c r="K116" s="122"/>
      <c r="L116" s="122"/>
      <c r="M116" s="122"/>
      <c r="N116" s="122"/>
      <c r="O116" s="122"/>
      <c r="P116" s="120"/>
      <c r="Q116" s="120"/>
    </row>
    <row r="117" spans="1:17" x14ac:dyDescent="0.25">
      <c r="A117" s="119" t="s">
        <v>126</v>
      </c>
      <c r="B117" s="120"/>
      <c r="C117" s="133">
        <f>W82</f>
        <v>7.4778986262916236E-2</v>
      </c>
      <c r="D117" s="121"/>
      <c r="E117" s="120"/>
      <c r="F117" s="122"/>
      <c r="G117" s="120"/>
      <c r="H117" s="120"/>
      <c r="I117" s="120"/>
      <c r="J117" s="122"/>
      <c r="K117" s="122"/>
      <c r="L117" s="122"/>
      <c r="M117" s="122"/>
      <c r="N117" s="122"/>
      <c r="O117" s="122"/>
      <c r="P117" s="120"/>
      <c r="Q117" s="120"/>
    </row>
    <row r="118" spans="1:17" x14ac:dyDescent="0.25">
      <c r="A118" s="119" t="s">
        <v>127</v>
      </c>
      <c r="B118" s="120"/>
      <c r="C118" s="132">
        <f>NPV(C117,D114:N114)</f>
        <v>-319.11652646116778</v>
      </c>
      <c r="D118" s="121"/>
      <c r="E118" s="120"/>
      <c r="F118" s="122"/>
      <c r="G118" s="120"/>
      <c r="H118" s="120"/>
      <c r="I118" s="120"/>
      <c r="J118" s="122"/>
      <c r="K118" s="122"/>
      <c r="L118" s="122"/>
      <c r="M118" s="122"/>
      <c r="N118" s="122"/>
      <c r="O118" s="122"/>
      <c r="P118" s="120"/>
      <c r="Q118" s="120"/>
    </row>
    <row r="120" spans="1:17" s="73" customFormat="1" x14ac:dyDescent="0.25"/>
    <row r="121" spans="1:17" x14ac:dyDescent="0.25">
      <c r="A121" s="134" t="s">
        <v>146</v>
      </c>
      <c r="B121" s="135"/>
      <c r="C121" s="136"/>
      <c r="D121" s="136"/>
      <c r="E121" s="136"/>
      <c r="F121" s="136"/>
      <c r="G121" s="136"/>
      <c r="H121" s="136"/>
      <c r="I121" s="135"/>
      <c r="J121" s="117"/>
      <c r="K121" s="117"/>
      <c r="L121" s="117"/>
      <c r="M121" s="117"/>
      <c r="N121" s="117"/>
      <c r="O121" s="117"/>
      <c r="P121" s="117"/>
    </row>
    <row r="122" spans="1:17" x14ac:dyDescent="0.2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</row>
    <row r="123" spans="1:17" x14ac:dyDescent="0.25">
      <c r="A123" s="117" t="s">
        <v>147</v>
      </c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</row>
    <row r="124" spans="1:17" x14ac:dyDescent="0.25">
      <c r="A124" s="117" t="s">
        <v>113</v>
      </c>
      <c r="B124" s="117" t="s">
        <v>32</v>
      </c>
      <c r="C124" s="118">
        <f>-(D77-C77)</f>
        <v>-146104.35836284849</v>
      </c>
      <c r="D124" s="118">
        <f>-(E77-D77)</f>
        <v>2505.6969948221522</v>
      </c>
      <c r="E124" s="118">
        <f t="shared" ref="E124:F124" si="58">-(F77-E77)</f>
        <v>2620.8082763690909</v>
      </c>
      <c r="F124" s="118">
        <f t="shared" si="58"/>
        <v>2741.2077500504092</v>
      </c>
      <c r="G124" s="118"/>
      <c r="H124" s="118"/>
      <c r="I124" s="118"/>
      <c r="J124" s="118"/>
      <c r="K124" s="118"/>
      <c r="L124" s="118"/>
      <c r="M124" s="118"/>
      <c r="N124" s="118"/>
      <c r="O124" s="118"/>
      <c r="P124" s="117"/>
    </row>
    <row r="125" spans="1:17" x14ac:dyDescent="0.25">
      <c r="A125" s="117" t="s">
        <v>121</v>
      </c>
      <c r="B125" s="117" t="s">
        <v>148</v>
      </c>
      <c r="C125" s="117"/>
      <c r="D125" s="117"/>
      <c r="E125" s="117"/>
      <c r="F125" s="117"/>
      <c r="G125" s="137">
        <f>AF77</f>
        <v>104124.55537303998</v>
      </c>
      <c r="H125" s="137"/>
      <c r="I125" s="117"/>
      <c r="J125" s="117"/>
      <c r="K125" s="117"/>
      <c r="L125" s="117"/>
      <c r="M125" s="137"/>
      <c r="N125" s="117"/>
      <c r="O125" s="117"/>
      <c r="P125" s="117"/>
    </row>
    <row r="126" spans="1:17" x14ac:dyDescent="0.25">
      <c r="A126" s="117" t="s">
        <v>121</v>
      </c>
      <c r="B126" s="117" t="s">
        <v>149</v>
      </c>
      <c r="C126" s="138"/>
      <c r="D126" s="137">
        <f>D53</f>
        <v>6633.4905839456933</v>
      </c>
      <c r="E126" s="137">
        <f t="shared" ref="E126:G126" si="59">E53</f>
        <v>6523.4352262750017</v>
      </c>
      <c r="F126" s="137">
        <f t="shared" si="59"/>
        <v>6408.3239447281367</v>
      </c>
      <c r="G126" s="137">
        <f t="shared" si="59"/>
        <v>6287.9244710468092</v>
      </c>
      <c r="H126" s="137"/>
      <c r="I126" s="137"/>
      <c r="J126" s="137"/>
      <c r="K126" s="137"/>
      <c r="L126" s="137"/>
      <c r="M126" s="137"/>
      <c r="N126" s="137"/>
      <c r="O126" s="137"/>
      <c r="P126" s="117"/>
    </row>
    <row r="127" spans="1:17" x14ac:dyDescent="0.25">
      <c r="A127" s="117" t="s">
        <v>150</v>
      </c>
      <c r="B127" s="117"/>
      <c r="C127" s="137">
        <f t="shared" ref="C127" si="60">SUM(C124:C126)</f>
        <v>-146104.35836284849</v>
      </c>
      <c r="D127" s="137">
        <f>SUM(D124:D126)</f>
        <v>9139.1875787678455</v>
      </c>
      <c r="E127" s="137">
        <f t="shared" ref="E127:F127" si="61">SUM(E124:E126)</f>
        <v>9144.2435026440926</v>
      </c>
      <c r="F127" s="137">
        <f t="shared" si="61"/>
        <v>9149.5316947785468</v>
      </c>
      <c r="G127" s="137">
        <f>SUM(G124:G126)</f>
        <v>110412.47984408679</v>
      </c>
      <c r="H127" s="137"/>
      <c r="I127" s="137"/>
      <c r="J127" s="137"/>
      <c r="K127" s="137"/>
      <c r="L127" s="137"/>
      <c r="M127" s="137"/>
      <c r="N127" s="137"/>
      <c r="O127" s="137"/>
      <c r="P127" s="117" t="s">
        <v>151</v>
      </c>
    </row>
    <row r="128" spans="1:17" x14ac:dyDescent="0.25">
      <c r="A128" s="117" t="s">
        <v>125</v>
      </c>
      <c r="B128" s="117"/>
      <c r="C128" s="141">
        <f>IRR(C127:G127)</f>
        <v>-1.5997288562608847E-2</v>
      </c>
      <c r="D128" s="139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39">
        <v>0.05</v>
      </c>
    </row>
    <row r="129" spans="1:16" x14ac:dyDescent="0.25">
      <c r="A129" s="117" t="s">
        <v>152</v>
      </c>
      <c r="B129" s="117"/>
      <c r="C129" s="141">
        <v>4.1000000000000002E-2</v>
      </c>
      <c r="D129" s="139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39">
        <v>0.95</v>
      </c>
    </row>
    <row r="130" spans="1:16" x14ac:dyDescent="0.25">
      <c r="A130" s="117" t="s">
        <v>153</v>
      </c>
      <c r="B130" s="117"/>
      <c r="C130" s="140">
        <f>P128*C128+P129*C129</f>
        <v>3.8150135571869553E-2</v>
      </c>
      <c r="D130" s="139"/>
      <c r="E130" s="117"/>
      <c r="F130" s="117"/>
      <c r="G130" s="117"/>
      <c r="H130" s="117"/>
      <c r="I130" s="139"/>
      <c r="J130" s="117"/>
      <c r="K130" s="117"/>
      <c r="L130" s="117"/>
      <c r="M130" s="117"/>
      <c r="N130" s="117"/>
      <c r="O130" s="117"/>
      <c r="P130" s="117"/>
    </row>
    <row r="131" spans="1:16" x14ac:dyDescent="0.25">
      <c r="A131" s="117"/>
      <c r="B131" s="117"/>
      <c r="C131" s="138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</row>
    <row r="132" spans="1:16" x14ac:dyDescent="0.25">
      <c r="A132" s="117" t="s">
        <v>154</v>
      </c>
      <c r="B132" s="117"/>
      <c r="C132" s="138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</row>
    <row r="133" spans="1:16" x14ac:dyDescent="0.25">
      <c r="A133" s="117" t="s">
        <v>113</v>
      </c>
      <c r="B133" s="117" t="s">
        <v>32</v>
      </c>
      <c r="C133" s="118">
        <f>-(D78-C78)</f>
        <v>-58210.519029873212</v>
      </c>
      <c r="D133" s="118">
        <f>-(E78-D78)</f>
        <v>-43885.265994186186</v>
      </c>
      <c r="E133" s="118">
        <f t="shared" ref="E133:F133" si="62">-(F78-E78)</f>
        <v>-44065.127868669413</v>
      </c>
      <c r="F133" s="118">
        <f t="shared" si="62"/>
        <v>-49797.734604623663</v>
      </c>
      <c r="G133" s="118"/>
      <c r="H133" s="118"/>
      <c r="I133" s="118"/>
      <c r="J133" s="118"/>
      <c r="K133" s="118"/>
      <c r="L133" s="118"/>
      <c r="M133" s="118"/>
      <c r="N133" s="118"/>
      <c r="O133" s="118"/>
      <c r="P133" s="117"/>
    </row>
    <row r="134" spans="1:16" x14ac:dyDescent="0.25">
      <c r="A134" s="117" t="s">
        <v>121</v>
      </c>
      <c r="B134" s="117" t="s">
        <v>148</v>
      </c>
      <c r="C134" s="118"/>
      <c r="D134" s="118"/>
      <c r="E134" s="118"/>
      <c r="F134" s="118"/>
      <c r="G134" s="118">
        <f>AF78</f>
        <v>25593.445392268088</v>
      </c>
      <c r="H134" s="137"/>
      <c r="I134" s="118"/>
      <c r="J134" s="137"/>
      <c r="K134" s="118"/>
      <c r="L134" s="137"/>
      <c r="M134" s="118"/>
      <c r="N134" s="118"/>
      <c r="O134" s="118"/>
      <c r="P134" s="117"/>
    </row>
    <row r="135" spans="1:16" x14ac:dyDescent="0.25">
      <c r="A135" s="117" t="s">
        <v>121</v>
      </c>
      <c r="B135" s="117" t="s">
        <v>149</v>
      </c>
      <c r="C135" s="117"/>
      <c r="D135" s="137">
        <f>D54</f>
        <v>6403.1570932860532</v>
      </c>
      <c r="E135" s="137">
        <f t="shared" ref="E135:G135" si="63">E54</f>
        <v>11230.536352646533</v>
      </c>
      <c r="F135" s="137">
        <f t="shared" si="63"/>
        <v>16077.700418200169</v>
      </c>
      <c r="G135" s="137">
        <f t="shared" si="63"/>
        <v>21555.451224708773</v>
      </c>
      <c r="H135" s="137"/>
      <c r="I135" s="137"/>
      <c r="J135" s="137"/>
      <c r="K135" s="137"/>
      <c r="L135" s="137"/>
      <c r="M135" s="137"/>
      <c r="N135" s="137"/>
      <c r="O135" s="137"/>
      <c r="P135" s="117"/>
    </row>
    <row r="136" spans="1:16" x14ac:dyDescent="0.25">
      <c r="A136" s="117" t="s">
        <v>150</v>
      </c>
      <c r="B136" s="117"/>
      <c r="C136" s="137">
        <f>SUM(C133:C135)</f>
        <v>-58210.519029873212</v>
      </c>
      <c r="D136" s="137">
        <f>SUM(D133:D135)</f>
        <v>-37482.10890090013</v>
      </c>
      <c r="E136" s="137">
        <f>SUM(E133:E135)</f>
        <v>-32834.591516022876</v>
      </c>
      <c r="F136" s="137">
        <f>SUM(F133:F135)</f>
        <v>-33720.034186423494</v>
      </c>
      <c r="G136" s="137">
        <f>SUM(G133:G135)</f>
        <v>47148.896616976861</v>
      </c>
      <c r="H136" s="137"/>
      <c r="I136" s="137"/>
      <c r="J136" s="137"/>
      <c r="K136" s="137"/>
      <c r="L136" s="137"/>
      <c r="M136" s="137"/>
      <c r="N136" s="137"/>
      <c r="O136" s="137"/>
      <c r="P136" s="117" t="s">
        <v>151</v>
      </c>
    </row>
    <row r="137" spans="1:16" x14ac:dyDescent="0.25">
      <c r="A137" s="117" t="s">
        <v>125</v>
      </c>
      <c r="B137" s="117"/>
      <c r="C137" s="140">
        <f>IRR(C136:G136)</f>
        <v>-0.40333321159793079</v>
      </c>
      <c r="D137" s="137"/>
      <c r="E137" s="137"/>
      <c r="F137" s="137"/>
      <c r="G137" s="137"/>
      <c r="H137" s="137"/>
      <c r="I137" s="117"/>
      <c r="J137" s="117"/>
      <c r="K137" s="117"/>
      <c r="L137" s="117"/>
      <c r="M137" s="117"/>
      <c r="N137" s="117"/>
      <c r="O137" s="117"/>
      <c r="P137" s="139">
        <v>0.05</v>
      </c>
    </row>
    <row r="138" spans="1:16" x14ac:dyDescent="0.25">
      <c r="A138" s="117" t="s">
        <v>152</v>
      </c>
      <c r="B138" s="117"/>
      <c r="C138" s="141">
        <f>P54</f>
        <v>0.11</v>
      </c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39">
        <v>0.95</v>
      </c>
    </row>
    <row r="139" spans="1:16" x14ac:dyDescent="0.25">
      <c r="A139" s="117" t="s">
        <v>153</v>
      </c>
      <c r="B139" s="117"/>
      <c r="C139" s="141">
        <f>P137*C137+P138*C138</f>
        <v>8.4333339420103459E-2</v>
      </c>
      <c r="D139" s="117"/>
      <c r="E139" s="117"/>
      <c r="F139" s="117"/>
      <c r="G139" s="117"/>
      <c r="H139" s="117"/>
      <c r="I139" s="139"/>
      <c r="J139" s="117"/>
      <c r="K139" s="117"/>
      <c r="L139" s="117"/>
      <c r="M139" s="117"/>
      <c r="N139" s="117"/>
      <c r="O139" s="117"/>
      <c r="P139" s="117"/>
    </row>
  </sheetData>
  <sheetProtection selectLockedCells="1" selectUnlockedCells="1"/>
  <conditionalFormatting sqref="D58:O58">
    <cfRule type="cellIs" dxfId="1" priority="2" operator="lessThan">
      <formula>0</formula>
    </cfRule>
  </conditionalFormatting>
  <conditionalFormatting sqref="D50:N50">
    <cfRule type="cellIs" dxfId="0" priority="1" operator="lessThan">
      <formula>0</formula>
    </cfRule>
  </conditionalFormatting>
  <pageMargins left="0.7" right="0.7" top="0.75" bottom="0.75" header="0.51180555555555596" footer="0.51180555555555596"/>
  <pageSetup scale="27" firstPageNumber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J15" sqref="J15"/>
    </sheetView>
  </sheetViews>
  <sheetFormatPr defaultRowHeight="12.75" x14ac:dyDescent="0.2"/>
  <cols>
    <col min="1" max="1" width="15.42578125" customWidth="1"/>
    <col min="2" max="2" width="12.28515625" bestFit="1" customWidth="1"/>
    <col min="3" max="3" width="10.7109375" customWidth="1"/>
    <col min="4" max="4" width="13" customWidth="1"/>
    <col min="5" max="5" width="13.140625" customWidth="1"/>
    <col min="6" max="6" width="11.7109375" customWidth="1"/>
    <col min="7" max="9" width="10.7109375" customWidth="1"/>
    <col min="10" max="10" width="12.5703125" bestFit="1" customWidth="1"/>
    <col min="11" max="14" width="10.7109375" customWidth="1"/>
    <col min="15" max="16" width="10.28515625" customWidth="1"/>
  </cols>
  <sheetData>
    <row r="1" spans="1:16" ht="15" x14ac:dyDescent="0.25">
      <c r="A1" s="143" t="s">
        <v>171</v>
      </c>
      <c r="B1" s="143" t="s">
        <v>178</v>
      </c>
      <c r="C1" t="s">
        <v>170</v>
      </c>
      <c r="D1" t="s">
        <v>179</v>
      </c>
      <c r="F1" s="143" t="s">
        <v>180</v>
      </c>
      <c r="G1" s="143"/>
    </row>
    <row r="2" spans="1:16" ht="15" x14ac:dyDescent="0.25">
      <c r="A2" s="143" t="s">
        <v>172</v>
      </c>
      <c r="B2" s="143" t="s">
        <v>175</v>
      </c>
      <c r="C2" s="163">
        <v>0.1</v>
      </c>
      <c r="D2" s="143">
        <f>B10</f>
        <v>147440.00027661159</v>
      </c>
      <c r="E2" s="162">
        <f>C2*D2</f>
        <v>14744.000027661161</v>
      </c>
      <c r="F2" s="143"/>
      <c r="G2" s="143"/>
    </row>
    <row r="3" spans="1:16" ht="15" x14ac:dyDescent="0.25">
      <c r="A3" s="143" t="s">
        <v>173</v>
      </c>
      <c r="B3" s="143" t="s">
        <v>176</v>
      </c>
      <c r="C3" s="163">
        <v>0.8</v>
      </c>
      <c r="D3" s="143">
        <f>B17</f>
        <v>26273.536552649166</v>
      </c>
      <c r="E3" s="162">
        <f t="shared" ref="E3:E4" si="0">C3*D3</f>
        <v>21018.829242119333</v>
      </c>
      <c r="F3" s="143">
        <f>SUMPRODUCT(C2:C4,D2:D4)</f>
        <v>8226.7869532776967</v>
      </c>
      <c r="G3" s="143"/>
    </row>
    <row r="4" spans="1:16" ht="15" x14ac:dyDescent="0.25">
      <c r="A4" s="143" t="s">
        <v>174</v>
      </c>
      <c r="B4" s="143" t="s">
        <v>177</v>
      </c>
      <c r="C4" s="164">
        <f>1-C2-C3</f>
        <v>9.9999999999999978E-2</v>
      </c>
      <c r="D4" s="143">
        <f>B23</f>
        <v>-275360.42316502804</v>
      </c>
      <c r="E4" s="162">
        <f t="shared" si="0"/>
        <v>-27536.042316502797</v>
      </c>
      <c r="F4" s="143"/>
      <c r="G4" s="143"/>
    </row>
    <row r="5" spans="1:16" x14ac:dyDescent="0.2">
      <c r="E5" s="162"/>
    </row>
    <row r="9" spans="1:16" x14ac:dyDescent="0.2">
      <c r="D9">
        <v>2014</v>
      </c>
      <c r="E9">
        <v>2015</v>
      </c>
      <c r="F9">
        <v>2016</v>
      </c>
      <c r="G9">
        <v>2017</v>
      </c>
      <c r="H9" s="165">
        <v>2018</v>
      </c>
      <c r="I9">
        <v>2019</v>
      </c>
      <c r="J9">
        <v>2020</v>
      </c>
      <c r="K9">
        <v>2021</v>
      </c>
      <c r="L9">
        <v>2022</v>
      </c>
      <c r="M9">
        <v>2023</v>
      </c>
      <c r="N9">
        <v>2024</v>
      </c>
    </row>
    <row r="10" spans="1:16" ht="15" x14ac:dyDescent="0.25">
      <c r="A10" s="4" t="s">
        <v>167</v>
      </c>
      <c r="B10" s="147">
        <f>NPV(C14,D11:N11)+C11+C12</f>
        <v>147440.00027661159</v>
      </c>
      <c r="D10" s="1"/>
      <c r="E10" s="1"/>
      <c r="F10" s="1"/>
      <c r="G10" s="1"/>
      <c r="H10" s="1"/>
      <c r="I10" s="1"/>
      <c r="J10" s="70"/>
      <c r="K10" s="70"/>
      <c r="L10" s="1"/>
      <c r="M10" s="1"/>
      <c r="N10" s="1"/>
      <c r="O10" s="1"/>
      <c r="P10" s="1"/>
    </row>
    <row r="11" spans="1:16" ht="15" x14ac:dyDescent="0.25">
      <c r="A11" s="1" t="s">
        <v>166</v>
      </c>
      <c r="B11" s="1"/>
      <c r="C11" s="143">
        <f>Good!C109</f>
        <v>-259588.84354722418</v>
      </c>
      <c r="D11" s="143">
        <f>Good!D109</f>
        <v>25096.427277865892</v>
      </c>
      <c r="E11" s="143">
        <f>Good!E109</f>
        <v>27043.696842627745</v>
      </c>
      <c r="F11" s="143">
        <f>Good!F109</f>
        <v>28242.152351346951</v>
      </c>
      <c r="G11" s="143">
        <f>Good!G109</f>
        <v>29491.221938109469</v>
      </c>
      <c r="H11" s="143">
        <f>Good!H109</f>
        <v>-4207.4651951101041</v>
      </c>
      <c r="I11" s="143">
        <f>Good!I109</f>
        <v>32147.723899753139</v>
      </c>
      <c r="J11" s="143">
        <f>Good!J109</f>
        <v>33558.419601051835</v>
      </c>
      <c r="K11" s="143">
        <f>Good!K109</f>
        <v>35026.242546969879</v>
      </c>
      <c r="L11" s="143">
        <f>Good!L109</f>
        <v>36552.795523210443</v>
      </c>
      <c r="M11" s="143">
        <f>Good!M109</f>
        <v>38139.654313603372</v>
      </c>
      <c r="N11" s="143">
        <f>Good!N109</f>
        <v>365615.39648141101</v>
      </c>
      <c r="O11" s="1"/>
      <c r="P11" s="1"/>
    </row>
    <row r="12" spans="1:16" ht="15" x14ac:dyDescent="0.25">
      <c r="A12" s="1"/>
      <c r="B12" s="1"/>
      <c r="C12" s="143">
        <f>NPV(C14,D12:N12)</f>
        <v>56912.300516007243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f>500*35</f>
        <v>17500</v>
      </c>
      <c r="J12" s="143">
        <f t="shared" ref="J12:N12" si="1">500*35</f>
        <v>17500</v>
      </c>
      <c r="K12" s="143">
        <f t="shared" si="1"/>
        <v>17500</v>
      </c>
      <c r="L12" s="143">
        <f t="shared" si="1"/>
        <v>17500</v>
      </c>
      <c r="M12" s="143">
        <f t="shared" si="1"/>
        <v>17500</v>
      </c>
      <c r="N12" s="143">
        <f t="shared" si="1"/>
        <v>17500</v>
      </c>
      <c r="O12" s="1"/>
      <c r="P12" s="1"/>
    </row>
    <row r="13" spans="1:16" ht="15.75" thickBot="1" x14ac:dyDescent="0.3">
      <c r="A13" s="1" t="s">
        <v>125</v>
      </c>
      <c r="B13" s="1"/>
      <c r="C13" s="56">
        <f>Good!C110</f>
        <v>0.11825805968750203</v>
      </c>
      <c r="D13" s="145"/>
      <c r="K13" s="143"/>
      <c r="L13" s="143"/>
      <c r="M13" s="143"/>
      <c r="N13" s="143"/>
      <c r="O13" s="1"/>
      <c r="P13" s="1"/>
    </row>
    <row r="14" spans="1:16" ht="15" x14ac:dyDescent="0.25">
      <c r="A14" s="1" t="s">
        <v>104</v>
      </c>
      <c r="B14" s="145"/>
      <c r="C14" s="145">
        <f>Good!C112</f>
        <v>7.5692582829831101E-2</v>
      </c>
      <c r="E14" s="166" t="s">
        <v>181</v>
      </c>
      <c r="F14" s="167" t="s">
        <v>182</v>
      </c>
      <c r="G14" s="167" t="s">
        <v>183</v>
      </c>
      <c r="H14" s="167" t="s">
        <v>184</v>
      </c>
      <c r="I14" s="167" t="s">
        <v>185</v>
      </c>
      <c r="J14" s="168"/>
      <c r="K14" s="143"/>
      <c r="L14" s="143"/>
      <c r="M14" s="143"/>
      <c r="N14" s="143"/>
      <c r="O14" s="1"/>
      <c r="P14" s="1"/>
    </row>
    <row r="15" spans="1:16" ht="15.75" thickBot="1" x14ac:dyDescent="0.3">
      <c r="A15" s="1" t="s">
        <v>170</v>
      </c>
      <c r="B15" s="145">
        <f>C2</f>
        <v>0.1</v>
      </c>
      <c r="C15" s="145"/>
      <c r="D15" s="145"/>
      <c r="E15" s="169">
        <f>C12</f>
        <v>56912.300516007243</v>
      </c>
      <c r="F15" s="170">
        <v>35000</v>
      </c>
      <c r="G15" s="170">
        <v>5</v>
      </c>
      <c r="H15" s="171">
        <v>0.2</v>
      </c>
      <c r="I15" s="171">
        <f>C19</f>
        <v>7.0231891774949595E-2</v>
      </c>
      <c r="J15" s="172">
        <f>(E15*(NORMSDIST((LN((E15/PV(I15,G15,,-F15)))+(I15+((H15^2)/2)*G15))/(H15*SQRT(G15)))))-((NORMSDIST(((LN((E15/PV(I15,G15,,-F15)))+(I15+((H15^2)/2)*G15))/(H15*SQRT(G15)))-(H15*SQRT(G15))))*PV(I15,G15,,-F15))</f>
        <v>32182.665023089627</v>
      </c>
      <c r="K15" s="143"/>
      <c r="L15" s="143"/>
      <c r="M15" s="143"/>
      <c r="N15" s="143"/>
      <c r="O15" s="1"/>
      <c r="P15" s="1"/>
    </row>
    <row r="16" spans="1:16" ht="15" x14ac:dyDescent="0.25">
      <c r="A16" s="1"/>
      <c r="B16" s="145"/>
      <c r="C16" s="145"/>
      <c r="D16" s="145"/>
      <c r="E16" s="145"/>
      <c r="F16" s="144"/>
      <c r="G16" s="143"/>
      <c r="H16" s="143"/>
      <c r="I16" s="143"/>
      <c r="J16" s="143"/>
      <c r="K16" s="143"/>
      <c r="L16" s="143"/>
      <c r="M16" s="143"/>
      <c r="N16" s="143"/>
      <c r="O16" s="1"/>
      <c r="P16" s="1"/>
    </row>
    <row r="17" spans="1:16" ht="15" x14ac:dyDescent="0.25">
      <c r="A17" s="4" t="s">
        <v>168</v>
      </c>
      <c r="B17" s="147">
        <f>NPV(C20,D18:N18)+C18</f>
        <v>26273.536552649166</v>
      </c>
      <c r="C17" s="1"/>
      <c r="D17" s="1"/>
      <c r="E17" s="1"/>
      <c r="F17" s="144"/>
      <c r="G17" s="143"/>
      <c r="H17" s="143"/>
      <c r="I17" s="143"/>
      <c r="J17" s="143"/>
      <c r="K17" s="143"/>
      <c r="L17" s="143"/>
      <c r="M17" s="143"/>
      <c r="N17" s="143"/>
      <c r="O17" s="1"/>
      <c r="P17" s="1"/>
    </row>
    <row r="18" spans="1:16" ht="15" x14ac:dyDescent="0.25">
      <c r="A18" s="1" t="s">
        <v>166</v>
      </c>
      <c r="B18" s="1"/>
      <c r="C18" s="143">
        <f>Medium!C109</f>
        <v>-263627.0410958904</v>
      </c>
      <c r="D18" s="143">
        <f>Medium!D109</f>
        <v>21256.476748858455</v>
      </c>
      <c r="E18" s="143">
        <f>Medium!E109</f>
        <v>21364.913172682791</v>
      </c>
      <c r="F18" s="143">
        <f>Medium!F109</f>
        <v>21472.767409121305</v>
      </c>
      <c r="G18" s="143">
        <f>Medium!G109</f>
        <v>21579.980490347501</v>
      </c>
      <c r="H18" s="143">
        <f>Medium!H109</f>
        <v>21686.491348180396</v>
      </c>
      <c r="I18" s="143">
        <f>Medium!I109</f>
        <v>21792.23674732474</v>
      </c>
      <c r="J18" s="143">
        <f>Medium!J109</f>
        <v>21897.151216580532</v>
      </c>
      <c r="K18" s="143">
        <f>Medium!K109</f>
        <v>22001.166977960176</v>
      </c>
      <c r="L18" s="143">
        <f>Medium!L109</f>
        <v>22104.213873649627</v>
      </c>
      <c r="M18" s="143">
        <f>Medium!M109</f>
        <v>22206.219290749428</v>
      </c>
      <c r="N18" s="143">
        <f>Medium!N109</f>
        <v>235328.80793296939</v>
      </c>
      <c r="O18" s="1"/>
      <c r="P18" s="1"/>
    </row>
    <row r="19" spans="1:16" ht="15" x14ac:dyDescent="0.25">
      <c r="A19" s="1" t="s">
        <v>125</v>
      </c>
      <c r="B19" s="1"/>
      <c r="C19" s="161">
        <f>Medium!C110</f>
        <v>7.0231891774949595E-2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43"/>
      <c r="O19" s="1"/>
      <c r="P19" s="1"/>
    </row>
    <row r="20" spans="1:16" ht="15" x14ac:dyDescent="0.25">
      <c r="A20" s="1" t="s">
        <v>104</v>
      </c>
      <c r="B20" s="145"/>
      <c r="C20" s="161">
        <f>Medium!C112</f>
        <v>5.6958869504103102E-2</v>
      </c>
      <c r="E20" s="145"/>
      <c r="F20" s="144"/>
      <c r="G20" s="143"/>
      <c r="H20" s="143"/>
      <c r="I20" s="143"/>
      <c r="J20" s="143"/>
      <c r="K20" s="143"/>
      <c r="L20" s="143"/>
      <c r="M20" s="143"/>
      <c r="N20" s="143"/>
      <c r="O20" s="1"/>
      <c r="P20" s="1"/>
    </row>
    <row r="21" spans="1:16" ht="15" x14ac:dyDescent="0.25">
      <c r="A21" s="25" t="s">
        <v>170</v>
      </c>
      <c r="B21" s="145">
        <f>C3</f>
        <v>0.8</v>
      </c>
    </row>
    <row r="23" spans="1:16" ht="15" x14ac:dyDescent="0.25">
      <c r="A23" s="4" t="s">
        <v>169</v>
      </c>
      <c r="B23" s="147">
        <f>NPV(C26,D24:N24)+C24</f>
        <v>-275360.42316502804</v>
      </c>
      <c r="C23" s="1"/>
      <c r="D23" s="1"/>
      <c r="E23" s="1"/>
      <c r="F23" s="144"/>
      <c r="G23" s="143"/>
      <c r="H23" s="143"/>
      <c r="I23" s="143"/>
      <c r="J23" s="143"/>
      <c r="K23" s="143"/>
      <c r="L23" s="143"/>
      <c r="M23" s="143"/>
      <c r="N23" s="143"/>
      <c r="O23" s="1"/>
      <c r="P23" s="1"/>
    </row>
    <row r="24" spans="1:16" ht="15" x14ac:dyDescent="0.25">
      <c r="A24" s="1" t="s">
        <v>166</v>
      </c>
      <c r="B24" s="1"/>
      <c r="C24" s="143">
        <f>Bankrupt!C114</f>
        <v>-275041.30663856689</v>
      </c>
      <c r="D24" s="143">
        <f>Bankrupt!D114</f>
        <v>-4050.9820358271827</v>
      </c>
      <c r="E24" s="143">
        <f>Bankrupt!E114</f>
        <v>-19366.453721679558</v>
      </c>
      <c r="F24" s="143">
        <f>Bankrupt!F114</f>
        <v>-19604.536753863838</v>
      </c>
      <c r="G24" s="143">
        <f>Bankrupt!G114</f>
        <v>-19837.051490921607</v>
      </c>
      <c r="H24" s="143">
        <f>Bankrupt!H114</f>
        <v>-35067.131002148286</v>
      </c>
      <c r="I24" s="143">
        <f>Bankrupt!I114</f>
        <v>-20297.735687800596</v>
      </c>
      <c r="J24" s="143">
        <f>Bankrupt!J114</f>
        <v>-20531.673311786537</v>
      </c>
      <c r="K24" s="143">
        <f>Bankrupt!K114</f>
        <v>-20771.617728873862</v>
      </c>
      <c r="L24" s="143">
        <f>Bankrupt!L114</f>
        <v>-21020.126428236283</v>
      </c>
      <c r="M24" s="143">
        <f>Bankrupt!M114</f>
        <v>-21279.657006427966</v>
      </c>
      <c r="N24" s="143">
        <f>Bankrupt!N114</f>
        <v>295958.49312974984</v>
      </c>
      <c r="O24" s="1"/>
      <c r="P24" s="1"/>
    </row>
    <row r="25" spans="1:16" ht="15" x14ac:dyDescent="0.25">
      <c r="A25" s="1" t="s">
        <v>125</v>
      </c>
      <c r="B25" s="1"/>
      <c r="C25" s="146">
        <f>Bankrupt!C115</f>
        <v>-5.6817466567106845E-2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43"/>
      <c r="O25" s="1"/>
      <c r="P25" s="1"/>
    </row>
    <row r="26" spans="1:16" ht="15" x14ac:dyDescent="0.25">
      <c r="A26" s="1" t="s">
        <v>104</v>
      </c>
      <c r="B26" s="145"/>
      <c r="C26" s="146">
        <f>Bankrupt!C117</f>
        <v>7.4778986262916236E-2</v>
      </c>
      <c r="D26" s="145"/>
      <c r="E26" s="145"/>
      <c r="F26" s="144"/>
      <c r="G26" s="143"/>
      <c r="H26" s="143"/>
      <c r="I26" s="143"/>
      <c r="J26" s="143"/>
      <c r="K26" s="143"/>
      <c r="L26" s="143"/>
      <c r="M26" s="143"/>
      <c r="N26" s="143"/>
      <c r="O26" s="1"/>
      <c r="P26" s="1"/>
    </row>
    <row r="27" spans="1:16" ht="15" x14ac:dyDescent="0.25">
      <c r="A27" s="1" t="s">
        <v>170</v>
      </c>
      <c r="B27" s="145">
        <f>C4</f>
        <v>9.9999999999999978E-2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workbookViewId="0">
      <selection activeCell="D28" sqref="D28"/>
    </sheetView>
  </sheetViews>
  <sheetFormatPr defaultColWidth="11.42578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42578125" customWidth="1"/>
    <col min="6" max="6" width="12.42578125" customWidth="1"/>
    <col min="9" max="9" width="12" bestFit="1" customWidth="1"/>
  </cols>
  <sheetData>
    <row r="1" spans="1:12" x14ac:dyDescent="0.2">
      <c r="B1" t="s">
        <v>31</v>
      </c>
      <c r="C1" t="s">
        <v>32</v>
      </c>
      <c r="D1" t="s">
        <v>33</v>
      </c>
      <c r="E1" t="s">
        <v>34</v>
      </c>
      <c r="F1" t="s">
        <v>35</v>
      </c>
      <c r="H1" t="s">
        <v>36</v>
      </c>
      <c r="I1" s="11">
        <v>4.4999999999999998E-2</v>
      </c>
      <c r="K1" t="s">
        <v>133</v>
      </c>
      <c r="L1">
        <f>SUM(Good!D62:D63)</f>
        <v>165000</v>
      </c>
    </row>
    <row r="2" spans="1:12" x14ac:dyDescent="0.2">
      <c r="A2" s="19">
        <v>41640</v>
      </c>
      <c r="B2" s="6">
        <f>I6</f>
        <v>148500</v>
      </c>
      <c r="C2" s="6">
        <f>+E2-D2</f>
        <v>195.55268509143275</v>
      </c>
      <c r="D2" s="6">
        <f>B2*$I$2</f>
        <v>556.875</v>
      </c>
      <c r="E2" s="6">
        <f>-$I$8</f>
        <v>752.42768509143275</v>
      </c>
      <c r="F2" s="6">
        <f>+B2-C2</f>
        <v>148304.44731490855</v>
      </c>
      <c r="H2" t="s">
        <v>37</v>
      </c>
      <c r="I2" s="11">
        <f>+I1/12</f>
        <v>3.7499999999999999E-3</v>
      </c>
      <c r="K2" t="s">
        <v>134</v>
      </c>
      <c r="L2" s="47">
        <v>0.1</v>
      </c>
    </row>
    <row r="3" spans="1:12" x14ac:dyDescent="0.2">
      <c r="A3" s="19">
        <v>41671</v>
      </c>
      <c r="B3" s="6">
        <f t="shared" ref="B3:B13" si="0">+F2</f>
        <v>148304.44731490855</v>
      </c>
      <c r="C3" s="6">
        <f t="shared" ref="C3:C13" si="1">+E3-D3</f>
        <v>196.28600766052568</v>
      </c>
      <c r="D3" s="6">
        <f t="shared" ref="D3:D13" si="2">B3*$I$2</f>
        <v>556.14167743090707</v>
      </c>
      <c r="E3" s="6">
        <f t="shared" ref="E3:E13" si="3">-$I$8</f>
        <v>752.42768509143275</v>
      </c>
      <c r="F3" s="6">
        <f t="shared" ref="F3:F13" si="4">+B3-C3</f>
        <v>148108.16130724802</v>
      </c>
      <c r="H3" t="s">
        <v>38</v>
      </c>
      <c r="I3" s="12">
        <v>0</v>
      </c>
    </row>
    <row r="4" spans="1:12" x14ac:dyDescent="0.2">
      <c r="A4" s="19">
        <v>41699</v>
      </c>
      <c r="B4" s="6">
        <f t="shared" si="0"/>
        <v>148108.16130724802</v>
      </c>
      <c r="C4" s="6">
        <f t="shared" si="1"/>
        <v>197.02208018925273</v>
      </c>
      <c r="D4" s="6">
        <f t="shared" si="2"/>
        <v>555.40560490218002</v>
      </c>
      <c r="E4" s="6">
        <f t="shared" si="3"/>
        <v>752.42768509143275</v>
      </c>
      <c r="F4" s="6">
        <f t="shared" si="4"/>
        <v>147911.13922705877</v>
      </c>
      <c r="H4" t="s">
        <v>39</v>
      </c>
      <c r="I4" s="13">
        <f>12*30</f>
        <v>360</v>
      </c>
    </row>
    <row r="5" spans="1:12" x14ac:dyDescent="0.2">
      <c r="A5" s="19">
        <v>41730</v>
      </c>
      <c r="B5" s="6">
        <f t="shared" si="0"/>
        <v>147911.13922705877</v>
      </c>
      <c r="C5" s="6">
        <f t="shared" si="1"/>
        <v>197.76091298996243</v>
      </c>
      <c r="D5" s="6">
        <f t="shared" si="2"/>
        <v>554.66677210147031</v>
      </c>
      <c r="E5" s="6">
        <f t="shared" si="3"/>
        <v>752.42768509143275</v>
      </c>
      <c r="F5" s="6">
        <f t="shared" si="4"/>
        <v>147713.3783140688</v>
      </c>
      <c r="H5" t="s">
        <v>40</v>
      </c>
      <c r="I5">
        <v>0</v>
      </c>
    </row>
    <row r="6" spans="1:12" x14ac:dyDescent="0.2">
      <c r="A6" s="19">
        <v>41760</v>
      </c>
      <c r="B6" s="6">
        <f t="shared" si="0"/>
        <v>147713.3783140688</v>
      </c>
      <c r="C6" s="6">
        <f t="shared" si="1"/>
        <v>198.50251641367481</v>
      </c>
      <c r="D6" s="6">
        <f t="shared" si="2"/>
        <v>553.92516867775794</v>
      </c>
      <c r="E6" s="6">
        <f t="shared" si="3"/>
        <v>752.42768509143275</v>
      </c>
      <c r="F6" s="6">
        <f t="shared" si="4"/>
        <v>147514.87579765514</v>
      </c>
      <c r="H6" t="s">
        <v>41</v>
      </c>
      <c r="I6" s="12">
        <f>L1*(1-L2)</f>
        <v>148500</v>
      </c>
    </row>
    <row r="7" spans="1:12" x14ac:dyDescent="0.2">
      <c r="A7" s="19">
        <v>41791</v>
      </c>
      <c r="B7" s="6">
        <f t="shared" si="0"/>
        <v>147514.87579765514</v>
      </c>
      <c r="C7" s="6">
        <f t="shared" si="1"/>
        <v>199.24690085022598</v>
      </c>
      <c r="D7" s="6">
        <f t="shared" si="2"/>
        <v>553.18078424120677</v>
      </c>
      <c r="E7" s="6">
        <f t="shared" si="3"/>
        <v>752.42768509143275</v>
      </c>
      <c r="F7" s="6">
        <f t="shared" si="4"/>
        <v>147315.6288968049</v>
      </c>
    </row>
    <row r="8" spans="1:12" x14ac:dyDescent="0.2">
      <c r="A8" s="19">
        <v>41821</v>
      </c>
      <c r="B8" s="6">
        <f t="shared" si="0"/>
        <v>147315.6288968049</v>
      </c>
      <c r="C8" s="6">
        <f t="shared" si="1"/>
        <v>199.99407672841437</v>
      </c>
      <c r="D8" s="6">
        <f t="shared" si="2"/>
        <v>552.43360836301838</v>
      </c>
      <c r="E8" s="6">
        <f t="shared" si="3"/>
        <v>752.42768509143275</v>
      </c>
      <c r="F8" s="6">
        <f t="shared" si="4"/>
        <v>147115.63482007649</v>
      </c>
      <c r="H8" t="s">
        <v>34</v>
      </c>
      <c r="I8" s="12">
        <f>PMT(I2,I4,I6,I3,I5)</f>
        <v>-752.42768509143275</v>
      </c>
    </row>
    <row r="9" spans="1:12" x14ac:dyDescent="0.2">
      <c r="A9" s="19">
        <v>41852</v>
      </c>
      <c r="B9" s="6">
        <f t="shared" si="0"/>
        <v>147115.63482007649</v>
      </c>
      <c r="C9" s="6">
        <f t="shared" si="1"/>
        <v>200.74405451614598</v>
      </c>
      <c r="D9" s="6">
        <f t="shared" si="2"/>
        <v>551.68363057528677</v>
      </c>
      <c r="E9" s="6">
        <f t="shared" si="3"/>
        <v>752.42768509143275</v>
      </c>
      <c r="F9" s="6">
        <f t="shared" si="4"/>
        <v>146914.89076556035</v>
      </c>
    </row>
    <row r="10" spans="1:12" x14ac:dyDescent="0.2">
      <c r="A10" s="19">
        <v>41883</v>
      </c>
      <c r="B10" s="6">
        <f t="shared" si="0"/>
        <v>146914.89076556035</v>
      </c>
      <c r="C10" s="6">
        <f t="shared" si="1"/>
        <v>201.49684472058141</v>
      </c>
      <c r="D10" s="6">
        <f t="shared" si="2"/>
        <v>550.93084037085134</v>
      </c>
      <c r="E10" s="6">
        <f t="shared" si="3"/>
        <v>752.42768509143275</v>
      </c>
      <c r="F10" s="6">
        <f t="shared" si="4"/>
        <v>146713.39392083976</v>
      </c>
    </row>
    <row r="11" spans="1:12" x14ac:dyDescent="0.2">
      <c r="A11" s="19">
        <v>41913</v>
      </c>
      <c r="B11" s="6">
        <f t="shared" si="0"/>
        <v>146713.39392083976</v>
      </c>
      <c r="C11" s="6">
        <f t="shared" si="1"/>
        <v>202.25245788828363</v>
      </c>
      <c r="D11" s="6">
        <f t="shared" si="2"/>
        <v>550.17522720314912</v>
      </c>
      <c r="E11" s="6">
        <f t="shared" si="3"/>
        <v>752.42768509143275</v>
      </c>
      <c r="F11" s="6">
        <f t="shared" si="4"/>
        <v>146511.14146295149</v>
      </c>
    </row>
    <row r="12" spans="1:12" x14ac:dyDescent="0.2">
      <c r="A12" s="19">
        <v>41944</v>
      </c>
      <c r="B12" s="6">
        <f t="shared" si="0"/>
        <v>146511.14146295149</v>
      </c>
      <c r="C12" s="6">
        <f t="shared" si="1"/>
        <v>203.01090460536466</v>
      </c>
      <c r="D12" s="6">
        <f t="shared" si="2"/>
        <v>549.41678048606809</v>
      </c>
      <c r="E12" s="6">
        <f t="shared" si="3"/>
        <v>752.42768509143275</v>
      </c>
      <c r="F12" s="6">
        <f t="shared" si="4"/>
        <v>146308.13055834614</v>
      </c>
    </row>
    <row r="13" spans="1:12" x14ac:dyDescent="0.2">
      <c r="A13" s="19">
        <v>41974</v>
      </c>
      <c r="B13" s="6">
        <f t="shared" si="0"/>
        <v>146308.13055834614</v>
      </c>
      <c r="C13" s="6">
        <f t="shared" si="1"/>
        <v>203.77219549763481</v>
      </c>
      <c r="D13" s="6">
        <f t="shared" si="2"/>
        <v>548.65548959379794</v>
      </c>
      <c r="E13" s="6">
        <f t="shared" si="3"/>
        <v>752.42768509143275</v>
      </c>
      <c r="F13" s="7">
        <f t="shared" si="4"/>
        <v>146104.35836284849</v>
      </c>
    </row>
    <row r="14" spans="1:12" x14ac:dyDescent="0.2">
      <c r="A14" s="8" t="s">
        <v>42</v>
      </c>
      <c r="B14" s="8"/>
      <c r="C14" s="7">
        <f>SUM(C2:C13)</f>
        <v>2395.6416371514988</v>
      </c>
      <c r="D14" s="7">
        <f>SUM(D2:D13)</f>
        <v>6633.4905839456933</v>
      </c>
      <c r="E14" s="6"/>
      <c r="F14" s="6"/>
    </row>
    <row r="15" spans="1:12" x14ac:dyDescent="0.2">
      <c r="A15" s="5"/>
      <c r="B15" s="5"/>
      <c r="C15" s="6"/>
      <c r="D15" s="6"/>
      <c r="E15" s="6"/>
      <c r="F15" s="6"/>
    </row>
    <row r="16" spans="1:12" x14ac:dyDescent="0.2">
      <c r="A16" s="19">
        <v>42005</v>
      </c>
      <c r="B16" s="6">
        <f>+F13</f>
        <v>146104.35836284849</v>
      </c>
      <c r="C16" s="6">
        <f t="shared" ref="C16:C27" si="5">+E16-D16</f>
        <v>204.53634123075096</v>
      </c>
      <c r="D16" s="6">
        <f t="shared" ref="D16:D27" si="6">B16*$I$2</f>
        <v>547.89134386068179</v>
      </c>
      <c r="E16" s="6">
        <f t="shared" ref="E16:E27" si="7">-$I$8</f>
        <v>752.42768509143275</v>
      </c>
      <c r="F16" s="6">
        <f t="shared" ref="F16:F27" si="8">+B16-C16</f>
        <v>145899.82202161773</v>
      </c>
    </row>
    <row r="17" spans="1:6" x14ac:dyDescent="0.2">
      <c r="A17" s="19">
        <v>42036</v>
      </c>
      <c r="B17" s="6">
        <f t="shared" ref="B17:B27" si="9">+F16</f>
        <v>145899.82202161773</v>
      </c>
      <c r="C17" s="6">
        <f t="shared" si="5"/>
        <v>205.30335251036627</v>
      </c>
      <c r="D17" s="6">
        <f t="shared" si="6"/>
        <v>547.12433258106648</v>
      </c>
      <c r="E17" s="6">
        <f t="shared" si="7"/>
        <v>752.42768509143275</v>
      </c>
      <c r="F17" s="6">
        <f t="shared" si="8"/>
        <v>145694.51866910738</v>
      </c>
    </row>
    <row r="18" spans="1:6" x14ac:dyDescent="0.2">
      <c r="A18" s="19">
        <v>42064</v>
      </c>
      <c r="B18" s="6">
        <f t="shared" si="9"/>
        <v>145694.51866910738</v>
      </c>
      <c r="C18" s="6">
        <f t="shared" si="5"/>
        <v>206.07324008228011</v>
      </c>
      <c r="D18" s="6">
        <f t="shared" si="6"/>
        <v>546.35444500915264</v>
      </c>
      <c r="E18" s="6">
        <f t="shared" si="7"/>
        <v>752.42768509143275</v>
      </c>
      <c r="F18" s="6">
        <f t="shared" si="8"/>
        <v>145488.4454290251</v>
      </c>
    </row>
    <row r="19" spans="1:6" x14ac:dyDescent="0.2">
      <c r="A19" s="19">
        <v>42095</v>
      </c>
      <c r="B19" s="6">
        <f t="shared" si="9"/>
        <v>145488.4454290251</v>
      </c>
      <c r="C19" s="6">
        <f t="shared" si="5"/>
        <v>206.84601473258863</v>
      </c>
      <c r="D19" s="6">
        <f t="shared" si="6"/>
        <v>545.58167035884412</v>
      </c>
      <c r="E19" s="6">
        <f t="shared" si="7"/>
        <v>752.42768509143275</v>
      </c>
      <c r="F19" s="6">
        <f t="shared" si="8"/>
        <v>145281.59941429252</v>
      </c>
    </row>
    <row r="20" spans="1:6" x14ac:dyDescent="0.2">
      <c r="A20" s="19">
        <v>42125</v>
      </c>
      <c r="B20" s="6">
        <f t="shared" si="9"/>
        <v>145281.59941429252</v>
      </c>
      <c r="C20" s="6">
        <f t="shared" si="5"/>
        <v>207.62168728783581</v>
      </c>
      <c r="D20" s="6">
        <f t="shared" si="6"/>
        <v>544.80599780359694</v>
      </c>
      <c r="E20" s="6">
        <f t="shared" si="7"/>
        <v>752.42768509143275</v>
      </c>
      <c r="F20" s="6">
        <f t="shared" si="8"/>
        <v>145073.97772700468</v>
      </c>
    </row>
    <row r="21" spans="1:6" x14ac:dyDescent="0.2">
      <c r="A21" s="19">
        <v>42156</v>
      </c>
      <c r="B21" s="6">
        <f t="shared" si="9"/>
        <v>145073.97772700468</v>
      </c>
      <c r="C21" s="6">
        <f t="shared" si="5"/>
        <v>208.40026861516526</v>
      </c>
      <c r="D21" s="6">
        <f t="shared" si="6"/>
        <v>544.02741647626749</v>
      </c>
      <c r="E21" s="6">
        <f t="shared" si="7"/>
        <v>752.42768509143275</v>
      </c>
      <c r="F21" s="6">
        <f t="shared" si="8"/>
        <v>144865.57745838951</v>
      </c>
    </row>
    <row r="22" spans="1:6" x14ac:dyDescent="0.2">
      <c r="A22" s="19">
        <v>42186</v>
      </c>
      <c r="B22" s="6">
        <f t="shared" si="9"/>
        <v>144865.57745838951</v>
      </c>
      <c r="C22" s="6">
        <f t="shared" si="5"/>
        <v>209.18176962247207</v>
      </c>
      <c r="D22" s="6">
        <f t="shared" si="6"/>
        <v>543.24591546896067</v>
      </c>
      <c r="E22" s="6">
        <f t="shared" si="7"/>
        <v>752.42768509143275</v>
      </c>
      <c r="F22" s="6">
        <f t="shared" si="8"/>
        <v>144656.39568876705</v>
      </c>
    </row>
    <row r="23" spans="1:6" x14ac:dyDescent="0.2">
      <c r="A23" s="19">
        <v>42217</v>
      </c>
      <c r="B23" s="6">
        <f t="shared" si="9"/>
        <v>144656.39568876705</v>
      </c>
      <c r="C23" s="6">
        <f t="shared" si="5"/>
        <v>209.96620125855634</v>
      </c>
      <c r="D23" s="6">
        <f t="shared" si="6"/>
        <v>542.46148383287641</v>
      </c>
      <c r="E23" s="6">
        <f t="shared" si="7"/>
        <v>752.42768509143275</v>
      </c>
      <c r="F23" s="6">
        <f t="shared" si="8"/>
        <v>144446.42948750849</v>
      </c>
    </row>
    <row r="24" spans="1:6" x14ac:dyDescent="0.2">
      <c r="A24" s="19">
        <v>42248</v>
      </c>
      <c r="B24" s="6">
        <f t="shared" si="9"/>
        <v>144446.42948750849</v>
      </c>
      <c r="C24" s="6">
        <f t="shared" si="5"/>
        <v>210.75357451327591</v>
      </c>
      <c r="D24" s="6">
        <f t="shared" si="6"/>
        <v>541.67411057815684</v>
      </c>
      <c r="E24" s="6">
        <f t="shared" si="7"/>
        <v>752.42768509143275</v>
      </c>
      <c r="F24" s="6">
        <f t="shared" si="8"/>
        <v>144235.67591299521</v>
      </c>
    </row>
    <row r="25" spans="1:6" x14ac:dyDescent="0.2">
      <c r="A25" s="19">
        <v>42278</v>
      </c>
      <c r="B25" s="6">
        <f t="shared" si="9"/>
        <v>144235.67591299521</v>
      </c>
      <c r="C25" s="6">
        <f t="shared" si="5"/>
        <v>211.54390041770068</v>
      </c>
      <c r="D25" s="6">
        <f t="shared" si="6"/>
        <v>540.88378467373207</v>
      </c>
      <c r="E25" s="6">
        <f t="shared" si="7"/>
        <v>752.42768509143275</v>
      </c>
      <c r="F25" s="6">
        <f t="shared" si="8"/>
        <v>144024.13201257752</v>
      </c>
    </row>
    <row r="26" spans="1:6" x14ac:dyDescent="0.2">
      <c r="A26" s="19">
        <v>42309</v>
      </c>
      <c r="B26" s="6">
        <f t="shared" si="9"/>
        <v>144024.13201257752</v>
      </c>
      <c r="C26" s="6">
        <f t="shared" si="5"/>
        <v>212.337190044267</v>
      </c>
      <c r="D26" s="6">
        <f t="shared" si="6"/>
        <v>540.09049504716575</v>
      </c>
      <c r="E26" s="6">
        <f t="shared" si="7"/>
        <v>752.42768509143275</v>
      </c>
      <c r="F26" s="6">
        <f t="shared" si="8"/>
        <v>143811.79482253327</v>
      </c>
    </row>
    <row r="27" spans="1:6" x14ac:dyDescent="0.2">
      <c r="A27" s="19">
        <v>42339</v>
      </c>
      <c r="B27" s="6">
        <f t="shared" si="9"/>
        <v>143811.79482253327</v>
      </c>
      <c r="C27" s="6">
        <f t="shared" si="5"/>
        <v>213.13345450693305</v>
      </c>
      <c r="D27" s="6">
        <f t="shared" si="6"/>
        <v>539.2942305844997</v>
      </c>
      <c r="E27" s="6">
        <f t="shared" si="7"/>
        <v>752.42768509143275</v>
      </c>
      <c r="F27" s="7">
        <f t="shared" si="8"/>
        <v>143598.66136802634</v>
      </c>
    </row>
    <row r="28" spans="1:6" x14ac:dyDescent="0.2">
      <c r="A28" s="8" t="s">
        <v>42</v>
      </c>
      <c r="B28" s="8"/>
      <c r="C28" s="7">
        <f>SUM(C16:C27)</f>
        <v>2505.6969948221922</v>
      </c>
      <c r="D28" s="7">
        <f>SUM(D16:D27)</f>
        <v>6523.4352262750017</v>
      </c>
      <c r="E28" s="6"/>
      <c r="F28" s="6"/>
    </row>
    <row r="29" spans="1:6" x14ac:dyDescent="0.2">
      <c r="A29" s="5"/>
      <c r="B29" s="5"/>
      <c r="C29" s="6"/>
      <c r="D29" s="6"/>
      <c r="E29" s="6"/>
      <c r="F29" s="6"/>
    </row>
    <row r="30" spans="1:6" x14ac:dyDescent="0.2">
      <c r="A30" s="19">
        <v>42370</v>
      </c>
      <c r="B30" s="6">
        <f>+F27</f>
        <v>143598.66136802634</v>
      </c>
      <c r="C30" s="6">
        <f t="shared" ref="C30:C41" si="10">+E30-D30</f>
        <v>213.93270496133403</v>
      </c>
      <c r="D30" s="6">
        <f t="shared" ref="D30:D41" si="11">B30*$I$2</f>
        <v>538.49498013009872</v>
      </c>
      <c r="E30" s="6">
        <f t="shared" ref="E30:E41" si="12">-$I$8</f>
        <v>752.42768509143275</v>
      </c>
      <c r="F30" s="6">
        <f t="shared" ref="F30:F41" si="13">+B30-C30</f>
        <v>143384.72866306501</v>
      </c>
    </row>
    <row r="31" spans="1:6" x14ac:dyDescent="0.2">
      <c r="A31" s="19">
        <v>42401</v>
      </c>
      <c r="B31" s="6">
        <f t="shared" ref="B31:B41" si="14">+F30</f>
        <v>143384.72866306501</v>
      </c>
      <c r="C31" s="6">
        <f t="shared" si="10"/>
        <v>214.73495260493905</v>
      </c>
      <c r="D31" s="6">
        <f t="shared" si="11"/>
        <v>537.6927324864937</v>
      </c>
      <c r="E31" s="6">
        <f t="shared" si="12"/>
        <v>752.42768509143275</v>
      </c>
      <c r="F31" s="6">
        <f t="shared" si="13"/>
        <v>143169.99371046005</v>
      </c>
    </row>
    <row r="32" spans="1:6" x14ac:dyDescent="0.2">
      <c r="A32" s="19">
        <v>42430</v>
      </c>
      <c r="B32" s="6">
        <f t="shared" si="14"/>
        <v>143169.99371046005</v>
      </c>
      <c r="C32" s="6">
        <f t="shared" si="10"/>
        <v>215.5402086772076</v>
      </c>
      <c r="D32" s="6">
        <f t="shared" si="11"/>
        <v>536.88747641422515</v>
      </c>
      <c r="E32" s="6">
        <f t="shared" si="12"/>
        <v>752.42768509143275</v>
      </c>
      <c r="F32" s="6">
        <f t="shared" si="13"/>
        <v>142954.45350178285</v>
      </c>
    </row>
    <row r="33" spans="1:6" x14ac:dyDescent="0.2">
      <c r="A33" s="19">
        <v>42461</v>
      </c>
      <c r="B33" s="6">
        <f t="shared" si="14"/>
        <v>142954.45350178285</v>
      </c>
      <c r="C33" s="6">
        <f t="shared" si="10"/>
        <v>216.34848445974706</v>
      </c>
      <c r="D33" s="6">
        <f t="shared" si="11"/>
        <v>536.07920063168569</v>
      </c>
      <c r="E33" s="6">
        <f t="shared" si="12"/>
        <v>752.42768509143275</v>
      </c>
      <c r="F33" s="6">
        <f t="shared" si="13"/>
        <v>142738.10501732311</v>
      </c>
    </row>
    <row r="34" spans="1:6" x14ac:dyDescent="0.2">
      <c r="A34" s="19">
        <v>42491</v>
      </c>
      <c r="B34" s="6">
        <f t="shared" si="14"/>
        <v>142738.10501732311</v>
      </c>
      <c r="C34" s="6">
        <f t="shared" si="10"/>
        <v>217.15979127647108</v>
      </c>
      <c r="D34" s="6">
        <f t="shared" si="11"/>
        <v>535.26789381496167</v>
      </c>
      <c r="E34" s="6">
        <f t="shared" si="12"/>
        <v>752.42768509143275</v>
      </c>
      <c r="F34" s="6">
        <f t="shared" si="13"/>
        <v>142520.94522604664</v>
      </c>
    </row>
    <row r="35" spans="1:6" x14ac:dyDescent="0.2">
      <c r="A35" s="19">
        <v>42522</v>
      </c>
      <c r="B35" s="6">
        <f t="shared" si="14"/>
        <v>142520.94522604664</v>
      </c>
      <c r="C35" s="6">
        <f t="shared" si="10"/>
        <v>217.97414049375789</v>
      </c>
      <c r="D35" s="6">
        <f t="shared" si="11"/>
        <v>534.45354459767486</v>
      </c>
      <c r="E35" s="6">
        <f t="shared" si="12"/>
        <v>752.42768509143275</v>
      </c>
      <c r="F35" s="6">
        <f t="shared" si="13"/>
        <v>142302.97108555288</v>
      </c>
    </row>
    <row r="36" spans="1:6" x14ac:dyDescent="0.2">
      <c r="A36" s="19">
        <v>42552</v>
      </c>
      <c r="B36" s="6">
        <f t="shared" si="14"/>
        <v>142302.97108555288</v>
      </c>
      <c r="C36" s="6">
        <f t="shared" si="10"/>
        <v>218.79154352060948</v>
      </c>
      <c r="D36" s="6">
        <f t="shared" si="11"/>
        <v>533.63614157082327</v>
      </c>
      <c r="E36" s="6">
        <f t="shared" si="12"/>
        <v>752.42768509143275</v>
      </c>
      <c r="F36" s="6">
        <f t="shared" si="13"/>
        <v>142084.17954203227</v>
      </c>
    </row>
    <row r="37" spans="1:6" x14ac:dyDescent="0.2">
      <c r="A37" s="19">
        <v>42583</v>
      </c>
      <c r="B37" s="6">
        <f t="shared" si="14"/>
        <v>142084.17954203227</v>
      </c>
      <c r="C37" s="6">
        <f t="shared" si="10"/>
        <v>219.61201180881176</v>
      </c>
      <c r="D37" s="6">
        <f t="shared" si="11"/>
        <v>532.81567328262099</v>
      </c>
      <c r="E37" s="6">
        <f t="shared" si="12"/>
        <v>752.42768509143275</v>
      </c>
      <c r="F37" s="6">
        <f t="shared" si="13"/>
        <v>141864.56753022346</v>
      </c>
    </row>
    <row r="38" spans="1:6" x14ac:dyDescent="0.2">
      <c r="A38" s="19">
        <v>42614</v>
      </c>
      <c r="B38" s="6">
        <f t="shared" si="14"/>
        <v>141864.56753022346</v>
      </c>
      <c r="C38" s="6">
        <f t="shared" si="10"/>
        <v>220.43555685309479</v>
      </c>
      <c r="D38" s="6">
        <f t="shared" si="11"/>
        <v>531.99212823833795</v>
      </c>
      <c r="E38" s="6">
        <f t="shared" si="12"/>
        <v>752.42768509143275</v>
      </c>
      <c r="F38" s="6">
        <f t="shared" si="13"/>
        <v>141644.13197337036</v>
      </c>
    </row>
    <row r="39" spans="1:6" x14ac:dyDescent="0.2">
      <c r="A39" s="19">
        <v>42644</v>
      </c>
      <c r="B39" s="6">
        <f t="shared" si="14"/>
        <v>141644.13197337036</v>
      </c>
      <c r="C39" s="6">
        <f t="shared" si="10"/>
        <v>221.26219019129394</v>
      </c>
      <c r="D39" s="6">
        <f t="shared" si="11"/>
        <v>531.16549490013881</v>
      </c>
      <c r="E39" s="6">
        <f t="shared" si="12"/>
        <v>752.42768509143275</v>
      </c>
      <c r="F39" s="6">
        <f t="shared" si="13"/>
        <v>141422.86978317905</v>
      </c>
    </row>
    <row r="40" spans="1:6" x14ac:dyDescent="0.2">
      <c r="A40" s="19">
        <v>42675</v>
      </c>
      <c r="B40" s="6">
        <f t="shared" si="14"/>
        <v>141422.86978317905</v>
      </c>
      <c r="C40" s="6">
        <f t="shared" si="10"/>
        <v>222.09192340451136</v>
      </c>
      <c r="D40" s="6">
        <f t="shared" si="11"/>
        <v>530.33576168692139</v>
      </c>
      <c r="E40" s="6">
        <f t="shared" si="12"/>
        <v>752.42768509143275</v>
      </c>
      <c r="F40" s="6">
        <f t="shared" si="13"/>
        <v>141200.77785977453</v>
      </c>
    </row>
    <row r="41" spans="1:6" x14ac:dyDescent="0.2">
      <c r="A41" s="19">
        <v>42705</v>
      </c>
      <c r="B41" s="6">
        <f t="shared" si="14"/>
        <v>141200.77785977453</v>
      </c>
      <c r="C41" s="6">
        <f t="shared" si="10"/>
        <v>222.92476811727829</v>
      </c>
      <c r="D41" s="6">
        <f t="shared" si="11"/>
        <v>529.50291697415446</v>
      </c>
      <c r="E41" s="6">
        <f t="shared" si="12"/>
        <v>752.42768509143275</v>
      </c>
      <c r="F41" s="7">
        <f t="shared" si="13"/>
        <v>140977.85309165725</v>
      </c>
    </row>
    <row r="42" spans="1:6" x14ac:dyDescent="0.2">
      <c r="A42" s="8" t="s">
        <v>42</v>
      </c>
      <c r="B42" s="8"/>
      <c r="C42" s="7">
        <f>SUM(C30:C41)</f>
        <v>2620.8082763690563</v>
      </c>
      <c r="D42" s="7">
        <f>SUM(D30:D41)</f>
        <v>6408.3239447281367</v>
      </c>
      <c r="E42" s="6"/>
      <c r="F42" s="6"/>
    </row>
    <row r="43" spans="1:6" x14ac:dyDescent="0.2">
      <c r="A43" s="5"/>
      <c r="B43" s="5"/>
      <c r="C43" s="6"/>
      <c r="D43" s="6"/>
      <c r="E43" s="6"/>
      <c r="F43" s="6"/>
    </row>
    <row r="44" spans="1:6" x14ac:dyDescent="0.2">
      <c r="A44" s="19">
        <v>42736</v>
      </c>
      <c r="B44" s="6">
        <f>+F41</f>
        <v>140977.85309165725</v>
      </c>
      <c r="C44" s="6">
        <f t="shared" ref="C44:C55" si="15">+E44-D44</f>
        <v>223.76073599771803</v>
      </c>
      <c r="D44" s="6">
        <f t="shared" ref="D44:D55" si="16">B44*$I$2</f>
        <v>528.66694909371472</v>
      </c>
      <c r="E44" s="6">
        <f t="shared" ref="E44:E107" si="17">-$I$8</f>
        <v>752.42768509143275</v>
      </c>
      <c r="F44" s="6">
        <f t="shared" ref="F44:F55" si="18">+B44-C44</f>
        <v>140754.09235565952</v>
      </c>
    </row>
    <row r="45" spans="1:6" x14ac:dyDescent="0.2">
      <c r="A45" s="19">
        <v>42767</v>
      </c>
      <c r="B45" s="6">
        <f t="shared" ref="B45:B55" si="19">+F44</f>
        <v>140754.09235565952</v>
      </c>
      <c r="C45" s="6">
        <f t="shared" si="15"/>
        <v>224.59983875770956</v>
      </c>
      <c r="D45" s="6">
        <f t="shared" si="16"/>
        <v>527.82784633372319</v>
      </c>
      <c r="E45" s="6">
        <f t="shared" si="17"/>
        <v>752.42768509143275</v>
      </c>
      <c r="F45" s="6">
        <f t="shared" si="18"/>
        <v>140529.49251690181</v>
      </c>
    </row>
    <row r="46" spans="1:6" x14ac:dyDescent="0.2">
      <c r="A46" s="19">
        <v>42795</v>
      </c>
      <c r="B46" s="6">
        <f t="shared" si="19"/>
        <v>140529.49251690181</v>
      </c>
      <c r="C46" s="6">
        <f t="shared" si="15"/>
        <v>225.44208815305103</v>
      </c>
      <c r="D46" s="6">
        <f t="shared" si="16"/>
        <v>526.98559693838172</v>
      </c>
      <c r="E46" s="6">
        <f t="shared" si="17"/>
        <v>752.42768509143275</v>
      </c>
      <c r="F46" s="6">
        <f t="shared" si="18"/>
        <v>140304.05042874877</v>
      </c>
    </row>
    <row r="47" spans="1:6" x14ac:dyDescent="0.2">
      <c r="A47" s="19">
        <v>42826</v>
      </c>
      <c r="B47" s="6">
        <f t="shared" si="19"/>
        <v>140304.05042874877</v>
      </c>
      <c r="C47" s="6">
        <f t="shared" si="15"/>
        <v>226.28749598362492</v>
      </c>
      <c r="D47" s="6">
        <f t="shared" si="16"/>
        <v>526.14018910780783</v>
      </c>
      <c r="E47" s="6">
        <f t="shared" si="17"/>
        <v>752.42768509143275</v>
      </c>
      <c r="F47" s="6">
        <f t="shared" si="18"/>
        <v>140077.76293276515</v>
      </c>
    </row>
    <row r="48" spans="1:6" x14ac:dyDescent="0.2">
      <c r="A48" s="19">
        <v>42856</v>
      </c>
      <c r="B48" s="6">
        <f t="shared" si="19"/>
        <v>140077.76293276515</v>
      </c>
      <c r="C48" s="6">
        <f t="shared" si="15"/>
        <v>227.13607409356348</v>
      </c>
      <c r="D48" s="6">
        <f t="shared" si="16"/>
        <v>525.29161099786927</v>
      </c>
      <c r="E48" s="6">
        <f t="shared" si="17"/>
        <v>752.42768509143275</v>
      </c>
      <c r="F48" s="6">
        <f t="shared" si="18"/>
        <v>139850.62685867157</v>
      </c>
    </row>
    <row r="49" spans="1:7" x14ac:dyDescent="0.2">
      <c r="A49" s="19">
        <v>42887</v>
      </c>
      <c r="B49" s="6">
        <f t="shared" si="19"/>
        <v>139850.62685867157</v>
      </c>
      <c r="C49" s="6">
        <f t="shared" si="15"/>
        <v>227.98783437141435</v>
      </c>
      <c r="D49" s="6">
        <f t="shared" si="16"/>
        <v>524.4398507200184</v>
      </c>
      <c r="E49" s="6">
        <f t="shared" si="17"/>
        <v>752.42768509143275</v>
      </c>
      <c r="F49" s="6">
        <f t="shared" si="18"/>
        <v>139622.63902430015</v>
      </c>
    </row>
    <row r="50" spans="1:7" x14ac:dyDescent="0.2">
      <c r="A50" s="19">
        <v>42917</v>
      </c>
      <c r="B50" s="6">
        <f t="shared" si="19"/>
        <v>139622.63902430015</v>
      </c>
      <c r="C50" s="6">
        <f t="shared" si="15"/>
        <v>228.84278875030725</v>
      </c>
      <c r="D50" s="6">
        <f t="shared" si="16"/>
        <v>523.5848963411255</v>
      </c>
      <c r="E50" s="6">
        <f t="shared" si="17"/>
        <v>752.42768509143275</v>
      </c>
      <c r="F50" s="6">
        <f t="shared" si="18"/>
        <v>139393.79623554985</v>
      </c>
    </row>
    <row r="51" spans="1:7" x14ac:dyDescent="0.2">
      <c r="A51" s="19">
        <v>42948</v>
      </c>
      <c r="B51" s="6">
        <f t="shared" si="19"/>
        <v>139393.79623554985</v>
      </c>
      <c r="C51" s="6">
        <f t="shared" si="15"/>
        <v>229.70094920812085</v>
      </c>
      <c r="D51" s="6">
        <f t="shared" si="16"/>
        <v>522.7267358833119</v>
      </c>
      <c r="E51" s="6">
        <f t="shared" si="17"/>
        <v>752.42768509143275</v>
      </c>
      <c r="F51" s="6">
        <f t="shared" si="18"/>
        <v>139164.09528634173</v>
      </c>
    </row>
    <row r="52" spans="1:7" x14ac:dyDescent="0.2">
      <c r="A52" s="19">
        <v>42979</v>
      </c>
      <c r="B52" s="6">
        <f t="shared" si="19"/>
        <v>139164.09528634173</v>
      </c>
      <c r="C52" s="6">
        <f t="shared" si="15"/>
        <v>230.56232776765125</v>
      </c>
      <c r="D52" s="6">
        <f t="shared" si="16"/>
        <v>521.8653573237815</v>
      </c>
      <c r="E52" s="6">
        <f t="shared" si="17"/>
        <v>752.42768509143275</v>
      </c>
      <c r="F52" s="6">
        <f t="shared" si="18"/>
        <v>138933.53295857407</v>
      </c>
    </row>
    <row r="53" spans="1:7" x14ac:dyDescent="0.2">
      <c r="A53" s="19">
        <v>43009</v>
      </c>
      <c r="B53" s="6">
        <f t="shared" si="19"/>
        <v>138933.53295857407</v>
      </c>
      <c r="C53" s="6">
        <f t="shared" si="15"/>
        <v>231.42693649678006</v>
      </c>
      <c r="D53" s="6">
        <f t="shared" si="16"/>
        <v>521.00074859465269</v>
      </c>
      <c r="E53" s="6">
        <f t="shared" si="17"/>
        <v>752.42768509143275</v>
      </c>
      <c r="F53" s="6">
        <f t="shared" si="18"/>
        <v>138702.10602207729</v>
      </c>
    </row>
    <row r="54" spans="1:7" x14ac:dyDescent="0.2">
      <c r="A54" s="19">
        <v>43040</v>
      </c>
      <c r="B54" s="6">
        <f t="shared" si="19"/>
        <v>138702.10602207729</v>
      </c>
      <c r="C54" s="6">
        <f t="shared" si="15"/>
        <v>232.29478750864291</v>
      </c>
      <c r="D54" s="6">
        <f t="shared" si="16"/>
        <v>520.13289758278984</v>
      </c>
      <c r="E54" s="6">
        <f t="shared" si="17"/>
        <v>752.42768509143275</v>
      </c>
      <c r="F54" s="6">
        <f t="shared" si="18"/>
        <v>138469.81123456865</v>
      </c>
    </row>
    <row r="55" spans="1:7" x14ac:dyDescent="0.2">
      <c r="A55" s="19">
        <v>43070</v>
      </c>
      <c r="B55" s="6">
        <f t="shared" si="19"/>
        <v>138469.81123456865</v>
      </c>
      <c r="C55" s="6">
        <f t="shared" si="15"/>
        <v>233.1658929618003</v>
      </c>
      <c r="D55" s="6">
        <f t="shared" si="16"/>
        <v>519.26179212963245</v>
      </c>
      <c r="E55" s="6">
        <f t="shared" si="17"/>
        <v>752.42768509143275</v>
      </c>
      <c r="F55" s="7">
        <f t="shared" si="18"/>
        <v>138236.64534160684</v>
      </c>
      <c r="G55" s="6"/>
    </row>
    <row r="56" spans="1:7" x14ac:dyDescent="0.2">
      <c r="A56" s="8" t="s">
        <v>42</v>
      </c>
      <c r="B56" s="9"/>
      <c r="C56" s="7">
        <f>SUM(C44:C55)</f>
        <v>2741.2077500503838</v>
      </c>
      <c r="D56" s="7">
        <f>SUM(D44:D55)</f>
        <v>6287.9244710468092</v>
      </c>
    </row>
    <row r="58" spans="1:7" x14ac:dyDescent="0.2">
      <c r="A58" s="19">
        <v>43101</v>
      </c>
      <c r="B58" s="6">
        <f t="shared" ref="B58" si="20">+F55</f>
        <v>138236.64534160684</v>
      </c>
      <c r="C58" s="6">
        <f t="shared" ref="C58:C69" si="21">+E58-D58</f>
        <v>234.04026506040714</v>
      </c>
      <c r="D58" s="6">
        <f t="shared" ref="D58:D69" si="22">B58*$I$2</f>
        <v>518.38742003102561</v>
      </c>
      <c r="E58" s="6">
        <f t="shared" si="17"/>
        <v>752.42768509143275</v>
      </c>
      <c r="F58" s="6">
        <f t="shared" ref="F58:F69" si="23">+B58-C58</f>
        <v>138002.60507654643</v>
      </c>
    </row>
    <row r="59" spans="1:7" x14ac:dyDescent="0.2">
      <c r="A59" s="19">
        <v>43132</v>
      </c>
      <c r="B59" s="6">
        <f t="shared" ref="B59:B69" si="24">+F58</f>
        <v>138002.60507654643</v>
      </c>
      <c r="C59" s="6">
        <f t="shared" si="21"/>
        <v>234.91791605438368</v>
      </c>
      <c r="D59" s="6">
        <f t="shared" si="22"/>
        <v>517.50976903704907</v>
      </c>
      <c r="E59" s="6">
        <f t="shared" si="17"/>
        <v>752.42768509143275</v>
      </c>
      <c r="F59" s="6">
        <f t="shared" si="23"/>
        <v>137767.68716049206</v>
      </c>
    </row>
    <row r="60" spans="1:7" x14ac:dyDescent="0.2">
      <c r="A60" s="19">
        <v>43160</v>
      </c>
      <c r="B60" s="6">
        <f t="shared" si="24"/>
        <v>137767.68716049206</v>
      </c>
      <c r="C60" s="6">
        <f t="shared" si="21"/>
        <v>235.7988582395875</v>
      </c>
      <c r="D60" s="6">
        <f t="shared" si="22"/>
        <v>516.62882685184525</v>
      </c>
      <c r="E60" s="6">
        <f t="shared" si="17"/>
        <v>752.42768509143275</v>
      </c>
      <c r="F60" s="6">
        <f t="shared" si="23"/>
        <v>137531.88830225248</v>
      </c>
    </row>
    <row r="61" spans="1:7" x14ac:dyDescent="0.2">
      <c r="A61" s="19">
        <v>43191</v>
      </c>
      <c r="B61" s="6">
        <f t="shared" si="24"/>
        <v>137531.88830225248</v>
      </c>
      <c r="C61" s="6">
        <f t="shared" si="21"/>
        <v>236.68310395798596</v>
      </c>
      <c r="D61" s="6">
        <f t="shared" si="22"/>
        <v>515.74458113344679</v>
      </c>
      <c r="E61" s="6">
        <f t="shared" si="17"/>
        <v>752.42768509143275</v>
      </c>
      <c r="F61" s="6">
        <f t="shared" si="23"/>
        <v>137295.20519829448</v>
      </c>
    </row>
    <row r="62" spans="1:7" x14ac:dyDescent="0.2">
      <c r="A62" s="19">
        <v>43221</v>
      </c>
      <c r="B62" s="6">
        <f t="shared" si="24"/>
        <v>137295.20519829448</v>
      </c>
      <c r="C62" s="6">
        <f t="shared" si="21"/>
        <v>237.57066559782845</v>
      </c>
      <c r="D62" s="6">
        <f t="shared" si="22"/>
        <v>514.8570194936043</v>
      </c>
      <c r="E62" s="6">
        <f t="shared" si="17"/>
        <v>752.42768509143275</v>
      </c>
      <c r="F62" s="6">
        <f t="shared" si="23"/>
        <v>137057.63453269665</v>
      </c>
    </row>
    <row r="63" spans="1:7" x14ac:dyDescent="0.2">
      <c r="A63" s="19">
        <v>43252</v>
      </c>
      <c r="B63" s="6">
        <f t="shared" si="24"/>
        <v>137057.63453269665</v>
      </c>
      <c r="C63" s="6">
        <f t="shared" si="21"/>
        <v>238.46155559382032</v>
      </c>
      <c r="D63" s="6">
        <f t="shared" si="22"/>
        <v>513.96612949761243</v>
      </c>
      <c r="E63" s="6">
        <f t="shared" si="17"/>
        <v>752.42768509143275</v>
      </c>
      <c r="F63" s="6">
        <f t="shared" si="23"/>
        <v>136819.17297710283</v>
      </c>
    </row>
    <row r="64" spans="1:7" x14ac:dyDescent="0.2">
      <c r="A64" s="19">
        <v>43282</v>
      </c>
      <c r="B64" s="6">
        <f t="shared" si="24"/>
        <v>136819.17297710283</v>
      </c>
      <c r="C64" s="6">
        <f t="shared" si="21"/>
        <v>239.35578642729718</v>
      </c>
      <c r="D64" s="6">
        <f t="shared" si="22"/>
        <v>513.07189866413557</v>
      </c>
      <c r="E64" s="6">
        <f t="shared" si="17"/>
        <v>752.42768509143275</v>
      </c>
      <c r="F64" s="6">
        <f t="shared" si="23"/>
        <v>136579.81719067553</v>
      </c>
    </row>
    <row r="65" spans="1:6" x14ac:dyDescent="0.2">
      <c r="A65" s="19">
        <v>43313</v>
      </c>
      <c r="B65" s="6">
        <f t="shared" si="24"/>
        <v>136579.81719067553</v>
      </c>
      <c r="C65" s="6">
        <f t="shared" si="21"/>
        <v>240.25337062639949</v>
      </c>
      <c r="D65" s="6">
        <f t="shared" si="22"/>
        <v>512.17431446503326</v>
      </c>
      <c r="E65" s="6">
        <f t="shared" si="17"/>
        <v>752.42768509143275</v>
      </c>
      <c r="F65" s="6">
        <f t="shared" si="23"/>
        <v>136339.56382004914</v>
      </c>
    </row>
    <row r="66" spans="1:6" x14ac:dyDescent="0.2">
      <c r="A66" s="19">
        <v>43344</v>
      </c>
      <c r="B66" s="6">
        <f t="shared" si="24"/>
        <v>136339.56382004914</v>
      </c>
      <c r="C66" s="6">
        <f t="shared" si="21"/>
        <v>241.15432076624847</v>
      </c>
      <c r="D66" s="6">
        <f t="shared" si="22"/>
        <v>511.27336432518428</v>
      </c>
      <c r="E66" s="6">
        <f t="shared" si="17"/>
        <v>752.42768509143275</v>
      </c>
      <c r="F66" s="6">
        <f t="shared" si="23"/>
        <v>136098.40949928289</v>
      </c>
    </row>
    <row r="67" spans="1:6" x14ac:dyDescent="0.2">
      <c r="A67" s="19">
        <v>43374</v>
      </c>
      <c r="B67" s="6">
        <f t="shared" si="24"/>
        <v>136098.40949928289</v>
      </c>
      <c r="C67" s="6">
        <f t="shared" si="21"/>
        <v>242.05864946912192</v>
      </c>
      <c r="D67" s="6">
        <f t="shared" si="22"/>
        <v>510.36903562231083</v>
      </c>
      <c r="E67" s="6">
        <f t="shared" si="17"/>
        <v>752.42768509143275</v>
      </c>
      <c r="F67" s="6">
        <f t="shared" si="23"/>
        <v>135856.35084981378</v>
      </c>
    </row>
    <row r="68" spans="1:6" x14ac:dyDescent="0.2">
      <c r="A68" s="19">
        <v>43405</v>
      </c>
      <c r="B68" s="6">
        <f t="shared" si="24"/>
        <v>135856.35084981378</v>
      </c>
      <c r="C68" s="6">
        <f t="shared" si="21"/>
        <v>242.96636940463111</v>
      </c>
      <c r="D68" s="6">
        <f t="shared" si="22"/>
        <v>509.46131568680164</v>
      </c>
      <c r="E68" s="6">
        <f t="shared" si="17"/>
        <v>752.42768509143275</v>
      </c>
      <c r="F68" s="6">
        <f t="shared" si="23"/>
        <v>135613.38448040915</v>
      </c>
    </row>
    <row r="69" spans="1:6" x14ac:dyDescent="0.2">
      <c r="A69" s="19">
        <v>43435</v>
      </c>
      <c r="B69" s="6">
        <f t="shared" si="24"/>
        <v>135613.38448040915</v>
      </c>
      <c r="C69" s="6">
        <f t="shared" si="21"/>
        <v>243.87749328989844</v>
      </c>
      <c r="D69" s="6">
        <f t="shared" si="22"/>
        <v>508.55019180153431</v>
      </c>
      <c r="E69" s="6">
        <f t="shared" si="17"/>
        <v>752.42768509143275</v>
      </c>
      <c r="F69" s="7">
        <f t="shared" si="23"/>
        <v>135369.50698711924</v>
      </c>
    </row>
    <row r="70" spans="1:6" x14ac:dyDescent="0.2">
      <c r="A70" s="8" t="s">
        <v>42</v>
      </c>
      <c r="B70" s="9"/>
      <c r="C70" s="7">
        <f t="shared" ref="C70:D70" si="25">SUM(C58:C69)</f>
        <v>2867.1383544876098</v>
      </c>
      <c r="D70" s="7">
        <f t="shared" si="25"/>
        <v>6161.9938666095823</v>
      </c>
    </row>
    <row r="72" spans="1:6" x14ac:dyDescent="0.2">
      <c r="A72" s="19">
        <v>43466</v>
      </c>
      <c r="B72" s="6">
        <f t="shared" ref="B72" si="26">+F69</f>
        <v>135369.50698711924</v>
      </c>
      <c r="C72" s="6">
        <f t="shared" ref="C72:C83" si="27">+E72-D72</f>
        <v>244.79203388973565</v>
      </c>
      <c r="D72" s="6">
        <f t="shared" ref="D72:D83" si="28">B72*$I$2</f>
        <v>507.6356512016971</v>
      </c>
      <c r="E72" s="6">
        <f t="shared" si="17"/>
        <v>752.42768509143275</v>
      </c>
      <c r="F72" s="6">
        <f t="shared" ref="F72:F83" si="29">+B72-C72</f>
        <v>135124.7149532295</v>
      </c>
    </row>
    <row r="73" spans="1:6" x14ac:dyDescent="0.2">
      <c r="A73" s="19">
        <v>43497</v>
      </c>
      <c r="B73" s="6">
        <f t="shared" ref="B73:B83" si="30">+F72</f>
        <v>135124.7149532295</v>
      </c>
      <c r="C73" s="6">
        <f t="shared" si="27"/>
        <v>245.71000401682215</v>
      </c>
      <c r="D73" s="6">
        <f t="shared" si="28"/>
        <v>506.7176810746106</v>
      </c>
      <c r="E73" s="6">
        <f t="shared" si="17"/>
        <v>752.42768509143275</v>
      </c>
      <c r="F73" s="6">
        <f t="shared" si="29"/>
        <v>134879.00494921269</v>
      </c>
    </row>
    <row r="74" spans="1:6" x14ac:dyDescent="0.2">
      <c r="A74" s="19">
        <v>43525</v>
      </c>
      <c r="B74" s="6">
        <f t="shared" si="30"/>
        <v>134879.00494921269</v>
      </c>
      <c r="C74" s="6">
        <f t="shared" si="27"/>
        <v>246.63141653188518</v>
      </c>
      <c r="D74" s="6">
        <f t="shared" si="28"/>
        <v>505.79626855954757</v>
      </c>
      <c r="E74" s="6">
        <f t="shared" si="17"/>
        <v>752.42768509143275</v>
      </c>
      <c r="F74" s="6">
        <f t="shared" si="29"/>
        <v>134632.37353268079</v>
      </c>
    </row>
    <row r="75" spans="1:6" x14ac:dyDescent="0.2">
      <c r="A75" s="19">
        <v>43556</v>
      </c>
      <c r="B75" s="6">
        <f t="shared" si="30"/>
        <v>134632.37353268079</v>
      </c>
      <c r="C75" s="6">
        <f t="shared" si="27"/>
        <v>247.55628434387978</v>
      </c>
      <c r="D75" s="6">
        <f t="shared" si="28"/>
        <v>504.87140074755297</v>
      </c>
      <c r="E75" s="6">
        <f t="shared" si="17"/>
        <v>752.42768509143275</v>
      </c>
      <c r="F75" s="6">
        <f t="shared" si="29"/>
        <v>134384.81724833691</v>
      </c>
    </row>
    <row r="76" spans="1:6" x14ac:dyDescent="0.2">
      <c r="A76" s="19">
        <v>43586</v>
      </c>
      <c r="B76" s="6">
        <f t="shared" si="30"/>
        <v>134384.81724833691</v>
      </c>
      <c r="C76" s="6">
        <f t="shared" si="27"/>
        <v>248.48462041016933</v>
      </c>
      <c r="D76" s="6">
        <f t="shared" si="28"/>
        <v>503.94306468126342</v>
      </c>
      <c r="E76" s="6">
        <f t="shared" si="17"/>
        <v>752.42768509143275</v>
      </c>
      <c r="F76" s="6">
        <f t="shared" si="29"/>
        <v>134136.33262792675</v>
      </c>
    </row>
    <row r="77" spans="1:6" x14ac:dyDescent="0.2">
      <c r="A77" s="19">
        <v>43617</v>
      </c>
      <c r="B77" s="6">
        <f t="shared" si="30"/>
        <v>134136.33262792675</v>
      </c>
      <c r="C77" s="6">
        <f t="shared" si="27"/>
        <v>249.41643773670745</v>
      </c>
      <c r="D77" s="6">
        <f t="shared" si="28"/>
        <v>503.0112473547253</v>
      </c>
      <c r="E77" s="6">
        <f t="shared" si="17"/>
        <v>752.42768509143275</v>
      </c>
      <c r="F77" s="6">
        <f t="shared" si="29"/>
        <v>133886.91619019004</v>
      </c>
    </row>
    <row r="78" spans="1:6" x14ac:dyDescent="0.2">
      <c r="A78" s="19">
        <v>43647</v>
      </c>
      <c r="B78" s="6">
        <f t="shared" si="30"/>
        <v>133886.91619019004</v>
      </c>
      <c r="C78" s="6">
        <f t="shared" si="27"/>
        <v>250.35174937822012</v>
      </c>
      <c r="D78" s="6">
        <f t="shared" si="28"/>
        <v>502.07593571321263</v>
      </c>
      <c r="E78" s="6">
        <f t="shared" si="17"/>
        <v>752.42768509143275</v>
      </c>
      <c r="F78" s="6">
        <f t="shared" si="29"/>
        <v>133636.56444081181</v>
      </c>
    </row>
    <row r="79" spans="1:6" x14ac:dyDescent="0.2">
      <c r="A79" s="19">
        <v>43678</v>
      </c>
      <c r="B79" s="6">
        <f t="shared" si="30"/>
        <v>133636.56444081181</v>
      </c>
      <c r="C79" s="6">
        <f t="shared" si="27"/>
        <v>251.2905684383885</v>
      </c>
      <c r="D79" s="6">
        <f t="shared" si="28"/>
        <v>501.13711665304425</v>
      </c>
      <c r="E79" s="6">
        <f t="shared" si="17"/>
        <v>752.42768509143275</v>
      </c>
      <c r="F79" s="6">
        <f t="shared" si="29"/>
        <v>133385.27387237342</v>
      </c>
    </row>
    <row r="80" spans="1:6" x14ac:dyDescent="0.2">
      <c r="A80" s="19">
        <v>43709</v>
      </c>
      <c r="B80" s="6">
        <f t="shared" si="30"/>
        <v>133385.27387237342</v>
      </c>
      <c r="C80" s="6">
        <f t="shared" si="27"/>
        <v>252.23290807003241</v>
      </c>
      <c r="D80" s="6">
        <f t="shared" si="28"/>
        <v>500.19477702140034</v>
      </c>
      <c r="E80" s="6">
        <f t="shared" si="17"/>
        <v>752.42768509143275</v>
      </c>
      <c r="F80" s="6">
        <f t="shared" si="29"/>
        <v>133133.04096430339</v>
      </c>
    </row>
    <row r="81" spans="1:6" x14ac:dyDescent="0.2">
      <c r="A81" s="19">
        <v>43739</v>
      </c>
      <c r="B81" s="6">
        <f t="shared" si="30"/>
        <v>133133.04096430339</v>
      </c>
      <c r="C81" s="6">
        <f t="shared" si="27"/>
        <v>253.17878147529507</v>
      </c>
      <c r="D81" s="6">
        <f t="shared" si="28"/>
        <v>499.24890361613768</v>
      </c>
      <c r="E81" s="6">
        <f t="shared" si="17"/>
        <v>752.42768509143275</v>
      </c>
      <c r="F81" s="6">
        <f t="shared" si="29"/>
        <v>132879.8621828281</v>
      </c>
    </row>
    <row r="82" spans="1:6" x14ac:dyDescent="0.2">
      <c r="A82" s="19">
        <v>43770</v>
      </c>
      <c r="B82" s="6">
        <f t="shared" si="30"/>
        <v>132879.8621828281</v>
      </c>
      <c r="C82" s="6">
        <f t="shared" si="27"/>
        <v>254.12820190582738</v>
      </c>
      <c r="D82" s="6">
        <f t="shared" si="28"/>
        <v>498.29948318560537</v>
      </c>
      <c r="E82" s="6">
        <f t="shared" si="17"/>
        <v>752.42768509143275</v>
      </c>
      <c r="F82" s="6">
        <f t="shared" si="29"/>
        <v>132625.73398092226</v>
      </c>
    </row>
    <row r="83" spans="1:6" x14ac:dyDescent="0.2">
      <c r="A83" s="19">
        <v>43800</v>
      </c>
      <c r="B83" s="6">
        <f t="shared" si="30"/>
        <v>132625.73398092226</v>
      </c>
      <c r="C83" s="6">
        <f t="shared" si="27"/>
        <v>255.0811826629743</v>
      </c>
      <c r="D83" s="6">
        <f t="shared" si="28"/>
        <v>497.34650242845845</v>
      </c>
      <c r="E83" s="6">
        <f t="shared" si="17"/>
        <v>752.42768509143275</v>
      </c>
      <c r="F83" s="7">
        <f t="shared" si="29"/>
        <v>132370.65279825928</v>
      </c>
    </row>
    <row r="84" spans="1:6" x14ac:dyDescent="0.2">
      <c r="A84" s="8" t="s">
        <v>42</v>
      </c>
      <c r="B84" s="9"/>
      <c r="C84" s="7">
        <f t="shared" ref="C84:D84" si="31">SUM(C72:C83)</f>
        <v>2998.8541888599375</v>
      </c>
      <c r="D84" s="7">
        <f t="shared" si="31"/>
        <v>6030.2780322372555</v>
      </c>
    </row>
    <row r="86" spans="1:6" x14ac:dyDescent="0.2">
      <c r="A86" s="19">
        <v>43831</v>
      </c>
      <c r="B86" s="6">
        <f t="shared" ref="B86" si="32">+F83</f>
        <v>132370.65279825928</v>
      </c>
      <c r="C86" s="6">
        <f t="shared" ref="C86:C97" si="33">+E86-D86</f>
        <v>256.03773709796047</v>
      </c>
      <c r="D86" s="6">
        <f t="shared" ref="D86:D97" si="34">B86*$I$2</f>
        <v>496.38994799347228</v>
      </c>
      <c r="E86" s="6">
        <f t="shared" si="17"/>
        <v>752.42768509143275</v>
      </c>
      <c r="F86" s="6">
        <f t="shared" ref="F86:F97" si="35">+B86-C86</f>
        <v>132114.61506116131</v>
      </c>
    </row>
    <row r="87" spans="1:6" x14ac:dyDescent="0.2">
      <c r="A87" s="19">
        <v>43862</v>
      </c>
      <c r="B87" s="6">
        <f t="shared" ref="B87:B97" si="36">+F86</f>
        <v>132114.61506116131</v>
      </c>
      <c r="C87" s="6">
        <f t="shared" si="33"/>
        <v>256.99787861207784</v>
      </c>
      <c r="D87" s="6">
        <f t="shared" si="34"/>
        <v>495.42980647935491</v>
      </c>
      <c r="E87" s="6">
        <f t="shared" si="17"/>
        <v>752.42768509143275</v>
      </c>
      <c r="F87" s="6">
        <f t="shared" si="35"/>
        <v>131857.61718254923</v>
      </c>
    </row>
    <row r="88" spans="1:6" x14ac:dyDescent="0.2">
      <c r="A88" s="19">
        <v>43891</v>
      </c>
      <c r="B88" s="6">
        <f t="shared" si="36"/>
        <v>131857.61718254923</v>
      </c>
      <c r="C88" s="6">
        <f t="shared" si="33"/>
        <v>257.96162065687315</v>
      </c>
      <c r="D88" s="6">
        <f t="shared" si="34"/>
        <v>494.4660644345596</v>
      </c>
      <c r="E88" s="6">
        <f t="shared" si="17"/>
        <v>752.42768509143275</v>
      </c>
      <c r="F88" s="6">
        <f t="shared" si="35"/>
        <v>131599.65556189237</v>
      </c>
    </row>
    <row r="89" spans="1:6" x14ac:dyDescent="0.2">
      <c r="A89" s="19">
        <v>43922</v>
      </c>
      <c r="B89" s="6">
        <f t="shared" si="36"/>
        <v>131599.65556189237</v>
      </c>
      <c r="C89" s="6">
        <f t="shared" si="33"/>
        <v>258.92897673433635</v>
      </c>
      <c r="D89" s="6">
        <f t="shared" si="34"/>
        <v>493.4987083570964</v>
      </c>
      <c r="E89" s="6">
        <f t="shared" si="17"/>
        <v>752.42768509143275</v>
      </c>
      <c r="F89" s="6">
        <f t="shared" si="35"/>
        <v>131340.72658515803</v>
      </c>
    </row>
    <row r="90" spans="1:6" x14ac:dyDescent="0.2">
      <c r="A90" s="19">
        <v>43952</v>
      </c>
      <c r="B90" s="6">
        <f t="shared" si="36"/>
        <v>131340.72658515803</v>
      </c>
      <c r="C90" s="6">
        <f t="shared" si="33"/>
        <v>259.89996039709013</v>
      </c>
      <c r="D90" s="6">
        <f t="shared" si="34"/>
        <v>492.52772469434262</v>
      </c>
      <c r="E90" s="6">
        <f t="shared" si="17"/>
        <v>752.42768509143275</v>
      </c>
      <c r="F90" s="6">
        <f t="shared" si="35"/>
        <v>131080.82662476093</v>
      </c>
    </row>
    <row r="91" spans="1:6" x14ac:dyDescent="0.2">
      <c r="A91" s="19">
        <v>43983</v>
      </c>
      <c r="B91" s="6">
        <f t="shared" si="36"/>
        <v>131080.82662476093</v>
      </c>
      <c r="C91" s="6">
        <f t="shared" si="33"/>
        <v>260.87458524857931</v>
      </c>
      <c r="D91" s="6">
        <f t="shared" si="34"/>
        <v>491.55309984285344</v>
      </c>
      <c r="E91" s="6">
        <f t="shared" si="17"/>
        <v>752.42768509143275</v>
      </c>
      <c r="F91" s="6">
        <f t="shared" si="35"/>
        <v>130819.95203951235</v>
      </c>
    </row>
    <row r="92" spans="1:6" x14ac:dyDescent="0.2">
      <c r="A92" s="19">
        <v>44013</v>
      </c>
      <c r="B92" s="6">
        <f t="shared" si="36"/>
        <v>130819.95203951235</v>
      </c>
      <c r="C92" s="6">
        <f t="shared" si="33"/>
        <v>261.85286494326147</v>
      </c>
      <c r="D92" s="6">
        <f t="shared" si="34"/>
        <v>490.57482014817128</v>
      </c>
      <c r="E92" s="6">
        <f t="shared" si="17"/>
        <v>752.42768509143275</v>
      </c>
      <c r="F92" s="6">
        <f t="shared" si="35"/>
        <v>130558.0991745691</v>
      </c>
    </row>
    <row r="93" spans="1:6" x14ac:dyDescent="0.2">
      <c r="A93" s="19">
        <v>44044</v>
      </c>
      <c r="B93" s="6">
        <f t="shared" si="36"/>
        <v>130558.0991745691</v>
      </c>
      <c r="C93" s="6">
        <f t="shared" si="33"/>
        <v>262.83481318679867</v>
      </c>
      <c r="D93" s="6">
        <f t="shared" si="34"/>
        <v>489.59287190463408</v>
      </c>
      <c r="E93" s="6">
        <f t="shared" si="17"/>
        <v>752.42768509143275</v>
      </c>
      <c r="F93" s="6">
        <f t="shared" si="35"/>
        <v>130295.2643613823</v>
      </c>
    </row>
    <row r="94" spans="1:6" x14ac:dyDescent="0.2">
      <c r="A94" s="19">
        <v>44075</v>
      </c>
      <c r="B94" s="6">
        <f t="shared" si="36"/>
        <v>130295.2643613823</v>
      </c>
      <c r="C94" s="6">
        <f t="shared" si="33"/>
        <v>263.82044373624916</v>
      </c>
      <c r="D94" s="6">
        <f t="shared" si="34"/>
        <v>488.60724135518359</v>
      </c>
      <c r="E94" s="6">
        <f t="shared" si="17"/>
        <v>752.42768509143275</v>
      </c>
      <c r="F94" s="6">
        <f t="shared" si="35"/>
        <v>130031.44391764606</v>
      </c>
    </row>
    <row r="95" spans="1:6" x14ac:dyDescent="0.2">
      <c r="A95" s="19">
        <v>44105</v>
      </c>
      <c r="B95" s="6">
        <f t="shared" si="36"/>
        <v>130031.44391764606</v>
      </c>
      <c r="C95" s="6">
        <f t="shared" si="33"/>
        <v>264.80977040026005</v>
      </c>
      <c r="D95" s="6">
        <f t="shared" si="34"/>
        <v>487.6179146911727</v>
      </c>
      <c r="E95" s="6">
        <f t="shared" si="17"/>
        <v>752.42768509143275</v>
      </c>
      <c r="F95" s="6">
        <f t="shared" si="35"/>
        <v>129766.6341472458</v>
      </c>
    </row>
    <row r="96" spans="1:6" x14ac:dyDescent="0.2">
      <c r="A96" s="19">
        <v>44136</v>
      </c>
      <c r="B96" s="6">
        <f t="shared" si="36"/>
        <v>129766.6341472458</v>
      </c>
      <c r="C96" s="6">
        <f t="shared" si="33"/>
        <v>265.80280703926104</v>
      </c>
      <c r="D96" s="6">
        <f t="shared" si="34"/>
        <v>486.62487805217171</v>
      </c>
      <c r="E96" s="6">
        <f t="shared" si="17"/>
        <v>752.42768509143275</v>
      </c>
      <c r="F96" s="6">
        <f t="shared" si="35"/>
        <v>129500.83134020654</v>
      </c>
    </row>
    <row r="97" spans="1:6" x14ac:dyDescent="0.2">
      <c r="A97" s="19">
        <v>44166</v>
      </c>
      <c r="B97" s="6">
        <f t="shared" si="36"/>
        <v>129500.83134020654</v>
      </c>
      <c r="C97" s="6">
        <f t="shared" si="33"/>
        <v>266.79956756565826</v>
      </c>
      <c r="D97" s="6">
        <f t="shared" si="34"/>
        <v>485.62811752577448</v>
      </c>
      <c r="E97" s="6">
        <f t="shared" si="17"/>
        <v>752.42768509143275</v>
      </c>
      <c r="F97" s="7">
        <f t="shared" si="35"/>
        <v>129234.03177264088</v>
      </c>
    </row>
    <row r="98" spans="1:6" x14ac:dyDescent="0.2">
      <c r="A98" s="8" t="s">
        <v>42</v>
      </c>
      <c r="B98" s="9"/>
      <c r="C98" s="7">
        <f t="shared" ref="C98:D98" si="37">SUM(C86:C97)</f>
        <v>3136.6210256184058</v>
      </c>
      <c r="D98" s="7">
        <f t="shared" si="37"/>
        <v>5892.5111954787881</v>
      </c>
    </row>
    <row r="100" spans="1:6" x14ac:dyDescent="0.2">
      <c r="A100" s="19">
        <v>44197</v>
      </c>
      <c r="B100" s="6">
        <f t="shared" ref="B100" si="38">+F97</f>
        <v>129234.03177264088</v>
      </c>
      <c r="C100" s="6">
        <f t="shared" ref="C100:C111" si="39">+E100-D100</f>
        <v>267.80006594402948</v>
      </c>
      <c r="D100" s="6">
        <f t="shared" ref="D100:D111" si="40">B100*$I$2</f>
        <v>484.62761914740327</v>
      </c>
      <c r="E100" s="6">
        <f t="shared" si="17"/>
        <v>752.42768509143275</v>
      </c>
      <c r="F100" s="6">
        <f t="shared" ref="F100:F111" si="41">+B100-C100</f>
        <v>128966.23170669685</v>
      </c>
    </row>
    <row r="101" spans="1:6" x14ac:dyDescent="0.2">
      <c r="A101" s="19">
        <v>44228</v>
      </c>
      <c r="B101" s="6">
        <f t="shared" ref="B101:B111" si="42">+F100</f>
        <v>128966.23170669685</v>
      </c>
      <c r="C101" s="6">
        <f t="shared" si="39"/>
        <v>268.80431619131957</v>
      </c>
      <c r="D101" s="6">
        <f t="shared" si="40"/>
        <v>483.62336890011318</v>
      </c>
      <c r="E101" s="6">
        <f t="shared" si="17"/>
        <v>752.42768509143275</v>
      </c>
      <c r="F101" s="6">
        <f t="shared" si="41"/>
        <v>128697.42739050553</v>
      </c>
    </row>
    <row r="102" spans="1:6" x14ac:dyDescent="0.2">
      <c r="A102" s="19">
        <v>44256</v>
      </c>
      <c r="B102" s="6">
        <f t="shared" si="42"/>
        <v>128697.42739050553</v>
      </c>
      <c r="C102" s="6">
        <f t="shared" si="39"/>
        <v>269.81233237703702</v>
      </c>
      <c r="D102" s="6">
        <f t="shared" si="40"/>
        <v>482.61535271439573</v>
      </c>
      <c r="E102" s="6">
        <f t="shared" si="17"/>
        <v>752.42768509143275</v>
      </c>
      <c r="F102" s="6">
        <f t="shared" si="41"/>
        <v>128427.61505812849</v>
      </c>
    </row>
    <row r="103" spans="1:6" x14ac:dyDescent="0.2">
      <c r="A103" s="19">
        <v>44287</v>
      </c>
      <c r="B103" s="6">
        <f t="shared" si="42"/>
        <v>128427.61505812849</v>
      </c>
      <c r="C103" s="6">
        <f t="shared" si="39"/>
        <v>270.82412862345092</v>
      </c>
      <c r="D103" s="6">
        <f t="shared" si="40"/>
        <v>481.60355646798183</v>
      </c>
      <c r="E103" s="6">
        <f t="shared" si="17"/>
        <v>752.42768509143275</v>
      </c>
      <c r="F103" s="6">
        <f t="shared" si="41"/>
        <v>128156.79092950503</v>
      </c>
    </row>
    <row r="104" spans="1:6" x14ac:dyDescent="0.2">
      <c r="A104" s="19">
        <v>44317</v>
      </c>
      <c r="B104" s="6">
        <f t="shared" si="42"/>
        <v>128156.79092950503</v>
      </c>
      <c r="C104" s="6">
        <f t="shared" si="39"/>
        <v>271.8397191057889</v>
      </c>
      <c r="D104" s="6">
        <f t="shared" si="40"/>
        <v>480.58796598564385</v>
      </c>
      <c r="E104" s="6">
        <f t="shared" si="17"/>
        <v>752.42768509143275</v>
      </c>
      <c r="F104" s="6">
        <f t="shared" si="41"/>
        <v>127884.95121039925</v>
      </c>
    </row>
    <row r="105" spans="1:6" x14ac:dyDescent="0.2">
      <c r="A105" s="19">
        <v>44348</v>
      </c>
      <c r="B105" s="6">
        <f t="shared" si="42"/>
        <v>127884.95121039925</v>
      </c>
      <c r="C105" s="6">
        <f t="shared" si="39"/>
        <v>272.85911805243558</v>
      </c>
      <c r="D105" s="6">
        <f t="shared" si="40"/>
        <v>479.56856703899717</v>
      </c>
      <c r="E105" s="6">
        <f t="shared" si="17"/>
        <v>752.42768509143275</v>
      </c>
      <c r="F105" s="6">
        <f t="shared" si="41"/>
        <v>127612.09209234681</v>
      </c>
    </row>
    <row r="106" spans="1:6" x14ac:dyDescent="0.2">
      <c r="A106" s="19">
        <v>44378</v>
      </c>
      <c r="B106" s="6">
        <f t="shared" si="42"/>
        <v>127612.09209234681</v>
      </c>
      <c r="C106" s="6">
        <f t="shared" si="39"/>
        <v>273.88233974513224</v>
      </c>
      <c r="D106" s="6">
        <f t="shared" si="40"/>
        <v>478.54534534630051</v>
      </c>
      <c r="E106" s="6">
        <f t="shared" si="17"/>
        <v>752.42768509143275</v>
      </c>
      <c r="F106" s="6">
        <f t="shared" si="41"/>
        <v>127338.20975260167</v>
      </c>
    </row>
    <row r="107" spans="1:6" x14ac:dyDescent="0.2">
      <c r="A107" s="19">
        <v>44409</v>
      </c>
      <c r="B107" s="6">
        <f t="shared" si="42"/>
        <v>127338.20975260167</v>
      </c>
      <c r="C107" s="6">
        <f t="shared" si="39"/>
        <v>274.90939851917648</v>
      </c>
      <c r="D107" s="6">
        <f t="shared" si="40"/>
        <v>477.51828657225627</v>
      </c>
      <c r="E107" s="6">
        <f t="shared" si="17"/>
        <v>752.42768509143275</v>
      </c>
      <c r="F107" s="6">
        <f t="shared" si="41"/>
        <v>127063.3003540825</v>
      </c>
    </row>
    <row r="108" spans="1:6" x14ac:dyDescent="0.2">
      <c r="A108" s="19">
        <v>44440</v>
      </c>
      <c r="B108" s="6">
        <f t="shared" si="42"/>
        <v>127063.3003540825</v>
      </c>
      <c r="C108" s="6">
        <f t="shared" si="39"/>
        <v>275.94030876362336</v>
      </c>
      <c r="D108" s="6">
        <f t="shared" si="40"/>
        <v>476.48737632780939</v>
      </c>
      <c r="E108" s="6">
        <f t="shared" ref="E108:E171" si="43">-$I$8</f>
        <v>752.42768509143275</v>
      </c>
      <c r="F108" s="6">
        <f t="shared" si="41"/>
        <v>126787.36004531888</v>
      </c>
    </row>
    <row r="109" spans="1:6" x14ac:dyDescent="0.2">
      <c r="A109" s="19">
        <v>44470</v>
      </c>
      <c r="B109" s="6">
        <f t="shared" si="42"/>
        <v>126787.36004531888</v>
      </c>
      <c r="C109" s="6">
        <f t="shared" si="39"/>
        <v>276.97508492148694</v>
      </c>
      <c r="D109" s="6">
        <f t="shared" si="40"/>
        <v>475.45260016994581</v>
      </c>
      <c r="E109" s="6">
        <f t="shared" si="43"/>
        <v>752.42768509143275</v>
      </c>
      <c r="F109" s="6">
        <f t="shared" si="41"/>
        <v>126510.38496039739</v>
      </c>
    </row>
    <row r="110" spans="1:6" x14ac:dyDescent="0.2">
      <c r="A110" s="19">
        <v>44501</v>
      </c>
      <c r="B110" s="6">
        <f t="shared" si="42"/>
        <v>126510.38496039739</v>
      </c>
      <c r="C110" s="6">
        <f t="shared" si="39"/>
        <v>278.01374148994256</v>
      </c>
      <c r="D110" s="6">
        <f t="shared" si="40"/>
        <v>474.41394360149019</v>
      </c>
      <c r="E110" s="6">
        <f t="shared" si="43"/>
        <v>752.42768509143275</v>
      </c>
      <c r="F110" s="6">
        <f t="shared" si="41"/>
        <v>126232.37121890746</v>
      </c>
    </row>
    <row r="111" spans="1:6" x14ac:dyDescent="0.2">
      <c r="A111" s="19">
        <v>44531</v>
      </c>
      <c r="B111" s="6">
        <f t="shared" si="42"/>
        <v>126232.37121890746</v>
      </c>
      <c r="C111" s="6">
        <f t="shared" si="39"/>
        <v>279.05629302052978</v>
      </c>
      <c r="D111" s="6">
        <f t="shared" si="40"/>
        <v>473.37139207090297</v>
      </c>
      <c r="E111" s="6">
        <f t="shared" si="43"/>
        <v>752.42768509143275</v>
      </c>
      <c r="F111" s="7">
        <f t="shared" si="41"/>
        <v>125953.31492588692</v>
      </c>
    </row>
    <row r="112" spans="1:6" x14ac:dyDescent="0.2">
      <c r="A112" s="8" t="s">
        <v>42</v>
      </c>
      <c r="B112" s="9"/>
      <c r="C112" s="7">
        <f t="shared" ref="C112:D112" si="44">SUM(C100:C111)</f>
        <v>3280.7168467539527</v>
      </c>
      <c r="D112" s="7">
        <f t="shared" si="44"/>
        <v>5748.4153743432407</v>
      </c>
    </row>
    <row r="114" spans="1:6" x14ac:dyDescent="0.2">
      <c r="A114" s="19">
        <v>44562</v>
      </c>
      <c r="B114" s="6">
        <f t="shared" ref="B114" si="45">+F111</f>
        <v>125953.31492588692</v>
      </c>
      <c r="C114" s="6">
        <f t="shared" ref="C114:C125" si="46">+E114-D114</f>
        <v>280.1027541193568</v>
      </c>
      <c r="D114" s="6">
        <f t="shared" ref="D114:D125" si="47">B114*$I$2</f>
        <v>472.32493097207595</v>
      </c>
      <c r="E114" s="6">
        <f t="shared" si="43"/>
        <v>752.42768509143275</v>
      </c>
      <c r="F114" s="6">
        <f t="shared" ref="F114:F125" si="48">+B114-C114</f>
        <v>125673.21217176756</v>
      </c>
    </row>
    <row r="115" spans="1:6" x14ac:dyDescent="0.2">
      <c r="A115" s="19">
        <v>44593</v>
      </c>
      <c r="B115" s="6">
        <f t="shared" ref="B115:B125" si="49">+F114</f>
        <v>125673.21217176756</v>
      </c>
      <c r="C115" s="6">
        <f t="shared" si="46"/>
        <v>281.1531394473044</v>
      </c>
      <c r="D115" s="6">
        <f t="shared" si="47"/>
        <v>471.27454564412835</v>
      </c>
      <c r="E115" s="6">
        <f t="shared" si="43"/>
        <v>752.42768509143275</v>
      </c>
      <c r="F115" s="6">
        <f t="shared" si="48"/>
        <v>125392.05903232026</v>
      </c>
    </row>
    <row r="116" spans="1:6" x14ac:dyDescent="0.2">
      <c r="A116" s="19">
        <v>44621</v>
      </c>
      <c r="B116" s="6">
        <f t="shared" si="49"/>
        <v>125392.05903232026</v>
      </c>
      <c r="C116" s="6">
        <f t="shared" si="46"/>
        <v>282.20746372023177</v>
      </c>
      <c r="D116" s="6">
        <f t="shared" si="47"/>
        <v>470.22022137120098</v>
      </c>
      <c r="E116" s="6">
        <f t="shared" si="43"/>
        <v>752.42768509143275</v>
      </c>
      <c r="F116" s="6">
        <f t="shared" si="48"/>
        <v>125109.85156860003</v>
      </c>
    </row>
    <row r="117" spans="1:6" x14ac:dyDescent="0.2">
      <c r="A117" s="19">
        <v>44652</v>
      </c>
      <c r="B117" s="6">
        <f t="shared" si="49"/>
        <v>125109.85156860003</v>
      </c>
      <c r="C117" s="6">
        <f t="shared" si="46"/>
        <v>283.26574170918263</v>
      </c>
      <c r="D117" s="6">
        <f t="shared" si="47"/>
        <v>469.16194338225012</v>
      </c>
      <c r="E117" s="6">
        <f t="shared" si="43"/>
        <v>752.42768509143275</v>
      </c>
      <c r="F117" s="6">
        <f t="shared" si="48"/>
        <v>124826.58582689085</v>
      </c>
    </row>
    <row r="118" spans="1:6" x14ac:dyDescent="0.2">
      <c r="A118" s="19">
        <v>44682</v>
      </c>
      <c r="B118" s="6">
        <f t="shared" si="49"/>
        <v>124826.58582689085</v>
      </c>
      <c r="C118" s="6">
        <f t="shared" si="46"/>
        <v>284.32798824059211</v>
      </c>
      <c r="D118" s="6">
        <f t="shared" si="47"/>
        <v>468.09969685084064</v>
      </c>
      <c r="E118" s="6">
        <f t="shared" si="43"/>
        <v>752.42768509143275</v>
      </c>
      <c r="F118" s="6">
        <f t="shared" si="48"/>
        <v>124542.25783865026</v>
      </c>
    </row>
    <row r="119" spans="1:6" x14ac:dyDescent="0.2">
      <c r="A119" s="19">
        <v>44713</v>
      </c>
      <c r="B119" s="6">
        <f t="shared" si="49"/>
        <v>124542.25783865026</v>
      </c>
      <c r="C119" s="6">
        <f t="shared" si="46"/>
        <v>285.39421819649431</v>
      </c>
      <c r="D119" s="6">
        <f t="shared" si="47"/>
        <v>467.03346689493844</v>
      </c>
      <c r="E119" s="6">
        <f t="shared" si="43"/>
        <v>752.42768509143275</v>
      </c>
      <c r="F119" s="6">
        <f t="shared" si="48"/>
        <v>124256.86362045376</v>
      </c>
    </row>
    <row r="120" spans="1:6" x14ac:dyDescent="0.2">
      <c r="A120" s="19">
        <v>44743</v>
      </c>
      <c r="B120" s="6">
        <f t="shared" si="49"/>
        <v>124256.86362045376</v>
      </c>
      <c r="C120" s="6">
        <f t="shared" si="46"/>
        <v>286.46444651473115</v>
      </c>
      <c r="D120" s="6">
        <f t="shared" si="47"/>
        <v>465.9632385767016</v>
      </c>
      <c r="E120" s="6">
        <f t="shared" si="43"/>
        <v>752.42768509143275</v>
      </c>
      <c r="F120" s="6">
        <f t="shared" si="48"/>
        <v>123970.39917393903</v>
      </c>
    </row>
    <row r="121" spans="1:6" x14ac:dyDescent="0.2">
      <c r="A121" s="19">
        <v>44774</v>
      </c>
      <c r="B121" s="6">
        <f t="shared" si="49"/>
        <v>123970.39917393903</v>
      </c>
      <c r="C121" s="6">
        <f t="shared" si="46"/>
        <v>287.53868818916141</v>
      </c>
      <c r="D121" s="6">
        <f t="shared" si="47"/>
        <v>464.88899690227134</v>
      </c>
      <c r="E121" s="6">
        <f t="shared" si="43"/>
        <v>752.42768509143275</v>
      </c>
      <c r="F121" s="6">
        <f t="shared" si="48"/>
        <v>123682.86048574987</v>
      </c>
    </row>
    <row r="122" spans="1:6" x14ac:dyDescent="0.2">
      <c r="A122" s="19">
        <v>44805</v>
      </c>
      <c r="B122" s="6">
        <f t="shared" si="49"/>
        <v>123682.86048574987</v>
      </c>
      <c r="C122" s="6">
        <f t="shared" si="46"/>
        <v>288.61695826987074</v>
      </c>
      <c r="D122" s="6">
        <f t="shared" si="47"/>
        <v>463.81072682156201</v>
      </c>
      <c r="E122" s="6">
        <f t="shared" si="43"/>
        <v>752.42768509143275</v>
      </c>
      <c r="F122" s="6">
        <f t="shared" si="48"/>
        <v>123394.24352748001</v>
      </c>
    </row>
    <row r="123" spans="1:6" x14ac:dyDescent="0.2">
      <c r="A123" s="19">
        <v>44835</v>
      </c>
      <c r="B123" s="6">
        <f t="shared" si="49"/>
        <v>123394.24352748001</v>
      </c>
      <c r="C123" s="6">
        <f t="shared" si="46"/>
        <v>289.69927186338276</v>
      </c>
      <c r="D123" s="6">
        <f t="shared" si="47"/>
        <v>462.72841322804999</v>
      </c>
      <c r="E123" s="6">
        <f t="shared" si="43"/>
        <v>752.42768509143275</v>
      </c>
      <c r="F123" s="6">
        <f t="shared" si="48"/>
        <v>123104.54425561662</v>
      </c>
    </row>
    <row r="124" spans="1:6" x14ac:dyDescent="0.2">
      <c r="A124" s="19">
        <v>44866</v>
      </c>
      <c r="B124" s="6">
        <f t="shared" si="49"/>
        <v>123104.54425561662</v>
      </c>
      <c r="C124" s="6">
        <f t="shared" si="46"/>
        <v>290.7856441328704</v>
      </c>
      <c r="D124" s="6">
        <f t="shared" si="47"/>
        <v>461.64204095856235</v>
      </c>
      <c r="E124" s="6">
        <f t="shared" si="43"/>
        <v>752.42768509143275</v>
      </c>
      <c r="F124" s="6">
        <f t="shared" si="48"/>
        <v>122813.75861148375</v>
      </c>
    </row>
    <row r="125" spans="1:6" x14ac:dyDescent="0.2">
      <c r="A125" s="19">
        <v>44896</v>
      </c>
      <c r="B125" s="6">
        <f t="shared" si="49"/>
        <v>122813.75861148375</v>
      </c>
      <c r="C125" s="6">
        <f t="shared" si="46"/>
        <v>291.87609029836869</v>
      </c>
      <c r="D125" s="6">
        <f t="shared" si="47"/>
        <v>460.55159479306406</v>
      </c>
      <c r="E125" s="6">
        <f t="shared" si="43"/>
        <v>752.42768509143275</v>
      </c>
      <c r="F125" s="7">
        <f t="shared" si="48"/>
        <v>122521.88252118538</v>
      </c>
    </row>
    <row r="126" spans="1:6" x14ac:dyDescent="0.2">
      <c r="A126" s="8" t="s">
        <v>42</v>
      </c>
      <c r="B126" s="9"/>
      <c r="C126" s="7">
        <f t="shared" ref="C126:D126" si="50">SUM(C114:C125)</f>
        <v>3431.4324047015471</v>
      </c>
      <c r="D126" s="7">
        <f t="shared" si="50"/>
        <v>5597.6998163956468</v>
      </c>
    </row>
    <row r="128" spans="1:6" x14ac:dyDescent="0.2">
      <c r="A128" s="19">
        <v>44927</v>
      </c>
      <c r="B128" s="6">
        <f t="shared" ref="B128" si="51">+F125</f>
        <v>122521.88252118538</v>
      </c>
      <c r="C128" s="6">
        <f t="shared" ref="C128:C139" si="52">+E128-D128</f>
        <v>292.97062563698756</v>
      </c>
      <c r="D128" s="6">
        <f t="shared" ref="D128:D139" si="53">B128*$I$2</f>
        <v>459.45705945444519</v>
      </c>
      <c r="E128" s="6">
        <f t="shared" si="43"/>
        <v>752.42768509143275</v>
      </c>
      <c r="F128" s="6">
        <f t="shared" ref="F128:F139" si="54">+B128-C128</f>
        <v>122228.9118955484</v>
      </c>
    </row>
    <row r="129" spans="1:6" x14ac:dyDescent="0.2">
      <c r="A129" s="19">
        <v>44958</v>
      </c>
      <c r="B129" s="6">
        <f t="shared" ref="B129:B139" si="55">+F128</f>
        <v>122228.9118955484</v>
      </c>
      <c r="C129" s="6">
        <f t="shared" si="52"/>
        <v>294.06926548312629</v>
      </c>
      <c r="D129" s="6">
        <f t="shared" si="53"/>
        <v>458.35841960830646</v>
      </c>
      <c r="E129" s="6">
        <f t="shared" si="43"/>
        <v>752.42768509143275</v>
      </c>
      <c r="F129" s="6">
        <f t="shared" si="54"/>
        <v>121934.84263006528</v>
      </c>
    </row>
    <row r="130" spans="1:6" x14ac:dyDescent="0.2">
      <c r="A130" s="19">
        <v>44986</v>
      </c>
      <c r="B130" s="6">
        <f t="shared" si="55"/>
        <v>121934.84263006528</v>
      </c>
      <c r="C130" s="6">
        <f t="shared" si="52"/>
        <v>295.17202522868797</v>
      </c>
      <c r="D130" s="6">
        <f t="shared" si="53"/>
        <v>457.25565986274478</v>
      </c>
      <c r="E130" s="6">
        <f t="shared" si="43"/>
        <v>752.42768509143275</v>
      </c>
      <c r="F130" s="6">
        <f t="shared" si="54"/>
        <v>121639.67060483659</v>
      </c>
    </row>
    <row r="131" spans="1:6" x14ac:dyDescent="0.2">
      <c r="A131" s="19">
        <v>45017</v>
      </c>
      <c r="B131" s="6">
        <f t="shared" si="55"/>
        <v>121639.67060483659</v>
      </c>
      <c r="C131" s="6">
        <f t="shared" si="52"/>
        <v>296.27892032329555</v>
      </c>
      <c r="D131" s="6">
        <f t="shared" si="53"/>
        <v>456.1487647681372</v>
      </c>
      <c r="E131" s="6">
        <f t="shared" si="43"/>
        <v>752.42768509143275</v>
      </c>
      <c r="F131" s="6">
        <f t="shared" si="54"/>
        <v>121343.39168451329</v>
      </c>
    </row>
    <row r="132" spans="1:6" x14ac:dyDescent="0.2">
      <c r="A132" s="19">
        <v>45047</v>
      </c>
      <c r="B132" s="6">
        <f t="shared" si="55"/>
        <v>121343.39168451329</v>
      </c>
      <c r="C132" s="6">
        <f t="shared" si="52"/>
        <v>297.38996627450791</v>
      </c>
      <c r="D132" s="6">
        <f t="shared" si="53"/>
        <v>455.03771881692484</v>
      </c>
      <c r="E132" s="6">
        <f t="shared" si="43"/>
        <v>752.42768509143275</v>
      </c>
      <c r="F132" s="6">
        <f t="shared" si="54"/>
        <v>121046.00171823878</v>
      </c>
    </row>
    <row r="133" spans="1:6" x14ac:dyDescent="0.2">
      <c r="A133" s="19">
        <v>45078</v>
      </c>
      <c r="B133" s="6">
        <f t="shared" si="55"/>
        <v>121046.00171823878</v>
      </c>
      <c r="C133" s="6">
        <f t="shared" si="52"/>
        <v>298.50517864803732</v>
      </c>
      <c r="D133" s="6">
        <f t="shared" si="53"/>
        <v>453.92250644339543</v>
      </c>
      <c r="E133" s="6">
        <f t="shared" si="43"/>
        <v>752.42768509143275</v>
      </c>
      <c r="F133" s="6">
        <f t="shared" si="54"/>
        <v>120747.49653959075</v>
      </c>
    </row>
    <row r="134" spans="1:6" x14ac:dyDescent="0.2">
      <c r="A134" s="19">
        <v>45108</v>
      </c>
      <c r="B134" s="6">
        <f t="shared" si="55"/>
        <v>120747.49653959075</v>
      </c>
      <c r="C134" s="6">
        <f t="shared" si="52"/>
        <v>299.62457306796745</v>
      </c>
      <c r="D134" s="6">
        <f t="shared" si="53"/>
        <v>452.8031120234653</v>
      </c>
      <c r="E134" s="6">
        <f t="shared" si="43"/>
        <v>752.42768509143275</v>
      </c>
      <c r="F134" s="6">
        <f t="shared" si="54"/>
        <v>120447.87196652278</v>
      </c>
    </row>
    <row r="135" spans="1:6" x14ac:dyDescent="0.2">
      <c r="A135" s="19">
        <v>45139</v>
      </c>
      <c r="B135" s="6">
        <f t="shared" si="55"/>
        <v>120447.87196652278</v>
      </c>
      <c r="C135" s="6">
        <f t="shared" si="52"/>
        <v>300.74816521697232</v>
      </c>
      <c r="D135" s="6">
        <f t="shared" si="53"/>
        <v>451.67951987446042</v>
      </c>
      <c r="E135" s="6">
        <f t="shared" si="43"/>
        <v>752.42768509143275</v>
      </c>
      <c r="F135" s="6">
        <f t="shared" si="54"/>
        <v>120147.12380130582</v>
      </c>
    </row>
    <row r="136" spans="1:6" x14ac:dyDescent="0.2">
      <c r="A136" s="19">
        <v>45170</v>
      </c>
      <c r="B136" s="6">
        <f t="shared" si="55"/>
        <v>120147.12380130582</v>
      </c>
      <c r="C136" s="6">
        <f t="shared" si="52"/>
        <v>301.87597083653594</v>
      </c>
      <c r="D136" s="6">
        <f t="shared" si="53"/>
        <v>450.55171425489681</v>
      </c>
      <c r="E136" s="6">
        <f t="shared" si="43"/>
        <v>752.42768509143275</v>
      </c>
      <c r="F136" s="6">
        <f t="shared" si="54"/>
        <v>119845.24783046928</v>
      </c>
    </row>
    <row r="137" spans="1:6" x14ac:dyDescent="0.2">
      <c r="A137" s="19">
        <v>45200</v>
      </c>
      <c r="B137" s="6">
        <f t="shared" si="55"/>
        <v>119845.24783046928</v>
      </c>
      <c r="C137" s="6">
        <f t="shared" si="52"/>
        <v>303.00800572717299</v>
      </c>
      <c r="D137" s="6">
        <f t="shared" si="53"/>
        <v>449.41967936425976</v>
      </c>
      <c r="E137" s="6">
        <f t="shared" si="43"/>
        <v>752.42768509143275</v>
      </c>
      <c r="F137" s="6">
        <f t="shared" si="54"/>
        <v>119542.23982474211</v>
      </c>
    </row>
    <row r="138" spans="1:6" x14ac:dyDescent="0.2">
      <c r="A138" s="19">
        <v>45231</v>
      </c>
      <c r="B138" s="6">
        <f t="shared" si="55"/>
        <v>119542.23982474211</v>
      </c>
      <c r="C138" s="6">
        <f t="shared" si="52"/>
        <v>304.14428574864985</v>
      </c>
      <c r="D138" s="6">
        <f t="shared" si="53"/>
        <v>448.2833993427829</v>
      </c>
      <c r="E138" s="6">
        <f t="shared" si="43"/>
        <v>752.42768509143275</v>
      </c>
      <c r="F138" s="6">
        <f t="shared" si="54"/>
        <v>119238.09553899345</v>
      </c>
    </row>
    <row r="139" spans="1:6" x14ac:dyDescent="0.2">
      <c r="A139" s="19">
        <v>45261</v>
      </c>
      <c r="B139" s="6">
        <f t="shared" si="55"/>
        <v>119238.09553899345</v>
      </c>
      <c r="C139" s="6">
        <f t="shared" si="52"/>
        <v>305.28482682020734</v>
      </c>
      <c r="D139" s="6">
        <f t="shared" si="53"/>
        <v>447.14285827122541</v>
      </c>
      <c r="E139" s="6">
        <f t="shared" si="43"/>
        <v>752.42768509143275</v>
      </c>
      <c r="F139" s="7">
        <f t="shared" si="54"/>
        <v>118932.81071217325</v>
      </c>
    </row>
    <row r="140" spans="1:6" x14ac:dyDescent="0.2">
      <c r="A140" s="8" t="s">
        <v>42</v>
      </c>
      <c r="B140" s="9"/>
      <c r="C140" s="7">
        <f t="shared" ref="C140:D140" si="56">SUM(C128:C139)</f>
        <v>3589.0718090121486</v>
      </c>
      <c r="D140" s="7">
        <f t="shared" si="56"/>
        <v>5440.0604120850448</v>
      </c>
    </row>
    <row r="142" spans="1:6" x14ac:dyDescent="0.2">
      <c r="A142" s="19">
        <v>45292</v>
      </c>
      <c r="B142" s="6">
        <f t="shared" ref="B142" si="57">+F139</f>
        <v>118932.81071217325</v>
      </c>
      <c r="C142" s="6">
        <f t="shared" ref="C142:C153" si="58">+E142-D142</f>
        <v>306.42964492078312</v>
      </c>
      <c r="D142" s="6">
        <f t="shared" ref="D142:D153" si="59">B142*$I$2</f>
        <v>445.99804017064963</v>
      </c>
      <c r="E142" s="6">
        <f t="shared" si="43"/>
        <v>752.42768509143275</v>
      </c>
      <c r="F142" s="6">
        <f t="shared" ref="F142:F153" si="60">+B142-C142</f>
        <v>118626.38106725247</v>
      </c>
    </row>
    <row r="143" spans="1:6" x14ac:dyDescent="0.2">
      <c r="A143" s="19">
        <v>45323</v>
      </c>
      <c r="B143" s="6">
        <f t="shared" ref="B143:B153" si="61">+F142</f>
        <v>118626.38106725247</v>
      </c>
      <c r="C143" s="6">
        <f t="shared" si="58"/>
        <v>307.57875608923598</v>
      </c>
      <c r="D143" s="6">
        <f t="shared" si="59"/>
        <v>444.84892900219677</v>
      </c>
      <c r="E143" s="6">
        <f t="shared" si="43"/>
        <v>752.42768509143275</v>
      </c>
      <c r="F143" s="6">
        <f t="shared" si="60"/>
        <v>118318.80231116324</v>
      </c>
    </row>
    <row r="144" spans="1:6" x14ac:dyDescent="0.2">
      <c r="A144" s="19">
        <v>45352</v>
      </c>
      <c r="B144" s="6">
        <f t="shared" si="61"/>
        <v>118318.80231116324</v>
      </c>
      <c r="C144" s="6">
        <f t="shared" si="58"/>
        <v>308.73217642457064</v>
      </c>
      <c r="D144" s="6">
        <f t="shared" si="59"/>
        <v>443.69550866686211</v>
      </c>
      <c r="E144" s="6">
        <f t="shared" si="43"/>
        <v>752.42768509143275</v>
      </c>
      <c r="F144" s="6">
        <f t="shared" si="60"/>
        <v>118010.07013473866</v>
      </c>
    </row>
    <row r="145" spans="1:6" x14ac:dyDescent="0.2">
      <c r="A145" s="19">
        <v>45383</v>
      </c>
      <c r="B145" s="6">
        <f t="shared" si="61"/>
        <v>118010.07013473866</v>
      </c>
      <c r="C145" s="6">
        <f t="shared" si="58"/>
        <v>309.88992208616276</v>
      </c>
      <c r="D145" s="6">
        <f t="shared" si="59"/>
        <v>442.53776300526999</v>
      </c>
      <c r="E145" s="6">
        <f t="shared" si="43"/>
        <v>752.42768509143275</v>
      </c>
      <c r="F145" s="6">
        <f t="shared" si="60"/>
        <v>117700.1802126525</v>
      </c>
    </row>
    <row r="146" spans="1:6" x14ac:dyDescent="0.2">
      <c r="A146" s="19">
        <v>45413</v>
      </c>
      <c r="B146" s="6">
        <f t="shared" si="61"/>
        <v>117700.1802126525</v>
      </c>
      <c r="C146" s="6">
        <f t="shared" si="58"/>
        <v>311.05200929398592</v>
      </c>
      <c r="D146" s="6">
        <f t="shared" si="59"/>
        <v>441.37567579744683</v>
      </c>
      <c r="E146" s="6">
        <f t="shared" si="43"/>
        <v>752.42768509143275</v>
      </c>
      <c r="F146" s="6">
        <f t="shared" si="60"/>
        <v>117389.12820335852</v>
      </c>
    </row>
    <row r="147" spans="1:6" x14ac:dyDescent="0.2">
      <c r="A147" s="19">
        <v>45444</v>
      </c>
      <c r="B147" s="6">
        <f t="shared" si="61"/>
        <v>117389.12820335852</v>
      </c>
      <c r="C147" s="6">
        <f t="shared" si="58"/>
        <v>312.21845432883833</v>
      </c>
      <c r="D147" s="6">
        <f t="shared" si="59"/>
        <v>440.20923076259442</v>
      </c>
      <c r="E147" s="6">
        <f t="shared" si="43"/>
        <v>752.42768509143275</v>
      </c>
      <c r="F147" s="6">
        <f t="shared" si="60"/>
        <v>117076.90974902968</v>
      </c>
    </row>
    <row r="148" spans="1:6" x14ac:dyDescent="0.2">
      <c r="A148" s="19">
        <v>45474</v>
      </c>
      <c r="B148" s="6">
        <f t="shared" si="61"/>
        <v>117076.90974902968</v>
      </c>
      <c r="C148" s="6">
        <f t="shared" si="58"/>
        <v>313.38927353257145</v>
      </c>
      <c r="D148" s="6">
        <f t="shared" si="59"/>
        <v>439.0384115588613</v>
      </c>
      <c r="E148" s="6">
        <f t="shared" si="43"/>
        <v>752.42768509143275</v>
      </c>
      <c r="F148" s="6">
        <f t="shared" si="60"/>
        <v>116763.52047549712</v>
      </c>
    </row>
    <row r="149" spans="1:6" x14ac:dyDescent="0.2">
      <c r="A149" s="19">
        <v>45505</v>
      </c>
      <c r="B149" s="6">
        <f t="shared" si="61"/>
        <v>116763.52047549712</v>
      </c>
      <c r="C149" s="6">
        <f t="shared" si="58"/>
        <v>314.56448330831859</v>
      </c>
      <c r="D149" s="6">
        <f t="shared" si="59"/>
        <v>437.86320178311416</v>
      </c>
      <c r="E149" s="6">
        <f t="shared" si="43"/>
        <v>752.42768509143275</v>
      </c>
      <c r="F149" s="6">
        <f t="shared" si="60"/>
        <v>116448.9559921888</v>
      </c>
    </row>
    <row r="150" spans="1:6" x14ac:dyDescent="0.2">
      <c r="A150" s="19">
        <v>45536</v>
      </c>
      <c r="B150" s="6">
        <f t="shared" si="61"/>
        <v>116448.9559921888</v>
      </c>
      <c r="C150" s="6">
        <f t="shared" si="58"/>
        <v>315.7441001207248</v>
      </c>
      <c r="D150" s="6">
        <f t="shared" si="59"/>
        <v>436.68358497070795</v>
      </c>
      <c r="E150" s="6">
        <f t="shared" si="43"/>
        <v>752.42768509143275</v>
      </c>
      <c r="F150" s="6">
        <f t="shared" si="60"/>
        <v>116133.21189206808</v>
      </c>
    </row>
    <row r="151" spans="1:6" x14ac:dyDescent="0.2">
      <c r="A151" s="19">
        <v>45566</v>
      </c>
      <c r="B151" s="6">
        <f t="shared" si="61"/>
        <v>116133.21189206808</v>
      </c>
      <c r="C151" s="6">
        <f t="shared" si="58"/>
        <v>316.92814049617749</v>
      </c>
      <c r="D151" s="6">
        <f t="shared" si="59"/>
        <v>435.49954459525526</v>
      </c>
      <c r="E151" s="6">
        <f t="shared" si="43"/>
        <v>752.42768509143275</v>
      </c>
      <c r="F151" s="6">
        <f t="shared" si="60"/>
        <v>115816.2837515719</v>
      </c>
    </row>
    <row r="152" spans="1:6" x14ac:dyDescent="0.2">
      <c r="A152" s="19">
        <v>45597</v>
      </c>
      <c r="B152" s="6">
        <f t="shared" si="61"/>
        <v>115816.2837515719</v>
      </c>
      <c r="C152" s="6">
        <f t="shared" si="58"/>
        <v>318.11662102303814</v>
      </c>
      <c r="D152" s="6">
        <f t="shared" si="59"/>
        <v>434.31106406839461</v>
      </c>
      <c r="E152" s="6">
        <f t="shared" si="43"/>
        <v>752.42768509143275</v>
      </c>
      <c r="F152" s="6">
        <f t="shared" si="60"/>
        <v>115498.16713054886</v>
      </c>
    </row>
    <row r="153" spans="1:6" x14ac:dyDescent="0.2">
      <c r="A153" s="19">
        <v>45627</v>
      </c>
      <c r="B153" s="6">
        <f t="shared" si="61"/>
        <v>115498.16713054886</v>
      </c>
      <c r="C153" s="6">
        <f t="shared" si="58"/>
        <v>319.30955835187456</v>
      </c>
      <c r="D153" s="6">
        <f t="shared" si="59"/>
        <v>433.11812673955819</v>
      </c>
      <c r="E153" s="6">
        <f t="shared" si="43"/>
        <v>752.42768509143275</v>
      </c>
      <c r="F153" s="7">
        <f t="shared" si="60"/>
        <v>115178.85757219698</v>
      </c>
    </row>
    <row r="154" spans="1:6" x14ac:dyDescent="0.2">
      <c r="A154" s="8" t="s">
        <v>42</v>
      </c>
      <c r="B154" s="9"/>
      <c r="C154" s="7">
        <f t="shared" ref="C154:D154" si="62">SUM(C142:C153)</f>
        <v>3753.9531399762818</v>
      </c>
      <c r="D154" s="7">
        <f t="shared" si="62"/>
        <v>5275.1790811209121</v>
      </c>
    </row>
    <row r="156" spans="1:6" x14ac:dyDescent="0.2">
      <c r="A156" s="5" t="s">
        <v>61</v>
      </c>
      <c r="B156" s="6">
        <f t="shared" ref="B156" si="63">+F153</f>
        <v>115178.85757219698</v>
      </c>
      <c r="C156" s="6">
        <f t="shared" ref="C156:C167" si="64">+E156-D156</f>
        <v>320.50696919569407</v>
      </c>
      <c r="D156" s="6">
        <f t="shared" ref="D156:D167" si="65">B156*$I$2</f>
        <v>431.92071589573868</v>
      </c>
      <c r="E156" s="6">
        <f t="shared" si="43"/>
        <v>752.42768509143275</v>
      </c>
      <c r="F156" s="6">
        <f t="shared" ref="F156:F167" si="66">+B156-C156</f>
        <v>114858.35060300129</v>
      </c>
    </row>
    <row r="157" spans="1:6" x14ac:dyDescent="0.2">
      <c r="A157" s="5" t="s">
        <v>62</v>
      </c>
      <c r="B157" s="6">
        <f t="shared" ref="B157:B167" si="67">+F156</f>
        <v>114858.35060300129</v>
      </c>
      <c r="C157" s="6">
        <f t="shared" si="64"/>
        <v>321.70887033017789</v>
      </c>
      <c r="D157" s="6">
        <f t="shared" si="65"/>
        <v>430.71881476125486</v>
      </c>
      <c r="E157" s="6">
        <f t="shared" si="43"/>
        <v>752.42768509143275</v>
      </c>
      <c r="F157" s="6">
        <f t="shared" si="66"/>
        <v>114536.64173267112</v>
      </c>
    </row>
    <row r="158" spans="1:6" x14ac:dyDescent="0.2">
      <c r="A158" s="5" t="s">
        <v>63</v>
      </c>
      <c r="B158" s="6">
        <f t="shared" si="67"/>
        <v>114536.64173267112</v>
      </c>
      <c r="C158" s="6">
        <f t="shared" si="64"/>
        <v>322.91527859391607</v>
      </c>
      <c r="D158" s="6">
        <f t="shared" si="65"/>
        <v>429.51240649751668</v>
      </c>
      <c r="E158" s="6">
        <f t="shared" si="43"/>
        <v>752.42768509143275</v>
      </c>
      <c r="F158" s="6">
        <f t="shared" si="66"/>
        <v>114213.7264540772</v>
      </c>
    </row>
    <row r="159" spans="1:6" x14ac:dyDescent="0.2">
      <c r="A159" s="5" t="s">
        <v>64</v>
      </c>
      <c r="B159" s="6">
        <f t="shared" si="67"/>
        <v>114213.7264540772</v>
      </c>
      <c r="C159" s="6">
        <f t="shared" si="64"/>
        <v>324.12621088864324</v>
      </c>
      <c r="D159" s="6">
        <f t="shared" si="65"/>
        <v>428.30147420278951</v>
      </c>
      <c r="E159" s="6">
        <f t="shared" si="43"/>
        <v>752.42768509143275</v>
      </c>
      <c r="F159" s="6">
        <f t="shared" si="66"/>
        <v>113889.60024318856</v>
      </c>
    </row>
    <row r="160" spans="1:6" x14ac:dyDescent="0.2">
      <c r="A160" s="5" t="s">
        <v>65</v>
      </c>
      <c r="B160" s="6">
        <f t="shared" si="67"/>
        <v>113889.60024318856</v>
      </c>
      <c r="C160" s="6">
        <f t="shared" si="64"/>
        <v>325.34168417947569</v>
      </c>
      <c r="D160" s="6">
        <f t="shared" si="65"/>
        <v>427.08600091195706</v>
      </c>
      <c r="E160" s="6">
        <f t="shared" si="43"/>
        <v>752.42768509143275</v>
      </c>
      <c r="F160" s="6">
        <f t="shared" si="66"/>
        <v>113564.25855900907</v>
      </c>
    </row>
    <row r="161" spans="1:6" x14ac:dyDescent="0.2">
      <c r="A161" s="5" t="s">
        <v>66</v>
      </c>
      <c r="B161" s="6">
        <f t="shared" si="67"/>
        <v>113564.25855900907</v>
      </c>
      <c r="C161" s="6">
        <f t="shared" si="64"/>
        <v>326.56171549514875</v>
      </c>
      <c r="D161" s="6">
        <f t="shared" si="65"/>
        <v>425.865969596284</v>
      </c>
      <c r="E161" s="6">
        <f t="shared" si="43"/>
        <v>752.42768509143275</v>
      </c>
      <c r="F161" s="6">
        <f t="shared" si="66"/>
        <v>113237.69684351393</v>
      </c>
    </row>
    <row r="162" spans="1:6" x14ac:dyDescent="0.2">
      <c r="A162" s="5" t="s">
        <v>67</v>
      </c>
      <c r="B162" s="6">
        <f t="shared" si="67"/>
        <v>113237.69684351393</v>
      </c>
      <c r="C162" s="6">
        <f t="shared" si="64"/>
        <v>327.78632192825552</v>
      </c>
      <c r="D162" s="6">
        <f t="shared" si="65"/>
        <v>424.64136316317723</v>
      </c>
      <c r="E162" s="6">
        <f t="shared" si="43"/>
        <v>752.42768509143275</v>
      </c>
      <c r="F162" s="6">
        <f t="shared" si="66"/>
        <v>112909.91052158567</v>
      </c>
    </row>
    <row r="163" spans="1:6" x14ac:dyDescent="0.2">
      <c r="A163" s="5" t="s">
        <v>68</v>
      </c>
      <c r="B163" s="6">
        <f t="shared" si="67"/>
        <v>112909.91052158567</v>
      </c>
      <c r="C163" s="6">
        <f t="shared" si="64"/>
        <v>329.0155206354865</v>
      </c>
      <c r="D163" s="6">
        <f t="shared" si="65"/>
        <v>423.41216445594625</v>
      </c>
      <c r="E163" s="6">
        <f t="shared" si="43"/>
        <v>752.42768509143275</v>
      </c>
      <c r="F163" s="6">
        <f t="shared" si="66"/>
        <v>112580.89500095019</v>
      </c>
    </row>
    <row r="164" spans="1:6" x14ac:dyDescent="0.2">
      <c r="A164" s="5" t="s">
        <v>69</v>
      </c>
      <c r="B164" s="6">
        <f t="shared" si="67"/>
        <v>112580.89500095019</v>
      </c>
      <c r="C164" s="6">
        <f t="shared" si="64"/>
        <v>330.24932883786954</v>
      </c>
      <c r="D164" s="6">
        <f t="shared" si="65"/>
        <v>422.17835625356321</v>
      </c>
      <c r="E164" s="6">
        <f t="shared" si="43"/>
        <v>752.42768509143275</v>
      </c>
      <c r="F164" s="6">
        <f t="shared" si="66"/>
        <v>112250.64567211231</v>
      </c>
    </row>
    <row r="165" spans="1:6" x14ac:dyDescent="0.2">
      <c r="A165" s="5" t="s">
        <v>70</v>
      </c>
      <c r="B165" s="6">
        <f t="shared" si="67"/>
        <v>112250.64567211231</v>
      </c>
      <c r="C165" s="6">
        <f t="shared" si="64"/>
        <v>331.48776382101158</v>
      </c>
      <c r="D165" s="6">
        <f t="shared" si="65"/>
        <v>420.93992127042117</v>
      </c>
      <c r="E165" s="6">
        <f t="shared" si="43"/>
        <v>752.42768509143275</v>
      </c>
      <c r="F165" s="6">
        <f t="shared" si="66"/>
        <v>111919.15790829129</v>
      </c>
    </row>
    <row r="166" spans="1:6" x14ac:dyDescent="0.2">
      <c r="A166" s="5" t="s">
        <v>71</v>
      </c>
      <c r="B166" s="6">
        <f t="shared" si="67"/>
        <v>111919.15790829129</v>
      </c>
      <c r="C166" s="6">
        <f t="shared" si="64"/>
        <v>332.73084293534043</v>
      </c>
      <c r="D166" s="6">
        <f t="shared" si="65"/>
        <v>419.69684215609232</v>
      </c>
      <c r="E166" s="6">
        <f t="shared" si="43"/>
        <v>752.42768509143275</v>
      </c>
      <c r="F166" s="6">
        <f t="shared" si="66"/>
        <v>111586.42706535595</v>
      </c>
    </row>
    <row r="167" spans="1:6" x14ac:dyDescent="0.2">
      <c r="A167" s="5" t="s">
        <v>72</v>
      </c>
      <c r="B167" s="6">
        <f t="shared" si="67"/>
        <v>111586.42706535595</v>
      </c>
      <c r="C167" s="6">
        <f t="shared" si="64"/>
        <v>333.97858359634796</v>
      </c>
      <c r="D167" s="6">
        <f t="shared" si="65"/>
        <v>418.44910149508479</v>
      </c>
      <c r="E167" s="6">
        <f t="shared" si="43"/>
        <v>752.42768509143275</v>
      </c>
      <c r="F167" s="7">
        <f t="shared" si="66"/>
        <v>111252.44848175961</v>
      </c>
    </row>
    <row r="168" spans="1:6" x14ac:dyDescent="0.2">
      <c r="A168" s="8" t="s">
        <v>42</v>
      </c>
      <c r="B168" s="9"/>
      <c r="C168" s="7">
        <f t="shared" ref="C168:D168" si="68">SUM(C156:C167)</f>
        <v>3926.4090904373675</v>
      </c>
      <c r="D168" s="7">
        <f t="shared" si="68"/>
        <v>5102.723130659826</v>
      </c>
    </row>
    <row r="170" spans="1:6" x14ac:dyDescent="0.2">
      <c r="A170" s="5" t="s">
        <v>73</v>
      </c>
      <c r="B170" s="6">
        <f t="shared" ref="B170" si="69">+F167</f>
        <v>111252.44848175961</v>
      </c>
      <c r="C170" s="6">
        <f t="shared" ref="C170:C181" si="70">+E170-D170</f>
        <v>335.23100328483423</v>
      </c>
      <c r="D170" s="6">
        <f t="shared" ref="D170:D181" si="71">B170*$I$2</f>
        <v>417.19668180659852</v>
      </c>
      <c r="E170" s="6">
        <f t="shared" si="43"/>
        <v>752.42768509143275</v>
      </c>
      <c r="F170" s="6">
        <f t="shared" ref="F170:F181" si="72">+B170-C170</f>
        <v>110917.21747847478</v>
      </c>
    </row>
    <row r="171" spans="1:6" x14ac:dyDescent="0.2">
      <c r="A171" s="5" t="s">
        <v>74</v>
      </c>
      <c r="B171" s="6">
        <f t="shared" ref="B171:B181" si="73">+F170</f>
        <v>110917.21747847478</v>
      </c>
      <c r="C171" s="6">
        <f t="shared" si="70"/>
        <v>336.48811954715234</v>
      </c>
      <c r="D171" s="6">
        <f t="shared" si="71"/>
        <v>415.93956554428041</v>
      </c>
      <c r="E171" s="6">
        <f t="shared" si="43"/>
        <v>752.42768509143275</v>
      </c>
      <c r="F171" s="6">
        <f t="shared" si="72"/>
        <v>110580.72935892762</v>
      </c>
    </row>
    <row r="172" spans="1:6" x14ac:dyDescent="0.2">
      <c r="A172" s="5" t="s">
        <v>75</v>
      </c>
      <c r="B172" s="6">
        <f t="shared" si="73"/>
        <v>110580.72935892762</v>
      </c>
      <c r="C172" s="6">
        <f t="shared" si="70"/>
        <v>337.74994999545419</v>
      </c>
      <c r="D172" s="6">
        <f t="shared" si="71"/>
        <v>414.67773509597856</v>
      </c>
      <c r="E172" s="6">
        <f t="shared" ref="E172:E181" si="74">-$I$8</f>
        <v>752.42768509143275</v>
      </c>
      <c r="F172" s="6">
        <f t="shared" si="72"/>
        <v>110242.97940893217</v>
      </c>
    </row>
    <row r="173" spans="1:6" x14ac:dyDescent="0.2">
      <c r="A173" s="5" t="s">
        <v>76</v>
      </c>
      <c r="B173" s="6">
        <f t="shared" si="73"/>
        <v>110242.97940893217</v>
      </c>
      <c r="C173" s="6">
        <f t="shared" si="70"/>
        <v>339.01651230793715</v>
      </c>
      <c r="D173" s="6">
        <f t="shared" si="71"/>
        <v>413.4111727834956</v>
      </c>
      <c r="E173" s="6">
        <f t="shared" si="74"/>
        <v>752.42768509143275</v>
      </c>
      <c r="F173" s="6">
        <f t="shared" si="72"/>
        <v>109903.96289662423</v>
      </c>
    </row>
    <row r="174" spans="1:6" x14ac:dyDescent="0.2">
      <c r="A174" s="5" t="s">
        <v>77</v>
      </c>
      <c r="B174" s="6">
        <f t="shared" si="73"/>
        <v>109903.96289662423</v>
      </c>
      <c r="C174" s="6">
        <f t="shared" si="70"/>
        <v>340.28782422909188</v>
      </c>
      <c r="D174" s="6">
        <f t="shared" si="71"/>
        <v>412.13986086234087</v>
      </c>
      <c r="E174" s="6">
        <f t="shared" si="74"/>
        <v>752.42768509143275</v>
      </c>
      <c r="F174" s="6">
        <f t="shared" si="72"/>
        <v>109563.67507239514</v>
      </c>
    </row>
    <row r="175" spans="1:6" x14ac:dyDescent="0.2">
      <c r="A175" s="5" t="s">
        <v>78</v>
      </c>
      <c r="B175" s="6">
        <f t="shared" si="73"/>
        <v>109563.67507239514</v>
      </c>
      <c r="C175" s="6">
        <f t="shared" si="70"/>
        <v>341.56390356995098</v>
      </c>
      <c r="D175" s="6">
        <f t="shared" si="71"/>
        <v>410.86378152148177</v>
      </c>
      <c r="E175" s="6">
        <f t="shared" si="74"/>
        <v>752.42768509143275</v>
      </c>
      <c r="F175" s="6">
        <f t="shared" si="72"/>
        <v>109222.11116882518</v>
      </c>
    </row>
    <row r="176" spans="1:6" x14ac:dyDescent="0.2">
      <c r="A176" s="5" t="s">
        <v>79</v>
      </c>
      <c r="B176" s="6">
        <f t="shared" si="73"/>
        <v>109222.11116882518</v>
      </c>
      <c r="C176" s="6">
        <f t="shared" si="70"/>
        <v>342.84476820833834</v>
      </c>
      <c r="D176" s="6">
        <f t="shared" si="71"/>
        <v>409.58291688309441</v>
      </c>
      <c r="E176" s="6">
        <f t="shared" si="74"/>
        <v>752.42768509143275</v>
      </c>
      <c r="F176" s="6">
        <f t="shared" si="72"/>
        <v>108879.26640061685</v>
      </c>
    </row>
    <row r="177" spans="1:6" x14ac:dyDescent="0.2">
      <c r="A177" s="5" t="s">
        <v>80</v>
      </c>
      <c r="B177" s="6">
        <f t="shared" si="73"/>
        <v>108879.26640061685</v>
      </c>
      <c r="C177" s="6">
        <f t="shared" si="70"/>
        <v>344.1304360891196</v>
      </c>
      <c r="D177" s="6">
        <f t="shared" si="71"/>
        <v>408.29724900231315</v>
      </c>
      <c r="E177" s="6">
        <f t="shared" si="74"/>
        <v>752.42768509143275</v>
      </c>
      <c r="F177" s="6">
        <f t="shared" si="72"/>
        <v>108535.13596452773</v>
      </c>
    </row>
    <row r="178" spans="1:6" x14ac:dyDescent="0.2">
      <c r="A178" s="5" t="s">
        <v>81</v>
      </c>
      <c r="B178" s="6">
        <f t="shared" si="73"/>
        <v>108535.13596452773</v>
      </c>
      <c r="C178" s="6">
        <f t="shared" si="70"/>
        <v>345.42092522445381</v>
      </c>
      <c r="D178" s="6">
        <f t="shared" si="71"/>
        <v>407.00675986697894</v>
      </c>
      <c r="E178" s="6">
        <f t="shared" si="74"/>
        <v>752.42768509143275</v>
      </c>
      <c r="F178" s="6">
        <f t="shared" si="72"/>
        <v>108189.71503930328</v>
      </c>
    </row>
    <row r="179" spans="1:6" x14ac:dyDescent="0.2">
      <c r="A179" s="5" t="s">
        <v>82</v>
      </c>
      <c r="B179" s="6">
        <f t="shared" si="73"/>
        <v>108189.71503930328</v>
      </c>
      <c r="C179" s="6">
        <f t="shared" si="70"/>
        <v>346.71625369404546</v>
      </c>
      <c r="D179" s="6">
        <f t="shared" si="71"/>
        <v>405.71143139738729</v>
      </c>
      <c r="E179" s="6">
        <f t="shared" si="74"/>
        <v>752.42768509143275</v>
      </c>
      <c r="F179" s="6">
        <f t="shared" si="72"/>
        <v>107842.99878560923</v>
      </c>
    </row>
    <row r="180" spans="1:6" x14ac:dyDescent="0.2">
      <c r="A180" s="5" t="s">
        <v>83</v>
      </c>
      <c r="B180" s="6">
        <f t="shared" si="73"/>
        <v>107842.99878560923</v>
      </c>
      <c r="C180" s="6">
        <f t="shared" si="70"/>
        <v>348.01643964539812</v>
      </c>
      <c r="D180" s="6">
        <f t="shared" si="71"/>
        <v>404.41124544603463</v>
      </c>
      <c r="E180" s="6">
        <f t="shared" si="74"/>
        <v>752.42768509143275</v>
      </c>
      <c r="F180" s="6">
        <f t="shared" si="72"/>
        <v>107494.98234596384</v>
      </c>
    </row>
    <row r="181" spans="1:6" x14ac:dyDescent="0.2">
      <c r="A181" s="5" t="s">
        <v>84</v>
      </c>
      <c r="B181" s="6">
        <f t="shared" si="73"/>
        <v>107494.98234596384</v>
      </c>
      <c r="C181" s="6">
        <f t="shared" si="70"/>
        <v>349.32150129406836</v>
      </c>
      <c r="D181" s="6">
        <f t="shared" si="71"/>
        <v>403.10618379736439</v>
      </c>
      <c r="E181" s="6">
        <f t="shared" si="74"/>
        <v>752.42768509143275</v>
      </c>
      <c r="F181" s="7">
        <f t="shared" si="72"/>
        <v>107145.66084466978</v>
      </c>
    </row>
    <row r="182" spans="1:6" x14ac:dyDescent="0.2">
      <c r="A182" s="8" t="s">
        <v>42</v>
      </c>
      <c r="B182" s="9"/>
      <c r="C182" s="7">
        <f t="shared" ref="C182:D182" si="75">SUM(C170:C181)</f>
        <v>4106.7876370898439</v>
      </c>
      <c r="D182" s="7">
        <f t="shared" si="75"/>
        <v>4922.3445840073491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</vt:lpstr>
      <vt:lpstr>Original Mortgage</vt:lpstr>
      <vt:lpstr>Good</vt:lpstr>
      <vt:lpstr>Medium</vt:lpstr>
      <vt:lpstr>Bankrupt</vt:lpstr>
      <vt:lpstr>Options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2019-08-22T21:31:13Z</dcterms:created>
  <dcterms:modified xsi:type="dcterms:W3CDTF">2019-08-22T21:31:29Z</dcterms:modified>
</cp:coreProperties>
</file>