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600" windowHeight="9240"/>
  </bookViews>
  <sheets>
    <sheet name="Forecast" sheetId="1" r:id="rId1"/>
    <sheet name="Mortgage" sheetId="2" r:id="rId2"/>
    <sheet name="FCF" sheetId="3" r:id="rId3"/>
    <sheet name="FCF Option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F21" i="4"/>
  <c r="F12" i="4"/>
  <c r="P35" i="1"/>
  <c r="H78" i="1"/>
  <c r="D79" i="1"/>
  <c r="E78" i="1"/>
  <c r="F78" i="1"/>
  <c r="G78" i="1"/>
  <c r="I78" i="1"/>
  <c r="J78" i="1"/>
  <c r="K78" i="1"/>
  <c r="L78" i="1"/>
  <c r="M78" i="1"/>
  <c r="N78" i="1"/>
  <c r="D78" i="1"/>
  <c r="F12" i="3" l="1"/>
  <c r="F21" i="3"/>
  <c r="F30" i="3"/>
  <c r="L4" i="1"/>
  <c r="C7" i="4"/>
  <c r="E9" i="4"/>
  <c r="F9" i="4"/>
  <c r="G9" i="4"/>
  <c r="H9" i="4"/>
  <c r="I9" i="4"/>
  <c r="J9" i="4"/>
  <c r="K9" i="4"/>
  <c r="L9" i="4"/>
  <c r="M9" i="4"/>
  <c r="N9" i="4"/>
  <c r="D9" i="4"/>
  <c r="D27" i="4"/>
  <c r="M6" i="4"/>
  <c r="L6" i="4"/>
  <c r="K6" i="4"/>
  <c r="J6" i="4"/>
  <c r="D27" i="3"/>
  <c r="M6" i="3"/>
  <c r="L6" i="3"/>
  <c r="K6" i="3"/>
  <c r="J6" i="3"/>
  <c r="I3" i="2"/>
  <c r="D2" i="2"/>
  <c r="J103" i="1"/>
  <c r="C103" i="1"/>
  <c r="J102" i="1"/>
  <c r="G100" i="1"/>
  <c r="C100" i="1"/>
  <c r="G98" i="1"/>
  <c r="G101" i="1" s="1"/>
  <c r="F98" i="1"/>
  <c r="E98" i="1"/>
  <c r="E101" i="1" s="1"/>
  <c r="D98" i="1"/>
  <c r="C98" i="1"/>
  <c r="C101" i="1" s="1"/>
  <c r="C94" i="1"/>
  <c r="N72" i="1"/>
  <c r="T70" i="1"/>
  <c r="Q70" i="1"/>
  <c r="D69" i="1"/>
  <c r="N67" i="1"/>
  <c r="M67" i="1"/>
  <c r="L67" i="1"/>
  <c r="K67" i="1"/>
  <c r="J67" i="1"/>
  <c r="I67" i="1"/>
  <c r="H67" i="1"/>
  <c r="G67" i="1"/>
  <c r="F67" i="1"/>
  <c r="E67" i="1"/>
  <c r="D67" i="1"/>
  <c r="E61" i="1"/>
  <c r="AS54" i="1"/>
  <c r="AR54" i="1"/>
  <c r="AQ54" i="1"/>
  <c r="AP54" i="1"/>
  <c r="AO54" i="1"/>
  <c r="AN54" i="1"/>
  <c r="AM54" i="1"/>
  <c r="AL54" i="1"/>
  <c r="AK54" i="1"/>
  <c r="AJ54" i="1"/>
  <c r="AI54" i="1"/>
  <c r="Q54" i="1"/>
  <c r="AP49" i="1"/>
  <c r="AO49" i="1"/>
  <c r="AL49" i="1"/>
  <c r="E49" i="1"/>
  <c r="F49" i="1" s="1"/>
  <c r="G49" i="1" s="1"/>
  <c r="AQ47" i="1"/>
  <c r="AQ49" i="1" s="1"/>
  <c r="AP47" i="1"/>
  <c r="AO47" i="1"/>
  <c r="AN47" i="1"/>
  <c r="AN49" i="1" s="1"/>
  <c r="AM47" i="1"/>
  <c r="AM49" i="1" s="1"/>
  <c r="AL47" i="1"/>
  <c r="AK47" i="1"/>
  <c r="AK49" i="1" s="1"/>
  <c r="AJ47" i="1"/>
  <c r="AJ49" i="1" s="1"/>
  <c r="P47" i="1"/>
  <c r="P53" i="1" s="1"/>
  <c r="M46" i="1"/>
  <c r="L46" i="1"/>
  <c r="K46" i="1"/>
  <c r="J46" i="1"/>
  <c r="I46" i="1"/>
  <c r="H46" i="1"/>
  <c r="G46" i="1"/>
  <c r="F46" i="1"/>
  <c r="E46" i="1"/>
  <c r="D46" i="1"/>
  <c r="C89" i="1" s="1"/>
  <c r="C92" i="1" s="1"/>
  <c r="AP44" i="1"/>
  <c r="F37" i="1"/>
  <c r="G37" i="1" s="1"/>
  <c r="E37" i="1"/>
  <c r="P36" i="1"/>
  <c r="D32" i="1"/>
  <c r="D68" i="1" s="1"/>
  <c r="AI31" i="1"/>
  <c r="D31" i="1"/>
  <c r="Q30" i="1"/>
  <c r="M22" i="1"/>
  <c r="L22" i="1"/>
  <c r="K22" i="1"/>
  <c r="J22" i="1"/>
  <c r="I22" i="1"/>
  <c r="H100" i="1" s="1"/>
  <c r="H22" i="1"/>
  <c r="G22" i="1"/>
  <c r="F100" i="1" s="1"/>
  <c r="F22" i="1"/>
  <c r="E100" i="1" s="1"/>
  <c r="E22" i="1"/>
  <c r="D100" i="1" s="1"/>
  <c r="D22" i="1"/>
  <c r="M21" i="1"/>
  <c r="L21" i="1"/>
  <c r="K21" i="1"/>
  <c r="J21" i="1"/>
  <c r="I21" i="1"/>
  <c r="H21" i="1"/>
  <c r="H91" i="1" s="1"/>
  <c r="G21" i="1"/>
  <c r="G91" i="1" s="1"/>
  <c r="F21" i="1"/>
  <c r="F91" i="1" s="1"/>
  <c r="E21" i="1"/>
  <c r="E91" i="1" s="1"/>
  <c r="D21" i="1"/>
  <c r="D91" i="1" s="1"/>
  <c r="AL20" i="1"/>
  <c r="E20" i="1"/>
  <c r="D20" i="1"/>
  <c r="D15" i="1"/>
  <c r="E15" i="1" s="1"/>
  <c r="F15" i="1" s="1"/>
  <c r="G15" i="1" s="1"/>
  <c r="H15" i="1" s="1"/>
  <c r="I15" i="1" s="1"/>
  <c r="J15" i="1" s="1"/>
  <c r="K15" i="1" s="1"/>
  <c r="L15" i="1" s="1"/>
  <c r="M15" i="1" s="1"/>
  <c r="AL14" i="1"/>
  <c r="E14" i="1"/>
  <c r="F14" i="1" s="1"/>
  <c r="G14" i="1" s="1"/>
  <c r="H14" i="1" s="1"/>
  <c r="I14" i="1" s="1"/>
  <c r="J14" i="1" s="1"/>
  <c r="K14" i="1" s="1"/>
  <c r="L14" i="1" s="1"/>
  <c r="M14" i="1" s="1"/>
  <c r="AQ13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D12" i="1"/>
  <c r="AL38" i="1" s="1"/>
  <c r="AQ9" i="1"/>
  <c r="AR47" i="1" s="1"/>
  <c r="AR49" i="1" s="1"/>
  <c r="AH9" i="1"/>
  <c r="AI47" i="1" s="1"/>
  <c r="AI49" i="1" s="1"/>
  <c r="D6" i="1"/>
  <c r="AM45" i="1" s="1"/>
  <c r="AQ5" i="1"/>
  <c r="AP4" i="1"/>
  <c r="AQ4" i="1" s="1"/>
  <c r="E4" i="1"/>
  <c r="Q48" i="1" l="1"/>
  <c r="AQ14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D89" i="1"/>
  <c r="G89" i="1"/>
  <c r="G92" i="1" s="1"/>
  <c r="B35" i="3"/>
  <c r="B35" i="4"/>
  <c r="I9" i="2"/>
  <c r="E12" i="1"/>
  <c r="F12" i="1" s="1"/>
  <c r="G12" i="1" s="1"/>
  <c r="H12" i="1" s="1"/>
  <c r="I12" i="1" s="1"/>
  <c r="J12" i="1" s="1"/>
  <c r="K12" i="1" s="1"/>
  <c r="L12" i="1" s="1"/>
  <c r="M12" i="1" s="1"/>
  <c r="D61" i="1"/>
  <c r="D38" i="1"/>
  <c r="H37" i="1"/>
  <c r="G20" i="1"/>
  <c r="G61" i="1" s="1"/>
  <c r="E32" i="1"/>
  <c r="E68" i="1" s="1"/>
  <c r="E8" i="1"/>
  <c r="E6" i="1" s="1"/>
  <c r="F4" i="1"/>
  <c r="D17" i="1"/>
  <c r="D43" i="1"/>
  <c r="AM42" i="1"/>
  <c r="D92" i="1"/>
  <c r="D101" i="1"/>
  <c r="F20" i="1"/>
  <c r="F61" i="1" s="1"/>
  <c r="F89" i="1"/>
  <c r="F92" i="1" s="1"/>
  <c r="H49" i="1"/>
  <c r="Q53" i="1"/>
  <c r="E89" i="1"/>
  <c r="E92" i="1" s="1"/>
  <c r="F101" i="1"/>
  <c r="C13" i="2" l="1"/>
  <c r="C6" i="2"/>
  <c r="C3" i="2"/>
  <c r="C12" i="2"/>
  <c r="C9" i="2"/>
  <c r="C5" i="2"/>
  <c r="C2" i="2"/>
  <c r="C4" i="2"/>
  <c r="C8" i="2"/>
  <c r="C10" i="2"/>
  <c r="C7" i="2"/>
  <c r="C11" i="2"/>
  <c r="E43" i="1"/>
  <c r="E33" i="1"/>
  <c r="E69" i="1" s="1"/>
  <c r="F32" i="1"/>
  <c r="F68" i="1" s="1"/>
  <c r="G4" i="1"/>
  <c r="F8" i="1"/>
  <c r="F17" i="1" s="1"/>
  <c r="D71" i="1"/>
  <c r="I37" i="1"/>
  <c r="Q37" i="1"/>
  <c r="H20" i="1"/>
  <c r="H61" i="1" s="1"/>
  <c r="Q55" i="1"/>
  <c r="R54" i="1" s="1"/>
  <c r="D60" i="1"/>
  <c r="D62" i="1" s="1"/>
  <c r="D24" i="1"/>
  <c r="E17" i="1"/>
  <c r="E38" i="1"/>
  <c r="D40" i="1"/>
  <c r="I49" i="1"/>
  <c r="R53" i="1" l="1"/>
  <c r="C27" i="2"/>
  <c r="C22" i="2"/>
  <c r="C17" i="2"/>
  <c r="C14" i="2"/>
  <c r="E2" i="2"/>
  <c r="C18" i="2"/>
  <c r="C26" i="2"/>
  <c r="C25" i="2"/>
  <c r="C20" i="2"/>
  <c r="C21" i="2"/>
  <c r="C19" i="2"/>
  <c r="C23" i="2"/>
  <c r="C24" i="2"/>
  <c r="C28" i="2"/>
  <c r="E60" i="1"/>
  <c r="E62" i="1" s="1"/>
  <c r="E24" i="1"/>
  <c r="I20" i="1"/>
  <c r="I61" i="1" s="1"/>
  <c r="J37" i="1"/>
  <c r="G32" i="1"/>
  <c r="G68" i="1" s="1"/>
  <c r="G8" i="1"/>
  <c r="G17" i="1" s="1"/>
  <c r="H4" i="1"/>
  <c r="G6" i="1"/>
  <c r="E71" i="1"/>
  <c r="D25" i="1"/>
  <c r="D44" i="1" s="1"/>
  <c r="F6" i="1"/>
  <c r="D63" i="1"/>
  <c r="D64" i="1" s="1"/>
  <c r="J49" i="1"/>
  <c r="F38" i="1"/>
  <c r="E40" i="1"/>
  <c r="F60" i="1"/>
  <c r="F62" i="1" s="1"/>
  <c r="F24" i="1"/>
  <c r="C43" i="2" l="1"/>
  <c r="C36" i="2"/>
  <c r="C33" i="2"/>
  <c r="C37" i="2"/>
  <c r="C34" i="2"/>
  <c r="C39" i="2"/>
  <c r="C35" i="2"/>
  <c r="C41" i="2"/>
  <c r="B3" i="2"/>
  <c r="F2" i="2"/>
  <c r="C38" i="2"/>
  <c r="C40" i="2"/>
  <c r="C29" i="2"/>
  <c r="C32" i="2"/>
  <c r="C42" i="2"/>
  <c r="H32" i="1"/>
  <c r="H8" i="1"/>
  <c r="H17" i="1" s="1"/>
  <c r="I4" i="1"/>
  <c r="H6" i="1"/>
  <c r="F25" i="1"/>
  <c r="F44" i="1" s="1"/>
  <c r="F43" i="1"/>
  <c r="F33" i="1"/>
  <c r="F69" i="1" s="1"/>
  <c r="G24" i="1"/>
  <c r="G60" i="1"/>
  <c r="G62" i="1" s="1"/>
  <c r="F40" i="1"/>
  <c r="G38" i="1"/>
  <c r="F63" i="1"/>
  <c r="F64" i="1" s="1"/>
  <c r="K49" i="1"/>
  <c r="E25" i="1"/>
  <c r="E44" i="1" s="1"/>
  <c r="D26" i="1"/>
  <c r="D50" i="1" s="1"/>
  <c r="G43" i="1"/>
  <c r="G33" i="1"/>
  <c r="G69" i="1" s="1"/>
  <c r="J20" i="1"/>
  <c r="J61" i="1" s="1"/>
  <c r="K37" i="1"/>
  <c r="E63" i="1"/>
  <c r="D72" i="1" s="1"/>
  <c r="F26" i="1" l="1"/>
  <c r="C53" i="2"/>
  <c r="C52" i="2"/>
  <c r="C57" i="2"/>
  <c r="C55" i="2"/>
  <c r="C56" i="2"/>
  <c r="C51" i="2"/>
  <c r="C47" i="2"/>
  <c r="C44" i="2"/>
  <c r="C54" i="2"/>
  <c r="D3" i="2"/>
  <c r="C50" i="2"/>
  <c r="C49" i="2"/>
  <c r="C48" i="2"/>
  <c r="C58" i="2"/>
  <c r="E64" i="1"/>
  <c r="E26" i="1"/>
  <c r="E50" i="1" s="1"/>
  <c r="G64" i="1"/>
  <c r="G63" i="1"/>
  <c r="F72" i="1" s="1"/>
  <c r="H24" i="1"/>
  <c r="H60" i="1"/>
  <c r="H62" i="1" s="1"/>
  <c r="E72" i="1"/>
  <c r="G25" i="1"/>
  <c r="G44" i="1" s="1"/>
  <c r="Q32" i="1"/>
  <c r="H68" i="1"/>
  <c r="G71" i="1"/>
  <c r="L37" i="1"/>
  <c r="K20" i="1"/>
  <c r="K61" i="1" s="1"/>
  <c r="D51" i="1"/>
  <c r="G40" i="1"/>
  <c r="H38" i="1"/>
  <c r="H43" i="1"/>
  <c r="H33" i="1"/>
  <c r="D53" i="1"/>
  <c r="D55" i="1" s="1"/>
  <c r="L49" i="1"/>
  <c r="F71" i="1"/>
  <c r="I32" i="1"/>
  <c r="I68" i="1" s="1"/>
  <c r="I8" i="1"/>
  <c r="I17" i="1" s="1"/>
  <c r="I6" i="1"/>
  <c r="J4" i="1"/>
  <c r="G26" i="1" l="1"/>
  <c r="C69" i="2"/>
  <c r="C67" i="2"/>
  <c r="C73" i="2"/>
  <c r="C63" i="2"/>
  <c r="C71" i="2"/>
  <c r="C64" i="2"/>
  <c r="E3" i="2"/>
  <c r="C66" i="2"/>
  <c r="C70" i="2"/>
  <c r="C65" i="2"/>
  <c r="C62" i="2"/>
  <c r="C59" i="2"/>
  <c r="C72" i="2"/>
  <c r="C68" i="2"/>
  <c r="I60" i="1"/>
  <c r="I62" i="1" s="1"/>
  <c r="I24" i="1"/>
  <c r="H69" i="1"/>
  <c r="Q33" i="1"/>
  <c r="F50" i="1"/>
  <c r="E51" i="1"/>
  <c r="H64" i="1"/>
  <c r="H63" i="1"/>
  <c r="G72" i="1" s="1"/>
  <c r="I43" i="1"/>
  <c r="I33" i="1"/>
  <c r="I69" i="1" s="1"/>
  <c r="M49" i="1"/>
  <c r="H25" i="1"/>
  <c r="H44" i="1" s="1"/>
  <c r="H26" i="1"/>
  <c r="H71" i="1"/>
  <c r="Q43" i="1"/>
  <c r="J32" i="1"/>
  <c r="J68" i="1" s="1"/>
  <c r="K4" i="1"/>
  <c r="J8" i="1"/>
  <c r="J17" i="1" s="1"/>
  <c r="I38" i="1"/>
  <c r="H40" i="1"/>
  <c r="M37" i="1"/>
  <c r="M20" i="1" s="1"/>
  <c r="M61" i="1" s="1"/>
  <c r="L20" i="1"/>
  <c r="L61" i="1" s="1"/>
  <c r="Q47" i="1"/>
  <c r="Q50" i="1" s="1"/>
  <c r="E53" i="1"/>
  <c r="E55" i="1" s="1"/>
  <c r="C79" i="2" l="1"/>
  <c r="C83" i="2"/>
  <c r="C80" i="2"/>
  <c r="C81" i="2"/>
  <c r="C78" i="2"/>
  <c r="C82" i="2"/>
  <c r="F3" i="2"/>
  <c r="B4" i="2"/>
  <c r="C87" i="2"/>
  <c r="C77" i="2"/>
  <c r="C74" i="2"/>
  <c r="C85" i="2"/>
  <c r="C86" i="2"/>
  <c r="C88" i="2"/>
  <c r="C84" i="2"/>
  <c r="S54" i="1"/>
  <c r="T54" i="1" s="1"/>
  <c r="S53" i="1"/>
  <c r="T53" i="1" s="1"/>
  <c r="J6" i="1"/>
  <c r="I71" i="1"/>
  <c r="G50" i="1"/>
  <c r="F51" i="1"/>
  <c r="F53" i="1"/>
  <c r="F55" i="1" s="1"/>
  <c r="I63" i="1"/>
  <c r="H72" i="1" s="1"/>
  <c r="I64" i="1"/>
  <c r="J38" i="1"/>
  <c r="I40" i="1"/>
  <c r="J60" i="1"/>
  <c r="J62" i="1" s="1"/>
  <c r="J24" i="1"/>
  <c r="K32" i="1"/>
  <c r="K68" i="1" s="1"/>
  <c r="K8" i="1"/>
  <c r="K17" i="1" s="1"/>
  <c r="I25" i="1"/>
  <c r="I44" i="1" s="1"/>
  <c r="C102" i="2" l="1"/>
  <c r="C96" i="2"/>
  <c r="C97" i="2"/>
  <c r="C98" i="2"/>
  <c r="C92" i="2"/>
  <c r="C89" i="2"/>
  <c r="C95" i="2"/>
  <c r="C99" i="2"/>
  <c r="C101" i="2"/>
  <c r="D4" i="2"/>
  <c r="C103" i="2"/>
  <c r="C100" i="2"/>
  <c r="C93" i="2"/>
  <c r="C94" i="2"/>
  <c r="H50" i="1"/>
  <c r="G51" i="1"/>
  <c r="G53" i="1"/>
  <c r="G55" i="1" s="1"/>
  <c r="L8" i="1"/>
  <c r="L17" i="1" s="1"/>
  <c r="M4" i="1"/>
  <c r="L32" i="1"/>
  <c r="L68" i="1" s="1"/>
  <c r="K24" i="1"/>
  <c r="K60" i="1"/>
  <c r="K62" i="1" s="1"/>
  <c r="J25" i="1"/>
  <c r="J44" i="1" s="1"/>
  <c r="H99" i="1"/>
  <c r="H101" i="1" s="1"/>
  <c r="C102" i="1" s="1"/>
  <c r="C104" i="1" s="1"/>
  <c r="U54" i="1"/>
  <c r="I26" i="1"/>
  <c r="K6" i="1"/>
  <c r="J63" i="1"/>
  <c r="I72" i="1" s="1"/>
  <c r="K38" i="1"/>
  <c r="J43" i="1"/>
  <c r="J33" i="1"/>
  <c r="J69" i="1" s="1"/>
  <c r="H90" i="1"/>
  <c r="H92" i="1" s="1"/>
  <c r="C93" i="1" s="1"/>
  <c r="C95" i="1" s="1"/>
  <c r="U53" i="1"/>
  <c r="J26" i="1" l="1"/>
  <c r="C116" i="2"/>
  <c r="C109" i="2"/>
  <c r="C110" i="2"/>
  <c r="C115" i="2"/>
  <c r="C111" i="2"/>
  <c r="C114" i="2"/>
  <c r="C117" i="2"/>
  <c r="E4" i="2"/>
  <c r="C113" i="2"/>
  <c r="C108" i="2"/>
  <c r="C118" i="2"/>
  <c r="C107" i="2"/>
  <c r="C104" i="2"/>
  <c r="C112" i="2"/>
  <c r="J71" i="1"/>
  <c r="J64" i="1"/>
  <c r="K63" i="1"/>
  <c r="J72" i="1" s="1"/>
  <c r="M32" i="1"/>
  <c r="M8" i="1"/>
  <c r="M17" i="1" s="1"/>
  <c r="M6" i="1"/>
  <c r="I50" i="1"/>
  <c r="H51" i="1"/>
  <c r="H53" i="1"/>
  <c r="H55" i="1" s="1"/>
  <c r="K40" i="1"/>
  <c r="L38" i="1"/>
  <c r="K43" i="1"/>
  <c r="K33" i="1"/>
  <c r="K69" i="1" s="1"/>
  <c r="K25" i="1"/>
  <c r="K44" i="1" s="1"/>
  <c r="L60" i="1"/>
  <c r="L62" i="1" s="1"/>
  <c r="L24" i="1"/>
  <c r="J40" i="1"/>
  <c r="L6" i="1"/>
  <c r="K64" i="1" l="1"/>
  <c r="K26" i="1"/>
  <c r="C122" i="2"/>
  <c r="C119" i="2"/>
  <c r="C123" i="2"/>
  <c r="B5" i="2"/>
  <c r="F4" i="2"/>
  <c r="C130" i="2"/>
  <c r="C124" i="2"/>
  <c r="C127" i="2"/>
  <c r="C133" i="2"/>
  <c r="C125" i="2"/>
  <c r="C129" i="2"/>
  <c r="C128" i="2"/>
  <c r="C132" i="2"/>
  <c r="C126" i="2"/>
  <c r="C131" i="2"/>
  <c r="L25" i="1"/>
  <c r="L44" i="1" s="1"/>
  <c r="M60" i="1"/>
  <c r="M62" i="1" s="1"/>
  <c r="M24" i="1"/>
  <c r="N68" i="1"/>
  <c r="M68" i="1"/>
  <c r="M43" i="1"/>
  <c r="M33" i="1"/>
  <c r="L63" i="1"/>
  <c r="K72" i="1" s="1"/>
  <c r="K71" i="1"/>
  <c r="L43" i="1"/>
  <c r="L33" i="1"/>
  <c r="L69" i="1" s="1"/>
  <c r="M38" i="1"/>
  <c r="M40" i="1" s="1"/>
  <c r="L40" i="1"/>
  <c r="J50" i="1"/>
  <c r="I51" i="1"/>
  <c r="I53" i="1"/>
  <c r="I55" i="1" s="1"/>
  <c r="C138" i="2" l="1"/>
  <c r="C146" i="2"/>
  <c r="C147" i="2"/>
  <c r="C144" i="2"/>
  <c r="C148" i="2"/>
  <c r="C139" i="2"/>
  <c r="D5" i="2"/>
  <c r="C145" i="2"/>
  <c r="C137" i="2"/>
  <c r="C134" i="2"/>
  <c r="C141" i="2"/>
  <c r="C143" i="2"/>
  <c r="C140" i="2"/>
  <c r="C142" i="2"/>
  <c r="N71" i="1"/>
  <c r="M71" i="1"/>
  <c r="L26" i="1"/>
  <c r="K50" i="1"/>
  <c r="J51" i="1"/>
  <c r="J53" i="1"/>
  <c r="J55" i="1" s="1"/>
  <c r="L71" i="1"/>
  <c r="L64" i="1"/>
  <c r="M25" i="1"/>
  <c r="M44" i="1" s="1"/>
  <c r="N69" i="1"/>
  <c r="M69" i="1"/>
  <c r="M63" i="1"/>
  <c r="M64" i="1" s="1"/>
  <c r="M26" i="1" l="1"/>
  <c r="C158" i="2"/>
  <c r="E5" i="2"/>
  <c r="C154" i="2"/>
  <c r="C159" i="2"/>
  <c r="C157" i="2"/>
  <c r="C160" i="2"/>
  <c r="C152" i="2"/>
  <c r="C149" i="2"/>
  <c r="C153" i="2"/>
  <c r="C161" i="2"/>
  <c r="C155" i="2"/>
  <c r="C156" i="2"/>
  <c r="C163" i="2"/>
  <c r="C162" i="2"/>
  <c r="M72" i="1"/>
  <c r="L72" i="1"/>
  <c r="L50" i="1"/>
  <c r="K51" i="1"/>
  <c r="K53" i="1"/>
  <c r="K55" i="1" s="1"/>
  <c r="B6" i="2" l="1"/>
  <c r="F5" i="2"/>
  <c r="C164" i="2"/>
  <c r="M50" i="1"/>
  <c r="L51" i="1"/>
  <c r="L53" i="1"/>
  <c r="L55" i="1" s="1"/>
  <c r="D6" i="2" l="1"/>
  <c r="M51" i="1"/>
  <c r="Q77" i="1" s="1"/>
  <c r="Q79" i="1" s="1"/>
  <c r="M53" i="1"/>
  <c r="M55" i="1" s="1"/>
  <c r="E6" i="2" l="1"/>
  <c r="R77" i="1"/>
  <c r="R70" i="1"/>
  <c r="B7" i="2" l="1"/>
  <c r="F6" i="2"/>
  <c r="R79" i="1"/>
  <c r="U70" i="1"/>
  <c r="R59" i="1"/>
  <c r="R60" i="1"/>
  <c r="R61" i="1" l="1"/>
  <c r="R67" i="1" s="1"/>
  <c r="S77" i="1" s="1"/>
  <c r="T77" i="1" s="1"/>
  <c r="U77" i="1" s="1"/>
  <c r="U79" i="1" s="1"/>
  <c r="F81" i="1" s="1"/>
  <c r="F82" i="1" s="1"/>
  <c r="D7" i="2"/>
  <c r="E7" i="2" l="1"/>
  <c r="F7" i="2" l="1"/>
  <c r="B8" i="2"/>
  <c r="D8" i="2" l="1"/>
  <c r="E8" i="2" s="1"/>
  <c r="B9" i="2" s="1"/>
  <c r="F9" i="2" l="1"/>
  <c r="D9" i="2"/>
  <c r="E9" i="2" s="1"/>
  <c r="B10" i="2" s="1"/>
  <c r="F8" i="2"/>
  <c r="D10" i="2" l="1"/>
  <c r="E10" i="2" s="1"/>
  <c r="F10" i="2" s="1"/>
  <c r="B11" i="2" l="1"/>
  <c r="D11" i="2" l="1"/>
  <c r="E11" i="2" s="1"/>
  <c r="B12" i="2" s="1"/>
  <c r="D12" i="2" l="1"/>
  <c r="E12" i="2" s="1"/>
  <c r="B13" i="2" s="1"/>
  <c r="F11" i="2"/>
  <c r="D13" i="2" l="1"/>
  <c r="F12" i="2"/>
  <c r="E13" i="2" l="1"/>
  <c r="D14" i="2"/>
  <c r="E14" i="2" l="1"/>
  <c r="F13" i="2"/>
  <c r="B17" i="2" s="1"/>
  <c r="D17" i="2" l="1"/>
  <c r="E17" i="2" l="1"/>
  <c r="B18" i="2" l="1"/>
  <c r="F17" i="2"/>
  <c r="D18" i="2" l="1"/>
  <c r="E18" i="2" l="1"/>
  <c r="F18" i="2" l="1"/>
  <c r="B19" i="2"/>
  <c r="D19" i="2" l="1"/>
  <c r="E19" i="2" l="1"/>
  <c r="F19" i="2" l="1"/>
  <c r="B20" i="2"/>
  <c r="D20" i="2" l="1"/>
  <c r="E20" i="2" l="1"/>
  <c r="F20" i="2" l="1"/>
  <c r="B21" i="2"/>
  <c r="D21" i="2" l="1"/>
  <c r="E21" i="2" l="1"/>
  <c r="F21" i="2" l="1"/>
  <c r="B22" i="2"/>
  <c r="D22" i="2" l="1"/>
  <c r="E22" i="2" s="1"/>
  <c r="B23" i="2" s="1"/>
  <c r="D23" i="2" l="1"/>
  <c r="E23" i="2" s="1"/>
  <c r="F23" i="2" s="1"/>
  <c r="F22" i="2"/>
  <c r="B24" i="2" l="1"/>
  <c r="D24" i="2" l="1"/>
  <c r="E24" i="2" s="1"/>
  <c r="F24" i="2" s="1"/>
  <c r="B25" i="2" l="1"/>
  <c r="D25" i="2" l="1"/>
  <c r="E25" i="2" s="1"/>
  <c r="B26" i="2" s="1"/>
  <c r="D26" i="2" l="1"/>
  <c r="E26" i="2" s="1"/>
  <c r="B27" i="2" s="1"/>
  <c r="F25" i="2"/>
  <c r="D27" i="2" l="1"/>
  <c r="E27" i="2" s="1"/>
  <c r="B28" i="2" s="1"/>
  <c r="F26" i="2"/>
  <c r="D28" i="2" l="1"/>
  <c r="F27" i="2"/>
  <c r="E28" i="2" l="1"/>
  <c r="D29" i="2"/>
  <c r="E29" i="2" l="1"/>
  <c r="F28" i="2"/>
  <c r="B32" i="2" s="1"/>
  <c r="D32" i="2" l="1"/>
  <c r="E32" i="2" l="1"/>
  <c r="F32" i="2" l="1"/>
  <c r="B33" i="2"/>
  <c r="D33" i="2" l="1"/>
  <c r="E33" i="2" l="1"/>
  <c r="F33" i="2" l="1"/>
  <c r="B34" i="2"/>
  <c r="D34" i="2" l="1"/>
  <c r="E34" i="2" l="1"/>
  <c r="B35" i="2" l="1"/>
  <c r="F34" i="2"/>
  <c r="D35" i="2" l="1"/>
  <c r="E35" i="2" l="1"/>
  <c r="B36" i="2" l="1"/>
  <c r="F35" i="2"/>
  <c r="D36" i="2" l="1"/>
  <c r="E36" i="2" l="1"/>
  <c r="F36" i="2" l="1"/>
  <c r="B37" i="2"/>
  <c r="D37" i="2" l="1"/>
  <c r="E37" i="2" s="1"/>
  <c r="B38" i="2" s="1"/>
  <c r="D38" i="2" l="1"/>
  <c r="E38" i="2" s="1"/>
  <c r="B39" i="2" s="1"/>
  <c r="F37" i="2"/>
  <c r="D39" i="2" l="1"/>
  <c r="E39" i="2" s="1"/>
  <c r="B40" i="2" s="1"/>
  <c r="F38" i="2"/>
  <c r="D40" i="2" l="1"/>
  <c r="E40" i="2" s="1"/>
  <c r="F40" i="2" s="1"/>
  <c r="F39" i="2"/>
  <c r="B41" i="2" l="1"/>
  <c r="D41" i="2" l="1"/>
  <c r="E41" i="2" s="1"/>
  <c r="B42" i="2" s="1"/>
  <c r="D42" i="2" l="1"/>
  <c r="E42" i="2" s="1"/>
  <c r="B43" i="2" s="1"/>
  <c r="F41" i="2"/>
  <c r="D43" i="2" l="1"/>
  <c r="F42" i="2"/>
  <c r="E43" i="2" l="1"/>
  <c r="D44" i="2"/>
  <c r="E44" i="2" l="1"/>
  <c r="F43" i="2"/>
  <c r="B47" i="2" s="1"/>
  <c r="D47" i="2" l="1"/>
  <c r="E47" i="2" l="1"/>
  <c r="B48" i="2" l="1"/>
  <c r="F47" i="2"/>
  <c r="D48" i="2" l="1"/>
  <c r="E48" i="2" l="1"/>
  <c r="F48" i="2" l="1"/>
  <c r="B49" i="2"/>
  <c r="D49" i="2" l="1"/>
  <c r="E49" i="2" l="1"/>
  <c r="B50" i="2" l="1"/>
  <c r="F49" i="2"/>
  <c r="D50" i="2" l="1"/>
  <c r="E50" i="2" l="1"/>
  <c r="B51" i="2" l="1"/>
  <c r="F50" i="2"/>
  <c r="D51" i="2" l="1"/>
  <c r="E51" i="2" l="1"/>
  <c r="B52" i="2" l="1"/>
  <c r="F51" i="2"/>
  <c r="D52" i="2" l="1"/>
  <c r="E52" i="2" s="1"/>
  <c r="F52" i="2" s="1"/>
  <c r="B53" i="2" l="1"/>
  <c r="D53" i="2" l="1"/>
  <c r="E53" i="2" s="1"/>
  <c r="B54" i="2" s="1"/>
  <c r="D54" i="2" l="1"/>
  <c r="E54" i="2" s="1"/>
  <c r="B55" i="2" s="1"/>
  <c r="F53" i="2"/>
  <c r="F55" i="2" l="1"/>
  <c r="D55" i="2"/>
  <c r="E55" i="2" s="1"/>
  <c r="B56" i="2" s="1"/>
  <c r="F54" i="2"/>
  <c r="D56" i="2" l="1"/>
  <c r="E56" i="2" s="1"/>
  <c r="F56" i="2" s="1"/>
  <c r="B57" i="2" l="1"/>
  <c r="D57" i="2" l="1"/>
  <c r="E57" i="2" s="1"/>
  <c r="B58" i="2" s="1"/>
  <c r="D58" i="2" l="1"/>
  <c r="F57" i="2"/>
  <c r="E58" i="2" l="1"/>
  <c r="D59" i="2"/>
  <c r="E59" i="2" l="1"/>
  <c r="F58" i="2"/>
  <c r="B62" i="2" s="1"/>
  <c r="D62" i="2" l="1"/>
  <c r="E62" i="2" l="1"/>
  <c r="B63" i="2" l="1"/>
  <c r="F62" i="2"/>
  <c r="D63" i="2" l="1"/>
  <c r="E63" i="2" l="1"/>
  <c r="B64" i="2" l="1"/>
  <c r="F63" i="2"/>
  <c r="D64" i="2" l="1"/>
  <c r="E64" i="2" l="1"/>
  <c r="F64" i="2" l="1"/>
  <c r="B65" i="2"/>
  <c r="D65" i="2" l="1"/>
  <c r="E65" i="2" l="1"/>
  <c r="B66" i="2" l="1"/>
  <c r="F65" i="2"/>
  <c r="D66" i="2" l="1"/>
  <c r="E66" i="2" l="1"/>
  <c r="B67" i="2" l="1"/>
  <c r="F66" i="2"/>
  <c r="D67" i="2" l="1"/>
  <c r="E67" i="2" s="1"/>
  <c r="B68" i="2" s="1"/>
  <c r="D68" i="2" l="1"/>
  <c r="E68" i="2" s="1"/>
  <c r="F68" i="2" s="1"/>
  <c r="F67" i="2"/>
  <c r="B69" i="2" l="1"/>
  <c r="D69" i="2" l="1"/>
  <c r="E69" i="2" s="1"/>
  <c r="B70" i="2" s="1"/>
  <c r="D70" i="2" l="1"/>
  <c r="E70" i="2" s="1"/>
  <c r="B71" i="2" s="1"/>
  <c r="F69" i="2"/>
  <c r="D71" i="2" l="1"/>
  <c r="E71" i="2" s="1"/>
  <c r="B72" i="2" s="1"/>
  <c r="F70" i="2"/>
  <c r="D72" i="2" l="1"/>
  <c r="E72" i="2" s="1"/>
  <c r="F72" i="2" s="1"/>
  <c r="F71" i="2"/>
  <c r="B73" i="2" l="1"/>
  <c r="D73" i="2" l="1"/>
  <c r="E73" i="2" l="1"/>
  <c r="D74" i="2"/>
  <c r="E74" i="2" l="1"/>
  <c r="F73" i="2"/>
  <c r="B77" i="2" s="1"/>
  <c r="D77" i="2" l="1"/>
  <c r="E77" i="2" l="1"/>
  <c r="B78" i="2" l="1"/>
  <c r="F77" i="2"/>
  <c r="D78" i="2" l="1"/>
  <c r="E78" i="2" l="1"/>
  <c r="B79" i="2" l="1"/>
  <c r="F78" i="2"/>
  <c r="D79" i="2" l="1"/>
  <c r="E79" i="2" l="1"/>
  <c r="B80" i="2" l="1"/>
  <c r="F79" i="2"/>
  <c r="D80" i="2" l="1"/>
  <c r="E80" i="2" l="1"/>
  <c r="F80" i="2" l="1"/>
  <c r="B81" i="2"/>
  <c r="D81" i="2" l="1"/>
  <c r="E81" i="2" l="1"/>
  <c r="B82" i="2" l="1"/>
  <c r="F81" i="2"/>
  <c r="D82" i="2" l="1"/>
  <c r="E82" i="2" s="1"/>
  <c r="B83" i="2" s="1"/>
  <c r="D83" i="2" l="1"/>
  <c r="E83" i="2" s="1"/>
  <c r="B84" i="2" s="1"/>
  <c r="F82" i="2"/>
  <c r="D84" i="2" l="1"/>
  <c r="E84" i="2" s="1"/>
  <c r="B85" i="2" s="1"/>
  <c r="F83" i="2"/>
  <c r="D85" i="2" l="1"/>
  <c r="E85" i="2" s="1"/>
  <c r="B86" i="2" s="1"/>
  <c r="F84" i="2"/>
  <c r="D86" i="2" l="1"/>
  <c r="E86" i="2" s="1"/>
  <c r="F86" i="2" s="1"/>
  <c r="F85" i="2"/>
  <c r="B87" i="2" l="1"/>
  <c r="D87" i="2" l="1"/>
  <c r="E87" i="2" s="1"/>
  <c r="B88" i="2" s="1"/>
  <c r="D88" i="2" l="1"/>
  <c r="F87" i="2"/>
  <c r="E88" i="2" l="1"/>
  <c r="D89" i="2"/>
  <c r="E89" i="2" l="1"/>
  <c r="F88" i="2"/>
  <c r="B92" i="2" s="1"/>
  <c r="D92" i="2" l="1"/>
  <c r="E92" i="2" l="1"/>
  <c r="B93" i="2" l="1"/>
  <c r="F92" i="2"/>
  <c r="D93" i="2" l="1"/>
  <c r="E93" i="2" l="1"/>
  <c r="B94" i="2" l="1"/>
  <c r="F93" i="2"/>
  <c r="D94" i="2" l="1"/>
  <c r="E94" i="2" l="1"/>
  <c r="F94" i="2" l="1"/>
  <c r="B95" i="2"/>
  <c r="D95" i="2" l="1"/>
  <c r="E95" i="2" l="1"/>
  <c r="B96" i="2" l="1"/>
  <c r="F95" i="2"/>
  <c r="D96" i="2" l="1"/>
  <c r="E96" i="2" l="1"/>
  <c r="B97" i="2" l="1"/>
  <c r="F96" i="2"/>
  <c r="D97" i="2" l="1"/>
  <c r="E97" i="2" s="1"/>
  <c r="B98" i="2" s="1"/>
  <c r="D98" i="2" l="1"/>
  <c r="E98" i="2" s="1"/>
  <c r="F98" i="2" s="1"/>
  <c r="F97" i="2"/>
  <c r="B99" i="2" l="1"/>
  <c r="D99" i="2" l="1"/>
  <c r="E99" i="2" s="1"/>
  <c r="B100" i="2" s="1"/>
  <c r="D100" i="2" l="1"/>
  <c r="E100" i="2" s="1"/>
  <c r="B101" i="2" s="1"/>
  <c r="F99" i="2"/>
  <c r="D101" i="2" l="1"/>
  <c r="E101" i="2" s="1"/>
  <c r="B102" i="2" s="1"/>
  <c r="F100" i="2"/>
  <c r="D102" i="2" l="1"/>
  <c r="E102" i="2" s="1"/>
  <c r="F102" i="2" s="1"/>
  <c r="F101" i="2"/>
  <c r="B103" i="2" l="1"/>
  <c r="D103" i="2" l="1"/>
  <c r="E103" i="2" l="1"/>
  <c r="D104" i="2"/>
  <c r="E104" i="2" l="1"/>
  <c r="F103" i="2"/>
  <c r="B107" i="2" s="1"/>
  <c r="D107" i="2" l="1"/>
  <c r="E107" i="2" l="1"/>
  <c r="B108" i="2" l="1"/>
  <c r="F107" i="2"/>
  <c r="D108" i="2" l="1"/>
  <c r="E108" i="2" l="1"/>
  <c r="B109" i="2" l="1"/>
  <c r="F108" i="2"/>
  <c r="D109" i="2" l="1"/>
  <c r="E109" i="2" l="1"/>
  <c r="B110" i="2" l="1"/>
  <c r="F109" i="2"/>
  <c r="D110" i="2" l="1"/>
  <c r="E110" i="2" l="1"/>
  <c r="F110" i="2" l="1"/>
  <c r="B111" i="2"/>
  <c r="D111" i="2" l="1"/>
  <c r="E111" i="2" l="1"/>
  <c r="B112" i="2" l="1"/>
  <c r="F111" i="2"/>
  <c r="D112" i="2" l="1"/>
  <c r="E112" i="2" s="1"/>
  <c r="B113" i="2" s="1"/>
  <c r="D113" i="2" l="1"/>
  <c r="E113" i="2" s="1"/>
  <c r="B114" i="2" s="1"/>
  <c r="F112" i="2"/>
  <c r="D114" i="2" l="1"/>
  <c r="E114" i="2" s="1"/>
  <c r="F114" i="2" s="1"/>
  <c r="F113" i="2"/>
  <c r="B115" i="2" l="1"/>
  <c r="D115" i="2" l="1"/>
  <c r="E115" i="2" s="1"/>
  <c r="B116" i="2" s="1"/>
  <c r="D116" i="2" l="1"/>
  <c r="E116" i="2" s="1"/>
  <c r="B117" i="2" s="1"/>
  <c r="F115" i="2"/>
  <c r="D117" i="2" l="1"/>
  <c r="E117" i="2" s="1"/>
  <c r="B118" i="2" s="1"/>
  <c r="F116" i="2"/>
  <c r="D118" i="2" l="1"/>
  <c r="F117" i="2"/>
  <c r="E118" i="2" l="1"/>
  <c r="D119" i="2"/>
  <c r="E119" i="2" l="1"/>
  <c r="F118" i="2"/>
  <c r="B122" i="2" s="1"/>
  <c r="D122" i="2" l="1"/>
  <c r="E122" i="2" l="1"/>
  <c r="F122" i="2" l="1"/>
  <c r="B123" i="2"/>
  <c r="D123" i="2" l="1"/>
  <c r="E123" i="2" l="1"/>
  <c r="B124" i="2" l="1"/>
  <c r="F123" i="2"/>
  <c r="D124" i="2" l="1"/>
  <c r="E124" i="2" l="1"/>
  <c r="B125" i="2" l="1"/>
  <c r="F124" i="2"/>
  <c r="D125" i="2" l="1"/>
  <c r="E125" i="2" l="1"/>
  <c r="B126" i="2" l="1"/>
  <c r="F125" i="2"/>
  <c r="D126" i="2" l="1"/>
  <c r="E126" i="2" l="1"/>
  <c r="F126" i="2" l="1"/>
  <c r="B127" i="2"/>
  <c r="D127" i="2" l="1"/>
  <c r="E127" i="2" s="1"/>
  <c r="B128" i="2" s="1"/>
  <c r="D128" i="2" l="1"/>
  <c r="E128" i="2" s="1"/>
  <c r="B129" i="2" s="1"/>
  <c r="F127" i="2"/>
  <c r="D129" i="2" l="1"/>
  <c r="E129" i="2" s="1"/>
  <c r="B130" i="2" s="1"/>
  <c r="F128" i="2"/>
  <c r="D130" i="2" l="1"/>
  <c r="E130" i="2" s="1"/>
  <c r="F130" i="2" s="1"/>
  <c r="F129" i="2"/>
  <c r="B131" i="2" l="1"/>
  <c r="D131" i="2" l="1"/>
  <c r="E131" i="2" s="1"/>
  <c r="B132" i="2" s="1"/>
  <c r="D132" i="2" l="1"/>
  <c r="E132" i="2" s="1"/>
  <c r="B133" i="2" s="1"/>
  <c r="F131" i="2"/>
  <c r="D133" i="2" l="1"/>
  <c r="F132" i="2"/>
  <c r="E133" i="2" l="1"/>
  <c r="D134" i="2"/>
  <c r="E134" i="2" l="1"/>
  <c r="F133" i="2"/>
  <c r="B137" i="2" s="1"/>
  <c r="D137" i="2" l="1"/>
  <c r="E137" i="2" l="1"/>
  <c r="B138" i="2" l="1"/>
  <c r="F137" i="2"/>
  <c r="D138" i="2" l="1"/>
  <c r="E138" i="2" l="1"/>
  <c r="F138" i="2" l="1"/>
  <c r="B139" i="2"/>
  <c r="D139" i="2" l="1"/>
  <c r="E139" i="2" l="1"/>
  <c r="B140" i="2" l="1"/>
  <c r="F139" i="2"/>
  <c r="D140" i="2" l="1"/>
  <c r="E140" i="2" l="1"/>
  <c r="B141" i="2" l="1"/>
  <c r="F140" i="2"/>
  <c r="D141" i="2" l="1"/>
  <c r="E141" i="2" l="1"/>
  <c r="B142" i="2" l="1"/>
  <c r="F141" i="2"/>
  <c r="D142" i="2" l="1"/>
  <c r="E142" i="2" s="1"/>
  <c r="F142" i="2" s="1"/>
  <c r="B143" i="2" l="1"/>
  <c r="D143" i="2" l="1"/>
  <c r="E143" i="2" s="1"/>
  <c r="B144" i="2" s="1"/>
  <c r="D144" i="2" l="1"/>
  <c r="E144" i="2" s="1"/>
  <c r="B145" i="2" s="1"/>
  <c r="F143" i="2"/>
  <c r="D145" i="2" l="1"/>
  <c r="E145" i="2" s="1"/>
  <c r="B146" i="2" s="1"/>
  <c r="F144" i="2"/>
  <c r="D146" i="2" l="1"/>
  <c r="E146" i="2" s="1"/>
  <c r="F146" i="2" s="1"/>
  <c r="F145" i="2"/>
  <c r="B147" i="2" l="1"/>
  <c r="D147" i="2" l="1"/>
  <c r="E147" i="2" s="1"/>
  <c r="B148" i="2" s="1"/>
  <c r="D148" i="2" l="1"/>
  <c r="F147" i="2"/>
  <c r="E148" i="2" l="1"/>
  <c r="D149" i="2"/>
  <c r="E149" i="2" l="1"/>
  <c r="F148" i="2"/>
  <c r="B152" i="2" s="1"/>
  <c r="D152" i="2" l="1"/>
  <c r="E152" i="2" l="1"/>
  <c r="B153" i="2" l="1"/>
  <c r="F152" i="2"/>
  <c r="D153" i="2" l="1"/>
  <c r="E153" i="2" l="1"/>
  <c r="B154" i="2" l="1"/>
  <c r="F153" i="2"/>
  <c r="D154" i="2" l="1"/>
  <c r="E154" i="2" l="1"/>
  <c r="F154" i="2" l="1"/>
  <c r="B155" i="2"/>
  <c r="D155" i="2" l="1"/>
  <c r="E155" i="2" l="1"/>
  <c r="B156" i="2" l="1"/>
  <c r="F155" i="2"/>
  <c r="D156" i="2" l="1"/>
  <c r="E156" i="2" l="1"/>
  <c r="B157" i="2" l="1"/>
  <c r="F156" i="2"/>
  <c r="D157" i="2" l="1"/>
  <c r="E157" i="2" s="1"/>
  <c r="B158" i="2" s="1"/>
  <c r="D158" i="2" l="1"/>
  <c r="E158" i="2" s="1"/>
  <c r="F158" i="2" s="1"/>
  <c r="F157" i="2"/>
  <c r="B159" i="2" l="1"/>
  <c r="D159" i="2" l="1"/>
  <c r="E159" i="2" s="1"/>
  <c r="B160" i="2" s="1"/>
  <c r="D160" i="2" l="1"/>
  <c r="E160" i="2" s="1"/>
  <c r="B161" i="2" s="1"/>
  <c r="F159" i="2"/>
  <c r="D161" i="2" l="1"/>
  <c r="E161" i="2" s="1"/>
  <c r="B162" i="2" s="1"/>
  <c r="F160" i="2"/>
  <c r="D162" i="2" l="1"/>
  <c r="E162" i="2" s="1"/>
  <c r="F162" i="2" s="1"/>
  <c r="F161" i="2"/>
  <c r="B163" i="2" l="1"/>
  <c r="D163" i="2" l="1"/>
  <c r="E163" i="2" l="1"/>
  <c r="D164" i="2"/>
  <c r="E164" i="2" l="1"/>
  <c r="F163" i="2"/>
</calcChain>
</file>

<file path=xl/sharedStrings.xml><?xml version="1.0" encoding="utf-8"?>
<sst xmlns="http://schemas.openxmlformats.org/spreadsheetml/2006/main" count="325" uniqueCount="138">
  <si>
    <t>Cygnus Inc.</t>
  </si>
  <si>
    <t>Sold</t>
  </si>
  <si>
    <t>people on staff</t>
  </si>
  <si>
    <t>FORECAST</t>
  </si>
  <si>
    <t xml:space="preserve"> Sales Revenue</t>
  </si>
  <si>
    <t>miss workers</t>
  </si>
  <si>
    <t>sheat meat worker</t>
  </si>
  <si>
    <t>Cost of Goods Sold</t>
  </si>
  <si>
    <t>Gross Profit</t>
  </si>
  <si>
    <t>cnc worker</t>
  </si>
  <si>
    <t>Operating Expenses</t>
  </si>
  <si>
    <t>Labor Expense</t>
  </si>
  <si>
    <t>Selling, General, and Administrative</t>
  </si>
  <si>
    <t>Rent Expense</t>
  </si>
  <si>
    <t>aerospace ingoner</t>
  </si>
  <si>
    <t>Utility Expense</t>
  </si>
  <si>
    <t>parts made</t>
  </si>
  <si>
    <t>Insurance Expense</t>
  </si>
  <si>
    <t>alomimom aloe</t>
  </si>
  <si>
    <t>Operating Profit</t>
  </si>
  <si>
    <t>Depreciation</t>
  </si>
  <si>
    <t>Mortgage Interest Expense</t>
  </si>
  <si>
    <t>Extra Bank Loan Interest Expense</t>
  </si>
  <si>
    <t>Profit Before Taxes</t>
  </si>
  <si>
    <t>Taxes</t>
  </si>
  <si>
    <t>Net Income</t>
  </si>
  <si>
    <t>BALANCE SHEET</t>
  </si>
  <si>
    <t>Assets</t>
  </si>
  <si>
    <t>% Sale</t>
  </si>
  <si>
    <t>Secure Debt</t>
  </si>
  <si>
    <t>Unsecured</t>
  </si>
  <si>
    <t xml:space="preserve">Minimum Cash </t>
  </si>
  <si>
    <t>Extra Cash</t>
  </si>
  <si>
    <t>Accounts Receivable</t>
  </si>
  <si>
    <t>Total Inventories</t>
  </si>
  <si>
    <t>Building</t>
  </si>
  <si>
    <t>Land</t>
  </si>
  <si>
    <t>Equipment</t>
  </si>
  <si>
    <t>Less:  Accumulated Depreciation</t>
  </si>
  <si>
    <t>Total Assets</t>
  </si>
  <si>
    <t>Liabilities and Equity</t>
  </si>
  <si>
    <t>state tax</t>
  </si>
  <si>
    <t>Total Accounts Payable</t>
  </si>
  <si>
    <t>fed tax</t>
  </si>
  <si>
    <t>Income Tax Payable</t>
  </si>
  <si>
    <t>total tax</t>
  </si>
  <si>
    <t>Mortgage Loan</t>
  </si>
  <si>
    <t>Extra Bank Loan</t>
  </si>
  <si>
    <t>Total</t>
  </si>
  <si>
    <t>Extra</t>
  </si>
  <si>
    <t>Common Stock</t>
  </si>
  <si>
    <t>Admin Fee</t>
  </si>
  <si>
    <t>Retained Earnings</t>
  </si>
  <si>
    <t>Total Equity</t>
  </si>
  <si>
    <t>From Secured Sale</t>
  </si>
  <si>
    <t>Remaining after Sale</t>
  </si>
  <si>
    <t>Proportion</t>
  </si>
  <si>
    <t>From Unsecured Sale</t>
  </si>
  <si>
    <t>Total Paid</t>
  </si>
  <si>
    <t>On the $</t>
  </si>
  <si>
    <t>Total Liabilities and Equity</t>
  </si>
  <si>
    <t>DFN</t>
  </si>
  <si>
    <t>FREE CASH FLOWS</t>
  </si>
  <si>
    <t>Unlevered</t>
  </si>
  <si>
    <t>Cash from Operations</t>
  </si>
  <si>
    <t>New Debt %</t>
  </si>
  <si>
    <t>New Equity %</t>
  </si>
  <si>
    <t>Less: Depreciation</t>
  </si>
  <si>
    <t>Relevered</t>
  </si>
  <si>
    <t>Taxable Operating Profit</t>
  </si>
  <si>
    <t>Taxes on Operations (=Taxes Payable)</t>
  </si>
  <si>
    <t>Tax Rate</t>
  </si>
  <si>
    <t>Net Cash from Operations</t>
  </si>
  <si>
    <t>T-Bills</t>
  </si>
  <si>
    <t>S&amp;P 500</t>
  </si>
  <si>
    <t>Cash in/out from Changes in Balance Sheet</t>
  </si>
  <si>
    <t>(-)</t>
  </si>
  <si>
    <t>Minimum Cash Balance</t>
  </si>
  <si>
    <t>CAPM</t>
  </si>
  <si>
    <t>Inventory</t>
  </si>
  <si>
    <t>Average</t>
  </si>
  <si>
    <t>Rate</t>
  </si>
  <si>
    <t>After tax</t>
  </si>
  <si>
    <t>Weighted</t>
  </si>
  <si>
    <t>(+)</t>
  </si>
  <si>
    <t>Accounts Payable</t>
  </si>
  <si>
    <t>Taxes Payable (=Taxes on Operations)</t>
  </si>
  <si>
    <t>TOTAL FREE CASH FLOWS</t>
  </si>
  <si>
    <t>IRR</t>
  </si>
  <si>
    <t>WACC</t>
  </si>
  <si>
    <t>WACC COMPUTED FROM FORECAST</t>
  </si>
  <si>
    <t>NPV USING COMPUTED WACC</t>
  </si>
  <si>
    <t>PROMISED AND EXPECTED DEBT RETURNS</t>
  </si>
  <si>
    <t>Mortgage Loan Free Cash Flows</t>
  </si>
  <si>
    <t>Probability</t>
  </si>
  <si>
    <t>Principal</t>
  </si>
  <si>
    <t>Paid in Bankruptcy</t>
  </si>
  <si>
    <t>Interest Payments</t>
  </si>
  <si>
    <t>Total Free Cash Flows</t>
  </si>
  <si>
    <t>IRR in Bankruptcy</t>
  </si>
  <si>
    <t>IRR outside Bankruptcy</t>
  </si>
  <si>
    <t>Expected IRR</t>
  </si>
  <si>
    <t>Extra Bank Loan Free Cash Flows</t>
  </si>
  <si>
    <t>beginning balinace</t>
  </si>
  <si>
    <t>payment</t>
  </si>
  <si>
    <t xml:space="preserve">intrest </t>
  </si>
  <si>
    <t>principal</t>
  </si>
  <si>
    <t>end balance</t>
  </si>
  <si>
    <t>jan</t>
  </si>
  <si>
    <t>rate</t>
  </si>
  <si>
    <t>feb</t>
  </si>
  <si>
    <t>per rate</t>
  </si>
  <si>
    <t>mar</t>
  </si>
  <si>
    <t>fv</t>
  </si>
  <si>
    <t>apr</t>
  </si>
  <si>
    <t>may</t>
  </si>
  <si>
    <t>type</t>
  </si>
  <si>
    <t>jun</t>
  </si>
  <si>
    <t>pv</t>
  </si>
  <si>
    <t>jul</t>
  </si>
  <si>
    <t>aug</t>
  </si>
  <si>
    <t>sep</t>
  </si>
  <si>
    <t>oct</t>
  </si>
  <si>
    <t>nov</t>
  </si>
  <si>
    <t>dec</t>
  </si>
  <si>
    <t>total</t>
  </si>
  <si>
    <t>For the better than existing cash flow we assumed that the rate at which our sales increased each year increased by 30%</t>
  </si>
  <si>
    <t>Better than Existing</t>
  </si>
  <si>
    <t>60% chance of this happening</t>
  </si>
  <si>
    <t>Option</t>
  </si>
  <si>
    <t>For the expected forecast we assumed that the rate at which our sales increased was only 15%</t>
  </si>
  <si>
    <t>Expected Forecast</t>
  </si>
  <si>
    <t>20% chance of this happening</t>
  </si>
  <si>
    <t>For the worse than existing forecast we assumed there was no change in sales. They remained stagnant.</t>
  </si>
  <si>
    <t>Worse than Existing</t>
  </si>
  <si>
    <t>Expected NPV</t>
  </si>
  <si>
    <t>Revenue Increase</t>
  </si>
  <si>
    <t>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</si>
</sst>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\$* #,##0.00_);_(\$* \(#,##0.00\);_(\$* \-??_);_(@_)"/>
    <numFmt numFmtId="166" formatCode="_(\$* #,##0_);_(\$* \(#,##0\);_(\$* \-??_);_(@_)"/>
    <numFmt numFmtId="167" formatCode="0.0"/>
    <numFmt numFmtId="168" formatCode="_(* #,##0_);_(* \(#,##0\);_(* &quot;-&quot;??_);_(@_)"/>
    <numFmt numFmtId="169" formatCode="[$$-409]#,##0.00;[Red]\-[$$-409]#,##0.00"/>
    <numFmt numFmtId="170" formatCode="_(&quot;$&quot;* #,##0_);_(&quot;$&quot;* \(#,##0\);_(&quot;$&quot;* &quot;-&quot;??_);_(@_)"/>
    <numFmt numFmtId="171" formatCode="0.000%"/>
  </numFmts>
  <fonts count="1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3" fillId="2" borderId="1" xfId="4" applyFont="1" applyFill="1" applyBorder="1"/>
    <xf numFmtId="0" fontId="2" fillId="2" borderId="1" xfId="4" applyFill="1" applyBorder="1"/>
    <xf numFmtId="164" fontId="1" fillId="3" borderId="0" xfId="3" applyNumberFormat="1" applyFill="1" applyAlignment="1">
      <alignment horizontal="right"/>
    </xf>
    <xf numFmtId="0" fontId="2" fillId="2" borderId="0" xfId="4" applyFill="1"/>
    <xf numFmtId="0" fontId="3" fillId="2" borderId="0" xfId="4" applyFont="1" applyFill="1"/>
    <xf numFmtId="0" fontId="2" fillId="3" borderId="2" xfId="4" applyFill="1" applyBorder="1"/>
    <xf numFmtId="0" fontId="2" fillId="3" borderId="0" xfId="4" applyFill="1"/>
    <xf numFmtId="166" fontId="2" fillId="2" borderId="0" xfId="2" applyNumberFormat="1" applyFont="1" applyFill="1" applyBorder="1" applyAlignment="1" applyProtection="1"/>
    <xf numFmtId="0" fontId="2" fillId="2" borderId="0" xfId="4" applyFont="1" applyFill="1"/>
    <xf numFmtId="166" fontId="2" fillId="3" borderId="0" xfId="2" applyNumberFormat="1" applyFont="1" applyFill="1" applyBorder="1" applyAlignment="1" applyProtection="1"/>
    <xf numFmtId="164" fontId="1" fillId="2" borderId="0" xfId="3" applyNumberFormat="1" applyFill="1"/>
    <xf numFmtId="0" fontId="0" fillId="2" borderId="0" xfId="0" applyFill="1"/>
    <xf numFmtId="3" fontId="4" fillId="2" borderId="0" xfId="0" applyNumberFormat="1" applyFont="1" applyFill="1"/>
    <xf numFmtId="0" fontId="2" fillId="2" borderId="0" xfId="4" applyFill="1" applyBorder="1"/>
    <xf numFmtId="9" fontId="1" fillId="2" borderId="0" xfId="3" applyFill="1"/>
    <xf numFmtId="9" fontId="1" fillId="2" borderId="0" xfId="3" applyFill="1" applyBorder="1"/>
    <xf numFmtId="43" fontId="2" fillId="2" borderId="0" xfId="1" applyFont="1" applyFill="1"/>
    <xf numFmtId="44" fontId="1" fillId="2" borderId="0" xfId="2" applyFill="1"/>
    <xf numFmtId="0" fontId="2" fillId="2" borderId="0" xfId="4" applyFont="1" applyFill="1" applyBorder="1"/>
    <xf numFmtId="0" fontId="2" fillId="3" borderId="0" xfId="4" applyFill="1" applyBorder="1"/>
    <xf numFmtId="166" fontId="2" fillId="2" borderId="0" xfId="4" applyNumberFormat="1" applyFill="1" applyBorder="1"/>
    <xf numFmtId="166" fontId="2" fillId="3" borderId="0" xfId="4" applyNumberFormat="1" applyFill="1" applyBorder="1"/>
    <xf numFmtId="167" fontId="1" fillId="2" borderId="0" xfId="2" applyNumberFormat="1" applyFill="1" applyBorder="1"/>
    <xf numFmtId="167" fontId="1" fillId="2" borderId="0" xfId="2" applyNumberFormat="1" applyFill="1"/>
    <xf numFmtId="166" fontId="1" fillId="2" borderId="0" xfId="2" applyNumberFormat="1" applyFill="1" applyBorder="1"/>
    <xf numFmtId="166" fontId="1" fillId="3" borderId="0" xfId="2" applyNumberFormat="1" applyFill="1" applyBorder="1"/>
    <xf numFmtId="168" fontId="2" fillId="2" borderId="0" xfId="1" applyNumberFormat="1" applyFont="1" applyFill="1"/>
    <xf numFmtId="0" fontId="2" fillId="2" borderId="3" xfId="4" applyFill="1" applyBorder="1"/>
    <xf numFmtId="166" fontId="1" fillId="2" borderId="2" xfId="2" applyNumberFormat="1" applyFill="1" applyBorder="1"/>
    <xf numFmtId="0" fontId="2" fillId="2" borderId="2" xfId="4" applyFill="1" applyBorder="1"/>
    <xf numFmtId="0" fontId="2" fillId="2" borderId="4" xfId="4" applyFill="1" applyBorder="1"/>
    <xf numFmtId="9" fontId="2" fillId="2" borderId="5" xfId="4" applyNumberFormat="1" applyFill="1" applyBorder="1"/>
    <xf numFmtId="0" fontId="2" fillId="2" borderId="6" xfId="4" applyFill="1" applyBorder="1"/>
    <xf numFmtId="0" fontId="2" fillId="2" borderId="5" xfId="4" applyFill="1" applyBorder="1"/>
    <xf numFmtId="43" fontId="2" fillId="2" borderId="0" xfId="4" applyNumberFormat="1" applyFill="1" applyBorder="1"/>
    <xf numFmtId="166" fontId="1" fillId="2" borderId="0" xfId="2" applyNumberFormat="1" applyFill="1"/>
    <xf numFmtId="166" fontId="2" fillId="2" borderId="0" xfId="1" applyNumberFormat="1" applyFont="1" applyFill="1" applyBorder="1"/>
    <xf numFmtId="43" fontId="2" fillId="2" borderId="0" xfId="4" applyNumberFormat="1" applyFill="1"/>
    <xf numFmtId="0" fontId="6" fillId="2" borderId="0" xfId="4" applyFont="1" applyFill="1"/>
    <xf numFmtId="9" fontId="1" fillId="2" borderId="5" xfId="3" applyFill="1" applyBorder="1"/>
    <xf numFmtId="166" fontId="2" fillId="2" borderId="0" xfId="2" applyNumberFormat="1" applyFont="1" applyFill="1" applyBorder="1"/>
    <xf numFmtId="0" fontId="7" fillId="2" borderId="7" xfId="4" applyFont="1" applyFill="1" applyBorder="1"/>
    <xf numFmtId="0" fontId="2" fillId="2" borderId="6" xfId="4" applyFont="1" applyFill="1" applyBorder="1"/>
    <xf numFmtId="164" fontId="2" fillId="2" borderId="0" xfId="3" applyNumberFormat="1" applyFont="1" applyFill="1" applyBorder="1"/>
    <xf numFmtId="169" fontId="0" fillId="2" borderId="0" xfId="0" applyNumberFormat="1" applyFill="1"/>
    <xf numFmtId="9" fontId="2" fillId="2" borderId="0" xfId="3" applyFont="1" applyFill="1" applyBorder="1"/>
    <xf numFmtId="43" fontId="2" fillId="2" borderId="0" xfId="4" applyNumberFormat="1" applyFont="1" applyFill="1" applyBorder="1"/>
    <xf numFmtId="166" fontId="2" fillId="2" borderId="0" xfId="4" applyNumberFormat="1" applyFont="1" applyFill="1" applyBorder="1"/>
    <xf numFmtId="44" fontId="2" fillId="2" borderId="6" xfId="2" applyFont="1" applyFill="1" applyBorder="1"/>
    <xf numFmtId="0" fontId="2" fillId="2" borderId="8" xfId="4" applyFill="1" applyBorder="1"/>
    <xf numFmtId="166" fontId="2" fillId="2" borderId="7" xfId="2" applyNumberFormat="1" applyFont="1" applyFill="1" applyBorder="1"/>
    <xf numFmtId="164" fontId="2" fillId="2" borderId="7" xfId="4" applyNumberFormat="1" applyFont="1" applyFill="1" applyBorder="1"/>
    <xf numFmtId="164" fontId="2" fillId="2" borderId="7" xfId="3" applyNumberFormat="1" applyFont="1" applyFill="1" applyBorder="1"/>
    <xf numFmtId="0" fontId="2" fillId="2" borderId="9" xfId="4" applyFont="1" applyFill="1" applyBorder="1"/>
    <xf numFmtId="0" fontId="7" fillId="3" borderId="7" xfId="4" applyFont="1" applyFill="1" applyBorder="1"/>
    <xf numFmtId="0" fontId="8" fillId="2" borderId="0" xfId="0" applyFont="1" applyFill="1"/>
    <xf numFmtId="0" fontId="0" fillId="3" borderId="0" xfId="0" applyFill="1"/>
    <xf numFmtId="0" fontId="0" fillId="2" borderId="3" xfId="0" applyFill="1" applyBorder="1"/>
    <xf numFmtId="43" fontId="5" fillId="2" borderId="2" xfId="1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10" fontId="0" fillId="2" borderId="0" xfId="0" applyNumberFormat="1" applyFill="1" applyBorder="1"/>
    <xf numFmtId="0" fontId="0" fillId="2" borderId="0" xfId="0" applyFill="1" applyBorder="1"/>
    <xf numFmtId="0" fontId="0" fillId="2" borderId="6" xfId="0" applyFill="1" applyBorder="1"/>
    <xf numFmtId="44" fontId="1" fillId="3" borderId="0" xfId="2" applyFill="1"/>
    <xf numFmtId="43" fontId="0" fillId="2" borderId="0" xfId="1" applyFont="1" applyFill="1" applyBorder="1"/>
    <xf numFmtId="170" fontId="1" fillId="2" borderId="5" xfId="2" applyNumberFormat="1" applyFill="1" applyBorder="1"/>
    <xf numFmtId="10" fontId="1" fillId="2" borderId="0" xfId="3" applyNumberFormat="1" applyFill="1" applyBorder="1"/>
    <xf numFmtId="171" fontId="1" fillId="2" borderId="0" xfId="3" applyNumberFormat="1" applyFill="1" applyBorder="1"/>
    <xf numFmtId="10" fontId="1" fillId="2" borderId="0" xfId="3" applyNumberFormat="1" applyFill="1"/>
    <xf numFmtId="170" fontId="1" fillId="2" borderId="8" xfId="2" applyNumberFormat="1" applyFill="1" applyBorder="1"/>
    <xf numFmtId="10" fontId="1" fillId="2" borderId="7" xfId="3" applyNumberFormat="1" applyFill="1" applyBorder="1"/>
    <xf numFmtId="10" fontId="8" fillId="2" borderId="7" xfId="3" applyNumberFormat="1" applyFont="1" applyFill="1" applyBorder="1"/>
    <xf numFmtId="0" fontId="8" fillId="2" borderId="9" xfId="0" applyFont="1" applyFill="1" applyBorder="1"/>
    <xf numFmtId="0" fontId="9" fillId="2" borderId="3" xfId="4" applyFont="1" applyFill="1" applyBorder="1"/>
    <xf numFmtId="166" fontId="2" fillId="2" borderId="2" xfId="4" applyNumberFormat="1" applyFill="1" applyBorder="1"/>
    <xf numFmtId="166" fontId="2" fillId="3" borderId="2" xfId="4" applyNumberFormat="1" applyFill="1" applyBorder="1"/>
    <xf numFmtId="10" fontId="2" fillId="2" borderId="0" xfId="4" applyNumberFormat="1" applyFill="1" applyBorder="1"/>
    <xf numFmtId="9" fontId="2" fillId="2" borderId="0" xfId="4" applyNumberFormat="1" applyFill="1" applyBorder="1"/>
    <xf numFmtId="9" fontId="2" fillId="2" borderId="6" xfId="4" applyNumberFormat="1" applyFill="1" applyBorder="1"/>
    <xf numFmtId="164" fontId="2" fillId="2" borderId="0" xfId="4" applyNumberFormat="1" applyFill="1" applyBorder="1"/>
    <xf numFmtId="0" fontId="2" fillId="2" borderId="7" xfId="4" applyFill="1" applyBorder="1"/>
    <xf numFmtId="0" fontId="2" fillId="3" borderId="7" xfId="4" applyFill="1" applyBorder="1"/>
    <xf numFmtId="0" fontId="2" fillId="2" borderId="9" xfId="4" applyFill="1" applyBorder="1"/>
    <xf numFmtId="164" fontId="1" fillId="3" borderId="0" xfId="3" applyNumberFormat="1" applyFill="1"/>
    <xf numFmtId="0" fontId="0" fillId="0" borderId="0" xfId="0" applyFont="1" applyAlignment="1">
      <alignment wrapText="1"/>
    </xf>
    <xf numFmtId="169" fontId="0" fillId="0" borderId="0" xfId="0" applyNumberFormat="1" applyFont="1" applyAlignment="1">
      <alignment wrapText="1"/>
    </xf>
    <xf numFmtId="8" fontId="0" fillId="0" borderId="0" xfId="0" applyNumberFormat="1"/>
    <xf numFmtId="16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9" fontId="1" fillId="0" borderId="0" xfId="3"/>
    <xf numFmtId="169" fontId="0" fillId="0" borderId="0" xfId="0" applyNumberFormat="1"/>
    <xf numFmtId="165" fontId="0" fillId="0" borderId="0" xfId="0" applyNumberFormat="1"/>
    <xf numFmtId="10" fontId="0" fillId="0" borderId="0" xfId="0" applyNumberFormat="1"/>
    <xf numFmtId="44" fontId="1" fillId="0" borderId="0" xfId="2"/>
    <xf numFmtId="0" fontId="0" fillId="0" borderId="13" xfId="0" applyBorder="1"/>
    <xf numFmtId="165" fontId="0" fillId="0" borderId="13" xfId="0" applyNumberFormat="1" applyBorder="1"/>
    <xf numFmtId="166" fontId="1" fillId="0" borderId="0" xfId="2" applyNumberFormat="1"/>
    <xf numFmtId="0" fontId="8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/>
    <xf numFmtId="43" fontId="0" fillId="0" borderId="0" xfId="0" applyNumberFormat="1"/>
    <xf numFmtId="9" fontId="0" fillId="0" borderId="0" xfId="0" applyNumberFormat="1"/>
    <xf numFmtId="9" fontId="2" fillId="2" borderId="5" xfId="3" applyFont="1" applyFill="1" applyBorder="1"/>
    <xf numFmtId="43" fontId="1" fillId="0" borderId="0" xfId="2" applyNumberForma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2/AppData/Local/Temp/Cygnus%20Inc.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FCF"/>
      <sheetName val="FCF Option"/>
      <sheetName val="K"/>
    </sheetNames>
    <sheetDataSet>
      <sheetData sheetId="0"/>
      <sheetData sheetId="1">
        <row r="13">
          <cell r="F13">
            <v>5939051.4102422977</v>
          </cell>
        </row>
        <row r="14">
          <cell r="D14">
            <v>418069.20677131001</v>
          </cell>
        </row>
        <row r="28">
          <cell r="F28">
            <v>5873696.8420029376</v>
          </cell>
        </row>
        <row r="29">
          <cell r="D29">
            <v>413663.22828965215</v>
          </cell>
        </row>
        <row r="43">
          <cell r="F43">
            <v>5803617.7867412306</v>
          </cell>
        </row>
        <row r="44">
          <cell r="D44">
            <v>408938.7412673044</v>
          </cell>
        </row>
        <row r="58">
          <cell r="F58">
            <v>5728472.7109083273</v>
          </cell>
        </row>
        <row r="59">
          <cell r="D59">
            <v>403872.72069610702</v>
          </cell>
        </row>
        <row r="73">
          <cell r="F73">
            <v>5647895.3914675135</v>
          </cell>
        </row>
        <row r="74">
          <cell r="D74">
            <v>398440.47708819853</v>
          </cell>
        </row>
        <row r="88">
          <cell r="F88">
            <v>5561493.1310891453</v>
          </cell>
        </row>
        <row r="89">
          <cell r="D89">
            <v>392615.53615064331</v>
          </cell>
        </row>
        <row r="103">
          <cell r="F103">
            <v>5468844.8443218637</v>
          </cell>
        </row>
        <row r="104">
          <cell r="D104">
            <v>386369.50976172969</v>
          </cell>
        </row>
        <row r="118">
          <cell r="F118">
            <v>5369499.0054129818</v>
          </cell>
        </row>
        <row r="119">
          <cell r="D119">
            <v>379671.95762013108</v>
          </cell>
        </row>
        <row r="133">
          <cell r="F133">
            <v>5262971.4477766473</v>
          </cell>
        </row>
        <row r="134">
          <cell r="D134">
            <v>372490.23889267741</v>
          </cell>
        </row>
        <row r="148">
          <cell r="F148">
            <v>5148743.0043853652</v>
          </cell>
        </row>
        <row r="149">
          <cell r="D149">
            <v>364789.35313772951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"/>
  <sheetViews>
    <sheetView tabSelected="1" zoomScale="70" zoomScaleNormal="70" workbookViewId="0">
      <selection activeCell="K75" sqref="K75"/>
    </sheetView>
  </sheetViews>
  <sheetFormatPr defaultColWidth="9.42578125" defaultRowHeight="15" x14ac:dyDescent="0.25"/>
  <cols>
    <col min="1" max="1" width="4.85546875" style="4" customWidth="1"/>
    <col min="2" max="2" width="46.28515625" style="4" customWidth="1"/>
    <col min="3" max="3" width="21.140625" style="4" bestFit="1" customWidth="1"/>
    <col min="4" max="4" width="17.42578125" style="4" bestFit="1" customWidth="1"/>
    <col min="5" max="5" width="17.140625" style="4" bestFit="1" customWidth="1"/>
    <col min="6" max="6" width="17.7109375" style="4" bestFit="1" customWidth="1"/>
    <col min="7" max="7" width="17.140625" style="4" bestFit="1" customWidth="1"/>
    <col min="8" max="8" width="17.140625" style="86" bestFit="1" customWidth="1"/>
    <col min="9" max="10" width="17.42578125" style="4" bestFit="1" customWidth="1"/>
    <col min="11" max="12" width="17.7109375" style="4" bestFit="1" customWidth="1"/>
    <col min="13" max="14" width="18.140625" style="4" bestFit="1" customWidth="1"/>
    <col min="15" max="15" width="16.85546875" style="4" bestFit="1" customWidth="1"/>
    <col min="16" max="16" width="19" style="4" bestFit="1" customWidth="1"/>
    <col min="17" max="17" width="21" style="4" bestFit="1" customWidth="1"/>
    <col min="18" max="18" width="9.42578125" style="4" customWidth="1"/>
    <col min="19" max="19" width="19.85546875" style="4" bestFit="1" customWidth="1"/>
    <col min="20" max="20" width="16.140625" style="4" customWidth="1"/>
    <col min="21" max="21" width="9.42578125" style="4" customWidth="1"/>
    <col min="22" max="24" width="14.28515625" style="4" customWidth="1"/>
    <col min="25" max="25" width="13" style="4" bestFit="1" customWidth="1"/>
    <col min="26" max="28" width="9.42578125" style="4"/>
    <col min="29" max="29" width="9.28515625" style="4" customWidth="1"/>
    <col min="30" max="16384" width="9.42578125" style="4"/>
  </cols>
  <sheetData>
    <row r="1" spans="1:44" s="2" customFormat="1" x14ac:dyDescent="0.25">
      <c r="A1" s="1" t="s">
        <v>0</v>
      </c>
      <c r="H1" s="3" t="s">
        <v>1</v>
      </c>
      <c r="AH1" s="4"/>
      <c r="AI1" s="4"/>
      <c r="AJ1" s="4"/>
      <c r="AK1" s="4"/>
      <c r="AL1" s="4"/>
      <c r="AM1" s="4"/>
      <c r="AN1" s="4" t="s">
        <v>2</v>
      </c>
      <c r="AO1" s="4">
        <v>93</v>
      </c>
      <c r="AP1" s="4"/>
      <c r="AQ1" s="4"/>
      <c r="AR1" s="4"/>
    </row>
    <row r="2" spans="1:44" x14ac:dyDescent="0.25">
      <c r="A2" s="5" t="s">
        <v>3</v>
      </c>
      <c r="D2" s="4">
        <v>2015</v>
      </c>
      <c r="E2" s="4">
        <v>2016</v>
      </c>
      <c r="F2" s="4">
        <v>2017</v>
      </c>
      <c r="G2" s="4">
        <v>2018</v>
      </c>
      <c r="H2" s="6">
        <v>2019</v>
      </c>
      <c r="I2" s="4">
        <v>2020</v>
      </c>
      <c r="J2" s="4">
        <v>2021</v>
      </c>
      <c r="K2" s="4">
        <v>2022</v>
      </c>
      <c r="L2" s="4">
        <v>2023</v>
      </c>
      <c r="M2" s="4">
        <v>2024</v>
      </c>
    </row>
    <row r="3" spans="1:44" x14ac:dyDescent="0.25">
      <c r="A3" s="5"/>
      <c r="H3" s="7"/>
      <c r="O3" s="4" t="s">
        <v>136</v>
      </c>
      <c r="AH3" s="8"/>
      <c r="AI3" s="8"/>
      <c r="AJ3" s="8"/>
      <c r="AK3" s="8"/>
    </row>
    <row r="4" spans="1:44" x14ac:dyDescent="0.25">
      <c r="A4" s="9" t="s">
        <v>4</v>
      </c>
      <c r="D4" s="8">
        <v>10000000</v>
      </c>
      <c r="E4" s="8">
        <f t="shared" ref="E4:M4" si="0">D4*(1+$O$4)</f>
        <v>13000000</v>
      </c>
      <c r="F4" s="8">
        <f t="shared" si="0"/>
        <v>16900000</v>
      </c>
      <c r="G4" s="8">
        <f t="shared" si="0"/>
        <v>21970000</v>
      </c>
      <c r="H4" s="10">
        <f t="shared" si="0"/>
        <v>28561000</v>
      </c>
      <c r="I4" s="8">
        <f t="shared" si="0"/>
        <v>37129300</v>
      </c>
      <c r="J4" s="8">
        <f t="shared" si="0"/>
        <v>48268090</v>
      </c>
      <c r="K4" s="8">
        <f t="shared" si="0"/>
        <v>62748517</v>
      </c>
      <c r="L4" s="8">
        <f>K4*(1+$O$4)</f>
        <v>81573072.100000009</v>
      </c>
      <c r="M4" s="8">
        <f t="shared" si="0"/>
        <v>106044993.73000002</v>
      </c>
      <c r="O4" s="11">
        <v>0.3</v>
      </c>
      <c r="AH4" s="8"/>
      <c r="AI4" s="8"/>
      <c r="AJ4" s="8"/>
      <c r="AK4" s="8"/>
      <c r="AN4" s="4" t="s">
        <v>5</v>
      </c>
      <c r="AO4" s="4">
        <v>25000</v>
      </c>
      <c r="AP4" s="4">
        <f>AO1-SUM(AP5:AP13)</f>
        <v>58</v>
      </c>
      <c r="AQ4" s="4">
        <f>AO4*AP4</f>
        <v>1450000</v>
      </c>
    </row>
    <row r="5" spans="1:44" x14ac:dyDescent="0.25">
      <c r="A5" s="9"/>
      <c r="D5" s="8"/>
      <c r="E5" s="8"/>
      <c r="F5" s="8"/>
      <c r="G5" s="8"/>
      <c r="H5" s="10"/>
      <c r="I5" s="8"/>
      <c r="J5" s="8"/>
      <c r="K5" s="8"/>
      <c r="L5" s="8"/>
      <c r="M5" s="8"/>
      <c r="AH5" s="8"/>
      <c r="AI5" s="8"/>
      <c r="AJ5" s="8"/>
      <c r="AK5" s="8"/>
      <c r="AN5" s="12" t="s">
        <v>6</v>
      </c>
      <c r="AO5" s="13">
        <v>40000</v>
      </c>
      <c r="AP5" s="4">
        <v>15</v>
      </c>
      <c r="AQ5" s="4">
        <f t="shared" ref="AQ5:AQ13" si="1">AO5*AP5</f>
        <v>600000</v>
      </c>
    </row>
    <row r="6" spans="1:44" x14ac:dyDescent="0.25">
      <c r="A6" s="4" t="s">
        <v>7</v>
      </c>
      <c r="D6" s="8">
        <f t="shared" ref="D6:M6" si="2">D4-D8</f>
        <v>7600000</v>
      </c>
      <c r="E6" s="8">
        <f t="shared" si="2"/>
        <v>9880000</v>
      </c>
      <c r="F6" s="8">
        <f t="shared" si="2"/>
        <v>12844000</v>
      </c>
      <c r="G6" s="8">
        <f t="shared" si="2"/>
        <v>16697200</v>
      </c>
      <c r="H6" s="10">
        <f t="shared" si="2"/>
        <v>21706360</v>
      </c>
      <c r="I6" s="8">
        <f t="shared" si="2"/>
        <v>28218268</v>
      </c>
      <c r="J6" s="8">
        <f t="shared" si="2"/>
        <v>36683748.399999999</v>
      </c>
      <c r="K6" s="8">
        <f t="shared" si="2"/>
        <v>47688872.920000002</v>
      </c>
      <c r="L6" s="8">
        <f t="shared" si="2"/>
        <v>61995534.796000004</v>
      </c>
      <c r="M6" s="8">
        <f t="shared" si="2"/>
        <v>80594195.234800011</v>
      </c>
      <c r="AH6" s="8"/>
      <c r="AI6" s="8"/>
      <c r="AJ6" s="8"/>
      <c r="AK6" s="8"/>
      <c r="AL6" s="11"/>
      <c r="AN6" s="12"/>
      <c r="AO6" s="13"/>
    </row>
    <row r="7" spans="1:44" x14ac:dyDescent="0.25">
      <c r="D7" s="8"/>
      <c r="E7" s="8"/>
      <c r="F7" s="8"/>
      <c r="G7" s="8"/>
      <c r="H7" s="10"/>
      <c r="I7" s="8"/>
      <c r="J7" s="8"/>
      <c r="K7" s="8"/>
      <c r="L7" s="8"/>
      <c r="M7" s="8"/>
      <c r="AH7" s="8"/>
      <c r="AI7" s="8"/>
      <c r="AJ7" s="8"/>
      <c r="AK7" s="8"/>
      <c r="AL7" s="11"/>
      <c r="AN7" s="12"/>
      <c r="AO7" s="13"/>
    </row>
    <row r="8" spans="1:44" x14ac:dyDescent="0.25">
      <c r="A8" s="9" t="s">
        <v>8</v>
      </c>
      <c r="B8" s="14"/>
      <c r="C8" s="14"/>
      <c r="D8" s="8">
        <v>2400000</v>
      </c>
      <c r="E8" s="8">
        <f t="shared" ref="E8:M8" si="3">E4*$AH$9</f>
        <v>3120000</v>
      </c>
      <c r="F8" s="8">
        <f t="shared" si="3"/>
        <v>4056000</v>
      </c>
      <c r="G8" s="8">
        <f t="shared" si="3"/>
        <v>5272800</v>
      </c>
      <c r="H8" s="10">
        <f t="shared" si="3"/>
        <v>6854640</v>
      </c>
      <c r="I8" s="8">
        <f t="shared" si="3"/>
        <v>8911032</v>
      </c>
      <c r="J8" s="8">
        <f t="shared" si="3"/>
        <v>11584341.6</v>
      </c>
      <c r="K8" s="8">
        <f t="shared" si="3"/>
        <v>15059644.08</v>
      </c>
      <c r="L8" s="8">
        <f t="shared" si="3"/>
        <v>19577537.304000001</v>
      </c>
      <c r="M8" s="8">
        <f t="shared" si="3"/>
        <v>25450798.495200004</v>
      </c>
      <c r="AH8" s="8"/>
      <c r="AI8" s="8"/>
      <c r="AJ8" s="8"/>
      <c r="AK8" s="8"/>
      <c r="AL8" s="11"/>
      <c r="AN8" s="12"/>
      <c r="AO8" s="13"/>
    </row>
    <row r="9" spans="1:44" x14ac:dyDescent="0.25">
      <c r="D9" s="8"/>
      <c r="E9" s="8"/>
      <c r="F9" s="8"/>
      <c r="G9" s="8"/>
      <c r="H9" s="10"/>
      <c r="I9" s="8"/>
      <c r="J9" s="8"/>
      <c r="K9" s="8"/>
      <c r="L9" s="8"/>
      <c r="M9" s="8"/>
      <c r="AH9" s="15">
        <f>D8/D4</f>
        <v>0.24</v>
      </c>
      <c r="AI9" s="8"/>
      <c r="AJ9" s="8"/>
      <c r="AK9" s="8"/>
      <c r="AL9" s="11">
        <v>0.15</v>
      </c>
      <c r="AN9" s="4" t="s">
        <v>9</v>
      </c>
      <c r="AO9" s="13">
        <v>32950</v>
      </c>
      <c r="AP9" s="4">
        <v>15</v>
      </c>
      <c r="AQ9" s="4">
        <f t="shared" si="1"/>
        <v>494250</v>
      </c>
    </row>
    <row r="10" spans="1:44" x14ac:dyDescent="0.25">
      <c r="A10" s="4" t="s">
        <v>10</v>
      </c>
      <c r="H10" s="7"/>
      <c r="AH10" s="15"/>
      <c r="AI10" s="8"/>
      <c r="AJ10" s="8"/>
      <c r="AK10" s="8"/>
      <c r="AL10" s="11"/>
      <c r="AO10" s="13"/>
    </row>
    <row r="11" spans="1:44" x14ac:dyDescent="0.25">
      <c r="B11" s="4" t="s">
        <v>11</v>
      </c>
      <c r="D11" s="8">
        <f>AQ14</f>
        <v>1519250</v>
      </c>
      <c r="E11" s="8">
        <f t="shared" ref="E11:M11" si="4">D11*(1+$AL$37)</f>
        <v>1564827.5</v>
      </c>
      <c r="F11" s="8">
        <f t="shared" si="4"/>
        <v>1611772.325</v>
      </c>
      <c r="G11" s="8">
        <f t="shared" si="4"/>
        <v>1660125.4947500001</v>
      </c>
      <c r="H11" s="10">
        <f t="shared" si="4"/>
        <v>1709929.2595925</v>
      </c>
      <c r="I11" s="8">
        <f t="shared" si="4"/>
        <v>1761227.1373802752</v>
      </c>
      <c r="J11" s="8">
        <f t="shared" si="4"/>
        <v>1814063.9515016836</v>
      </c>
      <c r="K11" s="8">
        <f t="shared" si="4"/>
        <v>1868485.8700467341</v>
      </c>
      <c r="L11" s="8">
        <f t="shared" si="4"/>
        <v>1924540.4461481362</v>
      </c>
      <c r="M11" s="8">
        <f t="shared" si="4"/>
        <v>1982276.6595325803</v>
      </c>
      <c r="AH11" s="15"/>
      <c r="AI11" s="8"/>
      <c r="AJ11" s="8"/>
      <c r="AK11" s="8"/>
      <c r="AL11" s="11">
        <v>0.5</v>
      </c>
      <c r="AO11" s="13"/>
    </row>
    <row r="12" spans="1:44" x14ac:dyDescent="0.25">
      <c r="B12" s="4" t="s">
        <v>12</v>
      </c>
      <c r="D12" s="8">
        <f>AQ4</f>
        <v>1450000</v>
      </c>
      <c r="E12" s="8">
        <f t="shared" ref="E12:M12" si="5">D12*($AH$18+1)</f>
        <v>1493500</v>
      </c>
      <c r="F12" s="8">
        <f t="shared" si="5"/>
        <v>1538305</v>
      </c>
      <c r="G12" s="8">
        <f t="shared" si="5"/>
        <v>1584454.1500000001</v>
      </c>
      <c r="H12" s="10">
        <f t="shared" si="5"/>
        <v>1631987.7745000003</v>
      </c>
      <c r="I12" s="8">
        <f t="shared" si="5"/>
        <v>1680947.4077350004</v>
      </c>
      <c r="J12" s="8">
        <f t="shared" si="5"/>
        <v>1731375.8299670503</v>
      </c>
      <c r="K12" s="8">
        <f t="shared" si="5"/>
        <v>1783317.1048660618</v>
      </c>
      <c r="L12" s="8">
        <f t="shared" si="5"/>
        <v>1836816.6180120436</v>
      </c>
      <c r="M12" s="8">
        <f t="shared" si="5"/>
        <v>1891921.1165524051</v>
      </c>
      <c r="AH12" s="15"/>
      <c r="AI12" s="8"/>
      <c r="AJ12" s="8"/>
      <c r="AK12" s="8"/>
      <c r="AL12" s="11">
        <v>-0.05</v>
      </c>
      <c r="AO12" s="13"/>
    </row>
    <row r="13" spans="1:44" x14ac:dyDescent="0.25">
      <c r="B13" s="9" t="s">
        <v>13</v>
      </c>
      <c r="D13" s="8">
        <f>31000*5</f>
        <v>155000</v>
      </c>
      <c r="E13" s="8">
        <f t="shared" ref="E13:M13" si="6">D13*(1+$AL$31)</f>
        <v>159650</v>
      </c>
      <c r="F13" s="8">
        <f t="shared" si="6"/>
        <v>164439.5</v>
      </c>
      <c r="G13" s="8">
        <f t="shared" si="6"/>
        <v>169372.685</v>
      </c>
      <c r="H13" s="10">
        <f t="shared" si="6"/>
        <v>174453.86554999999</v>
      </c>
      <c r="I13" s="8">
        <f t="shared" si="6"/>
        <v>179687.4815165</v>
      </c>
      <c r="J13" s="8">
        <f t="shared" si="6"/>
        <v>185078.105961995</v>
      </c>
      <c r="K13" s="8">
        <f t="shared" si="6"/>
        <v>190630.44914085485</v>
      </c>
      <c r="L13" s="8">
        <f t="shared" si="6"/>
        <v>196349.36261508049</v>
      </c>
      <c r="M13" s="8">
        <f t="shared" si="6"/>
        <v>202239.84349353291</v>
      </c>
      <c r="AH13" s="15"/>
      <c r="AI13" s="8"/>
      <c r="AJ13" s="8"/>
      <c r="AK13" s="8"/>
      <c r="AL13" s="11">
        <v>0.03</v>
      </c>
      <c r="AN13" s="4" t="s">
        <v>14</v>
      </c>
      <c r="AO13" s="13">
        <v>85000</v>
      </c>
      <c r="AP13" s="4">
        <v>5</v>
      </c>
      <c r="AQ13" s="4">
        <f t="shared" si="1"/>
        <v>425000</v>
      </c>
    </row>
    <row r="14" spans="1:44" x14ac:dyDescent="0.25">
      <c r="B14" s="9" t="s">
        <v>15</v>
      </c>
      <c r="D14" s="8">
        <v>75000</v>
      </c>
      <c r="E14" s="8">
        <f t="shared" ref="E14:M14" si="7">D14*(1+$AH$14)</f>
        <v>76500</v>
      </c>
      <c r="F14" s="8">
        <f t="shared" si="7"/>
        <v>78030</v>
      </c>
      <c r="G14" s="8">
        <f t="shared" si="7"/>
        <v>79590.600000000006</v>
      </c>
      <c r="H14" s="10">
        <f t="shared" si="7"/>
        <v>81182.412000000011</v>
      </c>
      <c r="I14" s="8">
        <f t="shared" si="7"/>
        <v>82806.060240000006</v>
      </c>
      <c r="J14" s="8">
        <f t="shared" si="7"/>
        <v>84462.181444800008</v>
      </c>
      <c r="K14" s="8">
        <f t="shared" si="7"/>
        <v>86151.425073696009</v>
      </c>
      <c r="L14" s="8">
        <f t="shared" si="7"/>
        <v>87874.45357516993</v>
      </c>
      <c r="M14" s="8">
        <f t="shared" si="7"/>
        <v>89631.942646673328</v>
      </c>
      <c r="AH14" s="16">
        <v>0.02</v>
      </c>
      <c r="AI14" s="8"/>
      <c r="AJ14" s="8"/>
      <c r="AK14" s="8"/>
      <c r="AL14" s="17">
        <f>8</f>
        <v>8</v>
      </c>
      <c r="AN14" s="4" t="s">
        <v>16</v>
      </c>
      <c r="AO14" s="4">
        <v>180000</v>
      </c>
      <c r="AQ14" s="18">
        <f>SUM(AQ5:AQ13)</f>
        <v>1519250</v>
      </c>
    </row>
    <row r="15" spans="1:44" x14ac:dyDescent="0.25">
      <c r="B15" s="19" t="s">
        <v>17</v>
      </c>
      <c r="C15" s="14"/>
      <c r="D15" s="8">
        <f>30*4000</f>
        <v>120000</v>
      </c>
      <c r="E15" s="8">
        <f>D15*(AH15+1)</f>
        <v>144000</v>
      </c>
      <c r="F15" s="8">
        <f t="shared" ref="F15:M15" si="8">E15*(1+$AI$15)</f>
        <v>145440</v>
      </c>
      <c r="G15" s="8">
        <f t="shared" si="8"/>
        <v>146894.39999999999</v>
      </c>
      <c r="H15" s="10">
        <f t="shared" si="8"/>
        <v>148363.34399999998</v>
      </c>
      <c r="I15" s="8">
        <f t="shared" si="8"/>
        <v>149846.97743999999</v>
      </c>
      <c r="J15" s="8">
        <f t="shared" si="8"/>
        <v>151345.44721439999</v>
      </c>
      <c r="K15" s="8">
        <f t="shared" si="8"/>
        <v>152858.90168654398</v>
      </c>
      <c r="L15" s="8">
        <f t="shared" si="8"/>
        <v>154387.49070340942</v>
      </c>
      <c r="M15" s="8">
        <f t="shared" si="8"/>
        <v>155931.36561044352</v>
      </c>
      <c r="AH15" s="16">
        <v>0.2</v>
      </c>
      <c r="AI15" s="16">
        <v>0.01</v>
      </c>
      <c r="AJ15" s="8"/>
      <c r="AK15" s="8"/>
      <c r="AN15" s="4" t="s">
        <v>18</v>
      </c>
    </row>
    <row r="16" spans="1:44" x14ac:dyDescent="0.25">
      <c r="B16" s="14"/>
      <c r="C16" s="14"/>
      <c r="D16" s="14"/>
      <c r="E16" s="14"/>
      <c r="F16" s="14"/>
      <c r="G16" s="14"/>
      <c r="H16" s="20"/>
      <c r="I16" s="14"/>
      <c r="J16" s="14"/>
      <c r="K16" s="14"/>
      <c r="L16" s="14"/>
      <c r="M16" s="14"/>
      <c r="AH16" s="16"/>
      <c r="AI16" s="16"/>
      <c r="AJ16" s="8"/>
      <c r="AK16" s="8"/>
    </row>
    <row r="17" spans="1:38" x14ac:dyDescent="0.25">
      <c r="A17" s="4" t="s">
        <v>19</v>
      </c>
      <c r="B17" s="14"/>
      <c r="C17" s="14"/>
      <c r="D17" s="21">
        <f t="shared" ref="D17:M17" si="9">D8-SUM(D11:D15)</f>
        <v>-919250</v>
      </c>
      <c r="E17" s="21">
        <f t="shared" si="9"/>
        <v>-318477.5</v>
      </c>
      <c r="F17" s="21">
        <f t="shared" si="9"/>
        <v>518013.17499999981</v>
      </c>
      <c r="G17" s="21">
        <f t="shared" si="9"/>
        <v>1632362.67025</v>
      </c>
      <c r="H17" s="22">
        <f t="shared" si="9"/>
        <v>3108723.3443574999</v>
      </c>
      <c r="I17" s="21">
        <f t="shared" si="9"/>
        <v>5056516.9356882246</v>
      </c>
      <c r="J17" s="21">
        <f t="shared" si="9"/>
        <v>7618016.0839100704</v>
      </c>
      <c r="K17" s="21">
        <f t="shared" si="9"/>
        <v>10978200.32918611</v>
      </c>
      <c r="L17" s="21">
        <f t="shared" si="9"/>
        <v>15377568.93294616</v>
      </c>
      <c r="M17" s="21">
        <f t="shared" si="9"/>
        <v>21128797.567364369</v>
      </c>
      <c r="AH17" s="8"/>
      <c r="AI17" s="8"/>
      <c r="AJ17" s="8"/>
      <c r="AK17" s="8"/>
      <c r="AL17" s="17">
        <v>2</v>
      </c>
    </row>
    <row r="18" spans="1:38" x14ac:dyDescent="0.25">
      <c r="H18" s="7"/>
      <c r="AH18" s="16">
        <v>0.03</v>
      </c>
      <c r="AI18" s="23"/>
      <c r="AJ18" s="24"/>
      <c r="AK18" s="24"/>
      <c r="AL18" s="17">
        <v>2</v>
      </c>
    </row>
    <row r="19" spans="1:38" x14ac:dyDescent="0.25">
      <c r="H19" s="7"/>
      <c r="AH19" s="16"/>
      <c r="AI19" s="23"/>
      <c r="AJ19" s="24"/>
      <c r="AK19" s="24"/>
      <c r="AL19" s="17"/>
    </row>
    <row r="20" spans="1:38" x14ac:dyDescent="0.25">
      <c r="A20" s="4" t="s">
        <v>20</v>
      </c>
      <c r="B20" s="14"/>
      <c r="C20" s="14"/>
      <c r="D20" s="25">
        <f>D37/$AL$40+D35/$AL$40</f>
        <v>133333.33333333334</v>
      </c>
      <c r="E20" s="25">
        <f t="shared" ref="E20:M20" si="10">E37/$AL$40+E35/$AL$40</f>
        <v>133333.33333333334</v>
      </c>
      <c r="F20" s="25">
        <f t="shared" si="10"/>
        <v>133333.33333333334</v>
      </c>
      <c r="G20" s="25">
        <f t="shared" si="10"/>
        <v>133333.33333333334</v>
      </c>
      <c r="H20" s="26">
        <f t="shared" si="10"/>
        <v>133333.33333333334</v>
      </c>
      <c r="I20" s="25">
        <f t="shared" si="10"/>
        <v>133333.33333333334</v>
      </c>
      <c r="J20" s="25">
        <f t="shared" si="10"/>
        <v>300000</v>
      </c>
      <c r="K20" s="25">
        <f t="shared" si="10"/>
        <v>300000</v>
      </c>
      <c r="L20" s="25">
        <f t="shared" si="10"/>
        <v>300000</v>
      </c>
      <c r="M20" s="25">
        <f t="shared" si="10"/>
        <v>300000</v>
      </c>
      <c r="AH20" s="14"/>
      <c r="AI20" s="14"/>
      <c r="AL20" s="11" t="e">
        <f>#REF!/#REF!</f>
        <v>#REF!</v>
      </c>
    </row>
    <row r="21" spans="1:38" x14ac:dyDescent="0.25">
      <c r="A21" s="4" t="s">
        <v>21</v>
      </c>
      <c r="B21" s="14"/>
      <c r="C21" s="14"/>
      <c r="D21" s="8">
        <f>[1]Mortgage!D14</f>
        <v>418069.20677131001</v>
      </c>
      <c r="E21" s="8">
        <f>[1]Mortgage!D29</f>
        <v>413663.22828965215</v>
      </c>
      <c r="F21" s="8">
        <f>[1]Mortgage!D44</f>
        <v>408938.7412673044</v>
      </c>
      <c r="G21" s="8">
        <f>[1]Mortgage!D59</f>
        <v>403872.72069610702</v>
      </c>
      <c r="H21" s="10">
        <f>[1]Mortgage!D74</f>
        <v>398440.47708819853</v>
      </c>
      <c r="I21" s="8">
        <f>[1]Mortgage!D89</f>
        <v>392615.53615064331</v>
      </c>
      <c r="J21" s="8">
        <f>[1]Mortgage!D104</f>
        <v>386369.50976172969</v>
      </c>
      <c r="K21" s="8">
        <f>[1]Mortgage!D119</f>
        <v>379671.95762013108</v>
      </c>
      <c r="L21" s="8">
        <f>[1]Mortgage!D134</f>
        <v>372490.23889267741</v>
      </c>
      <c r="M21" s="8">
        <f>[1]Mortgage!D149</f>
        <v>364789.35313772951</v>
      </c>
      <c r="N21" s="15">
        <v>7.0000000000000007E-2</v>
      </c>
      <c r="AH21" s="14">
        <v>0.08</v>
      </c>
      <c r="AI21" s="14"/>
      <c r="AL21" s="11">
        <v>-0.25</v>
      </c>
    </row>
    <row r="22" spans="1:38" x14ac:dyDescent="0.25">
      <c r="A22" s="4" t="s">
        <v>22</v>
      </c>
      <c r="B22" s="14"/>
      <c r="C22" s="14"/>
      <c r="D22" s="8">
        <f t="shared" ref="D22:M22" si="11">D47*$AH$21</f>
        <v>0</v>
      </c>
      <c r="E22" s="8">
        <f t="shared" si="11"/>
        <v>0</v>
      </c>
      <c r="F22" s="8">
        <f t="shared" si="11"/>
        <v>0</v>
      </c>
      <c r="G22" s="8">
        <f t="shared" si="11"/>
        <v>0</v>
      </c>
      <c r="H22" s="10">
        <f t="shared" si="11"/>
        <v>100187.5906989184</v>
      </c>
      <c r="I22" s="8">
        <f t="shared" si="11"/>
        <v>277032.84735454462</v>
      </c>
      <c r="J22" s="8">
        <f t="shared" si="11"/>
        <v>478978.6003957169</v>
      </c>
      <c r="K22" s="8">
        <f t="shared" si="11"/>
        <v>708495.1349816838</v>
      </c>
      <c r="L22" s="8">
        <f t="shared" si="11"/>
        <v>968276.11781338288</v>
      </c>
      <c r="M22" s="8">
        <f t="shared" si="11"/>
        <v>1261258.2780027769</v>
      </c>
      <c r="N22" s="15">
        <v>0.1</v>
      </c>
      <c r="AH22" s="14"/>
      <c r="AI22" s="14"/>
      <c r="AL22" s="11">
        <v>0.1</v>
      </c>
    </row>
    <row r="23" spans="1:38" x14ac:dyDescent="0.25">
      <c r="B23" s="14"/>
      <c r="C23" s="14"/>
      <c r="D23" s="8"/>
      <c r="E23" s="8"/>
      <c r="F23" s="8"/>
      <c r="G23" s="8"/>
      <c r="H23" s="10"/>
      <c r="I23" s="8"/>
      <c r="J23" s="8"/>
      <c r="K23" s="8"/>
      <c r="L23" s="8"/>
      <c r="M23" s="8"/>
      <c r="AH23" s="14"/>
      <c r="AI23" s="14"/>
      <c r="AL23" s="17">
        <v>7</v>
      </c>
    </row>
    <row r="24" spans="1:38" x14ac:dyDescent="0.25">
      <c r="A24" s="4" t="s">
        <v>23</v>
      </c>
      <c r="B24" s="14"/>
      <c r="C24" s="14"/>
      <c r="D24" s="8">
        <f>D17-D20-D21-D22</f>
        <v>-1470652.5401046432</v>
      </c>
      <c r="E24" s="8">
        <f t="shared" ref="E24:M24" si="12">E17-E20-E21-E22</f>
        <v>-865474.06162298552</v>
      </c>
      <c r="F24" s="8">
        <f t="shared" si="12"/>
        <v>-24258.89960063796</v>
      </c>
      <c r="G24" s="8">
        <f t="shared" si="12"/>
        <v>1095156.6162205597</v>
      </c>
      <c r="H24" s="10">
        <f t="shared" si="12"/>
        <v>2476761.9432370495</v>
      </c>
      <c r="I24" s="8">
        <f t="shared" si="12"/>
        <v>4253535.2188497037</v>
      </c>
      <c r="J24" s="8">
        <f t="shared" si="12"/>
        <v>6452667.9737526244</v>
      </c>
      <c r="K24" s="8">
        <f t="shared" si="12"/>
        <v>9590033.2365842946</v>
      </c>
      <c r="L24" s="8">
        <f t="shared" si="12"/>
        <v>13736802.5762401</v>
      </c>
      <c r="M24" s="8">
        <f t="shared" si="12"/>
        <v>19202749.936223865</v>
      </c>
      <c r="AH24" s="14"/>
      <c r="AI24" s="14"/>
      <c r="AL24" s="27">
        <v>20</v>
      </c>
    </row>
    <row r="25" spans="1:38" x14ac:dyDescent="0.25">
      <c r="A25" s="4" t="s">
        <v>24</v>
      </c>
      <c r="B25" s="14"/>
      <c r="C25" s="14"/>
      <c r="D25" s="8">
        <f t="shared" ref="D25:L25" si="13">IF(D24&gt;0,D24*$AQ$44,0)</f>
        <v>0</v>
      </c>
      <c r="E25" s="8">
        <f t="shared" si="13"/>
        <v>0</v>
      </c>
      <c r="F25" s="8">
        <f t="shared" si="13"/>
        <v>0</v>
      </c>
      <c r="G25" s="8">
        <f t="shared" si="13"/>
        <v>300072.91284443339</v>
      </c>
      <c r="H25" s="10">
        <f t="shared" si="13"/>
        <v>678632.7724469516</v>
      </c>
      <c r="I25" s="8">
        <f t="shared" si="13"/>
        <v>1165468.649964819</v>
      </c>
      <c r="J25" s="8">
        <f t="shared" si="13"/>
        <v>1768031.0248082192</v>
      </c>
      <c r="K25" s="8">
        <f t="shared" si="13"/>
        <v>2627669.1068240968</v>
      </c>
      <c r="L25" s="8">
        <f t="shared" si="13"/>
        <v>3763883.9058897877</v>
      </c>
      <c r="M25" s="8">
        <f>IF(M24&gt;0,M24*$AQ$44,0)</f>
        <v>5261553.4825253394</v>
      </c>
      <c r="AH25" s="14"/>
      <c r="AI25" s="14"/>
    </row>
    <row r="26" spans="1:38" x14ac:dyDescent="0.25">
      <c r="A26" s="5" t="s">
        <v>25</v>
      </c>
      <c r="B26" s="14"/>
      <c r="C26" s="14"/>
      <c r="D26" s="8">
        <f t="shared" ref="D26:M26" si="14">D24-D25</f>
        <v>-1470652.5401046432</v>
      </c>
      <c r="E26" s="8">
        <f t="shared" si="14"/>
        <v>-865474.06162298552</v>
      </c>
      <c r="F26" s="8">
        <f t="shared" si="14"/>
        <v>-24258.89960063796</v>
      </c>
      <c r="G26" s="8">
        <f t="shared" si="14"/>
        <v>795083.70337612624</v>
      </c>
      <c r="H26" s="10">
        <f t="shared" si="14"/>
        <v>1798129.1707900979</v>
      </c>
      <c r="I26" s="8">
        <f t="shared" si="14"/>
        <v>3088066.5688848849</v>
      </c>
      <c r="J26" s="8">
        <f t="shared" si="14"/>
        <v>4684636.9489444047</v>
      </c>
      <c r="K26" s="8">
        <f t="shared" si="14"/>
        <v>6962364.1297601983</v>
      </c>
      <c r="L26" s="8">
        <f t="shared" si="14"/>
        <v>9972918.6703503132</v>
      </c>
      <c r="M26" s="8">
        <f t="shared" si="14"/>
        <v>13941196.453698525</v>
      </c>
      <c r="AH26" s="14"/>
      <c r="AI26" s="14"/>
    </row>
    <row r="27" spans="1:38" x14ac:dyDescent="0.25">
      <c r="B27" s="14"/>
      <c r="C27" s="14"/>
      <c r="D27" s="21"/>
      <c r="E27" s="21"/>
      <c r="F27" s="21"/>
      <c r="G27" s="21"/>
      <c r="H27" s="22"/>
      <c r="I27" s="21"/>
      <c r="J27" s="21"/>
      <c r="K27" s="21"/>
      <c r="L27" s="21"/>
      <c r="M27" s="21"/>
      <c r="AH27" s="14"/>
      <c r="AI27" s="14"/>
    </row>
    <row r="28" spans="1:38" x14ac:dyDescent="0.25">
      <c r="A28" s="5" t="s">
        <v>26</v>
      </c>
      <c r="B28" s="14"/>
      <c r="C28" s="14"/>
      <c r="D28" s="21"/>
      <c r="E28" s="21"/>
      <c r="F28" s="21"/>
      <c r="G28" s="21"/>
      <c r="H28" s="22"/>
      <c r="I28" s="21"/>
      <c r="J28" s="21"/>
      <c r="K28" s="21"/>
      <c r="L28" s="21"/>
      <c r="M28" s="21"/>
      <c r="AH28" s="14"/>
      <c r="AI28" s="14"/>
    </row>
    <row r="29" spans="1:38" x14ac:dyDescent="0.25">
      <c r="A29" s="5" t="s">
        <v>27</v>
      </c>
      <c r="B29" s="14"/>
      <c r="C29" s="14"/>
      <c r="D29" s="21"/>
      <c r="E29" s="21"/>
      <c r="F29" s="21"/>
      <c r="G29" s="21"/>
      <c r="H29" s="22"/>
      <c r="I29" s="21"/>
      <c r="J29" s="21"/>
      <c r="K29" s="21"/>
      <c r="L29" s="21"/>
      <c r="M29" s="21"/>
      <c r="O29" s="28" t="s">
        <v>28</v>
      </c>
      <c r="P29" s="29" t="s">
        <v>29</v>
      </c>
      <c r="Q29" s="29" t="s">
        <v>30</v>
      </c>
      <c r="R29" s="30"/>
      <c r="S29" s="30"/>
      <c r="T29" s="30"/>
      <c r="U29" s="31"/>
      <c r="AH29" s="14"/>
      <c r="AI29" s="14"/>
    </row>
    <row r="30" spans="1:38" x14ac:dyDescent="0.25">
      <c r="A30" s="4" t="s">
        <v>31</v>
      </c>
      <c r="B30" s="14"/>
      <c r="C30" s="14"/>
      <c r="D30" s="8">
        <v>75000</v>
      </c>
      <c r="E30" s="8">
        <v>75000</v>
      </c>
      <c r="F30" s="8">
        <v>75000</v>
      </c>
      <c r="G30" s="8">
        <v>75000</v>
      </c>
      <c r="H30" s="10">
        <v>75000</v>
      </c>
      <c r="I30" s="8">
        <v>75000</v>
      </c>
      <c r="J30" s="8">
        <v>75000</v>
      </c>
      <c r="K30" s="8">
        <v>75000</v>
      </c>
      <c r="L30" s="8">
        <v>75000</v>
      </c>
      <c r="M30" s="8">
        <v>75000</v>
      </c>
      <c r="O30" s="32">
        <v>1</v>
      </c>
      <c r="P30" s="25"/>
      <c r="Q30" s="25">
        <f>O30*H30</f>
        <v>75000</v>
      </c>
      <c r="R30" s="14"/>
      <c r="S30" s="14"/>
      <c r="T30" s="14"/>
      <c r="U30" s="33"/>
      <c r="AH30" s="14"/>
      <c r="AI30" s="14"/>
    </row>
    <row r="31" spans="1:38" x14ac:dyDescent="0.25">
      <c r="A31" s="4" t="s">
        <v>32</v>
      </c>
      <c r="B31" s="14"/>
      <c r="C31" s="14"/>
      <c r="D31" s="25">
        <f>5526732</f>
        <v>5526732</v>
      </c>
      <c r="E31" s="25">
        <v>3829237</v>
      </c>
      <c r="F31" s="25">
        <v>2698232</v>
      </c>
      <c r="G31" s="25">
        <v>2330577</v>
      </c>
      <c r="H31" s="26">
        <v>3835067</v>
      </c>
      <c r="I31" s="25">
        <v>7096976</v>
      </c>
      <c r="J31" s="25">
        <v>6774212</v>
      </c>
      <c r="K31" s="25">
        <v>13321697</v>
      </c>
      <c r="L31" s="25">
        <v>22224199</v>
      </c>
      <c r="M31" s="25">
        <v>34169537</v>
      </c>
      <c r="O31" s="34"/>
      <c r="P31" s="25"/>
      <c r="Q31" s="25"/>
      <c r="R31" s="14"/>
      <c r="S31" s="14"/>
      <c r="T31" s="14"/>
      <c r="U31" s="33"/>
      <c r="AH31" s="35"/>
      <c r="AI31" s="14">
        <f>365/4</f>
        <v>91.25</v>
      </c>
      <c r="AL31" s="4">
        <v>0.03</v>
      </c>
    </row>
    <row r="32" spans="1:38" x14ac:dyDescent="0.25">
      <c r="A32" s="4" t="s">
        <v>33</v>
      </c>
      <c r="B32" s="14"/>
      <c r="C32" s="14"/>
      <c r="D32" s="25">
        <f t="shared" ref="D32:M32" si="15">D4/365*$AI$31</f>
        <v>2500000</v>
      </c>
      <c r="E32" s="25">
        <f>E4/365*$AI$31</f>
        <v>3250000</v>
      </c>
      <c r="F32" s="25">
        <f t="shared" si="15"/>
        <v>4225000</v>
      </c>
      <c r="G32" s="25">
        <f t="shared" si="15"/>
        <v>5492500</v>
      </c>
      <c r="H32" s="26">
        <f t="shared" si="15"/>
        <v>7140250</v>
      </c>
      <c r="I32" s="25">
        <f t="shared" si="15"/>
        <v>9282325</v>
      </c>
      <c r="J32" s="25">
        <f t="shared" si="15"/>
        <v>12067022.5</v>
      </c>
      <c r="K32" s="25">
        <f t="shared" si="15"/>
        <v>15687129.249999998</v>
      </c>
      <c r="L32" s="25">
        <f t="shared" si="15"/>
        <v>20393268.025000002</v>
      </c>
      <c r="M32" s="25">
        <f t="shared" si="15"/>
        <v>26511248.432500008</v>
      </c>
      <c r="O32" s="32">
        <v>0.5</v>
      </c>
      <c r="P32" s="25"/>
      <c r="Q32" s="25">
        <f t="shared" ref="Q32" si="16">O32*H32</f>
        <v>3570125</v>
      </c>
      <c r="R32" s="14"/>
      <c r="S32" s="14"/>
      <c r="T32" s="14"/>
      <c r="U32" s="33"/>
      <c r="AH32" s="25"/>
      <c r="AI32" s="25"/>
      <c r="AJ32" s="36"/>
      <c r="AK32" s="36"/>
    </row>
    <row r="33" spans="1:44" x14ac:dyDescent="0.25">
      <c r="A33" s="4" t="s">
        <v>34</v>
      </c>
      <c r="B33" s="14"/>
      <c r="C33" s="14"/>
      <c r="D33" s="25">
        <v>2400000</v>
      </c>
      <c r="E33" s="25">
        <f t="shared" ref="E33:M33" si="17">E6/365*$AM$42</f>
        <v>3120000</v>
      </c>
      <c r="F33" s="25">
        <f t="shared" si="17"/>
        <v>4055999.9999999995</v>
      </c>
      <c r="G33" s="25">
        <f t="shared" si="17"/>
        <v>5272800</v>
      </c>
      <c r="H33" s="26">
        <f t="shared" si="17"/>
        <v>6854640</v>
      </c>
      <c r="I33" s="25">
        <f t="shared" si="17"/>
        <v>8911031.9999999981</v>
      </c>
      <c r="J33" s="25">
        <f t="shared" si="17"/>
        <v>11584341.6</v>
      </c>
      <c r="K33" s="25">
        <f t="shared" si="17"/>
        <v>15059644.08</v>
      </c>
      <c r="L33" s="25">
        <f t="shared" si="17"/>
        <v>19577537.303999998</v>
      </c>
      <c r="M33" s="25">
        <f t="shared" si="17"/>
        <v>25450798.495200004</v>
      </c>
      <c r="O33" s="32">
        <v>0.5</v>
      </c>
      <c r="P33" s="25"/>
      <c r="Q33" s="25">
        <f>O33*H33</f>
        <v>3427320</v>
      </c>
      <c r="R33" s="14"/>
      <c r="S33" s="14"/>
      <c r="T33" s="14"/>
      <c r="U33" s="33"/>
      <c r="AH33" s="14"/>
      <c r="AI33" s="14"/>
    </row>
    <row r="34" spans="1:44" x14ac:dyDescent="0.25">
      <c r="B34" s="14"/>
      <c r="C34" s="14"/>
      <c r="D34" s="25"/>
      <c r="E34" s="25"/>
      <c r="F34" s="25"/>
      <c r="G34" s="25"/>
      <c r="H34" s="26"/>
      <c r="I34" s="25"/>
      <c r="J34" s="25"/>
      <c r="K34" s="25"/>
      <c r="L34" s="25"/>
      <c r="M34" s="25"/>
      <c r="O34" s="32"/>
      <c r="P34" s="25"/>
      <c r="Q34" s="25"/>
      <c r="R34" s="14"/>
      <c r="S34" s="14"/>
      <c r="T34" s="14"/>
      <c r="U34" s="33"/>
      <c r="AH34" s="14"/>
      <c r="AI34" s="14"/>
    </row>
    <row r="35" spans="1:44" x14ac:dyDescent="0.25">
      <c r="A35" s="4" t="s">
        <v>35</v>
      </c>
      <c r="B35" s="14"/>
      <c r="C35" s="14"/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1">
        <v>0</v>
      </c>
      <c r="J35" s="21">
        <v>5000000</v>
      </c>
      <c r="K35" s="21">
        <v>5000000</v>
      </c>
      <c r="L35" s="21">
        <v>5000000</v>
      </c>
      <c r="M35" s="21">
        <v>5000000</v>
      </c>
      <c r="O35" s="106">
        <v>0.5</v>
      </c>
      <c r="P35" s="25">
        <f>M35*O35</f>
        <v>2500000</v>
      </c>
      <c r="Q35" s="25"/>
      <c r="R35" s="14"/>
      <c r="S35" s="14"/>
      <c r="T35" s="14"/>
      <c r="U35" s="33"/>
      <c r="AH35" s="14"/>
      <c r="AI35" s="14"/>
    </row>
    <row r="36" spans="1:44" x14ac:dyDescent="0.25">
      <c r="A36" s="4" t="s">
        <v>36</v>
      </c>
      <c r="B36" s="14"/>
      <c r="C36" s="14"/>
      <c r="D36" s="25">
        <v>2000000</v>
      </c>
      <c r="E36" s="25">
        <v>2000000</v>
      </c>
      <c r="F36" s="25">
        <v>2000000</v>
      </c>
      <c r="G36" s="25">
        <v>2000000</v>
      </c>
      <c r="H36" s="26">
        <v>2000000</v>
      </c>
      <c r="I36" s="25">
        <v>2000000</v>
      </c>
      <c r="J36" s="25">
        <v>2000000</v>
      </c>
      <c r="K36" s="25">
        <v>2000000</v>
      </c>
      <c r="L36" s="25">
        <v>2000000</v>
      </c>
      <c r="M36" s="25">
        <v>2000000</v>
      </c>
      <c r="O36" s="32">
        <v>0.5</v>
      </c>
      <c r="P36" s="25">
        <f>O36*H36</f>
        <v>1000000</v>
      </c>
      <c r="Q36" s="25"/>
      <c r="R36" s="14"/>
      <c r="S36" s="14"/>
      <c r="T36" s="14"/>
      <c r="U36" s="33"/>
      <c r="AH36" s="14"/>
      <c r="AI36" s="14"/>
    </row>
    <row r="37" spans="1:44" x14ac:dyDescent="0.25">
      <c r="A37" s="4" t="s">
        <v>37</v>
      </c>
      <c r="B37" s="14"/>
      <c r="C37" s="14"/>
      <c r="D37" s="37">
        <v>4000000</v>
      </c>
      <c r="E37" s="8">
        <f t="shared" ref="E37:M37" si="18">D37</f>
        <v>4000000</v>
      </c>
      <c r="F37" s="8">
        <f t="shared" si="18"/>
        <v>4000000</v>
      </c>
      <c r="G37" s="8">
        <f t="shared" si="18"/>
        <v>4000000</v>
      </c>
      <c r="H37" s="10">
        <f t="shared" si="18"/>
        <v>4000000</v>
      </c>
      <c r="I37" s="8">
        <f t="shared" si="18"/>
        <v>4000000</v>
      </c>
      <c r="J37" s="8">
        <f t="shared" si="18"/>
        <v>4000000</v>
      </c>
      <c r="K37" s="8">
        <f t="shared" si="18"/>
        <v>4000000</v>
      </c>
      <c r="L37" s="8">
        <f t="shared" si="18"/>
        <v>4000000</v>
      </c>
      <c r="M37" s="8">
        <f t="shared" si="18"/>
        <v>4000000</v>
      </c>
      <c r="O37" s="32">
        <v>0.5</v>
      </c>
      <c r="P37" s="25"/>
      <c r="Q37" s="25">
        <f>H37*O37</f>
        <v>2000000</v>
      </c>
      <c r="R37" s="14"/>
      <c r="S37" s="14"/>
      <c r="T37" s="14"/>
      <c r="U37" s="33"/>
      <c r="AH37" s="14"/>
      <c r="AI37" s="14"/>
      <c r="AL37" s="4">
        <v>0.03</v>
      </c>
    </row>
    <row r="38" spans="1:44" x14ac:dyDescent="0.25">
      <c r="A38" s="4" t="s">
        <v>38</v>
      </c>
      <c r="B38" s="14"/>
      <c r="C38" s="14"/>
      <c r="D38" s="8">
        <f>D20</f>
        <v>133333.33333333334</v>
      </c>
      <c r="E38" s="8">
        <f t="shared" ref="E38:M38" si="19">D38+E20</f>
        <v>266666.66666666669</v>
      </c>
      <c r="F38" s="8">
        <f t="shared" si="19"/>
        <v>400000</v>
      </c>
      <c r="G38" s="8">
        <f t="shared" si="19"/>
        <v>533333.33333333337</v>
      </c>
      <c r="H38" s="10">
        <f t="shared" si="19"/>
        <v>666666.66666666674</v>
      </c>
      <c r="I38" s="8">
        <f t="shared" si="19"/>
        <v>800000.00000000012</v>
      </c>
      <c r="J38" s="8">
        <f t="shared" si="19"/>
        <v>1100000</v>
      </c>
      <c r="K38" s="8">
        <f t="shared" si="19"/>
        <v>1400000</v>
      </c>
      <c r="L38" s="8">
        <f t="shared" si="19"/>
        <v>1700000</v>
      </c>
      <c r="M38" s="8">
        <f t="shared" si="19"/>
        <v>2000000</v>
      </c>
      <c r="O38" s="32"/>
      <c r="P38" s="25"/>
      <c r="Q38" s="25"/>
      <c r="R38" s="14"/>
      <c r="S38" s="14"/>
      <c r="T38" s="14"/>
      <c r="U38" s="33"/>
      <c r="AH38" s="14"/>
      <c r="AI38" s="14"/>
      <c r="AL38" s="11" t="e">
        <f>D12/#REF!</f>
        <v>#REF!</v>
      </c>
    </row>
    <row r="39" spans="1:44" x14ac:dyDescent="0.25">
      <c r="B39" s="14"/>
      <c r="C39" s="14"/>
      <c r="D39" s="21"/>
      <c r="E39" s="21"/>
      <c r="F39" s="21"/>
      <c r="G39" s="21"/>
      <c r="H39" s="22"/>
      <c r="I39" s="21"/>
      <c r="J39" s="21"/>
      <c r="K39" s="21"/>
      <c r="L39" s="21"/>
      <c r="M39" s="21"/>
      <c r="O39" s="34"/>
      <c r="P39" s="25"/>
      <c r="Q39" s="25"/>
      <c r="R39" s="14"/>
      <c r="S39" s="14"/>
      <c r="T39" s="14"/>
      <c r="U39" s="33"/>
      <c r="AH39" s="14"/>
      <c r="AI39" s="14"/>
      <c r="AL39" s="11"/>
    </row>
    <row r="40" spans="1:44" x14ac:dyDescent="0.25">
      <c r="A40" s="5" t="s">
        <v>39</v>
      </c>
      <c r="B40" s="14"/>
      <c r="C40" s="14"/>
      <c r="D40" s="21">
        <f t="shared" ref="D40:M40" si="20">SUM(D30:D37)-D38</f>
        <v>16368398.666666666</v>
      </c>
      <c r="E40" s="21">
        <f t="shared" si="20"/>
        <v>16007570.333333334</v>
      </c>
      <c r="F40" s="21">
        <f t="shared" si="20"/>
        <v>16654232</v>
      </c>
      <c r="G40" s="21">
        <f t="shared" si="20"/>
        <v>18637543.666666668</v>
      </c>
      <c r="H40" s="22">
        <f t="shared" si="20"/>
        <v>23238290.333333332</v>
      </c>
      <c r="I40" s="21">
        <f t="shared" si="20"/>
        <v>30565333</v>
      </c>
      <c r="J40" s="21">
        <f t="shared" si="20"/>
        <v>40400576.100000001</v>
      </c>
      <c r="K40" s="21">
        <f t="shared" si="20"/>
        <v>53743470.329999998</v>
      </c>
      <c r="L40" s="21">
        <f t="shared" si="20"/>
        <v>71570004.328999996</v>
      </c>
      <c r="M40" s="21">
        <f t="shared" si="20"/>
        <v>95206583.927700013</v>
      </c>
      <c r="O40" s="34"/>
      <c r="P40" s="25"/>
      <c r="Q40" s="25"/>
      <c r="R40" s="14"/>
      <c r="S40" s="14"/>
      <c r="T40" s="14"/>
      <c r="U40" s="33"/>
      <c r="AH40" s="14"/>
      <c r="AI40" s="14"/>
      <c r="AL40" s="27">
        <v>30</v>
      </c>
    </row>
    <row r="41" spans="1:44" x14ac:dyDescent="0.25">
      <c r="B41" s="14"/>
      <c r="C41" s="14"/>
      <c r="D41" s="21"/>
      <c r="E41" s="21"/>
      <c r="F41" s="21"/>
      <c r="G41" s="21"/>
      <c r="H41" s="22"/>
      <c r="I41" s="21"/>
      <c r="J41" s="21"/>
      <c r="K41" s="21"/>
      <c r="L41" s="21"/>
      <c r="M41" s="21"/>
      <c r="O41" s="34"/>
      <c r="P41" s="25"/>
      <c r="Q41" s="25"/>
      <c r="R41" s="14"/>
      <c r="S41" s="14"/>
      <c r="T41" s="14"/>
      <c r="U41" s="33"/>
      <c r="AH41" s="14"/>
      <c r="AI41" s="14"/>
    </row>
    <row r="42" spans="1:44" x14ac:dyDescent="0.25">
      <c r="A42" s="5" t="s">
        <v>40</v>
      </c>
      <c r="B42" s="14"/>
      <c r="C42" s="14"/>
      <c r="D42" s="21"/>
      <c r="E42" s="21"/>
      <c r="F42" s="21"/>
      <c r="G42" s="21"/>
      <c r="H42" s="22"/>
      <c r="I42" s="21"/>
      <c r="J42" s="21"/>
      <c r="K42" s="21"/>
      <c r="L42" s="21"/>
      <c r="M42" s="21"/>
      <c r="O42" s="34"/>
      <c r="P42" s="25"/>
      <c r="Q42" s="25"/>
      <c r="R42" s="14"/>
      <c r="S42" s="14"/>
      <c r="T42" s="14"/>
      <c r="U42" s="33"/>
      <c r="AH42" s="14"/>
      <c r="AM42" s="38">
        <f>D33/(D6/365)</f>
        <v>115.26315789473684</v>
      </c>
      <c r="AO42" s="4" t="s">
        <v>41</v>
      </c>
      <c r="AP42" s="4">
        <v>7.4</v>
      </c>
    </row>
    <row r="43" spans="1:44" x14ac:dyDescent="0.25">
      <c r="A43" s="39" t="s">
        <v>42</v>
      </c>
      <c r="B43" s="14"/>
      <c r="C43" s="14"/>
      <c r="D43" s="25">
        <f t="shared" ref="D43:M43" si="21">D6/365*$AI$31</f>
        <v>1900000</v>
      </c>
      <c r="E43" s="25">
        <f t="shared" si="21"/>
        <v>2470000</v>
      </c>
      <c r="F43" s="25">
        <f t="shared" si="21"/>
        <v>3211000</v>
      </c>
      <c r="G43" s="25">
        <f t="shared" si="21"/>
        <v>4174300.0000000005</v>
      </c>
      <c r="H43" s="26">
        <f t="shared" si="21"/>
        <v>5426590</v>
      </c>
      <c r="I43" s="25">
        <f t="shared" si="21"/>
        <v>7054567</v>
      </c>
      <c r="J43" s="25">
        <f t="shared" si="21"/>
        <v>9170937.0999999996</v>
      </c>
      <c r="K43" s="25">
        <f t="shared" si="21"/>
        <v>11922218.23</v>
      </c>
      <c r="L43" s="25">
        <f t="shared" si="21"/>
        <v>15498883.699000001</v>
      </c>
      <c r="M43" s="25">
        <f t="shared" si="21"/>
        <v>20148548.808700003</v>
      </c>
      <c r="O43" s="40">
        <v>-1</v>
      </c>
      <c r="P43" s="41"/>
      <c r="Q43" s="25">
        <f>O43*H43</f>
        <v>-5426590</v>
      </c>
      <c r="R43" s="14"/>
      <c r="S43" s="14"/>
      <c r="T43" s="14"/>
      <c r="U43" s="33"/>
      <c r="AI43" s="42"/>
      <c r="AJ43" s="42"/>
      <c r="AK43" s="42"/>
      <c r="AL43" s="42"/>
      <c r="AO43" s="4" t="s">
        <v>43</v>
      </c>
      <c r="AP43" s="4">
        <v>20</v>
      </c>
    </row>
    <row r="44" spans="1:44" x14ac:dyDescent="0.25">
      <c r="A44" s="4" t="s">
        <v>44</v>
      </c>
      <c r="D44" s="8">
        <f t="shared" ref="D44:M44" si="22">D25</f>
        <v>0</v>
      </c>
      <c r="E44" s="8">
        <f t="shared" si="22"/>
        <v>0</v>
      </c>
      <c r="F44" s="8">
        <f t="shared" si="22"/>
        <v>0</v>
      </c>
      <c r="G44" s="8">
        <f t="shared" si="22"/>
        <v>300072.91284443339</v>
      </c>
      <c r="H44" s="10">
        <f t="shared" si="22"/>
        <v>678632.7724469516</v>
      </c>
      <c r="I44" s="8">
        <f t="shared" si="22"/>
        <v>1165468.649964819</v>
      </c>
      <c r="J44" s="8">
        <f t="shared" si="22"/>
        <v>1768031.0248082192</v>
      </c>
      <c r="K44" s="8">
        <f t="shared" si="22"/>
        <v>2627669.1068240968</v>
      </c>
      <c r="L44" s="8">
        <f t="shared" si="22"/>
        <v>3763883.9058897877</v>
      </c>
      <c r="M44" s="8">
        <f t="shared" si="22"/>
        <v>5261553.4825253394</v>
      </c>
      <c r="O44" s="34"/>
      <c r="P44" s="41"/>
      <c r="Q44" s="25"/>
      <c r="R44" s="19"/>
      <c r="S44" s="19"/>
      <c r="T44" s="19"/>
      <c r="U44" s="43"/>
      <c r="AO44" s="4" t="s">
        <v>45</v>
      </c>
      <c r="AP44" s="17">
        <f>AP42+AP43</f>
        <v>27.4</v>
      </c>
      <c r="AQ44" s="4">
        <v>0.27400000000000002</v>
      </c>
    </row>
    <row r="45" spans="1:44" x14ac:dyDescent="0.25">
      <c r="D45" s="8"/>
      <c r="E45" s="8"/>
      <c r="F45" s="8"/>
      <c r="G45" s="8"/>
      <c r="H45" s="10"/>
      <c r="I45" s="8"/>
      <c r="J45" s="8"/>
      <c r="K45" s="8"/>
      <c r="L45" s="8"/>
      <c r="M45" s="8"/>
      <c r="O45" s="34"/>
      <c r="R45" s="44"/>
      <c r="S45" s="19"/>
      <c r="T45" s="19"/>
      <c r="U45" s="43"/>
      <c r="AM45" s="38">
        <f>D37/(D6/365)</f>
        <v>192.10526315789474</v>
      </c>
    </row>
    <row r="46" spans="1:44" x14ac:dyDescent="0.25">
      <c r="A46" s="4" t="s">
        <v>46</v>
      </c>
      <c r="D46" s="8">
        <f>[1]Mortgage!F13</f>
        <v>5939051.4102422977</v>
      </c>
      <c r="E46" s="8">
        <f>[1]Mortgage!F28</f>
        <v>5873696.8420029376</v>
      </c>
      <c r="F46" s="8">
        <f>[1]Mortgage!F43</f>
        <v>5803617.7867412306</v>
      </c>
      <c r="G46" s="8">
        <f>[1]Mortgage!F58</f>
        <v>5728472.7109083273</v>
      </c>
      <c r="H46" s="10">
        <f>[1]Mortgage!F73</f>
        <v>5647895.3914675135</v>
      </c>
      <c r="I46" s="8">
        <f>[1]Mortgage!F88</f>
        <v>5561493.1310891453</v>
      </c>
      <c r="J46" s="8">
        <f>[1]Mortgage!F103</f>
        <v>5468844.8443218637</v>
      </c>
      <c r="K46" s="8">
        <f>[1]Mortgage!F118</f>
        <v>5369499.0054129818</v>
      </c>
      <c r="L46" s="8">
        <f>[1]Mortgage!F133</f>
        <v>5262971.4477766473</v>
      </c>
      <c r="M46" s="8">
        <f>[1]Mortgage!F148</f>
        <v>5148743.0043853652</v>
      </c>
      <c r="O46" s="34"/>
      <c r="P46" s="41"/>
      <c r="Q46" s="25"/>
      <c r="R46" s="19"/>
      <c r="S46" s="19"/>
      <c r="T46" s="19"/>
      <c r="U46" s="43"/>
    </row>
    <row r="47" spans="1:44" x14ac:dyDescent="0.25">
      <c r="A47" s="4" t="s">
        <v>47</v>
      </c>
      <c r="D47" s="8">
        <v>0</v>
      </c>
      <c r="E47" s="8">
        <v>0</v>
      </c>
      <c r="F47" s="8">
        <v>0</v>
      </c>
      <c r="G47" s="8">
        <v>0</v>
      </c>
      <c r="H47" s="10">
        <v>1252344.88373648</v>
      </c>
      <c r="I47" s="8">
        <v>3462910.5919318073</v>
      </c>
      <c r="J47" s="8">
        <v>5987232.5049464609</v>
      </c>
      <c r="K47" s="8">
        <v>8856189.1872710474</v>
      </c>
      <c r="L47" s="8">
        <v>12103451.472667286</v>
      </c>
      <c r="M47" s="8">
        <v>15765728.475034712</v>
      </c>
      <c r="O47" s="34" t="s">
        <v>48</v>
      </c>
      <c r="P47" s="41">
        <f>SUM(P30:P46)</f>
        <v>3500000</v>
      </c>
      <c r="Q47" s="25">
        <f>SUM(Q30:Q46)</f>
        <v>3645855</v>
      </c>
      <c r="R47" s="19"/>
      <c r="S47" s="19"/>
      <c r="T47" s="19"/>
      <c r="U47" s="43"/>
      <c r="AI47" s="45">
        <f t="shared" ref="AI47:AR47" si="23">AH9</f>
        <v>0.24</v>
      </c>
      <c r="AJ47" s="45">
        <f t="shared" si="23"/>
        <v>0</v>
      </c>
      <c r="AK47" s="45">
        <f t="shared" si="23"/>
        <v>0</v>
      </c>
      <c r="AL47" s="45">
        <f t="shared" si="23"/>
        <v>0</v>
      </c>
      <c r="AM47" s="45">
        <f t="shared" si="23"/>
        <v>0.15</v>
      </c>
      <c r="AN47" s="45">
        <f t="shared" si="23"/>
        <v>0</v>
      </c>
      <c r="AO47" s="45" t="str">
        <f t="shared" si="23"/>
        <v>cnc worker</v>
      </c>
      <c r="AP47" s="45">
        <f t="shared" si="23"/>
        <v>32950</v>
      </c>
      <c r="AQ47" s="45">
        <f t="shared" si="23"/>
        <v>15</v>
      </c>
      <c r="AR47" s="45">
        <f t="shared" si="23"/>
        <v>494250</v>
      </c>
    </row>
    <row r="48" spans="1:44" x14ac:dyDescent="0.25">
      <c r="D48" s="8"/>
      <c r="E48" s="8"/>
      <c r="F48" s="8"/>
      <c r="G48" s="8"/>
      <c r="H48" s="10"/>
      <c r="I48" s="8"/>
      <c r="J48" s="8"/>
      <c r="K48" s="8"/>
      <c r="L48" s="8"/>
      <c r="M48" s="8"/>
      <c r="O48" s="34" t="s">
        <v>49</v>
      </c>
      <c r="P48" s="41"/>
      <c r="Q48" s="25">
        <f>P47-P53</f>
        <v>0</v>
      </c>
      <c r="R48" s="19"/>
      <c r="S48" s="19"/>
      <c r="T48" s="19"/>
      <c r="U48" s="43"/>
    </row>
    <row r="49" spans="1:45" x14ac:dyDescent="0.25">
      <c r="A49" s="4" t="s">
        <v>50</v>
      </c>
      <c r="D49" s="8">
        <v>10000000</v>
      </c>
      <c r="E49" s="8">
        <f>D49</f>
        <v>10000000</v>
      </c>
      <c r="F49" s="8">
        <f t="shared" ref="F49:M49" si="24">E49</f>
        <v>10000000</v>
      </c>
      <c r="G49" s="8">
        <f t="shared" si="24"/>
        <v>10000000</v>
      </c>
      <c r="H49" s="10">
        <f t="shared" si="24"/>
        <v>10000000</v>
      </c>
      <c r="I49" s="8">
        <f t="shared" si="24"/>
        <v>10000000</v>
      </c>
      <c r="J49" s="8">
        <f t="shared" si="24"/>
        <v>10000000</v>
      </c>
      <c r="K49" s="8">
        <f t="shared" si="24"/>
        <v>10000000</v>
      </c>
      <c r="L49" s="8">
        <f t="shared" si="24"/>
        <v>10000000</v>
      </c>
      <c r="M49" s="8">
        <f t="shared" si="24"/>
        <v>10000000</v>
      </c>
      <c r="O49" s="34" t="s">
        <v>51</v>
      </c>
      <c r="P49" s="41"/>
      <c r="Q49" s="25">
        <v>10000</v>
      </c>
      <c r="R49" s="19"/>
      <c r="S49" s="19"/>
      <c r="T49" s="19"/>
      <c r="U49" s="43"/>
      <c r="AI49" s="45">
        <f t="shared" ref="AI49:AR49" si="25">AI47-AI48</f>
        <v>0.24</v>
      </c>
      <c r="AJ49" s="45">
        <f t="shared" si="25"/>
        <v>0</v>
      </c>
      <c r="AK49" s="45">
        <f t="shared" si="25"/>
        <v>0</v>
      </c>
      <c r="AL49" s="45">
        <f t="shared" si="25"/>
        <v>0</v>
      </c>
      <c r="AM49" s="45">
        <f t="shared" si="25"/>
        <v>0.15</v>
      </c>
      <c r="AN49" s="45">
        <f t="shared" si="25"/>
        <v>0</v>
      </c>
      <c r="AO49" s="45" t="e">
        <f t="shared" si="25"/>
        <v>#VALUE!</v>
      </c>
      <c r="AP49" s="45">
        <f t="shared" si="25"/>
        <v>32950</v>
      </c>
      <c r="AQ49" s="45">
        <f t="shared" si="25"/>
        <v>15</v>
      </c>
      <c r="AR49" s="45">
        <f t="shared" si="25"/>
        <v>494250</v>
      </c>
    </row>
    <row r="50" spans="1:45" x14ac:dyDescent="0.25">
      <c r="A50" s="4" t="s">
        <v>52</v>
      </c>
      <c r="C50" s="8"/>
      <c r="D50" s="8">
        <f>D26</f>
        <v>-1470652.5401046432</v>
      </c>
      <c r="E50" s="8">
        <f t="shared" ref="E50:M50" si="26">D50+E26</f>
        <v>-2336126.6017276286</v>
      </c>
      <c r="F50" s="8">
        <f t="shared" si="26"/>
        <v>-2360385.5013282667</v>
      </c>
      <c r="G50" s="8">
        <f t="shared" si="26"/>
        <v>-1565301.7979521404</v>
      </c>
      <c r="H50" s="10">
        <f t="shared" si="26"/>
        <v>232827.37283795746</v>
      </c>
      <c r="I50" s="8">
        <f t="shared" si="26"/>
        <v>3320893.9417228424</v>
      </c>
      <c r="J50" s="8">
        <f t="shared" si="26"/>
        <v>8005530.8906672467</v>
      </c>
      <c r="K50" s="8">
        <f t="shared" si="26"/>
        <v>14967895.020427445</v>
      </c>
      <c r="L50" s="8">
        <f t="shared" si="26"/>
        <v>24940813.690777756</v>
      </c>
      <c r="M50" s="8">
        <f t="shared" si="26"/>
        <v>38882010.14447628</v>
      </c>
      <c r="O50" s="34" t="s">
        <v>48</v>
      </c>
      <c r="P50" s="41"/>
      <c r="Q50" s="41">
        <f>Q47+Q48-Q49</f>
        <v>3635855</v>
      </c>
      <c r="R50" s="19"/>
      <c r="S50" s="19"/>
      <c r="T50" s="19"/>
      <c r="U50" s="43"/>
    </row>
    <row r="51" spans="1:45" x14ac:dyDescent="0.25">
      <c r="B51" s="4" t="s">
        <v>53</v>
      </c>
      <c r="C51" s="8"/>
      <c r="D51" s="8">
        <f>SUM(D49:D50)</f>
        <v>8529347.4598953575</v>
      </c>
      <c r="E51" s="8">
        <f t="shared" ref="E51:M51" si="27">SUM(E49:E50)</f>
        <v>7663873.3982723709</v>
      </c>
      <c r="F51" s="8">
        <f t="shared" si="27"/>
        <v>7639614.4986717328</v>
      </c>
      <c r="G51" s="8">
        <f t="shared" si="27"/>
        <v>8434698.2020478602</v>
      </c>
      <c r="H51" s="10">
        <f t="shared" si="27"/>
        <v>10232827.372837957</v>
      </c>
      <c r="I51" s="8">
        <f t="shared" si="27"/>
        <v>13320893.941722842</v>
      </c>
      <c r="J51" s="8">
        <f t="shared" si="27"/>
        <v>18005530.890667245</v>
      </c>
      <c r="K51" s="8">
        <f t="shared" si="27"/>
        <v>24967895.020427443</v>
      </c>
      <c r="L51" s="8">
        <f t="shared" si="27"/>
        <v>34940813.690777756</v>
      </c>
      <c r="M51" s="8">
        <f t="shared" si="27"/>
        <v>48882010.14447628</v>
      </c>
      <c r="O51" s="34"/>
      <c r="P51" s="41"/>
      <c r="Q51" s="41"/>
      <c r="R51" s="19"/>
      <c r="S51" s="19"/>
      <c r="T51" s="19"/>
      <c r="U51" s="43"/>
    </row>
    <row r="52" spans="1:45" x14ac:dyDescent="0.25">
      <c r="D52" s="8"/>
      <c r="E52" s="8"/>
      <c r="F52" s="8"/>
      <c r="G52" s="8"/>
      <c r="H52" s="10"/>
      <c r="I52" s="8"/>
      <c r="J52" s="8"/>
      <c r="K52" s="8"/>
      <c r="L52" s="8"/>
      <c r="M52" s="8"/>
      <c r="O52" s="34"/>
      <c r="P52" s="41" t="s">
        <v>54</v>
      </c>
      <c r="Q52" s="41" t="s">
        <v>55</v>
      </c>
      <c r="R52" s="19" t="s">
        <v>56</v>
      </c>
      <c r="S52" s="19" t="s">
        <v>57</v>
      </c>
      <c r="T52" s="19" t="s">
        <v>58</v>
      </c>
      <c r="U52" s="43" t="s">
        <v>59</v>
      </c>
    </row>
    <row r="53" spans="1:45" x14ac:dyDescent="0.25">
      <c r="A53" s="5" t="s">
        <v>60</v>
      </c>
      <c r="D53" s="8">
        <f>SUM(D43:D50)</f>
        <v>16368398.870137654</v>
      </c>
      <c r="E53" s="8">
        <f t="shared" ref="E53:M53" si="28">SUM(E43:E50)</f>
        <v>16007570.240275307</v>
      </c>
      <c r="F53" s="8">
        <f t="shared" si="28"/>
        <v>16654232.285412963</v>
      </c>
      <c r="G53" s="8">
        <f t="shared" si="28"/>
        <v>18637543.82580062</v>
      </c>
      <c r="H53" s="10">
        <f t="shared" si="28"/>
        <v>23238290.420488901</v>
      </c>
      <c r="I53" s="8">
        <f t="shared" si="28"/>
        <v>30565333.314708617</v>
      </c>
      <c r="J53" s="8">
        <f>SUM(J43:J50)</f>
        <v>40400576.364743792</v>
      </c>
      <c r="K53" s="8">
        <f>SUM(K43:K50)</f>
        <v>53743470.549935572</v>
      </c>
      <c r="L53" s="8">
        <f>SUM(L43:L50)</f>
        <v>71570004.216111481</v>
      </c>
      <c r="M53" s="8">
        <f t="shared" si="28"/>
        <v>95206583.915121704</v>
      </c>
      <c r="O53" s="34"/>
      <c r="P53" s="41">
        <f>P47</f>
        <v>3500000</v>
      </c>
      <c r="Q53" s="41">
        <f>H46-P53</f>
        <v>2147895.3914675135</v>
      </c>
      <c r="R53" s="46">
        <f>Q53/Q55</f>
        <v>0.63168929770371973</v>
      </c>
      <c r="S53" s="47">
        <f>R53*Q50</f>
        <v>2296730.6915025581</v>
      </c>
      <c r="T53" s="48">
        <f>P53+S53</f>
        <v>5796730.6915025581</v>
      </c>
      <c r="U53" s="49">
        <f>T53/H46</f>
        <v>1.0263523471521614</v>
      </c>
    </row>
    <row r="54" spans="1:45" x14ac:dyDescent="0.25">
      <c r="A54" s="5"/>
      <c r="D54" s="8"/>
      <c r="E54" s="8"/>
      <c r="F54" s="8"/>
      <c r="G54" s="8"/>
      <c r="H54" s="10"/>
      <c r="I54" s="8"/>
      <c r="J54" s="8"/>
      <c r="K54" s="8"/>
      <c r="L54" s="8"/>
      <c r="M54" s="8"/>
      <c r="O54" s="34"/>
      <c r="P54" s="41">
        <v>0</v>
      </c>
      <c r="Q54" s="41">
        <f>H47-P54</f>
        <v>1252344.88373648</v>
      </c>
      <c r="R54" s="46">
        <f>Q54/Q55</f>
        <v>0.36831070229628021</v>
      </c>
      <c r="S54" s="47">
        <f>R54*Q50</f>
        <v>1339124.3084974419</v>
      </c>
      <c r="T54" s="48">
        <f>P54+S54</f>
        <v>1339124.3084974419</v>
      </c>
      <c r="U54" s="49">
        <f>T54/H47</f>
        <v>1.0692935515511095</v>
      </c>
      <c r="AI54" s="45">
        <f>-(AH29-M30)</f>
        <v>75000</v>
      </c>
      <c r="AJ54" s="45">
        <f t="shared" ref="AJ54:AS54" si="29">-(AI29-AH29)</f>
        <v>0</v>
      </c>
      <c r="AK54" s="45">
        <f t="shared" si="29"/>
        <v>0</v>
      </c>
      <c r="AL54" s="45">
        <f t="shared" si="29"/>
        <v>0</v>
      </c>
      <c r="AM54" s="45">
        <f t="shared" si="29"/>
        <v>0</v>
      </c>
      <c r="AN54" s="45">
        <f t="shared" si="29"/>
        <v>0</v>
      </c>
      <c r="AO54" s="45">
        <f t="shared" si="29"/>
        <v>0</v>
      </c>
      <c r="AP54" s="45">
        <f t="shared" si="29"/>
        <v>0</v>
      </c>
      <c r="AQ54" s="45">
        <f t="shared" si="29"/>
        <v>0</v>
      </c>
      <c r="AR54" s="45">
        <f t="shared" si="29"/>
        <v>0</v>
      </c>
      <c r="AS54" s="45">
        <f t="shared" si="29"/>
        <v>0</v>
      </c>
    </row>
    <row r="55" spans="1:45" x14ac:dyDescent="0.25">
      <c r="A55" s="5" t="s">
        <v>61</v>
      </c>
      <c r="D55" s="8">
        <f>D40-D53</f>
        <v>-0.2034709881991148</v>
      </c>
      <c r="E55" s="8">
        <f t="shared" ref="E55:M55" si="30">E40-E53</f>
        <v>9.3058027327060699E-2</v>
      </c>
      <c r="F55" s="8">
        <f t="shared" si="30"/>
        <v>-0.28541296347975731</v>
      </c>
      <c r="G55" s="8">
        <f t="shared" si="30"/>
        <v>-0.15913395211100578</v>
      </c>
      <c r="H55" s="10">
        <f t="shared" si="30"/>
        <v>-8.7155569344758987E-2</v>
      </c>
      <c r="I55" s="8">
        <f t="shared" si="30"/>
        <v>-0.31470861658453941</v>
      </c>
      <c r="J55" s="8">
        <f t="shared" si="30"/>
        <v>-0.26474379003047943</v>
      </c>
      <c r="K55" s="8">
        <f t="shared" si="30"/>
        <v>-0.2199355736374855</v>
      </c>
      <c r="L55" s="8">
        <f t="shared" si="30"/>
        <v>0.11288851499557495</v>
      </c>
      <c r="M55" s="8">
        <f t="shared" si="30"/>
        <v>1.2578308582305908E-2</v>
      </c>
      <c r="O55" s="50"/>
      <c r="P55" s="51"/>
      <c r="Q55" s="51">
        <f>SUM(Q53:Q54)</f>
        <v>3400240.2752039935</v>
      </c>
      <c r="R55" s="52"/>
      <c r="S55" s="53"/>
      <c r="T55" s="53"/>
      <c r="U55" s="54"/>
    </row>
    <row r="56" spans="1:45" x14ac:dyDescent="0.25">
      <c r="A56" s="42"/>
      <c r="B56" s="42"/>
      <c r="C56" s="42"/>
      <c r="D56" s="42"/>
      <c r="E56" s="42"/>
      <c r="F56" s="42"/>
      <c r="G56" s="42"/>
      <c r="H56" s="55"/>
      <c r="I56" s="42"/>
      <c r="J56" s="42"/>
      <c r="K56" s="42"/>
      <c r="L56" s="42"/>
      <c r="M56" s="42"/>
    </row>
    <row r="58" spans="1:45" x14ac:dyDescent="0.25">
      <c r="A58" s="56" t="s">
        <v>62</v>
      </c>
      <c r="B58" s="12"/>
      <c r="C58" s="12"/>
      <c r="D58" s="45"/>
      <c r="E58" s="12"/>
      <c r="F58" s="12"/>
      <c r="G58" s="12"/>
      <c r="H58" s="57"/>
      <c r="I58" s="12"/>
      <c r="J58" s="12"/>
      <c r="K58" s="12"/>
      <c r="Q58" s="58" t="s">
        <v>63</v>
      </c>
      <c r="R58" s="59">
        <v>0.87</v>
      </c>
      <c r="S58" s="60"/>
      <c r="T58" s="60"/>
      <c r="U58" s="60"/>
      <c r="V58" s="61"/>
    </row>
    <row r="59" spans="1:45" x14ac:dyDescent="0.25">
      <c r="A59" s="12" t="s">
        <v>64</v>
      </c>
      <c r="B59" s="12"/>
      <c r="C59" s="12"/>
      <c r="D59" s="45"/>
      <c r="E59" s="12"/>
      <c r="F59" s="12"/>
      <c r="G59" s="12"/>
      <c r="H59" s="57"/>
      <c r="I59" s="12"/>
      <c r="J59" s="12"/>
      <c r="K59" s="12"/>
      <c r="Q59" s="62" t="s">
        <v>65</v>
      </c>
      <c r="R59" s="63">
        <f>R70</f>
        <v>0.20616741306065917</v>
      </c>
      <c r="S59" s="64"/>
      <c r="T59" s="64"/>
      <c r="U59" s="64"/>
      <c r="V59" s="65"/>
    </row>
    <row r="60" spans="1:45" x14ac:dyDescent="0.25">
      <c r="A60" s="12"/>
      <c r="B60" s="12" t="s">
        <v>19</v>
      </c>
      <c r="C60" s="12"/>
      <c r="D60" s="18">
        <f>D17</f>
        <v>-919250</v>
      </c>
      <c r="E60" s="18">
        <f t="shared" ref="E60:M60" si="31">E17</f>
        <v>-318477.5</v>
      </c>
      <c r="F60" s="18">
        <f t="shared" si="31"/>
        <v>518013.17499999981</v>
      </c>
      <c r="G60" s="18">
        <f t="shared" si="31"/>
        <v>1632362.67025</v>
      </c>
      <c r="H60" s="66">
        <f t="shared" si="31"/>
        <v>3108723.3443574999</v>
      </c>
      <c r="I60" s="18">
        <f t="shared" si="31"/>
        <v>5056516.9356882246</v>
      </c>
      <c r="J60" s="18">
        <f t="shared" si="31"/>
        <v>7618016.0839100704</v>
      </c>
      <c r="K60" s="18">
        <f t="shared" si="31"/>
        <v>10978200.32918611</v>
      </c>
      <c r="L60" s="18">
        <f t="shared" si="31"/>
        <v>15377568.93294616</v>
      </c>
      <c r="M60" s="18">
        <f t="shared" si="31"/>
        <v>21128797.567364369</v>
      </c>
      <c r="N60" s="18"/>
      <c r="Q60" s="62" t="s">
        <v>66</v>
      </c>
      <c r="R60" s="63">
        <f>R77</f>
        <v>0.79383258693934078</v>
      </c>
      <c r="S60" s="64"/>
      <c r="T60" s="64"/>
      <c r="U60" s="64"/>
      <c r="V60" s="65"/>
    </row>
    <row r="61" spans="1:45" x14ac:dyDescent="0.25">
      <c r="A61" s="12"/>
      <c r="B61" s="12" t="s">
        <v>67</v>
      </c>
      <c r="C61" s="12"/>
      <c r="D61" s="18">
        <f t="shared" ref="D61:M61" si="32">D20</f>
        <v>133333.33333333334</v>
      </c>
      <c r="E61" s="18">
        <f t="shared" si="32"/>
        <v>133333.33333333334</v>
      </c>
      <c r="F61" s="18">
        <f t="shared" si="32"/>
        <v>133333.33333333334</v>
      </c>
      <c r="G61" s="18">
        <f t="shared" si="32"/>
        <v>133333.33333333334</v>
      </c>
      <c r="H61" s="66">
        <f t="shared" si="32"/>
        <v>133333.33333333334</v>
      </c>
      <c r="I61" s="18">
        <f t="shared" si="32"/>
        <v>133333.33333333334</v>
      </c>
      <c r="J61" s="18">
        <f t="shared" si="32"/>
        <v>300000</v>
      </c>
      <c r="K61" s="18">
        <f t="shared" si="32"/>
        <v>300000</v>
      </c>
      <c r="L61" s="18">
        <f t="shared" si="32"/>
        <v>300000</v>
      </c>
      <c r="M61" s="18">
        <f t="shared" si="32"/>
        <v>300000</v>
      </c>
      <c r="N61" s="18"/>
      <c r="Q61" s="62" t="s">
        <v>68</v>
      </c>
      <c r="R61" s="67">
        <f>R58*(1+(1-R63)*(R59/R60))</f>
        <v>1.0340389467248261</v>
      </c>
      <c r="S61" s="64"/>
      <c r="T61" s="64"/>
      <c r="U61" s="64"/>
      <c r="V61" s="65"/>
    </row>
    <row r="62" spans="1:45" x14ac:dyDescent="0.25">
      <c r="A62" s="12"/>
      <c r="B62" s="12" t="s">
        <v>69</v>
      </c>
      <c r="C62" s="12"/>
      <c r="D62" s="18">
        <f>D60-D61</f>
        <v>-1052583.3333333333</v>
      </c>
      <c r="E62" s="18">
        <f t="shared" ref="E62:M62" si="33">E60-E61</f>
        <v>-451810.83333333337</v>
      </c>
      <c r="F62" s="18">
        <f t="shared" si="33"/>
        <v>384679.84166666644</v>
      </c>
      <c r="G62" s="18">
        <f t="shared" si="33"/>
        <v>1499029.3369166667</v>
      </c>
      <c r="H62" s="66">
        <f t="shared" si="33"/>
        <v>2975390.0110241664</v>
      </c>
      <c r="I62" s="18">
        <f t="shared" si="33"/>
        <v>4923183.6023548916</v>
      </c>
      <c r="J62" s="18">
        <f t="shared" si="33"/>
        <v>7318016.0839100704</v>
      </c>
      <c r="K62" s="18">
        <f t="shared" si="33"/>
        <v>10678200.32918611</v>
      </c>
      <c r="L62" s="18">
        <f t="shared" si="33"/>
        <v>15077568.93294616</v>
      </c>
      <c r="M62" s="18">
        <f t="shared" si="33"/>
        <v>20828797.567364369</v>
      </c>
      <c r="N62" s="18"/>
      <c r="Q62" s="62"/>
      <c r="R62" s="64"/>
      <c r="S62" s="64"/>
      <c r="T62" s="64"/>
      <c r="U62" s="64"/>
      <c r="V62" s="65"/>
    </row>
    <row r="63" spans="1:45" x14ac:dyDescent="0.25">
      <c r="A63" s="12"/>
      <c r="B63" s="12" t="s">
        <v>70</v>
      </c>
      <c r="C63" s="12"/>
      <c r="D63" s="18">
        <f t="shared" ref="D63:M63" si="34">IF(D62&gt;0,D62*$R$63,0)</f>
        <v>0</v>
      </c>
      <c r="E63" s="18">
        <f t="shared" si="34"/>
        <v>0</v>
      </c>
      <c r="F63" s="18">
        <f t="shared" si="34"/>
        <v>105402.27661666661</v>
      </c>
      <c r="G63" s="18">
        <f t="shared" si="34"/>
        <v>410734.03831516672</v>
      </c>
      <c r="H63" s="66">
        <f t="shared" si="34"/>
        <v>815256.86302062159</v>
      </c>
      <c r="I63" s="18">
        <f t="shared" si="34"/>
        <v>1348952.3070452404</v>
      </c>
      <c r="J63" s="18">
        <f t="shared" si="34"/>
        <v>2005136.4069913595</v>
      </c>
      <c r="K63" s="18">
        <f t="shared" si="34"/>
        <v>2925826.8901969944</v>
      </c>
      <c r="L63" s="18">
        <f t="shared" si="34"/>
        <v>4131253.8876272482</v>
      </c>
      <c r="M63" s="18">
        <f t="shared" si="34"/>
        <v>5707090.5334578371</v>
      </c>
      <c r="N63" s="18"/>
      <c r="Q63" s="34" t="s">
        <v>71</v>
      </c>
      <c r="R63" s="11">
        <v>0.27400000000000002</v>
      </c>
      <c r="S63" s="14"/>
      <c r="T63" s="14"/>
      <c r="U63" s="14"/>
      <c r="V63" s="33"/>
    </row>
    <row r="64" spans="1:45" x14ac:dyDescent="0.25">
      <c r="A64" s="12"/>
      <c r="B64" s="12" t="s">
        <v>72</v>
      </c>
      <c r="C64" s="12"/>
      <c r="D64" s="18">
        <f>D62-D63</f>
        <v>-1052583.3333333333</v>
      </c>
      <c r="E64" s="18">
        <f t="shared" ref="E64:M64" si="35">E62-E63</f>
        <v>-451810.83333333337</v>
      </c>
      <c r="F64" s="18">
        <f t="shared" si="35"/>
        <v>279277.56504999986</v>
      </c>
      <c r="G64" s="18">
        <f t="shared" si="35"/>
        <v>1088295.2986015</v>
      </c>
      <c r="H64" s="66">
        <f>H62-H63</f>
        <v>2160133.1480035447</v>
      </c>
      <c r="I64" s="18">
        <f t="shared" si="35"/>
        <v>3574231.2953096512</v>
      </c>
      <c r="J64" s="18">
        <f t="shared" si="35"/>
        <v>5312879.6769187106</v>
      </c>
      <c r="K64" s="18">
        <f t="shared" si="35"/>
        <v>7752373.4389891159</v>
      </c>
      <c r="L64" s="18">
        <f t="shared" si="35"/>
        <v>10946315.045318913</v>
      </c>
      <c r="M64" s="18">
        <f t="shared" si="35"/>
        <v>15121707.033906531</v>
      </c>
      <c r="N64" s="18"/>
      <c r="Q64" s="62" t="s">
        <v>73</v>
      </c>
      <c r="R64" s="63">
        <v>2.6100000000000002E-2</v>
      </c>
      <c r="S64" s="64"/>
      <c r="T64" s="64"/>
      <c r="U64" s="64"/>
      <c r="V64" s="65"/>
    </row>
    <row r="65" spans="1:22" x14ac:dyDescent="0.25">
      <c r="A65" s="12"/>
      <c r="B65" s="12"/>
      <c r="C65" s="12"/>
      <c r="D65" s="18"/>
      <c r="E65" s="18"/>
      <c r="F65" s="18"/>
      <c r="G65" s="18"/>
      <c r="H65" s="66"/>
      <c r="I65" s="18"/>
      <c r="J65" s="18"/>
      <c r="K65" s="18"/>
      <c r="L65" s="18"/>
      <c r="M65" s="18"/>
      <c r="N65" s="18"/>
      <c r="Q65" s="62" t="s">
        <v>74</v>
      </c>
      <c r="R65" s="63">
        <v>0.1014</v>
      </c>
      <c r="S65" s="64"/>
      <c r="T65" s="64"/>
      <c r="U65" s="64"/>
      <c r="V65" s="65"/>
    </row>
    <row r="66" spans="1:22" x14ac:dyDescent="0.25">
      <c r="A66" s="12" t="s">
        <v>75</v>
      </c>
      <c r="B66" s="12"/>
      <c r="C66" s="12"/>
      <c r="D66" s="18"/>
      <c r="E66" s="18"/>
      <c r="F66" s="18"/>
      <c r="G66" s="18"/>
      <c r="H66" s="66"/>
      <c r="I66" s="18"/>
      <c r="J66" s="18"/>
      <c r="K66" s="18"/>
      <c r="L66" s="18"/>
      <c r="M66" s="18"/>
      <c r="N66" s="18"/>
      <c r="Q66" s="62"/>
      <c r="R66" s="64"/>
      <c r="S66" s="64"/>
      <c r="T66" s="64"/>
      <c r="U66" s="64"/>
      <c r="V66" s="65"/>
    </row>
    <row r="67" spans="1:22" x14ac:dyDescent="0.25">
      <c r="A67" s="12" t="s">
        <v>76</v>
      </c>
      <c r="B67" s="12" t="s">
        <v>77</v>
      </c>
      <c r="C67" s="12"/>
      <c r="D67" s="18">
        <f>-(D30-C30)</f>
        <v>-75000</v>
      </c>
      <c r="E67" s="18">
        <f t="shared" ref="E67:M67" si="36">-(E30-D30)</f>
        <v>0</v>
      </c>
      <c r="F67" s="18">
        <f t="shared" si="36"/>
        <v>0</v>
      </c>
      <c r="G67" s="18">
        <f t="shared" si="36"/>
        <v>0</v>
      </c>
      <c r="H67" s="66">
        <f t="shared" si="36"/>
        <v>0</v>
      </c>
      <c r="I67" s="18">
        <f t="shared" si="36"/>
        <v>0</v>
      </c>
      <c r="J67" s="18">
        <f t="shared" si="36"/>
        <v>0</v>
      </c>
      <c r="K67" s="18">
        <f t="shared" si="36"/>
        <v>0</v>
      </c>
      <c r="L67" s="18">
        <f t="shared" si="36"/>
        <v>0</v>
      </c>
      <c r="M67" s="18">
        <f t="shared" si="36"/>
        <v>0</v>
      </c>
      <c r="N67" s="18">
        <f>-(N30-M30)</f>
        <v>75000</v>
      </c>
      <c r="Q67" s="62" t="s">
        <v>78</v>
      </c>
      <c r="R67" s="11">
        <f>R64+R61*(R65-R64)</f>
        <v>0.10396313268837941</v>
      </c>
      <c r="S67" s="64"/>
      <c r="T67" s="64"/>
      <c r="U67" s="64"/>
      <c r="V67" s="65"/>
    </row>
    <row r="68" spans="1:22" x14ac:dyDescent="0.25">
      <c r="A68" s="12" t="s">
        <v>76</v>
      </c>
      <c r="B68" s="12" t="s">
        <v>33</v>
      </c>
      <c r="C68" s="12"/>
      <c r="D68" s="18">
        <f>-(D32-C32)</f>
        <v>-2500000</v>
      </c>
      <c r="E68" s="18">
        <f t="shared" ref="E68:N69" si="37">-(E32-D32)</f>
        <v>-750000</v>
      </c>
      <c r="F68" s="18">
        <f t="shared" si="37"/>
        <v>-975000</v>
      </c>
      <c r="G68" s="18">
        <f t="shared" si="37"/>
        <v>-1267500</v>
      </c>
      <c r="H68" s="66">
        <f t="shared" si="37"/>
        <v>-1647750</v>
      </c>
      <c r="I68" s="18">
        <f t="shared" si="37"/>
        <v>-2142075</v>
      </c>
      <c r="J68" s="18">
        <f t="shared" si="37"/>
        <v>-2784697.5</v>
      </c>
      <c r="K68" s="18">
        <f t="shared" si="37"/>
        <v>-3620106.7499999981</v>
      </c>
      <c r="L68" s="18">
        <f t="shared" si="37"/>
        <v>-4706138.7750000041</v>
      </c>
      <c r="M68" s="18">
        <f t="shared" si="37"/>
        <v>-6117980.4075000063</v>
      </c>
      <c r="N68" s="18">
        <f t="shared" si="37"/>
        <v>26511248.432500008</v>
      </c>
      <c r="Q68" s="62"/>
      <c r="R68" s="64"/>
      <c r="S68" s="64"/>
      <c r="T68" s="64"/>
      <c r="U68" s="64"/>
      <c r="V68" s="65"/>
    </row>
    <row r="69" spans="1:22" x14ac:dyDescent="0.25">
      <c r="A69" s="12" t="s">
        <v>76</v>
      </c>
      <c r="B69" s="12" t="s">
        <v>79</v>
      </c>
      <c r="C69" s="12"/>
      <c r="D69" s="18">
        <f>-(D33-C33)</f>
        <v>-2400000</v>
      </c>
      <c r="E69" s="18">
        <f t="shared" si="37"/>
        <v>-720000</v>
      </c>
      <c r="F69" s="18">
        <f t="shared" si="37"/>
        <v>-935999.99999999953</v>
      </c>
      <c r="G69" s="18">
        <f t="shared" si="37"/>
        <v>-1216800.0000000005</v>
      </c>
      <c r="H69" s="66">
        <f t="shared" si="37"/>
        <v>-1581840</v>
      </c>
      <c r="I69" s="18">
        <f t="shared" si="37"/>
        <v>-2056391.9999999981</v>
      </c>
      <c r="J69" s="18">
        <f t="shared" si="37"/>
        <v>-2673309.6000000015</v>
      </c>
      <c r="K69" s="18">
        <f t="shared" si="37"/>
        <v>-3475302.4800000004</v>
      </c>
      <c r="L69" s="18">
        <f t="shared" si="37"/>
        <v>-4517893.2239999976</v>
      </c>
      <c r="M69" s="18">
        <f t="shared" si="37"/>
        <v>-5873261.1912000068</v>
      </c>
      <c r="N69" s="18">
        <f t="shared" si="37"/>
        <v>25450798.495200004</v>
      </c>
      <c r="Q69" s="62" t="s">
        <v>80</v>
      </c>
      <c r="R69" s="64" t="s">
        <v>56</v>
      </c>
      <c r="S69" s="64" t="s">
        <v>81</v>
      </c>
      <c r="T69" s="64" t="s">
        <v>82</v>
      </c>
      <c r="U69" s="64" t="s">
        <v>83</v>
      </c>
      <c r="V69" s="65"/>
    </row>
    <row r="70" spans="1:22" x14ac:dyDescent="0.25">
      <c r="A70" s="12"/>
      <c r="B70" s="12"/>
      <c r="C70" s="12"/>
      <c r="D70" s="18"/>
      <c r="E70" s="18"/>
      <c r="F70" s="18"/>
      <c r="G70" s="18"/>
      <c r="H70" s="66"/>
      <c r="I70" s="18"/>
      <c r="J70" s="18"/>
      <c r="K70" s="18"/>
      <c r="L70" s="18"/>
      <c r="M70" s="18"/>
      <c r="N70" s="18"/>
      <c r="Q70" s="68">
        <f>AVERAGE(D47:M47)</f>
        <v>4742785.7115587797</v>
      </c>
      <c r="R70" s="69">
        <f>Q70/Q79</f>
        <v>0.20616741306065917</v>
      </c>
      <c r="S70" s="69">
        <v>0.08</v>
      </c>
      <c r="T70" s="69">
        <f>S70*(1-R63)</f>
        <v>5.808E-2</v>
      </c>
      <c r="U70" s="70">
        <f>R70*T70</f>
        <v>1.1974203350563085E-2</v>
      </c>
      <c r="V70" s="65"/>
    </row>
    <row r="71" spans="1:22" x14ac:dyDescent="0.25">
      <c r="A71" s="12" t="s">
        <v>84</v>
      </c>
      <c r="B71" s="12" t="s">
        <v>85</v>
      </c>
      <c r="C71" s="12"/>
      <c r="D71" s="18">
        <f>(D43-C43)</f>
        <v>1900000</v>
      </c>
      <c r="E71" s="18">
        <f t="shared" ref="E71:N71" si="38">(E43-D43)</f>
        <v>570000</v>
      </c>
      <c r="F71" s="18">
        <f t="shared" si="38"/>
        <v>741000</v>
      </c>
      <c r="G71" s="18">
        <f t="shared" si="38"/>
        <v>963300.00000000047</v>
      </c>
      <c r="H71" s="66">
        <f t="shared" si="38"/>
        <v>1252289.9999999995</v>
      </c>
      <c r="I71" s="18">
        <f t="shared" si="38"/>
        <v>1627977</v>
      </c>
      <c r="J71" s="18">
        <f t="shared" si="38"/>
        <v>2116370.0999999996</v>
      </c>
      <c r="K71" s="18">
        <f t="shared" si="38"/>
        <v>2751281.1300000008</v>
      </c>
      <c r="L71" s="18">
        <f t="shared" si="38"/>
        <v>3576665.4690000005</v>
      </c>
      <c r="M71" s="18">
        <f t="shared" si="38"/>
        <v>4649665.1097000018</v>
      </c>
      <c r="N71" s="18">
        <f t="shared" si="38"/>
        <v>-20148548.808700003</v>
      </c>
      <c r="Q71" s="68"/>
      <c r="R71" s="69"/>
      <c r="S71" s="69"/>
      <c r="T71" s="69"/>
      <c r="U71" s="69"/>
      <c r="V71" s="65"/>
    </row>
    <row r="72" spans="1:22" x14ac:dyDescent="0.25">
      <c r="A72" s="12" t="s">
        <v>84</v>
      </c>
      <c r="B72" s="12" t="s">
        <v>86</v>
      </c>
      <c r="C72" s="12"/>
      <c r="D72" s="18">
        <f>E63-D63</f>
        <v>0</v>
      </c>
      <c r="E72" s="18">
        <f t="shared" ref="E72:N72" si="39">F63-E63</f>
        <v>105402.27661666661</v>
      </c>
      <c r="F72" s="18">
        <f t="shared" si="39"/>
        <v>305331.76169850014</v>
      </c>
      <c r="G72" s="18">
        <f t="shared" si="39"/>
        <v>404522.82470545487</v>
      </c>
      <c r="H72" s="66">
        <f t="shared" si="39"/>
        <v>533695.44402461883</v>
      </c>
      <c r="I72" s="18">
        <f t="shared" si="39"/>
        <v>656184.09994611912</v>
      </c>
      <c r="J72" s="18">
        <f t="shared" si="39"/>
        <v>920690.48320563487</v>
      </c>
      <c r="K72" s="18">
        <f t="shared" si="39"/>
        <v>1205426.9974302538</v>
      </c>
      <c r="L72" s="18">
        <f t="shared" si="39"/>
        <v>1575836.6458305889</v>
      </c>
      <c r="M72" s="18">
        <f t="shared" si="39"/>
        <v>-5707090.5334578371</v>
      </c>
      <c r="N72" s="18">
        <f t="shared" si="39"/>
        <v>0</v>
      </c>
      <c r="Q72" s="68"/>
      <c r="R72" s="69"/>
      <c r="S72" s="69"/>
      <c r="T72" s="69"/>
      <c r="U72" s="69"/>
      <c r="V72" s="65"/>
    </row>
    <row r="73" spans="1:22" x14ac:dyDescent="0.25">
      <c r="A73" s="12"/>
      <c r="B73" s="12"/>
      <c r="C73" s="12"/>
      <c r="D73" s="18"/>
      <c r="E73" s="18"/>
      <c r="F73" s="18"/>
      <c r="G73" s="18"/>
      <c r="H73" s="66"/>
      <c r="I73" s="18"/>
      <c r="J73" s="18"/>
      <c r="K73" s="18"/>
      <c r="L73" s="18"/>
      <c r="M73" s="18"/>
      <c r="N73" s="18"/>
      <c r="Q73" s="68"/>
      <c r="R73" s="69"/>
      <c r="S73" s="69"/>
      <c r="T73" s="69"/>
      <c r="U73" s="69"/>
      <c r="V73" s="65"/>
    </row>
    <row r="74" spans="1:22" x14ac:dyDescent="0.25">
      <c r="A74" s="12"/>
      <c r="B74" s="12" t="s">
        <v>137</v>
      </c>
      <c r="C74" s="12"/>
      <c r="D74" s="18">
        <v>-3000000</v>
      </c>
      <c r="E74" s="18"/>
      <c r="F74" s="18"/>
      <c r="G74" s="18"/>
      <c r="H74" s="66"/>
      <c r="I74" s="18"/>
      <c r="J74" s="18"/>
      <c r="K74" s="18"/>
      <c r="L74" s="18"/>
      <c r="M74" s="18"/>
      <c r="N74" s="18"/>
      <c r="Q74" s="68"/>
      <c r="R74" s="69"/>
      <c r="S74" s="69"/>
      <c r="T74" s="69"/>
      <c r="U74" s="69"/>
      <c r="V74" s="65"/>
    </row>
    <row r="75" spans="1:22" x14ac:dyDescent="0.25">
      <c r="A75" s="12"/>
      <c r="B75" s="12"/>
      <c r="C75" s="12"/>
      <c r="D75" s="18"/>
      <c r="E75" s="18"/>
      <c r="F75" s="18"/>
      <c r="G75" s="18"/>
      <c r="H75" s="66"/>
      <c r="I75" s="18"/>
      <c r="J75" s="18"/>
      <c r="K75" s="18"/>
      <c r="L75" s="18"/>
      <c r="M75" s="18"/>
      <c r="N75" s="18"/>
      <c r="Q75" s="68"/>
      <c r="R75" s="69"/>
      <c r="S75" s="69"/>
      <c r="T75" s="69"/>
      <c r="U75" s="69"/>
      <c r="V75" s="65"/>
    </row>
    <row r="76" spans="1:22" x14ac:dyDescent="0.25">
      <c r="A76" s="12"/>
      <c r="B76" s="12"/>
      <c r="C76" s="12"/>
      <c r="D76" s="18"/>
      <c r="E76" s="18"/>
      <c r="F76" s="18"/>
      <c r="G76" s="18"/>
      <c r="H76" s="66"/>
      <c r="I76" s="18"/>
      <c r="J76" s="18"/>
      <c r="K76" s="18"/>
      <c r="L76" s="18"/>
      <c r="M76" s="18"/>
      <c r="N76" s="18"/>
      <c r="Q76" s="68"/>
      <c r="R76" s="69"/>
      <c r="S76" s="69"/>
      <c r="T76" s="69"/>
      <c r="U76" s="69"/>
      <c r="V76" s="65"/>
    </row>
    <row r="77" spans="1:22" x14ac:dyDescent="0.25">
      <c r="A77" s="12"/>
      <c r="B77" s="12"/>
      <c r="C77" s="12"/>
      <c r="D77" s="18"/>
      <c r="E77" s="18"/>
      <c r="F77" s="18"/>
      <c r="G77" s="18"/>
      <c r="H77" s="66"/>
      <c r="I77" s="18"/>
      <c r="J77" s="18"/>
      <c r="K77" s="18"/>
      <c r="L77" s="18"/>
      <c r="M77" s="18"/>
      <c r="N77" s="18"/>
      <c r="Q77" s="68">
        <f>AVERAGE(D51:M51)</f>
        <v>18261750.46197968</v>
      </c>
      <c r="R77" s="69">
        <f>SUM(Q77:Q78)/Q79</f>
        <v>0.79383258693934078</v>
      </c>
      <c r="S77" s="69">
        <f>R67</f>
        <v>0.10396313268837941</v>
      </c>
      <c r="T77" s="69">
        <f>S77</f>
        <v>0.10396313268837941</v>
      </c>
      <c r="U77" s="69">
        <f>R77*T77</f>
        <v>8.2529322568334174E-2</v>
      </c>
      <c r="V77" s="65"/>
    </row>
    <row r="78" spans="1:22" x14ac:dyDescent="0.25">
      <c r="A78" s="56" t="s">
        <v>87</v>
      </c>
      <c r="B78" s="12"/>
      <c r="C78" s="12"/>
      <c r="D78" s="18">
        <f>SUM(D64:D75)</f>
        <v>-7127583.333333333</v>
      </c>
      <c r="E78" s="18">
        <f t="shared" ref="E78:N78" si="40">SUM(E64:E75)</f>
        <v>-1246408.5567166668</v>
      </c>
      <c r="F78" s="18">
        <f t="shared" si="40"/>
        <v>-585390.67325149954</v>
      </c>
      <c r="G78" s="18">
        <f t="shared" si="40"/>
        <v>-28181.876693045138</v>
      </c>
      <c r="H78" s="66">
        <f t="shared" si="40"/>
        <v>716528.59202816302</v>
      </c>
      <c r="I78" s="18">
        <f t="shared" si="40"/>
        <v>1659925.3952557722</v>
      </c>
      <c r="J78" s="18">
        <f t="shared" si="40"/>
        <v>2891933.1601243438</v>
      </c>
      <c r="K78" s="18">
        <f t="shared" si="40"/>
        <v>4613672.3364193719</v>
      </c>
      <c r="L78" s="18">
        <f t="shared" si="40"/>
        <v>6874785.1611494999</v>
      </c>
      <c r="M78" s="18">
        <f t="shared" si="40"/>
        <v>2073040.0114486823</v>
      </c>
      <c r="N78" s="18">
        <f t="shared" si="40"/>
        <v>31888498.11900001</v>
      </c>
      <c r="Q78" s="68"/>
      <c r="R78" s="69"/>
      <c r="S78" s="69"/>
      <c r="T78" s="69"/>
      <c r="U78" s="69"/>
      <c r="V78" s="65"/>
    </row>
    <row r="79" spans="1:22" x14ac:dyDescent="0.25">
      <c r="A79" s="56" t="s">
        <v>88</v>
      </c>
      <c r="B79" s="12"/>
      <c r="C79" s="12"/>
      <c r="D79" s="71">
        <f>IRR(D78:M78)</f>
        <v>0.11508788902102718</v>
      </c>
      <c r="E79" s="18"/>
      <c r="F79" s="18"/>
      <c r="G79" s="18"/>
      <c r="H79" s="66"/>
      <c r="I79" s="18"/>
      <c r="J79" s="18"/>
      <c r="K79" s="18"/>
      <c r="L79" s="18"/>
      <c r="M79" s="18"/>
      <c r="N79" s="18"/>
      <c r="Q79" s="72">
        <f>SUM(Q70:Q78)</f>
        <v>23004536.173538461</v>
      </c>
      <c r="R79" s="73">
        <f>SUM(R70:R78)</f>
        <v>1</v>
      </c>
      <c r="S79" s="73"/>
      <c r="T79" s="73"/>
      <c r="U79" s="74">
        <f>SUM(U70:U78)</f>
        <v>9.4503525918897255E-2</v>
      </c>
      <c r="V79" s="75" t="s">
        <v>89</v>
      </c>
    </row>
    <row r="80" spans="1:22" x14ac:dyDescent="0.25">
      <c r="A80" s="56"/>
      <c r="B80" s="12"/>
      <c r="C80" s="12"/>
      <c r="D80" s="18"/>
      <c r="E80" s="18"/>
      <c r="F80" s="18"/>
      <c r="G80" s="18"/>
      <c r="H80" s="66"/>
      <c r="I80" s="18"/>
      <c r="J80" s="18"/>
      <c r="K80" s="18"/>
      <c r="L80" s="18"/>
      <c r="M80" s="18"/>
      <c r="N80" s="18"/>
    </row>
    <row r="81" spans="1:14" x14ac:dyDescent="0.25">
      <c r="A81" s="56" t="s">
        <v>90</v>
      </c>
      <c r="B81" s="12"/>
      <c r="C81" s="12"/>
      <c r="D81" s="18"/>
      <c r="E81" s="18"/>
      <c r="F81" s="71">
        <f>U79</f>
        <v>9.4503525918897255E-2</v>
      </c>
      <c r="G81" s="18"/>
      <c r="H81" s="66"/>
      <c r="I81" s="18"/>
      <c r="J81" s="18"/>
      <c r="K81" s="18"/>
      <c r="L81" s="18"/>
      <c r="M81" s="18"/>
      <c r="N81" s="18"/>
    </row>
    <row r="82" spans="1:14" x14ac:dyDescent="0.25">
      <c r="A82" s="56" t="s">
        <v>91</v>
      </c>
      <c r="B82" s="12"/>
      <c r="C82" s="12"/>
      <c r="D82" s="18"/>
      <c r="E82" s="18"/>
      <c r="F82" s="18">
        <f>NPV(F81,E78:N78)</f>
        <v>21225379.718429592</v>
      </c>
      <c r="G82" s="18"/>
      <c r="H82" s="66"/>
      <c r="I82" s="18"/>
      <c r="J82" s="18"/>
      <c r="K82" s="18"/>
      <c r="L82" s="18"/>
      <c r="M82" s="18"/>
      <c r="N82" s="18"/>
    </row>
    <row r="86" spans="1:14" x14ac:dyDescent="0.25">
      <c r="A86" s="76" t="s">
        <v>92</v>
      </c>
      <c r="B86" s="30"/>
      <c r="C86" s="77"/>
      <c r="D86" s="77"/>
      <c r="E86" s="77"/>
      <c r="F86" s="77"/>
      <c r="G86" s="77"/>
      <c r="H86" s="78"/>
      <c r="I86" s="30"/>
      <c r="J86" s="31"/>
    </row>
    <row r="87" spans="1:14" x14ac:dyDescent="0.25">
      <c r="A87" s="34"/>
      <c r="B87" s="14"/>
      <c r="C87" s="14"/>
      <c r="D87" s="14"/>
      <c r="E87" s="14"/>
      <c r="F87" s="14"/>
      <c r="G87" s="14"/>
      <c r="H87" s="20"/>
      <c r="I87" s="14"/>
      <c r="J87" s="33"/>
    </row>
    <row r="88" spans="1:14" x14ac:dyDescent="0.25">
      <c r="A88" s="34" t="s">
        <v>93</v>
      </c>
      <c r="B88" s="14"/>
      <c r="C88" s="14"/>
      <c r="D88" s="14"/>
      <c r="E88" s="14"/>
      <c r="F88" s="14"/>
      <c r="G88" s="14"/>
      <c r="H88" s="20"/>
      <c r="J88" s="33" t="s">
        <v>94</v>
      </c>
    </row>
    <row r="89" spans="1:14" x14ac:dyDescent="0.25">
      <c r="A89" s="34"/>
      <c r="B89" s="14" t="s">
        <v>95</v>
      </c>
      <c r="C89" s="25">
        <f>C46-D46</f>
        <v>-5939051.4102422977</v>
      </c>
      <c r="D89" s="25">
        <f t="shared" ref="D89:G89" si="41">D46-E46</f>
        <v>65354.568239360116</v>
      </c>
      <c r="E89" s="25">
        <f t="shared" si="41"/>
        <v>70079.055261706933</v>
      </c>
      <c r="F89" s="25">
        <f t="shared" si="41"/>
        <v>75145.075832903385</v>
      </c>
      <c r="G89" s="25">
        <f t="shared" si="41"/>
        <v>80577.319440813735</v>
      </c>
      <c r="H89" s="26"/>
      <c r="I89" s="25"/>
      <c r="J89" s="33"/>
    </row>
    <row r="90" spans="1:14" x14ac:dyDescent="0.25">
      <c r="A90" s="34"/>
      <c r="B90" s="14" t="s">
        <v>96</v>
      </c>
      <c r="C90" s="69"/>
      <c r="D90" s="14"/>
      <c r="E90" s="14"/>
      <c r="F90" s="14"/>
      <c r="G90" s="14"/>
      <c r="H90" s="22">
        <f>T53</f>
        <v>5796730.6915025581</v>
      </c>
      <c r="J90" s="33"/>
    </row>
    <row r="91" spans="1:14" x14ac:dyDescent="0.25">
      <c r="A91" s="34"/>
      <c r="B91" s="14" t="s">
        <v>97</v>
      </c>
      <c r="C91" s="69"/>
      <c r="D91" s="21">
        <f>D21</f>
        <v>418069.20677131001</v>
      </c>
      <c r="E91" s="21">
        <f t="shared" ref="E91:H91" si="42">E21</f>
        <v>413663.22828965215</v>
      </c>
      <c r="F91" s="21">
        <f t="shared" si="42"/>
        <v>408938.7412673044</v>
      </c>
      <c r="G91" s="21">
        <f t="shared" si="42"/>
        <v>403872.72069610702</v>
      </c>
      <c r="H91" s="22">
        <f t="shared" si="42"/>
        <v>398440.47708819853</v>
      </c>
      <c r="J91" s="33"/>
    </row>
    <row r="92" spans="1:14" x14ac:dyDescent="0.25">
      <c r="A92" s="34" t="s">
        <v>98</v>
      </c>
      <c r="B92" s="14"/>
      <c r="C92" s="21">
        <f>SUM(C89:C91)</f>
        <v>-5939051.4102422977</v>
      </c>
      <c r="D92" s="21">
        <f t="shared" ref="D92:H92" si="43">SUM(D89:D91)</f>
        <v>483423.77501067013</v>
      </c>
      <c r="E92" s="21">
        <f t="shared" si="43"/>
        <v>483742.28355135908</v>
      </c>
      <c r="F92" s="21">
        <f t="shared" si="43"/>
        <v>484083.81710020779</v>
      </c>
      <c r="G92" s="21">
        <f t="shared" si="43"/>
        <v>484450.04013692075</v>
      </c>
      <c r="H92" s="22">
        <f t="shared" si="43"/>
        <v>6195171.1685907561</v>
      </c>
      <c r="J92" s="33"/>
    </row>
    <row r="93" spans="1:14" x14ac:dyDescent="0.25">
      <c r="A93" s="34"/>
      <c r="B93" s="14" t="s">
        <v>99</v>
      </c>
      <c r="C93" s="79">
        <f>IRR(C92:H92)</f>
        <v>7.4872135687410246E-2</v>
      </c>
      <c r="D93" s="80"/>
      <c r="E93" s="14"/>
      <c r="F93" s="14"/>
      <c r="G93" s="14"/>
      <c r="H93" s="20"/>
      <c r="J93" s="81">
        <v>0.1</v>
      </c>
    </row>
    <row r="94" spans="1:14" x14ac:dyDescent="0.25">
      <c r="A94" s="34"/>
      <c r="B94" s="14" t="s">
        <v>100</v>
      </c>
      <c r="C94" s="79">
        <f>N21</f>
        <v>7.0000000000000007E-2</v>
      </c>
      <c r="D94" s="80"/>
      <c r="E94" s="14"/>
      <c r="F94" s="14"/>
      <c r="G94" s="14"/>
      <c r="H94" s="20"/>
      <c r="J94" s="81">
        <v>0.9</v>
      </c>
    </row>
    <row r="95" spans="1:14" x14ac:dyDescent="0.25">
      <c r="A95" s="34" t="s">
        <v>101</v>
      </c>
      <c r="B95" s="14"/>
      <c r="C95" s="69">
        <f>J93*C93+J94*C94</f>
        <v>7.0487213568741033E-2</v>
      </c>
      <c r="D95" s="14"/>
      <c r="E95" s="14"/>
      <c r="F95" s="14"/>
      <c r="G95" s="14"/>
      <c r="H95" s="20"/>
      <c r="J95" s="33"/>
    </row>
    <row r="96" spans="1:14" x14ac:dyDescent="0.25">
      <c r="A96" s="34"/>
      <c r="B96" s="14"/>
      <c r="C96" s="69"/>
      <c r="D96" s="14"/>
      <c r="E96" s="14"/>
      <c r="F96" s="14"/>
      <c r="G96" s="14"/>
      <c r="H96" s="20"/>
      <c r="J96" s="33"/>
    </row>
    <row r="97" spans="1:10" x14ac:dyDescent="0.25">
      <c r="A97" s="34" t="s">
        <v>102</v>
      </c>
      <c r="B97" s="14"/>
      <c r="C97" s="14"/>
      <c r="D97" s="14"/>
      <c r="E97" s="14"/>
      <c r="F97" s="14"/>
      <c r="G97" s="14"/>
      <c r="H97" s="20"/>
      <c r="J97" s="33"/>
    </row>
    <row r="98" spans="1:10" x14ac:dyDescent="0.25">
      <c r="A98" s="34"/>
      <c r="B98" s="14" t="s">
        <v>95</v>
      </c>
      <c r="C98" s="21">
        <f>C47-D47</f>
        <v>0</v>
      </c>
      <c r="D98" s="21">
        <f t="shared" ref="D98:G98" si="44">D47-E47</f>
        <v>0</v>
      </c>
      <c r="E98" s="21">
        <f t="shared" si="44"/>
        <v>0</v>
      </c>
      <c r="F98" s="21">
        <f t="shared" si="44"/>
        <v>0</v>
      </c>
      <c r="G98" s="21">
        <f t="shared" si="44"/>
        <v>-1252344.88373648</v>
      </c>
      <c r="H98" s="22"/>
      <c r="J98" s="33"/>
    </row>
    <row r="99" spans="1:10" x14ac:dyDescent="0.25">
      <c r="A99" s="34"/>
      <c r="B99" s="14" t="s">
        <v>96</v>
      </c>
      <c r="C99" s="14"/>
      <c r="D99" s="14"/>
      <c r="E99" s="14"/>
      <c r="F99" s="14"/>
      <c r="G99" s="14"/>
      <c r="H99" s="22">
        <f>T54</f>
        <v>1339124.3084974419</v>
      </c>
      <c r="J99" s="33"/>
    </row>
    <row r="100" spans="1:10" x14ac:dyDescent="0.25">
      <c r="A100" s="34"/>
      <c r="B100" s="14" t="s">
        <v>97</v>
      </c>
      <c r="C100" s="21">
        <f>D22</f>
        <v>0</v>
      </c>
      <c r="D100" s="21">
        <f t="shared" ref="D100:H100" si="45">E22</f>
        <v>0</v>
      </c>
      <c r="E100" s="21">
        <f t="shared" si="45"/>
        <v>0</v>
      </c>
      <c r="F100" s="21">
        <f t="shared" si="45"/>
        <v>0</v>
      </c>
      <c r="G100" s="21">
        <f t="shared" si="45"/>
        <v>100187.5906989184</v>
      </c>
      <c r="H100" s="22">
        <f t="shared" si="45"/>
        <v>277032.84735454462</v>
      </c>
      <c r="J100" s="33"/>
    </row>
    <row r="101" spans="1:10" x14ac:dyDescent="0.25">
      <c r="A101" s="34" t="s">
        <v>98</v>
      </c>
      <c r="B101" s="14"/>
      <c r="C101" s="21">
        <f>SUM(C98:C100)</f>
        <v>0</v>
      </c>
      <c r="D101" s="21">
        <f t="shared" ref="D101:H101" si="46">SUM(D98:D100)</f>
        <v>0</v>
      </c>
      <c r="E101" s="21">
        <f t="shared" si="46"/>
        <v>0</v>
      </c>
      <c r="F101" s="21">
        <f t="shared" si="46"/>
        <v>0</v>
      </c>
      <c r="G101" s="21">
        <f t="shared" si="46"/>
        <v>-1152157.2930375617</v>
      </c>
      <c r="H101" s="22">
        <f t="shared" si="46"/>
        <v>1616157.1558519865</v>
      </c>
      <c r="J101" s="33"/>
    </row>
    <row r="102" spans="1:10" x14ac:dyDescent="0.25">
      <c r="A102" s="34"/>
      <c r="B102" s="14" t="s">
        <v>99</v>
      </c>
      <c r="C102" s="82">
        <f>IRR(C101:H101, -50%)</f>
        <v>0.40272267130395867</v>
      </c>
      <c r="D102" s="14"/>
      <c r="E102" s="14"/>
      <c r="F102" s="14"/>
      <c r="G102" s="14"/>
      <c r="H102" s="20"/>
      <c r="J102" s="81">
        <f>J93</f>
        <v>0.1</v>
      </c>
    </row>
    <row r="103" spans="1:10" x14ac:dyDescent="0.25">
      <c r="A103" s="34"/>
      <c r="B103" s="14" t="s">
        <v>100</v>
      </c>
      <c r="C103" s="80">
        <f>N22</f>
        <v>0.1</v>
      </c>
      <c r="D103" s="14"/>
      <c r="E103" s="14"/>
      <c r="F103" s="14"/>
      <c r="G103" s="14"/>
      <c r="H103" s="20"/>
      <c r="J103" s="81">
        <f>J94</f>
        <v>0.9</v>
      </c>
    </row>
    <row r="104" spans="1:10" x14ac:dyDescent="0.25">
      <c r="A104" s="50" t="s">
        <v>101</v>
      </c>
      <c r="B104" s="83"/>
      <c r="C104" s="73">
        <f>J102*C102+J103*C103</f>
        <v>0.13027226713039589</v>
      </c>
      <c r="D104" s="83"/>
      <c r="E104" s="83"/>
      <c r="F104" s="83"/>
      <c r="G104" s="83"/>
      <c r="H104" s="84"/>
      <c r="I104" s="83"/>
      <c r="J104" s="8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workbookViewId="0">
      <selection activeCell="I16" sqref="I16"/>
    </sheetView>
  </sheetViews>
  <sheetFormatPr defaultColWidth="11.5703125" defaultRowHeight="15" x14ac:dyDescent="0.25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</cols>
  <sheetData>
    <row r="1" spans="1:9" x14ac:dyDescent="0.25">
      <c r="A1">
        <v>2015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</row>
    <row r="2" spans="1:9" x14ac:dyDescent="0.25">
      <c r="A2" s="87" t="s">
        <v>108</v>
      </c>
      <c r="B2" s="88">
        <v>6000000</v>
      </c>
      <c r="C2" s="88">
        <f>-$I$9</f>
        <v>39918.149710750993</v>
      </c>
      <c r="D2" s="88">
        <f>$I$3*B2</f>
        <v>35000</v>
      </c>
      <c r="E2" s="88">
        <f>C2-D2</f>
        <v>4918.1497107509931</v>
      </c>
      <c r="F2" s="88">
        <f>B2-E2</f>
        <v>5995081.8502892489</v>
      </c>
      <c r="H2" t="s">
        <v>109</v>
      </c>
      <c r="I2">
        <v>7.0000000000000007E-2</v>
      </c>
    </row>
    <row r="3" spans="1:9" x14ac:dyDescent="0.25">
      <c r="A3" s="87" t="s">
        <v>110</v>
      </c>
      <c r="B3" s="88">
        <f>B2-E2</f>
        <v>5995081.8502892489</v>
      </c>
      <c r="C3" s="88">
        <f t="shared" ref="C3:C13" si="0">-$I$9</f>
        <v>39918.149710750993</v>
      </c>
      <c r="D3" s="88">
        <f>$I$3*B3</f>
        <v>34971.31079335395</v>
      </c>
      <c r="E3" s="88">
        <f>C3-D3</f>
        <v>4946.8389173970427</v>
      </c>
      <c r="F3" s="88">
        <f t="shared" ref="F3:F13" si="1">B3-E3</f>
        <v>5990135.0113718519</v>
      </c>
      <c r="H3" t="s">
        <v>111</v>
      </c>
      <c r="I3">
        <f>I2/12</f>
        <v>5.8333333333333336E-3</v>
      </c>
    </row>
    <row r="4" spans="1:9" x14ac:dyDescent="0.25">
      <c r="A4" s="87" t="s">
        <v>112</v>
      </c>
      <c r="B4" s="88">
        <f>B3-E3</f>
        <v>5990135.0113718519</v>
      </c>
      <c r="C4" s="88">
        <f t="shared" si="0"/>
        <v>39918.149710750993</v>
      </c>
      <c r="D4" s="88">
        <f t="shared" ref="D4:D13" si="2">$I$3*B4</f>
        <v>34942.454233002471</v>
      </c>
      <c r="E4" s="88">
        <f t="shared" ref="E4:E13" si="3">C4-D4</f>
        <v>4975.6954777485225</v>
      </c>
      <c r="F4" s="88">
        <f t="shared" si="1"/>
        <v>5985159.3158941036</v>
      </c>
      <c r="H4" t="s">
        <v>113</v>
      </c>
    </row>
    <row r="5" spans="1:9" x14ac:dyDescent="0.25">
      <c r="A5" s="87" t="s">
        <v>114</v>
      </c>
      <c r="B5" s="88">
        <f t="shared" ref="B5:B13" si="4">B4-E4</f>
        <v>5985159.3158941036</v>
      </c>
      <c r="C5" s="88">
        <f t="shared" si="0"/>
        <v>39918.149710750993</v>
      </c>
      <c r="D5" s="88">
        <f t="shared" si="2"/>
        <v>34913.429342715608</v>
      </c>
      <c r="E5" s="88">
        <f t="shared" si="3"/>
        <v>5004.720368035385</v>
      </c>
      <c r="F5" s="88">
        <f t="shared" si="1"/>
        <v>5980154.5955260685</v>
      </c>
      <c r="H5" t="s">
        <v>111</v>
      </c>
      <c r="I5">
        <v>360</v>
      </c>
    </row>
    <row r="6" spans="1:9" x14ac:dyDescent="0.25">
      <c r="A6" s="87" t="s">
        <v>115</v>
      </c>
      <c r="B6" s="88">
        <f t="shared" si="4"/>
        <v>5980154.5955260685</v>
      </c>
      <c r="C6" s="88">
        <f t="shared" si="0"/>
        <v>39918.149710750993</v>
      </c>
      <c r="D6" s="88">
        <f t="shared" si="2"/>
        <v>34884.235140568737</v>
      </c>
      <c r="E6" s="88">
        <f t="shared" si="3"/>
        <v>5033.9145701822563</v>
      </c>
      <c r="F6" s="88">
        <f t="shared" si="1"/>
        <v>5975120.6809558859</v>
      </c>
      <c r="H6" t="s">
        <v>116</v>
      </c>
      <c r="I6">
        <v>0</v>
      </c>
    </row>
    <row r="7" spans="1:9" x14ac:dyDescent="0.25">
      <c r="A7" s="87" t="s">
        <v>117</v>
      </c>
      <c r="B7" s="88">
        <f t="shared" si="4"/>
        <v>5975120.6809558859</v>
      </c>
      <c r="C7" s="88">
        <f t="shared" si="0"/>
        <v>39918.149710750993</v>
      </c>
      <c r="D7" s="88">
        <f t="shared" si="2"/>
        <v>34854.870638909335</v>
      </c>
      <c r="E7" s="88">
        <f t="shared" si="3"/>
        <v>5063.2790718416582</v>
      </c>
      <c r="F7" s="88">
        <f t="shared" si="1"/>
        <v>5970057.4018840445</v>
      </c>
      <c r="H7" t="s">
        <v>118</v>
      </c>
      <c r="I7">
        <v>6000000</v>
      </c>
    </row>
    <row r="8" spans="1:9" x14ac:dyDescent="0.25">
      <c r="A8" s="87" t="s">
        <v>119</v>
      </c>
      <c r="B8" s="88">
        <f t="shared" si="4"/>
        <v>5970057.4018840445</v>
      </c>
      <c r="C8" s="88">
        <f t="shared" si="0"/>
        <v>39918.149710750993</v>
      </c>
      <c r="D8" s="88">
        <f t="shared" si="2"/>
        <v>34825.334844323595</v>
      </c>
      <c r="E8" s="88">
        <f t="shared" si="3"/>
        <v>5092.8148664273976</v>
      </c>
      <c r="F8" s="88">
        <f t="shared" si="1"/>
        <v>5964964.5870176172</v>
      </c>
    </row>
    <row r="9" spans="1:9" x14ac:dyDescent="0.25">
      <c r="A9" s="87" t="s">
        <v>120</v>
      </c>
      <c r="B9" s="88">
        <f t="shared" si="4"/>
        <v>5964964.5870176172</v>
      </c>
      <c r="C9" s="88">
        <f t="shared" si="0"/>
        <v>39918.149710750993</v>
      </c>
      <c r="D9" s="88">
        <f t="shared" si="2"/>
        <v>34795.626757602768</v>
      </c>
      <c r="E9" s="88">
        <f t="shared" si="3"/>
        <v>5122.5229531482255</v>
      </c>
      <c r="F9" s="88">
        <f t="shared" si="1"/>
        <v>5959842.0640644692</v>
      </c>
      <c r="H9" t="s">
        <v>104</v>
      </c>
      <c r="I9" s="89">
        <f>PMT(I3,I5,I7,I4,I6)</f>
        <v>-39918.149710750993</v>
      </c>
    </row>
    <row r="10" spans="1:9" x14ac:dyDescent="0.25">
      <c r="A10" s="87" t="s">
        <v>121</v>
      </c>
      <c r="B10" s="88">
        <f t="shared" si="4"/>
        <v>5959842.0640644692</v>
      </c>
      <c r="C10" s="88">
        <f t="shared" si="0"/>
        <v>39918.149710750993</v>
      </c>
      <c r="D10" s="88">
        <f t="shared" si="2"/>
        <v>34765.745373709404</v>
      </c>
      <c r="E10" s="88">
        <f t="shared" si="3"/>
        <v>5152.4043370415893</v>
      </c>
      <c r="F10" s="88">
        <f t="shared" si="1"/>
        <v>5954689.6597274272</v>
      </c>
    </row>
    <row r="11" spans="1:9" x14ac:dyDescent="0.25">
      <c r="A11" s="87" t="s">
        <v>122</v>
      </c>
      <c r="B11" s="88">
        <f t="shared" si="4"/>
        <v>5954689.6597274272</v>
      </c>
      <c r="C11" s="88">
        <f t="shared" si="0"/>
        <v>39918.149710750993</v>
      </c>
      <c r="D11" s="88">
        <f t="shared" si="2"/>
        <v>34735.68968174333</v>
      </c>
      <c r="E11" s="88">
        <f t="shared" si="3"/>
        <v>5182.4600290076633</v>
      </c>
      <c r="F11" s="88">
        <f t="shared" si="1"/>
        <v>5949507.1996984193</v>
      </c>
    </row>
    <row r="12" spans="1:9" x14ac:dyDescent="0.25">
      <c r="A12" s="87" t="s">
        <v>123</v>
      </c>
      <c r="B12" s="88">
        <f t="shared" si="4"/>
        <v>5949507.1996984193</v>
      </c>
      <c r="C12" s="88">
        <f t="shared" si="0"/>
        <v>39918.149710750993</v>
      </c>
      <c r="D12" s="88">
        <f t="shared" si="2"/>
        <v>34705.458664907448</v>
      </c>
      <c r="E12" s="88">
        <f t="shared" si="3"/>
        <v>5212.691045843545</v>
      </c>
      <c r="F12" s="88">
        <f t="shared" si="1"/>
        <v>5944294.5086525753</v>
      </c>
    </row>
    <row r="13" spans="1:9" x14ac:dyDescent="0.25">
      <c r="A13" s="87" t="s">
        <v>124</v>
      </c>
      <c r="B13" s="88">
        <f t="shared" si="4"/>
        <v>5944294.5086525753</v>
      </c>
      <c r="C13" s="88">
        <f t="shared" si="0"/>
        <v>39918.149710750993</v>
      </c>
      <c r="D13" s="88">
        <f t="shared" si="2"/>
        <v>34675.051300473358</v>
      </c>
      <c r="E13" s="88">
        <f t="shared" si="3"/>
        <v>5243.0984102776347</v>
      </c>
      <c r="F13" s="90">
        <f t="shared" si="1"/>
        <v>5939051.4102422977</v>
      </c>
    </row>
    <row r="14" spans="1:9" x14ac:dyDescent="0.25">
      <c r="A14" s="91" t="s">
        <v>125</v>
      </c>
      <c r="B14" s="91"/>
      <c r="C14" s="90">
        <f>SUM(C2:C13)</f>
        <v>479017.79652901203</v>
      </c>
      <c r="D14" s="90">
        <f t="shared" ref="D14:E14" si="5">SUM(D2:D13)</f>
        <v>418069.20677131001</v>
      </c>
      <c r="E14" s="88">
        <f t="shared" si="5"/>
        <v>60948.589757701913</v>
      </c>
      <c r="F14" s="88"/>
    </row>
    <row r="15" spans="1:9" x14ac:dyDescent="0.25">
      <c r="A15" s="87"/>
      <c r="B15" s="87"/>
      <c r="C15" s="88"/>
      <c r="D15" s="88"/>
      <c r="E15" s="88"/>
      <c r="F15" s="88"/>
    </row>
    <row r="16" spans="1:9" x14ac:dyDescent="0.25">
      <c r="A16" s="87">
        <v>2016</v>
      </c>
      <c r="B16" s="88"/>
      <c r="C16" s="88"/>
      <c r="D16" s="88"/>
      <c r="E16" s="88"/>
      <c r="F16" s="88"/>
    </row>
    <row r="17" spans="1:6" x14ac:dyDescent="0.25">
      <c r="A17" s="87" t="s">
        <v>108</v>
      </c>
      <c r="B17" s="88">
        <f>F13</f>
        <v>5939051.4102422977</v>
      </c>
      <c r="C17" s="88">
        <f>C2</f>
        <v>39918.149710750993</v>
      </c>
      <c r="D17" s="88">
        <f>$I$3*B17</f>
        <v>34644.466559746739</v>
      </c>
      <c r="E17" s="88">
        <f>C17-D17</f>
        <v>5273.6831510042539</v>
      </c>
      <c r="F17" s="88">
        <f>B17-E17</f>
        <v>5933777.7270912938</v>
      </c>
    </row>
    <row r="18" spans="1:6" x14ac:dyDescent="0.25">
      <c r="A18" s="87" t="s">
        <v>110</v>
      </c>
      <c r="B18" s="88">
        <f t="shared" ref="B18:B28" si="6">B17-E17</f>
        <v>5933777.7270912938</v>
      </c>
      <c r="C18" s="88">
        <f t="shared" ref="C18:C28" si="7">C3</f>
        <v>39918.149710750993</v>
      </c>
      <c r="D18" s="88">
        <f t="shared" ref="D18:D28" si="8">$I$3*B18</f>
        <v>34613.703408032547</v>
      </c>
      <c r="E18" s="88">
        <f t="shared" ref="E18:E28" si="9">C18-D18</f>
        <v>5304.4463027184465</v>
      </c>
      <c r="F18" s="88">
        <f t="shared" ref="F18:F28" si="10">B18-E18</f>
        <v>5928473.2807885753</v>
      </c>
    </row>
    <row r="19" spans="1:6" x14ac:dyDescent="0.25">
      <c r="A19" s="87" t="s">
        <v>112</v>
      </c>
      <c r="B19" s="88">
        <f t="shared" si="6"/>
        <v>5928473.2807885753</v>
      </c>
      <c r="C19" s="88">
        <f t="shared" si="7"/>
        <v>39918.149710750993</v>
      </c>
      <c r="D19" s="88">
        <f t="shared" si="8"/>
        <v>34582.760804600024</v>
      </c>
      <c r="E19" s="88">
        <f t="shared" si="9"/>
        <v>5335.388906150969</v>
      </c>
      <c r="F19" s="88">
        <f t="shared" si="10"/>
        <v>5923137.8918824242</v>
      </c>
    </row>
    <row r="20" spans="1:6" x14ac:dyDescent="0.25">
      <c r="A20" s="87" t="s">
        <v>114</v>
      </c>
      <c r="B20" s="88">
        <f t="shared" si="6"/>
        <v>5923137.8918824242</v>
      </c>
      <c r="C20" s="88">
        <f t="shared" si="7"/>
        <v>39918.149710750993</v>
      </c>
      <c r="D20" s="88">
        <f t="shared" si="8"/>
        <v>34551.637702647473</v>
      </c>
      <c r="E20" s="88">
        <f t="shared" si="9"/>
        <v>5366.5120081035202</v>
      </c>
      <c r="F20" s="88">
        <f t="shared" si="10"/>
        <v>5917771.3798743207</v>
      </c>
    </row>
    <row r="21" spans="1:6" x14ac:dyDescent="0.25">
      <c r="A21" s="87" t="s">
        <v>115</v>
      </c>
      <c r="B21" s="88">
        <f t="shared" si="6"/>
        <v>5917771.3798743207</v>
      </c>
      <c r="C21" s="88">
        <f t="shared" si="7"/>
        <v>39918.149710750993</v>
      </c>
      <c r="D21" s="88">
        <f t="shared" si="8"/>
        <v>34520.333049266876</v>
      </c>
      <c r="E21" s="88">
        <f t="shared" si="9"/>
        <v>5397.8166614841175</v>
      </c>
      <c r="F21" s="88">
        <f t="shared" si="10"/>
        <v>5912373.5632128362</v>
      </c>
    </row>
    <row r="22" spans="1:6" x14ac:dyDescent="0.25">
      <c r="A22" s="87" t="s">
        <v>117</v>
      </c>
      <c r="B22" s="88">
        <f t="shared" si="6"/>
        <v>5912373.5632128362</v>
      </c>
      <c r="C22" s="88">
        <f t="shared" si="7"/>
        <v>39918.149710750993</v>
      </c>
      <c r="D22" s="88">
        <f t="shared" si="8"/>
        <v>34488.845785408215</v>
      </c>
      <c r="E22" s="88">
        <f t="shared" si="9"/>
        <v>5429.3039253427778</v>
      </c>
      <c r="F22" s="88">
        <f t="shared" si="10"/>
        <v>5906944.2592874933</v>
      </c>
    </row>
    <row r="23" spans="1:6" x14ac:dyDescent="0.25">
      <c r="A23" s="87" t="s">
        <v>119</v>
      </c>
      <c r="B23" s="88">
        <f t="shared" si="6"/>
        <v>5906944.2592874933</v>
      </c>
      <c r="C23" s="88">
        <f t="shared" si="7"/>
        <v>39918.149710750993</v>
      </c>
      <c r="D23" s="88">
        <f t="shared" si="8"/>
        <v>34457.174845843714</v>
      </c>
      <c r="E23" s="88">
        <f t="shared" si="9"/>
        <v>5460.974864907279</v>
      </c>
      <c r="F23" s="88">
        <f t="shared" si="10"/>
        <v>5901483.2844225857</v>
      </c>
    </row>
    <row r="24" spans="1:6" x14ac:dyDescent="0.25">
      <c r="A24" s="87" t="s">
        <v>120</v>
      </c>
      <c r="B24" s="88">
        <f t="shared" si="6"/>
        <v>5901483.2844225857</v>
      </c>
      <c r="C24" s="88">
        <f t="shared" si="7"/>
        <v>39918.149710750993</v>
      </c>
      <c r="D24" s="88">
        <f t="shared" si="8"/>
        <v>34425.319159131752</v>
      </c>
      <c r="E24" s="88">
        <f t="shared" si="9"/>
        <v>5492.8305516192413</v>
      </c>
      <c r="F24" s="88">
        <f t="shared" si="10"/>
        <v>5895990.4538709661</v>
      </c>
    </row>
    <row r="25" spans="1:6" x14ac:dyDescent="0.25">
      <c r="A25" s="87" t="s">
        <v>121</v>
      </c>
      <c r="B25" s="88">
        <f t="shared" si="6"/>
        <v>5895990.4538709661</v>
      </c>
      <c r="C25" s="88">
        <f t="shared" si="7"/>
        <v>39918.149710750993</v>
      </c>
      <c r="D25" s="88">
        <f t="shared" si="8"/>
        <v>34393.277647580639</v>
      </c>
      <c r="E25" s="88">
        <f t="shared" si="9"/>
        <v>5524.8720631703545</v>
      </c>
      <c r="F25" s="88">
        <f t="shared" si="10"/>
        <v>5890465.5818077959</v>
      </c>
    </row>
    <row r="26" spans="1:6" x14ac:dyDescent="0.25">
      <c r="A26" s="87" t="s">
        <v>122</v>
      </c>
      <c r="B26" s="88">
        <f t="shared" si="6"/>
        <v>5890465.5818077959</v>
      </c>
      <c r="C26" s="88">
        <f t="shared" si="7"/>
        <v>39918.149710750993</v>
      </c>
      <c r="D26" s="88">
        <f t="shared" si="8"/>
        <v>34361.049227212141</v>
      </c>
      <c r="E26" s="88">
        <f t="shared" si="9"/>
        <v>5557.1004835388521</v>
      </c>
      <c r="F26" s="88">
        <f t="shared" si="10"/>
        <v>5884908.4813242573</v>
      </c>
    </row>
    <row r="27" spans="1:6" x14ac:dyDescent="0.25">
      <c r="A27" s="87" t="s">
        <v>123</v>
      </c>
      <c r="B27" s="88">
        <f t="shared" si="6"/>
        <v>5884908.4813242573</v>
      </c>
      <c r="C27" s="88">
        <f t="shared" si="7"/>
        <v>39918.149710750993</v>
      </c>
      <c r="D27" s="88">
        <f t="shared" si="8"/>
        <v>34328.632807724833</v>
      </c>
      <c r="E27" s="88">
        <f t="shared" si="9"/>
        <v>5589.5169030261604</v>
      </c>
      <c r="F27" s="90">
        <f t="shared" si="10"/>
        <v>5879318.9644212313</v>
      </c>
    </row>
    <row r="28" spans="1:6" x14ac:dyDescent="0.25">
      <c r="A28" s="91" t="s">
        <v>124</v>
      </c>
      <c r="B28" s="91">
        <f t="shared" si="6"/>
        <v>5879318.9644212313</v>
      </c>
      <c r="C28" s="90">
        <f t="shared" si="7"/>
        <v>39918.149710750993</v>
      </c>
      <c r="D28" s="90">
        <f t="shared" si="8"/>
        <v>34296.027292457184</v>
      </c>
      <c r="E28" s="88">
        <f t="shared" si="9"/>
        <v>5622.1224182938095</v>
      </c>
      <c r="F28" s="88">
        <f t="shared" si="10"/>
        <v>5873696.8420029376</v>
      </c>
    </row>
    <row r="29" spans="1:6" x14ac:dyDescent="0.25">
      <c r="A29" s="87" t="s">
        <v>125</v>
      </c>
      <c r="B29" s="87"/>
      <c r="C29" s="88">
        <f>SUM(C17:C28)</f>
        <v>479017.79652901203</v>
      </c>
      <c r="D29" s="88">
        <f t="shared" ref="D29:E29" si="11">SUM(D17:D28)</f>
        <v>413663.22828965215</v>
      </c>
      <c r="E29" s="88">
        <f t="shared" si="11"/>
        <v>65354.568239359782</v>
      </c>
      <c r="F29" s="88"/>
    </row>
    <row r="30" spans="1:6" x14ac:dyDescent="0.25">
      <c r="A30" s="87"/>
      <c r="B30" s="88"/>
      <c r="C30" s="88"/>
      <c r="D30" s="88"/>
      <c r="E30" s="88"/>
      <c r="F30" s="88"/>
    </row>
    <row r="31" spans="1:6" x14ac:dyDescent="0.25">
      <c r="A31" s="87">
        <v>2017</v>
      </c>
      <c r="B31" s="88"/>
      <c r="C31" s="88"/>
      <c r="D31" s="88"/>
      <c r="E31" s="88"/>
      <c r="F31" s="88"/>
    </row>
    <row r="32" spans="1:6" x14ac:dyDescent="0.25">
      <c r="A32" s="87" t="s">
        <v>108</v>
      </c>
      <c r="B32" s="88">
        <f>F28</f>
        <v>5873696.8420029376</v>
      </c>
      <c r="C32" s="88">
        <f>C17</f>
        <v>39918.149710750993</v>
      </c>
      <c r="D32" s="88">
        <f>$I$3*B32</f>
        <v>34263.231578350467</v>
      </c>
      <c r="E32" s="88">
        <f>C32-D32</f>
        <v>5654.9181324005258</v>
      </c>
      <c r="F32" s="88">
        <f>B32-E32</f>
        <v>5868041.9238705374</v>
      </c>
    </row>
    <row r="33" spans="1:6" x14ac:dyDescent="0.25">
      <c r="A33" s="87" t="s">
        <v>110</v>
      </c>
      <c r="B33" s="88">
        <f t="shared" ref="B33:B43" si="12">B32-E32</f>
        <v>5868041.9238705374</v>
      </c>
      <c r="C33" s="88">
        <f t="shared" ref="C33:C43" si="13">C18</f>
        <v>39918.149710750993</v>
      </c>
      <c r="D33" s="88">
        <f t="shared" ref="D33:D43" si="14">$I$3*B33</f>
        <v>34230.244555911471</v>
      </c>
      <c r="E33" s="88">
        <f t="shared" ref="E33:E43" si="15">C33-D33</f>
        <v>5687.9051548395219</v>
      </c>
      <c r="F33" s="88">
        <f t="shared" ref="F33:F43" si="16">B33-E33</f>
        <v>5862354.0187156983</v>
      </c>
    </row>
    <row r="34" spans="1:6" x14ac:dyDescent="0.25">
      <c r="A34" s="87" t="s">
        <v>112</v>
      </c>
      <c r="B34" s="88">
        <f t="shared" si="12"/>
        <v>5862354.0187156983</v>
      </c>
      <c r="C34" s="88">
        <f t="shared" si="13"/>
        <v>39918.149710750993</v>
      </c>
      <c r="D34" s="88">
        <f t="shared" si="14"/>
        <v>34197.06510917491</v>
      </c>
      <c r="E34" s="88">
        <f t="shared" si="15"/>
        <v>5721.0846015760835</v>
      </c>
      <c r="F34" s="88">
        <f t="shared" si="16"/>
        <v>5856632.9341141218</v>
      </c>
    </row>
    <row r="35" spans="1:6" x14ac:dyDescent="0.25">
      <c r="A35" s="87" t="s">
        <v>114</v>
      </c>
      <c r="B35" s="88">
        <f t="shared" si="12"/>
        <v>5856632.9341141218</v>
      </c>
      <c r="C35" s="88">
        <f t="shared" si="13"/>
        <v>39918.149710750993</v>
      </c>
      <c r="D35" s="88">
        <f t="shared" si="14"/>
        <v>34163.692115665712</v>
      </c>
      <c r="E35" s="88">
        <f t="shared" si="15"/>
        <v>5754.4575950852814</v>
      </c>
      <c r="F35" s="88">
        <f t="shared" si="16"/>
        <v>5850878.4765190361</v>
      </c>
    </row>
    <row r="36" spans="1:6" x14ac:dyDescent="0.25">
      <c r="A36" s="87" t="s">
        <v>115</v>
      </c>
      <c r="B36" s="88">
        <f t="shared" si="12"/>
        <v>5850878.4765190361</v>
      </c>
      <c r="C36" s="88">
        <f t="shared" si="13"/>
        <v>39918.149710750993</v>
      </c>
      <c r="D36" s="88">
        <f t="shared" si="14"/>
        <v>34130.124446361042</v>
      </c>
      <c r="E36" s="88">
        <f t="shared" si="15"/>
        <v>5788.0252643899512</v>
      </c>
      <c r="F36" s="88">
        <f t="shared" si="16"/>
        <v>5845090.4512546463</v>
      </c>
    </row>
    <row r="37" spans="1:6" x14ac:dyDescent="0.25">
      <c r="A37" s="87" t="s">
        <v>117</v>
      </c>
      <c r="B37" s="88">
        <f t="shared" si="12"/>
        <v>5845090.4512546463</v>
      </c>
      <c r="C37" s="88">
        <f t="shared" si="13"/>
        <v>39918.149710750993</v>
      </c>
      <c r="D37" s="88">
        <f t="shared" si="14"/>
        <v>34096.360965652108</v>
      </c>
      <c r="E37" s="88">
        <f t="shared" si="15"/>
        <v>5821.7887450988856</v>
      </c>
      <c r="F37" s="88">
        <f t="shared" si="16"/>
        <v>5839268.6625095475</v>
      </c>
    </row>
    <row r="38" spans="1:6" x14ac:dyDescent="0.25">
      <c r="A38" s="87" t="s">
        <v>119</v>
      </c>
      <c r="B38" s="88">
        <f t="shared" si="12"/>
        <v>5839268.6625095475</v>
      </c>
      <c r="C38" s="88">
        <f t="shared" si="13"/>
        <v>39918.149710750993</v>
      </c>
      <c r="D38" s="88">
        <f t="shared" si="14"/>
        <v>34062.400531305699</v>
      </c>
      <c r="E38" s="88">
        <f t="shared" si="15"/>
        <v>5855.7491794452944</v>
      </c>
      <c r="F38" s="88">
        <f t="shared" si="16"/>
        <v>5833412.9133301023</v>
      </c>
    </row>
    <row r="39" spans="1:6" x14ac:dyDescent="0.25">
      <c r="A39" s="87" t="s">
        <v>120</v>
      </c>
      <c r="B39" s="88">
        <f t="shared" si="12"/>
        <v>5833412.9133301023</v>
      </c>
      <c r="C39" s="88">
        <f t="shared" si="13"/>
        <v>39918.149710750993</v>
      </c>
      <c r="D39" s="88">
        <f t="shared" si="14"/>
        <v>34028.241994425596</v>
      </c>
      <c r="E39" s="88">
        <f t="shared" si="15"/>
        <v>5889.9077163253969</v>
      </c>
      <c r="F39" s="88">
        <f t="shared" si="16"/>
        <v>5827523.0056137769</v>
      </c>
    </row>
    <row r="40" spans="1:6" x14ac:dyDescent="0.25">
      <c r="A40" s="87" t="s">
        <v>121</v>
      </c>
      <c r="B40" s="88">
        <f t="shared" si="12"/>
        <v>5827523.0056137769</v>
      </c>
      <c r="C40" s="88">
        <f t="shared" si="13"/>
        <v>39918.149710750993</v>
      </c>
      <c r="D40" s="88">
        <f t="shared" si="14"/>
        <v>33993.884199413696</v>
      </c>
      <c r="E40" s="88">
        <f t="shared" si="15"/>
        <v>5924.2655113372966</v>
      </c>
      <c r="F40" s="88">
        <f t="shared" si="16"/>
        <v>5821598.7401024392</v>
      </c>
    </row>
    <row r="41" spans="1:6" x14ac:dyDescent="0.25">
      <c r="A41" s="87" t="s">
        <v>122</v>
      </c>
      <c r="B41" s="88">
        <f t="shared" si="12"/>
        <v>5821598.7401024392</v>
      </c>
      <c r="C41" s="88">
        <f t="shared" si="13"/>
        <v>39918.149710750993</v>
      </c>
      <c r="D41" s="88">
        <f t="shared" si="14"/>
        <v>33959.325983930896</v>
      </c>
      <c r="E41" s="88">
        <f t="shared" si="15"/>
        <v>5958.8237268200974</v>
      </c>
      <c r="F41" s="90">
        <f t="shared" si="16"/>
        <v>5815639.9163756194</v>
      </c>
    </row>
    <row r="42" spans="1:6" x14ac:dyDescent="0.25">
      <c r="A42" s="91" t="s">
        <v>123</v>
      </c>
      <c r="B42" s="91">
        <f t="shared" si="12"/>
        <v>5815639.9163756194</v>
      </c>
      <c r="C42" s="90">
        <f t="shared" si="13"/>
        <v>39918.149710750993</v>
      </c>
      <c r="D42" s="90">
        <f t="shared" si="14"/>
        <v>33924.566178857778</v>
      </c>
      <c r="E42" s="88">
        <f t="shared" si="15"/>
        <v>5993.583531893215</v>
      </c>
      <c r="F42" s="88">
        <f t="shared" si="16"/>
        <v>5809646.3328437265</v>
      </c>
    </row>
    <row r="43" spans="1:6" x14ac:dyDescent="0.25">
      <c r="A43" s="87" t="s">
        <v>124</v>
      </c>
      <c r="B43" s="87">
        <f t="shared" si="12"/>
        <v>5809646.3328437265</v>
      </c>
      <c r="C43" s="88">
        <f t="shared" si="13"/>
        <v>39918.149710750993</v>
      </c>
      <c r="D43" s="88">
        <f t="shared" si="14"/>
        <v>33889.603608255071</v>
      </c>
      <c r="E43" s="88">
        <f t="shared" si="15"/>
        <v>6028.5461024959222</v>
      </c>
      <c r="F43" s="88">
        <f t="shared" si="16"/>
        <v>5803617.7867412306</v>
      </c>
    </row>
    <row r="44" spans="1:6" x14ac:dyDescent="0.25">
      <c r="A44" s="87" t="s">
        <v>125</v>
      </c>
      <c r="B44" s="88"/>
      <c r="C44" s="88">
        <f>SUM(C32:C43)</f>
        <v>479017.79652901203</v>
      </c>
      <c r="D44" s="88">
        <f t="shared" ref="D44:E44" si="17">SUM(D32:D43)</f>
        <v>408938.7412673044</v>
      </c>
      <c r="E44" s="88">
        <f t="shared" si="17"/>
        <v>70079.055261707472</v>
      </c>
      <c r="F44" s="88"/>
    </row>
    <row r="45" spans="1:6" x14ac:dyDescent="0.25">
      <c r="A45" s="87"/>
      <c r="B45" s="88"/>
      <c r="C45" s="88"/>
      <c r="D45" s="88"/>
      <c r="E45" s="88"/>
      <c r="F45" s="88"/>
    </row>
    <row r="46" spans="1:6" x14ac:dyDescent="0.25">
      <c r="A46" s="87">
        <v>2018</v>
      </c>
      <c r="B46" s="88"/>
      <c r="C46" s="88"/>
      <c r="D46" s="88"/>
      <c r="E46" s="88"/>
      <c r="F46" s="88"/>
    </row>
    <row r="47" spans="1:6" x14ac:dyDescent="0.25">
      <c r="A47" s="87" t="s">
        <v>108</v>
      </c>
      <c r="B47" s="88">
        <f>F43</f>
        <v>5803617.7867412306</v>
      </c>
      <c r="C47" s="88">
        <f>C32</f>
        <v>39918.149710750993</v>
      </c>
      <c r="D47" s="88">
        <f>$I$3*B47</f>
        <v>33854.437089323845</v>
      </c>
      <c r="E47" s="88">
        <f>C47-D47</f>
        <v>6063.7126214271484</v>
      </c>
      <c r="F47" s="88">
        <f>B47-E47</f>
        <v>5797554.0741198035</v>
      </c>
    </row>
    <row r="48" spans="1:6" x14ac:dyDescent="0.25">
      <c r="A48" s="87" t="s">
        <v>110</v>
      </c>
      <c r="B48" s="88">
        <f t="shared" ref="B48:B58" si="18">B47-E47</f>
        <v>5797554.0741198035</v>
      </c>
      <c r="C48" s="88">
        <f t="shared" ref="C48:C58" si="19">C33</f>
        <v>39918.149710750993</v>
      </c>
      <c r="D48" s="88">
        <f t="shared" ref="D48:D58" si="20">$I$3*B48</f>
        <v>33819.065432365525</v>
      </c>
      <c r="E48" s="88">
        <f t="shared" ref="E48:E58" si="21">C48-D48</f>
        <v>6099.0842783854678</v>
      </c>
      <c r="F48" s="88">
        <f t="shared" ref="F48:F58" si="22">B48-E48</f>
        <v>5791454.9898414183</v>
      </c>
    </row>
    <row r="49" spans="1:7" x14ac:dyDescent="0.25">
      <c r="A49" s="87" t="s">
        <v>112</v>
      </c>
      <c r="B49" s="88">
        <f t="shared" si="18"/>
        <v>5791454.9898414183</v>
      </c>
      <c r="C49" s="88">
        <f t="shared" si="19"/>
        <v>39918.149710750993</v>
      </c>
      <c r="D49" s="88">
        <f t="shared" si="20"/>
        <v>33783.487440741606</v>
      </c>
      <c r="E49" s="88">
        <f t="shared" si="21"/>
        <v>6134.6622700093867</v>
      </c>
      <c r="F49" s="88">
        <f t="shared" si="22"/>
        <v>5785320.3275714088</v>
      </c>
    </row>
    <row r="50" spans="1:7" x14ac:dyDescent="0.25">
      <c r="A50" s="87" t="s">
        <v>114</v>
      </c>
      <c r="B50" s="88">
        <f t="shared" si="18"/>
        <v>5785320.3275714088</v>
      </c>
      <c r="C50" s="88">
        <f t="shared" si="19"/>
        <v>39918.149710750993</v>
      </c>
      <c r="D50" s="88">
        <f t="shared" si="20"/>
        <v>33747.701910833217</v>
      </c>
      <c r="E50" s="88">
        <f t="shared" si="21"/>
        <v>6170.4477999177761</v>
      </c>
      <c r="F50" s="88">
        <f t="shared" si="22"/>
        <v>5779149.8797714915</v>
      </c>
    </row>
    <row r="51" spans="1:7" x14ac:dyDescent="0.25">
      <c r="A51" s="87" t="s">
        <v>115</v>
      </c>
      <c r="B51" s="88">
        <f t="shared" si="18"/>
        <v>5779149.8797714915</v>
      </c>
      <c r="C51" s="88">
        <f t="shared" si="19"/>
        <v>39918.149710750993</v>
      </c>
      <c r="D51" s="88">
        <f t="shared" si="20"/>
        <v>33711.707632000369</v>
      </c>
      <c r="E51" s="88">
        <f t="shared" si="21"/>
        <v>6206.4420787506242</v>
      </c>
      <c r="F51" s="88">
        <f t="shared" si="22"/>
        <v>5772943.4376927409</v>
      </c>
    </row>
    <row r="52" spans="1:7" x14ac:dyDescent="0.25">
      <c r="A52" s="87" t="s">
        <v>117</v>
      </c>
      <c r="B52" s="88">
        <f t="shared" si="18"/>
        <v>5772943.4376927409</v>
      </c>
      <c r="C52" s="88">
        <f t="shared" si="19"/>
        <v>39918.149710750993</v>
      </c>
      <c r="D52" s="88">
        <f t="shared" si="20"/>
        <v>33675.503386540993</v>
      </c>
      <c r="E52" s="88">
        <f t="shared" si="21"/>
        <v>6242.6463242099999</v>
      </c>
      <c r="F52" s="88">
        <f t="shared" si="22"/>
        <v>5766700.7913685311</v>
      </c>
    </row>
    <row r="53" spans="1:7" x14ac:dyDescent="0.25">
      <c r="A53" s="87" t="s">
        <v>119</v>
      </c>
      <c r="B53" s="88">
        <f t="shared" si="18"/>
        <v>5766700.7913685311</v>
      </c>
      <c r="C53" s="88">
        <f t="shared" si="19"/>
        <v>39918.149710750993</v>
      </c>
      <c r="D53" s="88">
        <f t="shared" si="20"/>
        <v>33639.087949649766</v>
      </c>
      <c r="E53" s="88">
        <f t="shared" si="21"/>
        <v>6279.0617611012276</v>
      </c>
      <c r="F53" s="88">
        <f t="shared" si="22"/>
        <v>5760421.7296074303</v>
      </c>
    </row>
    <row r="54" spans="1:7" x14ac:dyDescent="0.25">
      <c r="A54" s="87" t="s">
        <v>120</v>
      </c>
      <c r="B54" s="88">
        <f t="shared" si="18"/>
        <v>5760421.7296074303</v>
      </c>
      <c r="C54" s="88">
        <f t="shared" si="19"/>
        <v>39918.149710750993</v>
      </c>
      <c r="D54" s="88">
        <f t="shared" si="20"/>
        <v>33602.460089376676</v>
      </c>
      <c r="E54" s="88">
        <f t="shared" si="21"/>
        <v>6315.6896213743166</v>
      </c>
      <c r="F54" s="88">
        <f t="shared" si="22"/>
        <v>5754106.0399860563</v>
      </c>
    </row>
    <row r="55" spans="1:7" x14ac:dyDescent="0.25">
      <c r="A55" s="87" t="s">
        <v>121</v>
      </c>
      <c r="B55" s="88">
        <f t="shared" si="18"/>
        <v>5754106.0399860563</v>
      </c>
      <c r="C55" s="88">
        <f t="shared" si="19"/>
        <v>39918.149710750993</v>
      </c>
      <c r="D55" s="88">
        <f t="shared" si="20"/>
        <v>33565.618566585326</v>
      </c>
      <c r="E55" s="88">
        <f t="shared" si="21"/>
        <v>6352.5311441656668</v>
      </c>
      <c r="F55" s="90">
        <f t="shared" si="22"/>
        <v>5747753.5088418908</v>
      </c>
      <c r="G55" s="88"/>
    </row>
    <row r="56" spans="1:7" x14ac:dyDescent="0.25">
      <c r="A56" s="91" t="s">
        <v>122</v>
      </c>
      <c r="B56" s="92">
        <f t="shared" si="18"/>
        <v>5747753.5088418908</v>
      </c>
      <c r="C56" s="90">
        <f t="shared" si="19"/>
        <v>39918.149710750993</v>
      </c>
      <c r="D56" s="90">
        <f t="shared" si="20"/>
        <v>33528.56213491103</v>
      </c>
      <c r="E56">
        <f t="shared" si="21"/>
        <v>6389.5875758399634</v>
      </c>
      <c r="F56">
        <f t="shared" si="22"/>
        <v>5741363.921266051</v>
      </c>
    </row>
    <row r="57" spans="1:7" x14ac:dyDescent="0.25">
      <c r="A57" t="s">
        <v>123</v>
      </c>
      <c r="B57">
        <f t="shared" si="18"/>
        <v>5741363.921266051</v>
      </c>
      <c r="C57">
        <f t="shared" si="19"/>
        <v>39918.149710750993</v>
      </c>
      <c r="D57">
        <f t="shared" si="20"/>
        <v>33491.28954071863</v>
      </c>
      <c r="E57">
        <f t="shared" si="21"/>
        <v>6426.8601700323634</v>
      </c>
      <c r="F57">
        <f t="shared" si="22"/>
        <v>5734937.0610960182</v>
      </c>
    </row>
    <row r="58" spans="1:7" x14ac:dyDescent="0.25">
      <c r="A58" t="s">
        <v>124</v>
      </c>
      <c r="B58">
        <f t="shared" si="18"/>
        <v>5734937.0610960182</v>
      </c>
      <c r="C58">
        <f t="shared" si="19"/>
        <v>39918.149710750993</v>
      </c>
      <c r="D58">
        <f t="shared" si="20"/>
        <v>33453.799523060108</v>
      </c>
      <c r="E58">
        <f t="shared" si="21"/>
        <v>6464.3501876908849</v>
      </c>
      <c r="F58">
        <f t="shared" si="22"/>
        <v>5728472.7109083273</v>
      </c>
    </row>
    <row r="59" spans="1:7" x14ac:dyDescent="0.25">
      <c r="A59" t="s">
        <v>125</v>
      </c>
      <c r="C59">
        <f>SUM(C47:C58)</f>
        <v>479017.79652901203</v>
      </c>
      <c r="D59">
        <f t="shared" ref="D59:E59" si="23">SUM(D47:D58)</f>
        <v>403872.72069610702</v>
      </c>
      <c r="E59">
        <f t="shared" si="23"/>
        <v>75145.075832904826</v>
      </c>
    </row>
    <row r="61" spans="1:7" x14ac:dyDescent="0.25">
      <c r="A61">
        <v>2019</v>
      </c>
    </row>
    <row r="62" spans="1:7" x14ac:dyDescent="0.25">
      <c r="A62" s="87" t="s">
        <v>108</v>
      </c>
      <c r="B62" s="88">
        <f>F58</f>
        <v>5728472.7109083273</v>
      </c>
      <c r="C62" s="88">
        <f>C47</f>
        <v>39918.149710750993</v>
      </c>
      <c r="D62" s="88">
        <f>$I$3*B62</f>
        <v>33416.090813631912</v>
      </c>
      <c r="E62" s="88">
        <f>C62-D62</f>
        <v>6502.0588971190809</v>
      </c>
      <c r="F62" s="88">
        <f>B62-E62</f>
        <v>5721970.6520112082</v>
      </c>
    </row>
    <row r="63" spans="1:7" x14ac:dyDescent="0.25">
      <c r="A63" s="87" t="s">
        <v>110</v>
      </c>
      <c r="B63" s="88">
        <f t="shared" ref="B63:B73" si="24">B62-E62</f>
        <v>5721970.6520112082</v>
      </c>
      <c r="C63" s="88">
        <f t="shared" ref="C63:C73" si="25">C48</f>
        <v>39918.149710750993</v>
      </c>
      <c r="D63" s="88">
        <f t="shared" ref="D63:D73" si="26">$I$3*B63</f>
        <v>33378.162136732048</v>
      </c>
      <c r="E63" s="88">
        <f t="shared" ref="E63:E73" si="27">C63-D63</f>
        <v>6539.9875740189455</v>
      </c>
      <c r="F63" s="88">
        <f t="shared" ref="F63:F73" si="28">B63-E63</f>
        <v>5715430.6644371897</v>
      </c>
    </row>
    <row r="64" spans="1:7" x14ac:dyDescent="0.25">
      <c r="A64" s="87" t="s">
        <v>112</v>
      </c>
      <c r="B64" s="88">
        <f t="shared" si="24"/>
        <v>5715430.6644371897</v>
      </c>
      <c r="C64" s="88">
        <f t="shared" si="25"/>
        <v>39918.149710750993</v>
      </c>
      <c r="D64" s="88">
        <f t="shared" si="26"/>
        <v>33340.01220921694</v>
      </c>
      <c r="E64" s="88">
        <f t="shared" si="27"/>
        <v>6578.1375015340527</v>
      </c>
      <c r="F64" s="88">
        <f t="shared" si="28"/>
        <v>5708852.5269356556</v>
      </c>
    </row>
    <row r="65" spans="1:6" x14ac:dyDescent="0.25">
      <c r="A65" s="87" t="s">
        <v>114</v>
      </c>
      <c r="B65" s="88">
        <f t="shared" si="24"/>
        <v>5708852.5269356556</v>
      </c>
      <c r="C65" s="88">
        <f t="shared" si="25"/>
        <v>39918.149710750993</v>
      </c>
      <c r="D65" s="88">
        <f t="shared" si="26"/>
        <v>33301.639740457991</v>
      </c>
      <c r="E65" s="88">
        <f t="shared" si="27"/>
        <v>6616.509970293002</v>
      </c>
      <c r="F65" s="88">
        <f t="shared" si="28"/>
        <v>5702236.0169653622</v>
      </c>
    </row>
    <row r="66" spans="1:6" x14ac:dyDescent="0.25">
      <c r="A66" s="87" t="s">
        <v>115</v>
      </c>
      <c r="B66" s="88">
        <f t="shared" si="24"/>
        <v>5702236.0169653622</v>
      </c>
      <c r="C66" s="88">
        <f t="shared" si="25"/>
        <v>39918.149710750993</v>
      </c>
      <c r="D66" s="88">
        <f t="shared" si="26"/>
        <v>33263.043432297949</v>
      </c>
      <c r="E66" s="88">
        <f t="shared" si="27"/>
        <v>6655.1062784530441</v>
      </c>
      <c r="F66" s="88">
        <f t="shared" si="28"/>
        <v>5695580.9106869092</v>
      </c>
    </row>
    <row r="67" spans="1:6" x14ac:dyDescent="0.25">
      <c r="A67" s="87" t="s">
        <v>117</v>
      </c>
      <c r="B67" s="88">
        <f t="shared" si="24"/>
        <v>5695580.9106869092</v>
      </c>
      <c r="C67" s="88">
        <f t="shared" si="25"/>
        <v>39918.149710750993</v>
      </c>
      <c r="D67" s="88">
        <f t="shared" si="26"/>
        <v>33224.221979006972</v>
      </c>
      <c r="E67" s="88">
        <f t="shared" si="27"/>
        <v>6693.927731744021</v>
      </c>
      <c r="F67" s="88">
        <f t="shared" si="28"/>
        <v>5688886.9829551652</v>
      </c>
    </row>
    <row r="68" spans="1:6" x14ac:dyDescent="0.25">
      <c r="A68" s="87" t="s">
        <v>119</v>
      </c>
      <c r="B68" s="88">
        <f t="shared" si="24"/>
        <v>5688886.9829551652</v>
      </c>
      <c r="C68" s="88">
        <f t="shared" si="25"/>
        <v>39918.149710750993</v>
      </c>
      <c r="D68" s="88">
        <f t="shared" si="26"/>
        <v>33185.174067238462</v>
      </c>
      <c r="E68" s="88">
        <f t="shared" si="27"/>
        <v>6732.975643512531</v>
      </c>
      <c r="F68" s="88">
        <f t="shared" si="28"/>
        <v>5682154.0073116524</v>
      </c>
    </row>
    <row r="69" spans="1:6" x14ac:dyDescent="0.25">
      <c r="A69" s="87" t="s">
        <v>120</v>
      </c>
      <c r="B69" s="88">
        <f t="shared" si="24"/>
        <v>5682154.0073116524</v>
      </c>
      <c r="C69" s="88">
        <f t="shared" si="25"/>
        <v>39918.149710750993</v>
      </c>
      <c r="D69" s="88">
        <f t="shared" si="26"/>
        <v>33145.898375984638</v>
      </c>
      <c r="E69" s="88">
        <f t="shared" si="27"/>
        <v>6772.2513347663553</v>
      </c>
      <c r="F69" s="88">
        <f t="shared" si="28"/>
        <v>5675381.7559768865</v>
      </c>
    </row>
    <row r="70" spans="1:6" x14ac:dyDescent="0.25">
      <c r="A70" s="87" t="s">
        <v>121</v>
      </c>
      <c r="B70" s="88">
        <f t="shared" si="24"/>
        <v>5675381.7559768865</v>
      </c>
      <c r="C70" s="88">
        <f t="shared" si="25"/>
        <v>39918.149710750993</v>
      </c>
      <c r="D70" s="88">
        <f t="shared" si="26"/>
        <v>33106.393576531838</v>
      </c>
      <c r="E70" s="88">
        <f t="shared" si="27"/>
        <v>6811.7561342191548</v>
      </c>
      <c r="F70" s="90">
        <f t="shared" si="28"/>
        <v>5668569.999842667</v>
      </c>
    </row>
    <row r="71" spans="1:6" x14ac:dyDescent="0.25">
      <c r="A71" s="91" t="s">
        <v>122</v>
      </c>
      <c r="B71" s="92">
        <f t="shared" si="24"/>
        <v>5668569.999842667</v>
      </c>
      <c r="C71" s="90">
        <f t="shared" si="25"/>
        <v>39918.149710750993</v>
      </c>
      <c r="D71" s="90">
        <f t="shared" si="26"/>
        <v>33066.658332415558</v>
      </c>
      <c r="E71">
        <f t="shared" si="27"/>
        <v>6851.491378335435</v>
      </c>
      <c r="F71">
        <f t="shared" si="28"/>
        <v>5661718.5084643317</v>
      </c>
    </row>
    <row r="72" spans="1:6" x14ac:dyDescent="0.25">
      <c r="A72" t="s">
        <v>123</v>
      </c>
      <c r="B72">
        <f t="shared" si="24"/>
        <v>5661718.5084643317</v>
      </c>
      <c r="C72">
        <f t="shared" si="25"/>
        <v>39918.149710750993</v>
      </c>
      <c r="D72">
        <f t="shared" si="26"/>
        <v>33026.69129937527</v>
      </c>
      <c r="E72">
        <f t="shared" si="27"/>
        <v>6891.4584113757228</v>
      </c>
      <c r="F72">
        <f t="shared" si="28"/>
        <v>5654827.0500529557</v>
      </c>
    </row>
    <row r="73" spans="1:6" x14ac:dyDescent="0.25">
      <c r="A73" t="s">
        <v>124</v>
      </c>
      <c r="B73">
        <f t="shared" si="24"/>
        <v>5654827.0500529557</v>
      </c>
      <c r="C73">
        <f t="shared" si="25"/>
        <v>39918.149710750993</v>
      </c>
      <c r="D73">
        <f t="shared" si="26"/>
        <v>32986.491125308909</v>
      </c>
      <c r="E73">
        <f t="shared" si="27"/>
        <v>6931.6585854420846</v>
      </c>
      <c r="F73">
        <f t="shared" si="28"/>
        <v>5647895.3914675135</v>
      </c>
    </row>
    <row r="74" spans="1:6" x14ac:dyDescent="0.25">
      <c r="A74" t="s">
        <v>125</v>
      </c>
      <c r="C74">
        <f>SUM(C62:C73)</f>
        <v>479017.79652901203</v>
      </c>
      <c r="D74">
        <f t="shared" ref="D74:E74" si="29">SUM(D62:D73)</f>
        <v>398440.47708819853</v>
      </c>
      <c r="E74">
        <f t="shared" si="29"/>
        <v>80577.319440813444</v>
      </c>
    </row>
    <row r="76" spans="1:6" x14ac:dyDescent="0.25">
      <c r="A76">
        <v>2020</v>
      </c>
    </row>
    <row r="77" spans="1:6" x14ac:dyDescent="0.25">
      <c r="A77" s="87" t="s">
        <v>108</v>
      </c>
      <c r="B77" s="88">
        <f>F73</f>
        <v>5647895.3914675135</v>
      </c>
      <c r="C77" s="88">
        <f>C62</f>
        <v>39918.149710750993</v>
      </c>
      <c r="D77" s="88">
        <f>$I$3*B77</f>
        <v>32946.056450227166</v>
      </c>
      <c r="E77" s="88">
        <f>C77-D77</f>
        <v>6972.0932605238268</v>
      </c>
      <c r="F77" s="88">
        <f>B77-E77</f>
        <v>5640923.2982069897</v>
      </c>
    </row>
    <row r="78" spans="1:6" x14ac:dyDescent="0.25">
      <c r="A78" s="87" t="s">
        <v>110</v>
      </c>
      <c r="B78" s="88">
        <f t="shared" ref="B78:B88" si="30">B77-E77</f>
        <v>5640923.2982069897</v>
      </c>
      <c r="C78" s="88">
        <f t="shared" ref="C78:C88" si="31">C63</f>
        <v>39918.149710750993</v>
      </c>
      <c r="D78" s="88">
        <f t="shared" ref="D78:D88" si="32">$I$3*B78</f>
        <v>32905.385906207441</v>
      </c>
      <c r="E78" s="88">
        <f t="shared" ref="E78:E88" si="33">C78-D78</f>
        <v>7012.7638045435524</v>
      </c>
      <c r="F78" s="88">
        <f t="shared" ref="F78:F88" si="34">B78-E78</f>
        <v>5633910.5344024459</v>
      </c>
    </row>
    <row r="79" spans="1:6" x14ac:dyDescent="0.25">
      <c r="A79" s="87" t="s">
        <v>112</v>
      </c>
      <c r="B79" s="88">
        <f t="shared" si="30"/>
        <v>5633910.5344024459</v>
      </c>
      <c r="C79" s="88">
        <f t="shared" si="31"/>
        <v>39918.149710750993</v>
      </c>
      <c r="D79" s="88">
        <f t="shared" si="32"/>
        <v>32864.4781173476</v>
      </c>
      <c r="E79" s="88">
        <f t="shared" si="33"/>
        <v>7053.6715934033928</v>
      </c>
      <c r="F79" s="88">
        <f t="shared" si="34"/>
        <v>5626856.8628090424</v>
      </c>
    </row>
    <row r="80" spans="1:6" x14ac:dyDescent="0.25">
      <c r="A80" s="87" t="s">
        <v>114</v>
      </c>
      <c r="B80" s="88">
        <f t="shared" si="30"/>
        <v>5626856.8628090424</v>
      </c>
      <c r="C80" s="88">
        <f t="shared" si="31"/>
        <v>39918.149710750993</v>
      </c>
      <c r="D80" s="88">
        <f t="shared" si="32"/>
        <v>32823.331699719412</v>
      </c>
      <c r="E80" s="88">
        <f t="shared" si="33"/>
        <v>7094.8180110315807</v>
      </c>
      <c r="F80" s="88">
        <f t="shared" si="34"/>
        <v>5619762.044798011</v>
      </c>
    </row>
    <row r="81" spans="1:6" x14ac:dyDescent="0.25">
      <c r="A81" s="87" t="s">
        <v>115</v>
      </c>
      <c r="B81" s="88">
        <f t="shared" si="30"/>
        <v>5619762.044798011</v>
      </c>
      <c r="C81" s="88">
        <f t="shared" si="31"/>
        <v>39918.149710750993</v>
      </c>
      <c r="D81" s="88">
        <f t="shared" si="32"/>
        <v>32781.945261321729</v>
      </c>
      <c r="E81" s="88">
        <f t="shared" si="33"/>
        <v>7136.2044494292641</v>
      </c>
      <c r="F81" s="88">
        <f t="shared" si="34"/>
        <v>5612625.8403485818</v>
      </c>
    </row>
    <row r="82" spans="1:6" x14ac:dyDescent="0.25">
      <c r="A82" s="87" t="s">
        <v>117</v>
      </c>
      <c r="B82" s="88">
        <f t="shared" si="30"/>
        <v>5612625.8403485818</v>
      </c>
      <c r="C82" s="88">
        <f t="shared" si="31"/>
        <v>39918.149710750993</v>
      </c>
      <c r="D82" s="88">
        <f t="shared" si="32"/>
        <v>32740.317402033394</v>
      </c>
      <c r="E82" s="88">
        <f t="shared" si="33"/>
        <v>7177.8323087175995</v>
      </c>
      <c r="F82" s="88">
        <f t="shared" si="34"/>
        <v>5605448.0080398638</v>
      </c>
    </row>
    <row r="83" spans="1:6" x14ac:dyDescent="0.25">
      <c r="A83" s="87" t="s">
        <v>119</v>
      </c>
      <c r="B83" s="88">
        <f t="shared" si="30"/>
        <v>5605448.0080398638</v>
      </c>
      <c r="C83" s="88">
        <f t="shared" si="31"/>
        <v>39918.149710750993</v>
      </c>
      <c r="D83" s="88">
        <f t="shared" si="32"/>
        <v>32698.446713565874</v>
      </c>
      <c r="E83" s="88">
        <f t="shared" si="33"/>
        <v>7219.7029971851189</v>
      </c>
      <c r="F83" s="88">
        <f t="shared" si="34"/>
        <v>5598228.3050426785</v>
      </c>
    </row>
    <row r="84" spans="1:6" x14ac:dyDescent="0.25">
      <c r="A84" s="87" t="s">
        <v>120</v>
      </c>
      <c r="B84" s="88">
        <f t="shared" si="30"/>
        <v>5598228.3050426785</v>
      </c>
      <c r="C84" s="88">
        <f t="shared" si="31"/>
        <v>39918.149710750993</v>
      </c>
      <c r="D84" s="88">
        <f t="shared" si="32"/>
        <v>32656.331779415625</v>
      </c>
      <c r="E84" s="88">
        <f t="shared" si="33"/>
        <v>7261.8179313353685</v>
      </c>
      <c r="F84" s="88">
        <f t="shared" si="34"/>
        <v>5590966.4871113431</v>
      </c>
    </row>
    <row r="85" spans="1:6" x14ac:dyDescent="0.25">
      <c r="A85" s="87" t="s">
        <v>121</v>
      </c>
      <c r="B85" s="88">
        <f t="shared" si="30"/>
        <v>5590966.4871113431</v>
      </c>
      <c r="C85" s="88">
        <f t="shared" si="31"/>
        <v>39918.149710750993</v>
      </c>
      <c r="D85" s="88">
        <f t="shared" si="32"/>
        <v>32613.971174816168</v>
      </c>
      <c r="E85" s="88">
        <f t="shared" si="33"/>
        <v>7304.178535934825</v>
      </c>
      <c r="F85" s="90">
        <f t="shared" si="34"/>
        <v>5583662.3085754085</v>
      </c>
    </row>
    <row r="86" spans="1:6" x14ac:dyDescent="0.25">
      <c r="A86" s="91" t="s">
        <v>122</v>
      </c>
      <c r="B86" s="92">
        <f t="shared" si="30"/>
        <v>5583662.3085754085</v>
      </c>
      <c r="C86" s="90">
        <f t="shared" si="31"/>
        <v>39918.149710750993</v>
      </c>
      <c r="D86" s="90">
        <f t="shared" si="32"/>
        <v>32571.363466689883</v>
      </c>
      <c r="E86">
        <f t="shared" si="33"/>
        <v>7346.7862440611098</v>
      </c>
      <c r="F86">
        <f t="shared" si="34"/>
        <v>5576315.5223313477</v>
      </c>
    </row>
    <row r="87" spans="1:6" x14ac:dyDescent="0.25">
      <c r="A87" t="s">
        <v>123</v>
      </c>
      <c r="B87">
        <f t="shared" si="30"/>
        <v>5576315.5223313477</v>
      </c>
      <c r="C87">
        <f t="shared" si="31"/>
        <v>39918.149710750993</v>
      </c>
      <c r="D87">
        <f t="shared" si="32"/>
        <v>32528.507213599529</v>
      </c>
      <c r="E87">
        <f t="shared" si="33"/>
        <v>7389.6424971514643</v>
      </c>
      <c r="F87">
        <f t="shared" si="34"/>
        <v>5568925.8798341965</v>
      </c>
    </row>
    <row r="88" spans="1:6" x14ac:dyDescent="0.25">
      <c r="A88" t="s">
        <v>124</v>
      </c>
      <c r="B88">
        <f t="shared" si="30"/>
        <v>5568925.8798341965</v>
      </c>
      <c r="C88">
        <f t="shared" si="31"/>
        <v>39918.149710750993</v>
      </c>
      <c r="D88">
        <f t="shared" si="32"/>
        <v>32485.400965699482</v>
      </c>
      <c r="E88">
        <f t="shared" si="33"/>
        <v>7432.7487450515109</v>
      </c>
      <c r="F88">
        <f t="shared" si="34"/>
        <v>5561493.1310891453</v>
      </c>
    </row>
    <row r="89" spans="1:6" x14ac:dyDescent="0.25">
      <c r="A89" t="s">
        <v>125</v>
      </c>
      <c r="C89">
        <f>SUM(C77:C88)</f>
        <v>479017.79652901203</v>
      </c>
      <c r="D89">
        <f t="shared" ref="D89:E89" si="35">SUM(D77:D88)</f>
        <v>392615.53615064331</v>
      </c>
      <c r="E89">
        <f t="shared" si="35"/>
        <v>86402.260378368606</v>
      </c>
    </row>
    <row r="91" spans="1:6" x14ac:dyDescent="0.25">
      <c r="A91">
        <v>2021</v>
      </c>
    </row>
    <row r="92" spans="1:6" x14ac:dyDescent="0.25">
      <c r="A92" s="87" t="s">
        <v>108</v>
      </c>
      <c r="B92" s="88">
        <f>F88</f>
        <v>5561493.1310891453</v>
      </c>
      <c r="C92" s="88">
        <f>C77</f>
        <v>39918.149710750993</v>
      </c>
      <c r="D92" s="88">
        <f>$I$3*B92</f>
        <v>32442.043264686683</v>
      </c>
      <c r="E92" s="88">
        <f>C92-D92</f>
        <v>7476.1064460643101</v>
      </c>
      <c r="F92" s="88">
        <f>B92-E92</f>
        <v>5554017.0246430812</v>
      </c>
    </row>
    <row r="93" spans="1:6" x14ac:dyDescent="0.25">
      <c r="A93" s="87" t="s">
        <v>110</v>
      </c>
      <c r="B93" s="88">
        <f t="shared" ref="B93:B103" si="36">B92-E92</f>
        <v>5554017.0246430812</v>
      </c>
      <c r="C93" s="88">
        <f t="shared" ref="C93:C103" si="37">C78</f>
        <v>39918.149710750993</v>
      </c>
      <c r="D93" s="88">
        <f t="shared" ref="D93:D103" si="38">$I$3*B93</f>
        <v>32398.432643751308</v>
      </c>
      <c r="E93" s="88">
        <f t="shared" ref="E93:E103" si="39">C93-D93</f>
        <v>7519.7170669996849</v>
      </c>
      <c r="F93" s="88">
        <f t="shared" ref="F93:F103" si="40">B93-E93</f>
        <v>5546497.3075760817</v>
      </c>
    </row>
    <row r="94" spans="1:6" x14ac:dyDescent="0.25">
      <c r="A94" s="87" t="s">
        <v>112</v>
      </c>
      <c r="B94" s="88">
        <f t="shared" si="36"/>
        <v>5546497.3075760817</v>
      </c>
      <c r="C94" s="88">
        <f t="shared" si="37"/>
        <v>39918.149710750993</v>
      </c>
      <c r="D94" s="88">
        <f t="shared" si="38"/>
        <v>32354.567627527143</v>
      </c>
      <c r="E94" s="88">
        <f t="shared" si="39"/>
        <v>7563.5820832238496</v>
      </c>
      <c r="F94" s="88">
        <f t="shared" si="40"/>
        <v>5538933.7254928583</v>
      </c>
    </row>
    <row r="95" spans="1:6" x14ac:dyDescent="0.25">
      <c r="A95" s="87" t="s">
        <v>114</v>
      </c>
      <c r="B95" s="88">
        <f t="shared" si="36"/>
        <v>5538933.7254928583</v>
      </c>
      <c r="C95" s="88">
        <f t="shared" si="37"/>
        <v>39918.149710750993</v>
      </c>
      <c r="D95" s="88">
        <f t="shared" si="38"/>
        <v>32310.446732041673</v>
      </c>
      <c r="E95" s="88">
        <f t="shared" si="39"/>
        <v>7607.7029787093197</v>
      </c>
      <c r="F95" s="88">
        <f t="shared" si="40"/>
        <v>5531326.0225141486</v>
      </c>
    </row>
    <row r="96" spans="1:6" x14ac:dyDescent="0.25">
      <c r="A96" s="87" t="s">
        <v>115</v>
      </c>
      <c r="B96" s="88">
        <f t="shared" si="36"/>
        <v>5531326.0225141486</v>
      </c>
      <c r="C96" s="88">
        <f t="shared" si="37"/>
        <v>39918.149710750993</v>
      </c>
      <c r="D96" s="88">
        <f t="shared" si="38"/>
        <v>32266.06846466587</v>
      </c>
      <c r="E96" s="88">
        <f t="shared" si="39"/>
        <v>7652.081246085123</v>
      </c>
      <c r="F96" s="88">
        <f t="shared" si="40"/>
        <v>5523673.9412680632</v>
      </c>
    </row>
    <row r="97" spans="1:6" x14ac:dyDescent="0.25">
      <c r="A97" s="87" t="s">
        <v>117</v>
      </c>
      <c r="B97" s="88">
        <f t="shared" si="36"/>
        <v>5523673.9412680632</v>
      </c>
      <c r="C97" s="88">
        <f t="shared" si="37"/>
        <v>39918.149710750993</v>
      </c>
      <c r="D97" s="88">
        <f t="shared" si="38"/>
        <v>32221.431324063702</v>
      </c>
      <c r="E97" s="88">
        <f t="shared" si="39"/>
        <v>7696.7183866872911</v>
      </c>
      <c r="F97" s="88">
        <f t="shared" si="40"/>
        <v>5515977.2228813758</v>
      </c>
    </row>
    <row r="98" spans="1:6" x14ac:dyDescent="0.25">
      <c r="A98" s="87" t="s">
        <v>119</v>
      </c>
      <c r="B98" s="88">
        <f t="shared" si="36"/>
        <v>5515977.2228813758</v>
      </c>
      <c r="C98" s="88">
        <f t="shared" si="37"/>
        <v>39918.149710750993</v>
      </c>
      <c r="D98" s="88">
        <f t="shared" si="38"/>
        <v>32176.533800141362</v>
      </c>
      <c r="E98" s="88">
        <f t="shared" si="39"/>
        <v>7741.6159106096311</v>
      </c>
      <c r="F98" s="88">
        <f t="shared" si="40"/>
        <v>5508235.6069707666</v>
      </c>
    </row>
    <row r="99" spans="1:6" x14ac:dyDescent="0.25">
      <c r="A99" s="87" t="s">
        <v>120</v>
      </c>
      <c r="B99" s="88">
        <f t="shared" si="36"/>
        <v>5508235.6069707666</v>
      </c>
      <c r="C99" s="88">
        <f t="shared" si="37"/>
        <v>39918.149710750993</v>
      </c>
      <c r="D99" s="88">
        <f t="shared" si="38"/>
        <v>32131.374373996139</v>
      </c>
      <c r="E99" s="88">
        <f t="shared" si="39"/>
        <v>7786.7753367548539</v>
      </c>
      <c r="F99" s="88">
        <f t="shared" si="40"/>
        <v>5500448.8316340121</v>
      </c>
    </row>
    <row r="100" spans="1:6" x14ac:dyDescent="0.25">
      <c r="A100" s="87" t="s">
        <v>121</v>
      </c>
      <c r="B100" s="88">
        <f t="shared" si="36"/>
        <v>5500448.8316340121</v>
      </c>
      <c r="C100" s="88">
        <f t="shared" si="37"/>
        <v>39918.149710750993</v>
      </c>
      <c r="D100" s="88">
        <f t="shared" si="38"/>
        <v>32085.951517865073</v>
      </c>
      <c r="E100" s="88">
        <f t="shared" si="39"/>
        <v>7832.1981928859204</v>
      </c>
      <c r="F100" s="90">
        <f t="shared" si="40"/>
        <v>5492616.633441126</v>
      </c>
    </row>
    <row r="101" spans="1:6" x14ac:dyDescent="0.25">
      <c r="A101" s="91" t="s">
        <v>122</v>
      </c>
      <c r="B101" s="92">
        <f t="shared" si="36"/>
        <v>5492616.633441126</v>
      </c>
      <c r="C101" s="90">
        <f t="shared" si="37"/>
        <v>39918.149710750993</v>
      </c>
      <c r="D101" s="90">
        <f t="shared" si="38"/>
        <v>32040.263695073238</v>
      </c>
      <c r="E101">
        <f t="shared" si="39"/>
        <v>7877.8860156777555</v>
      </c>
      <c r="F101">
        <f t="shared" si="40"/>
        <v>5484738.7474254481</v>
      </c>
    </row>
    <row r="102" spans="1:6" x14ac:dyDescent="0.25">
      <c r="A102" t="s">
        <v>123</v>
      </c>
      <c r="B102">
        <f t="shared" si="36"/>
        <v>5484738.7474254481</v>
      </c>
      <c r="C102">
        <f t="shared" si="37"/>
        <v>39918.149710750993</v>
      </c>
      <c r="D102">
        <f t="shared" si="38"/>
        <v>31994.309359981784</v>
      </c>
      <c r="E102">
        <f t="shared" si="39"/>
        <v>7923.8403507692092</v>
      </c>
      <c r="F102">
        <f t="shared" si="40"/>
        <v>5476814.9070746787</v>
      </c>
    </row>
    <row r="103" spans="1:6" x14ac:dyDescent="0.25">
      <c r="A103" t="s">
        <v>124</v>
      </c>
      <c r="B103">
        <f t="shared" si="36"/>
        <v>5476814.9070746787</v>
      </c>
      <c r="C103">
        <f t="shared" si="37"/>
        <v>39918.149710750993</v>
      </c>
      <c r="D103">
        <f t="shared" si="38"/>
        <v>31948.086957935626</v>
      </c>
      <c r="E103">
        <f t="shared" si="39"/>
        <v>7970.0627528153673</v>
      </c>
      <c r="F103">
        <f t="shared" si="40"/>
        <v>5468844.8443218637</v>
      </c>
    </row>
    <row r="104" spans="1:6" x14ac:dyDescent="0.25">
      <c r="A104" t="s">
        <v>125</v>
      </c>
      <c r="C104">
        <f>SUM(C92:C103)</f>
        <v>479017.79652901203</v>
      </c>
      <c r="D104">
        <f t="shared" ref="D104:E104" si="41">SUM(D92:D103)</f>
        <v>386369.50976172969</v>
      </c>
      <c r="E104">
        <f t="shared" si="41"/>
        <v>92648.286767282319</v>
      </c>
    </row>
    <row r="106" spans="1:6" x14ac:dyDescent="0.25">
      <c r="A106">
        <v>2022</v>
      </c>
    </row>
    <row r="107" spans="1:6" x14ac:dyDescent="0.25">
      <c r="A107" s="87" t="s">
        <v>108</v>
      </c>
      <c r="B107" s="88">
        <f>F103</f>
        <v>5468844.8443218637</v>
      </c>
      <c r="C107" s="88">
        <f>C92</f>
        <v>39918.149710750993</v>
      </c>
      <c r="D107" s="88">
        <f>$I$3*B107</f>
        <v>31901.594925210873</v>
      </c>
      <c r="E107" s="88">
        <f>C107-D107</f>
        <v>8016.5547855401201</v>
      </c>
      <c r="F107" s="88">
        <f>B107-E107</f>
        <v>5460828.2895363234</v>
      </c>
    </row>
    <row r="108" spans="1:6" x14ac:dyDescent="0.25">
      <c r="A108" s="87" t="s">
        <v>110</v>
      </c>
      <c r="B108" s="88">
        <f t="shared" ref="B108:B118" si="42">B107-E107</f>
        <v>5460828.2895363234</v>
      </c>
      <c r="C108" s="88">
        <f t="shared" ref="C108:C118" si="43">C93</f>
        <v>39918.149710750993</v>
      </c>
      <c r="D108" s="88">
        <f t="shared" ref="D108:D118" si="44">$I$3*B108</f>
        <v>31854.831688961887</v>
      </c>
      <c r="E108" s="88">
        <f t="shared" ref="E108:E118" si="45">C108-D108</f>
        <v>8063.3180217891058</v>
      </c>
      <c r="F108" s="88">
        <f t="shared" ref="F108:F118" si="46">B108-E108</f>
        <v>5452764.9715145342</v>
      </c>
    </row>
    <row r="109" spans="1:6" x14ac:dyDescent="0.25">
      <c r="A109" s="87" t="s">
        <v>112</v>
      </c>
      <c r="B109" s="88">
        <f t="shared" si="42"/>
        <v>5452764.9715145342</v>
      </c>
      <c r="C109" s="88">
        <f t="shared" si="43"/>
        <v>39918.149710750993</v>
      </c>
      <c r="D109" s="88">
        <f t="shared" si="44"/>
        <v>31807.795667168117</v>
      </c>
      <c r="E109" s="88">
        <f t="shared" si="45"/>
        <v>8110.3540435828763</v>
      </c>
      <c r="F109" s="88">
        <f t="shared" si="46"/>
        <v>5444654.6174709518</v>
      </c>
    </row>
    <row r="110" spans="1:6" x14ac:dyDescent="0.25">
      <c r="A110" s="87" t="s">
        <v>114</v>
      </c>
      <c r="B110" s="88">
        <f t="shared" si="42"/>
        <v>5444654.6174709518</v>
      </c>
      <c r="C110" s="88">
        <f t="shared" si="43"/>
        <v>39918.149710750993</v>
      </c>
      <c r="D110" s="88">
        <f t="shared" si="44"/>
        <v>31760.485268580553</v>
      </c>
      <c r="E110" s="88">
        <f t="shared" si="45"/>
        <v>8157.6644421704405</v>
      </c>
      <c r="F110" s="88">
        <f t="shared" si="46"/>
        <v>5436496.9530287813</v>
      </c>
    </row>
    <row r="111" spans="1:6" x14ac:dyDescent="0.25">
      <c r="A111" s="87" t="s">
        <v>115</v>
      </c>
      <c r="B111" s="88">
        <f t="shared" si="42"/>
        <v>5436496.9530287813</v>
      </c>
      <c r="C111" s="88">
        <f t="shared" si="43"/>
        <v>39918.149710750993</v>
      </c>
      <c r="D111" s="88">
        <f t="shared" si="44"/>
        <v>31712.898892667894</v>
      </c>
      <c r="E111" s="88">
        <f t="shared" si="45"/>
        <v>8205.2508180830991</v>
      </c>
      <c r="F111" s="88">
        <f t="shared" si="46"/>
        <v>5428291.7022106983</v>
      </c>
    </row>
    <row r="112" spans="1:6" x14ac:dyDescent="0.25">
      <c r="A112" s="87" t="s">
        <v>117</v>
      </c>
      <c r="B112" s="88">
        <f t="shared" si="42"/>
        <v>5428291.7022106983</v>
      </c>
      <c r="C112" s="88">
        <f t="shared" si="43"/>
        <v>39918.149710750993</v>
      </c>
      <c r="D112" s="88">
        <f t="shared" si="44"/>
        <v>31665.034929562407</v>
      </c>
      <c r="E112" s="88">
        <f t="shared" si="45"/>
        <v>8253.1147811885858</v>
      </c>
      <c r="F112" s="88">
        <f t="shared" si="46"/>
        <v>5420038.5874295095</v>
      </c>
    </row>
    <row r="113" spans="1:6" x14ac:dyDescent="0.25">
      <c r="A113" s="87" t="s">
        <v>119</v>
      </c>
      <c r="B113" s="88">
        <f t="shared" si="42"/>
        <v>5420038.5874295095</v>
      </c>
      <c r="C113" s="88">
        <f t="shared" si="43"/>
        <v>39918.149710750993</v>
      </c>
      <c r="D113" s="88">
        <f t="shared" si="44"/>
        <v>31616.891760005474</v>
      </c>
      <c r="E113" s="88">
        <f t="shared" si="45"/>
        <v>8301.2579507455193</v>
      </c>
      <c r="F113" s="88">
        <f t="shared" si="46"/>
        <v>5411737.329478764</v>
      </c>
    </row>
    <row r="114" spans="1:6" x14ac:dyDescent="0.25">
      <c r="A114" s="87" t="s">
        <v>120</v>
      </c>
      <c r="B114" s="88">
        <f t="shared" si="42"/>
        <v>5411737.329478764</v>
      </c>
      <c r="C114" s="88">
        <f t="shared" si="43"/>
        <v>39918.149710750993</v>
      </c>
      <c r="D114" s="88">
        <f t="shared" si="44"/>
        <v>31568.46775529279</v>
      </c>
      <c r="E114" s="88">
        <f t="shared" si="45"/>
        <v>8349.6819554582034</v>
      </c>
      <c r="F114" s="88">
        <f t="shared" si="46"/>
        <v>5403387.6475233054</v>
      </c>
    </row>
    <row r="115" spans="1:6" x14ac:dyDescent="0.25">
      <c r="A115" s="87" t="s">
        <v>121</v>
      </c>
      <c r="B115" s="88">
        <f t="shared" si="42"/>
        <v>5403387.6475233054</v>
      </c>
      <c r="C115" s="88">
        <f t="shared" si="43"/>
        <v>39918.149710750993</v>
      </c>
      <c r="D115" s="88">
        <f t="shared" si="44"/>
        <v>31519.761277219284</v>
      </c>
      <c r="E115" s="88">
        <f t="shared" si="45"/>
        <v>8398.3884335317089</v>
      </c>
      <c r="F115" s="90">
        <f t="shared" si="46"/>
        <v>5394989.2590897735</v>
      </c>
    </row>
    <row r="116" spans="1:6" x14ac:dyDescent="0.25">
      <c r="A116" s="91" t="s">
        <v>122</v>
      </c>
      <c r="B116" s="92">
        <f t="shared" si="42"/>
        <v>5394989.2590897735</v>
      </c>
      <c r="C116" s="90">
        <f t="shared" si="43"/>
        <v>39918.149710750993</v>
      </c>
      <c r="D116" s="90">
        <f t="shared" si="44"/>
        <v>31470.77067802368</v>
      </c>
      <c r="E116">
        <f t="shared" si="45"/>
        <v>8447.3790327273127</v>
      </c>
      <c r="F116">
        <f t="shared" si="46"/>
        <v>5386541.8800570462</v>
      </c>
    </row>
    <row r="117" spans="1:6" x14ac:dyDescent="0.25">
      <c r="A117" t="s">
        <v>123</v>
      </c>
      <c r="B117">
        <f t="shared" si="42"/>
        <v>5386541.8800570462</v>
      </c>
      <c r="C117">
        <f t="shared" si="43"/>
        <v>39918.149710750993</v>
      </c>
      <c r="D117">
        <f t="shared" si="44"/>
        <v>31421.494300332772</v>
      </c>
      <c r="E117">
        <f t="shared" si="45"/>
        <v>8496.6554104182214</v>
      </c>
      <c r="F117">
        <f t="shared" si="46"/>
        <v>5378045.2246466279</v>
      </c>
    </row>
    <row r="118" spans="1:6" x14ac:dyDescent="0.25">
      <c r="A118" t="s">
        <v>124</v>
      </c>
      <c r="B118">
        <f t="shared" si="42"/>
        <v>5378045.2246466279</v>
      </c>
      <c r="C118">
        <f t="shared" si="43"/>
        <v>39918.149710750993</v>
      </c>
      <c r="D118">
        <f t="shared" si="44"/>
        <v>31371.930477105332</v>
      </c>
      <c r="E118">
        <f t="shared" si="45"/>
        <v>8546.219233645661</v>
      </c>
      <c r="F118">
        <f t="shared" si="46"/>
        <v>5369499.0054129818</v>
      </c>
    </row>
    <row r="119" spans="1:6" x14ac:dyDescent="0.25">
      <c r="A119" t="s">
        <v>125</v>
      </c>
      <c r="C119">
        <f>SUM(C107:C118)</f>
        <v>479017.79652901203</v>
      </c>
      <c r="D119">
        <f t="shared" ref="D119:E119" si="47">SUM(D107:D118)</f>
        <v>379671.95762013108</v>
      </c>
      <c r="E119">
        <f t="shared" si="47"/>
        <v>99345.838908880876</v>
      </c>
    </row>
    <row r="121" spans="1:6" x14ac:dyDescent="0.25">
      <c r="A121">
        <v>2023</v>
      </c>
    </row>
    <row r="122" spans="1:6" x14ac:dyDescent="0.25">
      <c r="A122" s="87" t="s">
        <v>108</v>
      </c>
      <c r="B122" s="88">
        <f>F118</f>
        <v>5369499.0054129818</v>
      </c>
      <c r="C122" s="88">
        <f>C107</f>
        <v>39918.149710750993</v>
      </c>
      <c r="D122" s="88">
        <f>$I$3*B122</f>
        <v>31322.077531575727</v>
      </c>
      <c r="E122" s="88">
        <f>C122-D122</f>
        <v>8596.0721791752658</v>
      </c>
      <c r="F122" s="88">
        <f>B122-E122</f>
        <v>5360902.9332338069</v>
      </c>
    </row>
    <row r="123" spans="1:6" x14ac:dyDescent="0.25">
      <c r="A123" s="87" t="s">
        <v>110</v>
      </c>
      <c r="B123" s="88">
        <f t="shared" ref="B123:B133" si="48">B122-E122</f>
        <v>5360902.9332338069</v>
      </c>
      <c r="C123" s="88">
        <f t="shared" ref="C123:C133" si="49">C108</f>
        <v>39918.149710750993</v>
      </c>
      <c r="D123" s="88">
        <f t="shared" ref="D123:D133" si="50">$I$3*B123</f>
        <v>31271.93377719721</v>
      </c>
      <c r="E123" s="88">
        <f t="shared" ref="E123:E133" si="51">C123-D123</f>
        <v>8646.2159335537835</v>
      </c>
      <c r="F123" s="88">
        <f t="shared" ref="F123:F133" si="52">B123-E123</f>
        <v>5352256.717300253</v>
      </c>
    </row>
    <row r="124" spans="1:6" x14ac:dyDescent="0.25">
      <c r="A124" s="87" t="s">
        <v>112</v>
      </c>
      <c r="B124" s="88">
        <f t="shared" si="48"/>
        <v>5352256.717300253</v>
      </c>
      <c r="C124" s="88">
        <f t="shared" si="49"/>
        <v>39918.149710750993</v>
      </c>
      <c r="D124" s="88">
        <f t="shared" si="50"/>
        <v>31221.497517584812</v>
      </c>
      <c r="E124" s="88">
        <f t="shared" si="51"/>
        <v>8696.652193166181</v>
      </c>
      <c r="F124" s="88">
        <f t="shared" si="52"/>
        <v>5343560.0651070867</v>
      </c>
    </row>
    <row r="125" spans="1:6" x14ac:dyDescent="0.25">
      <c r="A125" s="87" t="s">
        <v>114</v>
      </c>
      <c r="B125" s="88">
        <f t="shared" si="48"/>
        <v>5343560.0651070867</v>
      </c>
      <c r="C125" s="88">
        <f t="shared" si="49"/>
        <v>39918.149710750993</v>
      </c>
      <c r="D125" s="88">
        <f t="shared" si="50"/>
        <v>31170.767046458008</v>
      </c>
      <c r="E125" s="88">
        <f t="shared" si="51"/>
        <v>8747.3826642929853</v>
      </c>
      <c r="F125" s="88">
        <f t="shared" si="52"/>
        <v>5334812.6824427936</v>
      </c>
    </row>
    <row r="126" spans="1:6" x14ac:dyDescent="0.25">
      <c r="A126" s="87" t="s">
        <v>115</v>
      </c>
      <c r="B126" s="88">
        <f t="shared" si="48"/>
        <v>5334812.6824427936</v>
      </c>
      <c r="C126" s="88">
        <f t="shared" si="49"/>
        <v>39918.149710750993</v>
      </c>
      <c r="D126" s="88">
        <f t="shared" si="50"/>
        <v>31119.740647582963</v>
      </c>
      <c r="E126" s="88">
        <f t="shared" si="51"/>
        <v>8798.4090631680301</v>
      </c>
      <c r="F126" s="88">
        <f t="shared" si="52"/>
        <v>5326014.2733796258</v>
      </c>
    </row>
    <row r="127" spans="1:6" x14ac:dyDescent="0.25">
      <c r="A127" s="87" t="s">
        <v>117</v>
      </c>
      <c r="B127" s="88">
        <f t="shared" si="48"/>
        <v>5326014.2733796258</v>
      </c>
      <c r="C127" s="88">
        <f t="shared" si="49"/>
        <v>39918.149710750993</v>
      </c>
      <c r="D127" s="88">
        <f t="shared" si="50"/>
        <v>31068.416594714487</v>
      </c>
      <c r="E127" s="88">
        <f t="shared" si="51"/>
        <v>8849.7331160365065</v>
      </c>
      <c r="F127" s="88">
        <f t="shared" si="52"/>
        <v>5317164.5402635895</v>
      </c>
    </row>
    <row r="128" spans="1:6" x14ac:dyDescent="0.25">
      <c r="A128" s="87" t="s">
        <v>119</v>
      </c>
      <c r="B128" s="88">
        <f t="shared" si="48"/>
        <v>5317164.5402635895</v>
      </c>
      <c r="C128" s="88">
        <f t="shared" si="49"/>
        <v>39918.149710750993</v>
      </c>
      <c r="D128" s="88">
        <f t="shared" si="50"/>
        <v>31016.793151537608</v>
      </c>
      <c r="E128" s="88">
        <f t="shared" si="51"/>
        <v>8901.3565592133855</v>
      </c>
      <c r="F128" s="88">
        <f t="shared" si="52"/>
        <v>5308263.1837043762</v>
      </c>
    </row>
    <row r="129" spans="1:6" x14ac:dyDescent="0.25">
      <c r="A129" s="87" t="s">
        <v>120</v>
      </c>
      <c r="B129" s="88">
        <f t="shared" si="48"/>
        <v>5308263.1837043762</v>
      </c>
      <c r="C129" s="88">
        <f t="shared" si="49"/>
        <v>39918.149710750993</v>
      </c>
      <c r="D129" s="88">
        <f t="shared" si="50"/>
        <v>30964.868571608862</v>
      </c>
      <c r="E129" s="88">
        <f t="shared" si="51"/>
        <v>8953.281139142131</v>
      </c>
      <c r="F129" s="88">
        <f t="shared" si="52"/>
        <v>5299309.9025652343</v>
      </c>
    </row>
    <row r="130" spans="1:6" x14ac:dyDescent="0.25">
      <c r="A130" s="87" t="s">
        <v>121</v>
      </c>
      <c r="B130" s="88">
        <f t="shared" si="48"/>
        <v>5299309.9025652343</v>
      </c>
      <c r="C130" s="88">
        <f t="shared" si="49"/>
        <v>39918.149710750993</v>
      </c>
      <c r="D130" s="88">
        <f t="shared" si="50"/>
        <v>30912.641098297201</v>
      </c>
      <c r="E130" s="88">
        <f t="shared" si="51"/>
        <v>9005.508612453792</v>
      </c>
      <c r="F130" s="90">
        <f t="shared" si="52"/>
        <v>5290304.3939527804</v>
      </c>
    </row>
    <row r="131" spans="1:6" x14ac:dyDescent="0.25">
      <c r="A131" s="91" t="s">
        <v>122</v>
      </c>
      <c r="B131" s="92">
        <f t="shared" si="48"/>
        <v>5290304.3939527804</v>
      </c>
      <c r="C131" s="90">
        <f t="shared" si="49"/>
        <v>39918.149710750993</v>
      </c>
      <c r="D131" s="90">
        <f t="shared" si="50"/>
        <v>30860.108964724554</v>
      </c>
      <c r="E131">
        <f t="shared" si="51"/>
        <v>9058.0407460264396</v>
      </c>
      <c r="F131">
        <f t="shared" si="52"/>
        <v>5281246.3532067537</v>
      </c>
    </row>
    <row r="132" spans="1:6" x14ac:dyDescent="0.25">
      <c r="A132" t="s">
        <v>123</v>
      </c>
      <c r="B132">
        <f t="shared" si="48"/>
        <v>5281246.3532067537</v>
      </c>
      <c r="C132">
        <f t="shared" si="49"/>
        <v>39918.149710750993</v>
      </c>
      <c r="D132">
        <f t="shared" si="50"/>
        <v>30807.270393706065</v>
      </c>
      <c r="E132">
        <f t="shared" si="51"/>
        <v>9110.879317044928</v>
      </c>
      <c r="F132">
        <f t="shared" si="52"/>
        <v>5272135.4738897085</v>
      </c>
    </row>
    <row r="133" spans="1:6" x14ac:dyDescent="0.25">
      <c r="A133" t="s">
        <v>124</v>
      </c>
      <c r="B133">
        <f t="shared" si="48"/>
        <v>5272135.4738897085</v>
      </c>
      <c r="C133">
        <f t="shared" si="49"/>
        <v>39918.149710750993</v>
      </c>
      <c r="D133">
        <f t="shared" si="50"/>
        <v>30754.123597689966</v>
      </c>
      <c r="E133">
        <f t="shared" si="51"/>
        <v>9164.026113061027</v>
      </c>
      <c r="F133">
        <f t="shared" si="52"/>
        <v>5262971.4477766473</v>
      </c>
    </row>
    <row r="134" spans="1:6" x14ac:dyDescent="0.25">
      <c r="A134" t="s">
        <v>125</v>
      </c>
      <c r="C134">
        <f>SUM(C122:C133)</f>
        <v>479017.79652901203</v>
      </c>
      <c r="D134">
        <f t="shared" ref="D134:E134" si="53">SUM(D122:D133)</f>
        <v>372490.23889267741</v>
      </c>
      <c r="E134">
        <f t="shared" si="53"/>
        <v>106527.55763633444</v>
      </c>
    </row>
    <row r="136" spans="1:6" x14ac:dyDescent="0.25">
      <c r="A136">
        <v>2024</v>
      </c>
    </row>
    <row r="137" spans="1:6" x14ac:dyDescent="0.25">
      <c r="A137" s="87" t="s">
        <v>108</v>
      </c>
      <c r="B137" s="88">
        <f>F133</f>
        <v>5262971.4477766473</v>
      </c>
      <c r="C137" s="88">
        <f>C122</f>
        <v>39918.149710750993</v>
      </c>
      <c r="D137" s="88">
        <f>$I$3*B137</f>
        <v>30700.666778697112</v>
      </c>
      <c r="E137" s="88">
        <f>C137-D137</f>
        <v>9217.4829320538811</v>
      </c>
      <c r="F137" s="88">
        <f>B137-E137</f>
        <v>5253753.9648445938</v>
      </c>
    </row>
    <row r="138" spans="1:6" x14ac:dyDescent="0.25">
      <c r="A138" s="87" t="s">
        <v>110</v>
      </c>
      <c r="B138" s="88">
        <f t="shared" ref="B138:B148" si="54">B137-E137</f>
        <v>5253753.9648445938</v>
      </c>
      <c r="C138" s="88">
        <f t="shared" ref="C138:C148" si="55">C123</f>
        <v>39918.149710750993</v>
      </c>
      <c r="D138" s="88">
        <f t="shared" ref="D138:D148" si="56">$I$3*B138</f>
        <v>30646.898128260131</v>
      </c>
      <c r="E138" s="88">
        <f t="shared" ref="E138:E148" si="57">C138-D138</f>
        <v>9271.2515824908623</v>
      </c>
      <c r="F138" s="88">
        <f t="shared" ref="F138:F148" si="58">B138-E138</f>
        <v>5244482.7132621026</v>
      </c>
    </row>
    <row r="139" spans="1:6" x14ac:dyDescent="0.25">
      <c r="A139" s="87" t="s">
        <v>112</v>
      </c>
      <c r="B139" s="88">
        <f t="shared" si="54"/>
        <v>5244482.7132621026</v>
      </c>
      <c r="C139" s="88">
        <f t="shared" si="55"/>
        <v>39918.149710750993</v>
      </c>
      <c r="D139" s="88">
        <f t="shared" si="56"/>
        <v>30592.815827362265</v>
      </c>
      <c r="E139" s="88">
        <f t="shared" si="57"/>
        <v>9325.3338833887283</v>
      </c>
      <c r="F139" s="88">
        <f t="shared" si="58"/>
        <v>5235157.3793787137</v>
      </c>
    </row>
    <row r="140" spans="1:6" x14ac:dyDescent="0.25">
      <c r="A140" s="87" t="s">
        <v>114</v>
      </c>
      <c r="B140" s="88">
        <f t="shared" si="54"/>
        <v>5235157.3793787137</v>
      </c>
      <c r="C140" s="88">
        <f t="shared" si="55"/>
        <v>39918.149710750993</v>
      </c>
      <c r="D140" s="88">
        <f t="shared" si="56"/>
        <v>30538.418046375831</v>
      </c>
      <c r="E140" s="88">
        <f t="shared" si="57"/>
        <v>9379.7316643751619</v>
      </c>
      <c r="F140" s="88">
        <f t="shared" si="58"/>
        <v>5225777.6477143383</v>
      </c>
    </row>
    <row r="141" spans="1:6" x14ac:dyDescent="0.25">
      <c r="A141" s="87" t="s">
        <v>115</v>
      </c>
      <c r="B141" s="88">
        <f t="shared" si="54"/>
        <v>5225777.6477143383</v>
      </c>
      <c r="C141" s="88">
        <f t="shared" si="55"/>
        <v>39918.149710750993</v>
      </c>
      <c r="D141" s="88">
        <f t="shared" si="56"/>
        <v>30483.702945000306</v>
      </c>
      <c r="E141" s="88">
        <f t="shared" si="57"/>
        <v>9434.4467657506866</v>
      </c>
      <c r="F141" s="88">
        <f t="shared" si="58"/>
        <v>5216343.2009485876</v>
      </c>
    </row>
    <row r="142" spans="1:6" x14ac:dyDescent="0.25">
      <c r="A142" s="87" t="s">
        <v>117</v>
      </c>
      <c r="B142" s="88">
        <f t="shared" si="54"/>
        <v>5216343.2009485876</v>
      </c>
      <c r="C142" s="88">
        <f t="shared" si="55"/>
        <v>39918.149710750993</v>
      </c>
      <c r="D142" s="88">
        <f t="shared" si="56"/>
        <v>30428.668672200096</v>
      </c>
      <c r="E142" s="88">
        <f t="shared" si="57"/>
        <v>9489.4810385508972</v>
      </c>
      <c r="F142" s="88">
        <f t="shared" si="58"/>
        <v>5206853.7199100368</v>
      </c>
    </row>
    <row r="143" spans="1:6" x14ac:dyDescent="0.25">
      <c r="A143" s="87" t="s">
        <v>119</v>
      </c>
      <c r="B143" s="88">
        <f t="shared" si="54"/>
        <v>5206853.7199100368</v>
      </c>
      <c r="C143" s="88">
        <f t="shared" si="55"/>
        <v>39918.149710750993</v>
      </c>
      <c r="D143" s="88">
        <f t="shared" si="56"/>
        <v>30373.313366141883</v>
      </c>
      <c r="E143" s="88">
        <f t="shared" si="57"/>
        <v>9544.8363446091098</v>
      </c>
      <c r="F143" s="88">
        <f t="shared" si="58"/>
        <v>5197308.8835654277</v>
      </c>
    </row>
    <row r="144" spans="1:6" x14ac:dyDescent="0.25">
      <c r="A144" s="87" t="s">
        <v>120</v>
      </c>
      <c r="B144" s="88">
        <f t="shared" si="54"/>
        <v>5197308.8835654277</v>
      </c>
      <c r="C144" s="88">
        <f t="shared" si="55"/>
        <v>39918.149710750993</v>
      </c>
      <c r="D144" s="88">
        <f t="shared" si="56"/>
        <v>30317.635154131662</v>
      </c>
      <c r="E144" s="88">
        <f t="shared" si="57"/>
        <v>9600.5145566193314</v>
      </c>
      <c r="F144" s="88">
        <f t="shared" si="58"/>
        <v>5187708.3690088084</v>
      </c>
    </row>
    <row r="145" spans="1:6" x14ac:dyDescent="0.25">
      <c r="A145" s="87" t="s">
        <v>121</v>
      </c>
      <c r="B145" s="88">
        <f t="shared" si="54"/>
        <v>5187708.3690088084</v>
      </c>
      <c r="C145" s="88">
        <f t="shared" si="55"/>
        <v>39918.149710750993</v>
      </c>
      <c r="D145" s="88">
        <f t="shared" si="56"/>
        <v>30261.632152551385</v>
      </c>
      <c r="E145" s="88">
        <f t="shared" si="57"/>
        <v>9656.5175581996082</v>
      </c>
      <c r="F145" s="90">
        <f t="shared" si="58"/>
        <v>5178051.851450609</v>
      </c>
    </row>
    <row r="146" spans="1:6" x14ac:dyDescent="0.25">
      <c r="A146" s="91" t="s">
        <v>122</v>
      </c>
      <c r="B146" s="92">
        <f t="shared" si="54"/>
        <v>5178051.851450609</v>
      </c>
      <c r="C146" s="90">
        <f t="shared" si="55"/>
        <v>39918.149710750993</v>
      </c>
      <c r="D146" s="90">
        <f t="shared" si="56"/>
        <v>30205.30246679522</v>
      </c>
      <c r="E146">
        <f t="shared" si="57"/>
        <v>9712.8472439557736</v>
      </c>
      <c r="F146">
        <f t="shared" si="58"/>
        <v>5168339.0042066537</v>
      </c>
    </row>
    <row r="147" spans="1:6" x14ac:dyDescent="0.25">
      <c r="A147" t="s">
        <v>123</v>
      </c>
      <c r="B147">
        <f t="shared" si="54"/>
        <v>5168339.0042066537</v>
      </c>
      <c r="C147">
        <f t="shared" si="55"/>
        <v>39918.149710750993</v>
      </c>
      <c r="D147">
        <f t="shared" si="56"/>
        <v>30148.64419120548</v>
      </c>
      <c r="E147">
        <f t="shared" si="57"/>
        <v>9769.5055195455134</v>
      </c>
      <c r="F147">
        <f t="shared" si="58"/>
        <v>5158569.498687108</v>
      </c>
    </row>
    <row r="148" spans="1:6" x14ac:dyDescent="0.25">
      <c r="A148" t="s">
        <v>124</v>
      </c>
      <c r="B148">
        <f t="shared" si="54"/>
        <v>5158569.498687108</v>
      </c>
      <c r="C148">
        <f t="shared" si="55"/>
        <v>39918.149710750993</v>
      </c>
      <c r="D148">
        <f t="shared" si="56"/>
        <v>30091.65540900813</v>
      </c>
      <c r="E148">
        <f t="shared" si="57"/>
        <v>9826.4943017428632</v>
      </c>
      <c r="F148">
        <f t="shared" si="58"/>
        <v>5148743.0043853652</v>
      </c>
    </row>
    <row r="149" spans="1:6" x14ac:dyDescent="0.25">
      <c r="A149" t="s">
        <v>125</v>
      </c>
      <c r="C149">
        <f>SUM(C137:C148)</f>
        <v>479017.79652901203</v>
      </c>
      <c r="D149">
        <f t="shared" ref="D149:E149" si="59">SUM(D137:D148)</f>
        <v>364789.35313772951</v>
      </c>
      <c r="E149">
        <f t="shared" si="59"/>
        <v>114228.44339128242</v>
      </c>
    </row>
    <row r="151" spans="1:6" x14ac:dyDescent="0.25">
      <c r="A151">
        <v>2025</v>
      </c>
    </row>
    <row r="152" spans="1:6" x14ac:dyDescent="0.25">
      <c r="A152" s="87" t="s">
        <v>108</v>
      </c>
      <c r="B152" s="88">
        <f>F148</f>
        <v>5148743.0043853652</v>
      </c>
      <c r="C152" s="88">
        <f>C137</f>
        <v>39918.149710750993</v>
      </c>
      <c r="D152" s="88">
        <f>$I$3*B152</f>
        <v>30034.334192247963</v>
      </c>
      <c r="E152" s="88">
        <f>C152-D152</f>
        <v>9883.81551850303</v>
      </c>
      <c r="F152" s="88">
        <f>B152-E152</f>
        <v>5138859.1888668621</v>
      </c>
    </row>
    <row r="153" spans="1:6" x14ac:dyDescent="0.25">
      <c r="A153" s="87" t="s">
        <v>110</v>
      </c>
      <c r="B153" s="88">
        <f t="shared" ref="B153:B163" si="60">B152-E152</f>
        <v>5138859.1888668621</v>
      </c>
      <c r="C153" s="88">
        <f t="shared" ref="C153:C163" si="61">C138</f>
        <v>39918.149710750993</v>
      </c>
      <c r="D153" s="88">
        <f t="shared" ref="D153:D163" si="62">$I$3*B153</f>
        <v>29976.678601723364</v>
      </c>
      <c r="E153" s="88">
        <f t="shared" ref="E153:E163" si="63">C153-D153</f>
        <v>9941.4711090276287</v>
      </c>
      <c r="F153" s="88">
        <f t="shared" ref="F153:F163" si="64">B153-E153</f>
        <v>5128917.7177578341</v>
      </c>
    </row>
    <row r="154" spans="1:6" x14ac:dyDescent="0.25">
      <c r="A154" s="87" t="s">
        <v>112</v>
      </c>
      <c r="B154" s="88">
        <f t="shared" si="60"/>
        <v>5128917.7177578341</v>
      </c>
      <c r="C154" s="88">
        <f t="shared" si="61"/>
        <v>39918.149710750993</v>
      </c>
      <c r="D154" s="88">
        <f t="shared" si="62"/>
        <v>29918.686686920701</v>
      </c>
      <c r="E154" s="88">
        <f t="shared" si="63"/>
        <v>9999.4630238302925</v>
      </c>
      <c r="F154" s="88">
        <f t="shared" si="64"/>
        <v>5118918.2547340039</v>
      </c>
    </row>
    <row r="155" spans="1:6" x14ac:dyDescent="0.25">
      <c r="A155" s="87" t="s">
        <v>114</v>
      </c>
      <c r="B155" s="88">
        <f t="shared" si="60"/>
        <v>5118918.2547340039</v>
      </c>
      <c r="C155" s="88">
        <f t="shared" si="61"/>
        <v>39918.149710750993</v>
      </c>
      <c r="D155" s="88">
        <f t="shared" si="62"/>
        <v>29860.356485948356</v>
      </c>
      <c r="E155" s="88">
        <f t="shared" si="63"/>
        <v>10057.793224802637</v>
      </c>
      <c r="F155" s="88">
        <f t="shared" si="64"/>
        <v>5108860.4615092017</v>
      </c>
    </row>
    <row r="156" spans="1:6" x14ac:dyDescent="0.25">
      <c r="A156" s="87" t="s">
        <v>115</v>
      </c>
      <c r="B156" s="88">
        <f t="shared" si="60"/>
        <v>5108860.4615092017</v>
      </c>
      <c r="C156" s="88">
        <f t="shared" si="61"/>
        <v>39918.149710750993</v>
      </c>
      <c r="D156" s="88">
        <f t="shared" si="62"/>
        <v>29801.686025470346</v>
      </c>
      <c r="E156" s="88">
        <f t="shared" si="63"/>
        <v>10116.463685280647</v>
      </c>
      <c r="F156" s="88">
        <f t="shared" si="64"/>
        <v>5098743.997823921</v>
      </c>
    </row>
    <row r="157" spans="1:6" x14ac:dyDescent="0.25">
      <c r="A157" s="87" t="s">
        <v>117</v>
      </c>
      <c r="B157" s="88">
        <f t="shared" si="60"/>
        <v>5098743.997823921</v>
      </c>
      <c r="C157" s="88">
        <f t="shared" si="61"/>
        <v>39918.149710750993</v>
      </c>
      <c r="D157" s="88">
        <f t="shared" si="62"/>
        <v>29742.67332063954</v>
      </c>
      <c r="E157" s="88">
        <f t="shared" si="63"/>
        <v>10175.476390111453</v>
      </c>
      <c r="F157" s="88">
        <f t="shared" si="64"/>
        <v>5088568.5214338098</v>
      </c>
    </row>
    <row r="158" spans="1:6" x14ac:dyDescent="0.25">
      <c r="A158" s="87" t="s">
        <v>119</v>
      </c>
      <c r="B158" s="88">
        <f t="shared" si="60"/>
        <v>5088568.5214338098</v>
      </c>
      <c r="C158" s="88">
        <f t="shared" si="61"/>
        <v>39918.149710750993</v>
      </c>
      <c r="D158" s="88">
        <f t="shared" si="62"/>
        <v>29683.316375030558</v>
      </c>
      <c r="E158" s="88">
        <f t="shared" si="63"/>
        <v>10234.833335720436</v>
      </c>
      <c r="F158" s="88">
        <f t="shared" si="64"/>
        <v>5078333.6880980898</v>
      </c>
    </row>
    <row r="159" spans="1:6" x14ac:dyDescent="0.25">
      <c r="A159" s="87" t="s">
        <v>120</v>
      </c>
      <c r="B159" s="88">
        <f t="shared" si="60"/>
        <v>5078333.6880980898</v>
      </c>
      <c r="C159" s="88">
        <f t="shared" si="61"/>
        <v>39918.149710750993</v>
      </c>
      <c r="D159" s="88">
        <f t="shared" si="62"/>
        <v>29623.613180572193</v>
      </c>
      <c r="E159" s="88">
        <f t="shared" si="63"/>
        <v>10294.536530178801</v>
      </c>
      <c r="F159" s="88">
        <f t="shared" si="64"/>
        <v>5068039.1515679108</v>
      </c>
    </row>
    <row r="160" spans="1:6" x14ac:dyDescent="0.25">
      <c r="A160" s="87" t="s">
        <v>121</v>
      </c>
      <c r="B160" s="88">
        <f t="shared" si="60"/>
        <v>5068039.1515679108</v>
      </c>
      <c r="C160" s="88">
        <f t="shared" si="61"/>
        <v>39918.149710750993</v>
      </c>
      <c r="D160" s="88">
        <f t="shared" si="62"/>
        <v>29563.561717479482</v>
      </c>
      <c r="E160" s="88">
        <f t="shared" si="63"/>
        <v>10354.587993271511</v>
      </c>
      <c r="F160" s="90">
        <f t="shared" si="64"/>
        <v>5057684.5635746391</v>
      </c>
    </row>
    <row r="161" spans="1:6" x14ac:dyDescent="0.25">
      <c r="A161" s="91" t="s">
        <v>122</v>
      </c>
      <c r="B161" s="92">
        <f t="shared" si="60"/>
        <v>5057684.5635746391</v>
      </c>
      <c r="C161" s="90">
        <f t="shared" si="61"/>
        <v>39918.149710750993</v>
      </c>
      <c r="D161" s="90">
        <f t="shared" si="62"/>
        <v>29503.159954185398</v>
      </c>
      <c r="E161">
        <f t="shared" si="63"/>
        <v>10414.989756565596</v>
      </c>
      <c r="F161">
        <f t="shared" si="64"/>
        <v>5047269.5738180736</v>
      </c>
    </row>
    <row r="162" spans="1:6" x14ac:dyDescent="0.25">
      <c r="A162" t="s">
        <v>123</v>
      </c>
      <c r="B162">
        <f t="shared" si="60"/>
        <v>5047269.5738180736</v>
      </c>
      <c r="C162">
        <f t="shared" si="61"/>
        <v>39918.149710750993</v>
      </c>
      <c r="D162">
        <f t="shared" si="62"/>
        <v>29442.405847272097</v>
      </c>
      <c r="E162">
        <f t="shared" si="63"/>
        <v>10475.743863478896</v>
      </c>
      <c r="F162">
        <f t="shared" si="64"/>
        <v>5036793.8299545944</v>
      </c>
    </row>
    <row r="163" spans="1:6" x14ac:dyDescent="0.25">
      <c r="A163" t="s">
        <v>124</v>
      </c>
      <c r="B163">
        <f t="shared" si="60"/>
        <v>5036793.8299545944</v>
      </c>
      <c r="C163">
        <f t="shared" si="61"/>
        <v>39918.149710750993</v>
      </c>
      <c r="D163">
        <f t="shared" si="62"/>
        <v>29381.297341401802</v>
      </c>
      <c r="E163">
        <f t="shared" si="63"/>
        <v>10536.852369349192</v>
      </c>
      <c r="F163">
        <f t="shared" si="64"/>
        <v>5026256.9775852449</v>
      </c>
    </row>
    <row r="164" spans="1:6" x14ac:dyDescent="0.25">
      <c r="A164" t="s">
        <v>125</v>
      </c>
      <c r="C164">
        <f>SUM(C152:C163)</f>
        <v>479017.79652901203</v>
      </c>
      <c r="D164">
        <f t="shared" ref="D164:E164" si="65">SUM(D152:D163)</f>
        <v>356531.76972889178</v>
      </c>
      <c r="E164">
        <f t="shared" si="65"/>
        <v>122486.02680012012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E34" sqref="E34"/>
    </sheetView>
  </sheetViews>
  <sheetFormatPr defaultRowHeight="15" x14ac:dyDescent="0.25"/>
  <cols>
    <col min="1" max="1" width="41.140625" bestFit="1" customWidth="1"/>
    <col min="2" max="2" width="36.5703125" bestFit="1" customWidth="1"/>
    <col min="3" max="3" width="12.140625" bestFit="1" customWidth="1"/>
    <col min="4" max="4" width="15" bestFit="1" customWidth="1"/>
    <col min="5" max="5" width="14.5703125" bestFit="1" customWidth="1"/>
    <col min="6" max="6" width="15" bestFit="1" customWidth="1"/>
    <col min="7" max="8" width="14.5703125" bestFit="1" customWidth="1"/>
    <col min="9" max="12" width="15" bestFit="1" customWidth="1"/>
    <col min="13" max="13" width="15.42578125" bestFit="1" customWidth="1"/>
    <col min="14" max="14" width="15.5703125" bestFit="1" customWidth="1"/>
    <col min="18" max="18" width="16.7109375" bestFit="1" customWidth="1"/>
  </cols>
  <sheetData>
    <row r="1" spans="1:16" ht="15.75" thickBot="1" x14ac:dyDescent="0.3">
      <c r="D1" s="4">
        <v>2015</v>
      </c>
      <c r="E1" s="4">
        <v>2016</v>
      </c>
      <c r="F1" s="4">
        <v>2017</v>
      </c>
      <c r="G1" s="4">
        <v>2018</v>
      </c>
      <c r="H1" s="30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</row>
    <row r="2" spans="1:16" ht="15.75" thickBot="1" x14ac:dyDescent="0.3">
      <c r="A2" s="108" t="s">
        <v>126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1:16" x14ac:dyDescent="0.25">
      <c r="A3" s="92" t="s">
        <v>127</v>
      </c>
    </row>
    <row r="4" spans="1:16" x14ac:dyDescent="0.25">
      <c r="B4" t="s">
        <v>128</v>
      </c>
      <c r="C4" s="93">
        <v>0.5</v>
      </c>
    </row>
    <row r="5" spans="1:16" x14ac:dyDescent="0.25">
      <c r="A5" t="s">
        <v>62</v>
      </c>
      <c r="D5" s="94"/>
    </row>
    <row r="6" spans="1:16" x14ac:dyDescent="0.25">
      <c r="A6" t="s">
        <v>87</v>
      </c>
      <c r="D6" s="95">
        <v>-4127583.333333333</v>
      </c>
      <c r="E6" s="95">
        <v>-1246408.5567166668</v>
      </c>
      <c r="F6" s="95">
        <v>-585390.67325149954</v>
      </c>
      <c r="G6" s="95">
        <v>-28181.876693045138</v>
      </c>
      <c r="H6" s="95">
        <v>716528.59202816302</v>
      </c>
      <c r="I6" s="95">
        <v>1705592.0619224389</v>
      </c>
      <c r="J6" s="95">
        <f>3012933.16012434-5000000</f>
        <v>-1987066.8398756599</v>
      </c>
      <c r="K6" s="95">
        <f>4734672.33641937-2000000</f>
        <v>2734672.33641937</v>
      </c>
      <c r="L6" s="95">
        <f>6995785.1611495-1000000</f>
        <v>5995785.1611494999</v>
      </c>
      <c r="M6" s="95">
        <f>2148373.34478202+1000000</f>
        <v>3148373.34478202</v>
      </c>
      <c r="N6" s="95">
        <v>31888498.11900001</v>
      </c>
    </row>
    <row r="7" spans="1:16" x14ac:dyDescent="0.25">
      <c r="A7" t="s">
        <v>88</v>
      </c>
      <c r="D7" s="96">
        <v>0.3005141927757331</v>
      </c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6" x14ac:dyDescent="0.25">
      <c r="C8" s="89"/>
      <c r="D8" s="97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6" x14ac:dyDescent="0.25"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6" x14ac:dyDescent="0.25"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6" x14ac:dyDescent="0.25">
      <c r="A11" t="s">
        <v>90</v>
      </c>
      <c r="D11" s="95"/>
      <c r="E11" s="95"/>
      <c r="F11" s="96">
        <v>9.4488391323376525E-2</v>
      </c>
      <c r="G11" s="95"/>
      <c r="H11" s="95"/>
      <c r="I11" s="95"/>
      <c r="J11" s="95"/>
      <c r="K11" s="95"/>
      <c r="L11" s="95"/>
      <c r="M11" s="95"/>
      <c r="N11" s="95"/>
    </row>
    <row r="12" spans="1:16" ht="15.75" thickBot="1" x14ac:dyDescent="0.3">
      <c r="A12" s="98" t="s">
        <v>91</v>
      </c>
      <c r="B12" s="98"/>
      <c r="C12" s="98"/>
      <c r="D12" s="99"/>
      <c r="E12" s="99"/>
      <c r="F12" s="99">
        <f>NPV(F11,E6:N6)</f>
        <v>17470370.044341695</v>
      </c>
      <c r="G12" s="99"/>
      <c r="H12" s="99"/>
      <c r="I12" s="99"/>
      <c r="J12" s="99"/>
      <c r="K12" s="99"/>
      <c r="L12" s="99"/>
      <c r="M12" s="99"/>
      <c r="N12" s="99"/>
      <c r="O12" s="98"/>
      <c r="P12" s="98"/>
    </row>
    <row r="13" spans="1:16" ht="15.75" thickBot="1" x14ac:dyDescent="0.3">
      <c r="A13" s="109" t="s">
        <v>130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6" x14ac:dyDescent="0.25">
      <c r="A14" s="92" t="s">
        <v>131</v>
      </c>
    </row>
    <row r="15" spans="1:16" x14ac:dyDescent="0.25">
      <c r="B15" t="s">
        <v>132</v>
      </c>
      <c r="C15" s="93">
        <v>0.3</v>
      </c>
    </row>
    <row r="16" spans="1:16" x14ac:dyDescent="0.25">
      <c r="A16" s="100" t="s">
        <v>62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6" x14ac:dyDescent="0.25">
      <c r="A17" s="100" t="s">
        <v>87</v>
      </c>
      <c r="B17" s="100"/>
      <c r="C17" s="100"/>
      <c r="D17" s="100">
        <v>-4127583.333333333</v>
      </c>
      <c r="E17" s="100">
        <v>-1261810.8333333335</v>
      </c>
      <c r="F17" s="100">
        <v>-1014820.1583333337</v>
      </c>
      <c r="G17" s="100">
        <v>-631563.65006271238</v>
      </c>
      <c r="H17" s="100">
        <v>-310494.7394718373</v>
      </c>
      <c r="I17" s="100">
        <v>-9877.7765025643166</v>
      </c>
      <c r="J17" s="100">
        <v>345431.93657559517</v>
      </c>
      <c r="K17" s="100">
        <v>763921.74717030453</v>
      </c>
      <c r="L17" s="100">
        <v>1255360.5466946745</v>
      </c>
      <c r="M17" s="100">
        <v>425820.8272837759</v>
      </c>
      <c r="N17" s="100">
        <v>10628628.875759758</v>
      </c>
    </row>
    <row r="18" spans="1:16" x14ac:dyDescent="0.25">
      <c r="A18" s="100" t="s">
        <v>88</v>
      </c>
      <c r="B18" s="100"/>
      <c r="C18" s="100"/>
      <c r="D18" s="93">
        <v>7.2095351065958546E-2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6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6" x14ac:dyDescent="0.25">
      <c r="A20" s="100" t="s">
        <v>90</v>
      </c>
      <c r="B20" s="100"/>
      <c r="C20" s="100"/>
      <c r="D20" s="100"/>
      <c r="E20" s="100"/>
      <c r="F20" s="93">
        <v>9.7227381998066589E-2</v>
      </c>
      <c r="G20" s="100"/>
      <c r="H20" s="100"/>
      <c r="I20" s="100"/>
      <c r="J20" s="100"/>
      <c r="K20" s="100"/>
      <c r="L20" s="100"/>
      <c r="M20" s="100"/>
      <c r="N20" s="100"/>
    </row>
    <row r="21" spans="1:16" ht="15.75" thickBot="1" x14ac:dyDescent="0.3">
      <c r="A21" s="100" t="s">
        <v>91</v>
      </c>
      <c r="B21" s="100"/>
      <c r="C21" s="100"/>
      <c r="D21" s="100"/>
      <c r="E21" s="100"/>
      <c r="F21" s="100">
        <f>NPV(F20,E17:N17)</f>
        <v>2890327.8031846024</v>
      </c>
      <c r="G21" s="100"/>
      <c r="H21" s="100"/>
      <c r="I21" s="100"/>
      <c r="J21" s="100"/>
      <c r="K21" s="100"/>
      <c r="L21" s="100"/>
      <c r="M21" s="100"/>
      <c r="N21" s="100"/>
    </row>
    <row r="22" spans="1:16" ht="15.75" thickBot="1" x14ac:dyDescent="0.3">
      <c r="A22" s="108" t="s">
        <v>133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</row>
    <row r="23" spans="1:16" x14ac:dyDescent="0.25">
      <c r="A23" s="92" t="s">
        <v>134</v>
      </c>
    </row>
    <row r="24" spans="1:16" x14ac:dyDescent="0.25">
      <c r="B24" t="s">
        <v>132</v>
      </c>
      <c r="C24" s="93">
        <v>0.2</v>
      </c>
    </row>
    <row r="25" spans="1:16" x14ac:dyDescent="0.25">
      <c r="A25" t="s">
        <v>62</v>
      </c>
      <c r="D25" s="94"/>
    </row>
    <row r="26" spans="1:16" x14ac:dyDescent="0.25">
      <c r="A26" t="s">
        <v>87</v>
      </c>
      <c r="D26" s="95">
        <v>-4127583.333333333</v>
      </c>
      <c r="E26" s="95">
        <v>-1171810.8333333333</v>
      </c>
      <c r="F26" s="95">
        <v>-1271320.1583333334</v>
      </c>
      <c r="G26" s="95">
        <v>-1373770.6630833333</v>
      </c>
      <c r="H26" s="95">
        <v>-1479249.9889758334</v>
      </c>
      <c r="I26" s="95">
        <v>-1587848.3976451086</v>
      </c>
      <c r="J26" s="95">
        <v>-1699658.8494232625</v>
      </c>
      <c r="K26" s="95">
        <v>-1814777.084147224</v>
      </c>
      <c r="L26" s="95">
        <v>-1933301.7043871733</v>
      </c>
      <c r="M26" s="95">
        <v>-2055334.2611689691</v>
      </c>
      <c r="N26" s="95">
        <v>3075000</v>
      </c>
    </row>
    <row r="27" spans="1:16" x14ac:dyDescent="0.25">
      <c r="A27" t="s">
        <v>88</v>
      </c>
      <c r="D27" s="96">
        <f>IRR(E26:N26,-0.75)</f>
        <v>-0.3754012718369375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6" x14ac:dyDescent="0.25"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6" x14ac:dyDescent="0.25">
      <c r="A29" t="s">
        <v>90</v>
      </c>
      <c r="D29" s="95"/>
      <c r="E29" s="95"/>
      <c r="F29" s="96">
        <v>0.10815804250473472</v>
      </c>
      <c r="G29" s="95"/>
      <c r="H29" s="95"/>
      <c r="I29" s="95"/>
      <c r="J29" s="95"/>
      <c r="K29" s="95"/>
      <c r="L29" s="95"/>
      <c r="M29" s="95"/>
      <c r="N29" s="95"/>
    </row>
    <row r="30" spans="1:16" x14ac:dyDescent="0.25">
      <c r="A30" t="s">
        <v>91</v>
      </c>
      <c r="D30" s="95"/>
      <c r="E30" s="95"/>
      <c r="F30" s="95">
        <f>NPV(F29,E26:N26)</f>
        <v>-7400042.9016307341</v>
      </c>
      <c r="G30" s="95"/>
      <c r="H30" s="95"/>
      <c r="I30" s="95"/>
      <c r="J30" s="95"/>
      <c r="K30" s="95"/>
      <c r="L30" s="95"/>
      <c r="M30" s="95"/>
      <c r="N30" s="95"/>
    </row>
    <row r="34" spans="2:14" x14ac:dyDescent="0.25">
      <c r="B34" s="101" t="s">
        <v>135</v>
      </c>
    </row>
    <row r="35" spans="2:14" x14ac:dyDescent="0.25">
      <c r="B35" s="102">
        <f>F12*C4+F21*C15+F30*C24</f>
        <v>8122274.7828000803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</sheetData>
  <mergeCells count="3">
    <mergeCell ref="A2:P2"/>
    <mergeCell ref="A13:P13"/>
    <mergeCell ref="A22:P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55" zoomScaleNormal="55" workbookViewId="0">
      <selection activeCell="F31" sqref="F31"/>
    </sheetView>
  </sheetViews>
  <sheetFormatPr defaultRowHeight="15" x14ac:dyDescent="0.25"/>
  <cols>
    <col min="1" max="1" width="41.140625" bestFit="1" customWidth="1"/>
    <col min="2" max="2" width="36.5703125" bestFit="1" customWidth="1"/>
    <col min="3" max="3" width="16.7109375" bestFit="1" customWidth="1"/>
    <col min="4" max="5" width="17.140625" bestFit="1" customWidth="1"/>
    <col min="6" max="6" width="17.7109375" bestFit="1" customWidth="1"/>
    <col min="7" max="8" width="17.140625" bestFit="1" customWidth="1"/>
    <col min="9" max="9" width="17.5703125" bestFit="1" customWidth="1"/>
    <col min="10" max="12" width="17.85546875" bestFit="1" customWidth="1"/>
    <col min="13" max="14" width="18" bestFit="1" customWidth="1"/>
    <col min="18" max="18" width="16.7109375" bestFit="1" customWidth="1"/>
  </cols>
  <sheetData>
    <row r="1" spans="1:16" ht="15.75" thickBot="1" x14ac:dyDescent="0.3">
      <c r="D1" s="4">
        <v>2015</v>
      </c>
      <c r="E1" s="4">
        <v>2016</v>
      </c>
      <c r="F1" s="4">
        <v>2017</v>
      </c>
      <c r="G1" s="4">
        <v>2018</v>
      </c>
      <c r="H1" s="30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</row>
    <row r="2" spans="1:16" ht="15.75" thickBot="1" x14ac:dyDescent="0.3">
      <c r="A2" s="108" t="s">
        <v>126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1:16" x14ac:dyDescent="0.25">
      <c r="A3" s="92" t="s">
        <v>127</v>
      </c>
    </row>
    <row r="4" spans="1:16" x14ac:dyDescent="0.25">
      <c r="B4" t="s">
        <v>128</v>
      </c>
      <c r="C4" s="93">
        <v>0.5</v>
      </c>
    </row>
    <row r="5" spans="1:16" x14ac:dyDescent="0.25">
      <c r="A5" t="s">
        <v>62</v>
      </c>
      <c r="D5" s="94"/>
    </row>
    <row r="6" spans="1:16" x14ac:dyDescent="0.25">
      <c r="A6" t="s">
        <v>87</v>
      </c>
      <c r="D6" s="95">
        <v>-4127583.333333333</v>
      </c>
      <c r="E6" s="95">
        <v>-1246408.5567166668</v>
      </c>
      <c r="F6" s="95">
        <v>-585390.67325149954</v>
      </c>
      <c r="G6" s="95">
        <v>-28181.876693045138</v>
      </c>
      <c r="H6" s="95">
        <v>716528.59202816302</v>
      </c>
      <c r="I6" s="95">
        <v>1705592.0619224389</v>
      </c>
      <c r="J6" s="95">
        <f>3012933.16012434-5000000</f>
        <v>-1987066.8398756599</v>
      </c>
      <c r="K6" s="95">
        <f>4734672.33641937-2000000</f>
        <v>2734672.33641937</v>
      </c>
      <c r="L6" s="95">
        <f>6995785.1611495-1000000</f>
        <v>5995785.1611494999</v>
      </c>
      <c r="M6" s="95">
        <f>2148373.34478202+1000000</f>
        <v>3148373.34478202</v>
      </c>
      <c r="N6" s="95">
        <v>31888498.11900001</v>
      </c>
    </row>
    <row r="7" spans="1:16" x14ac:dyDescent="0.25">
      <c r="A7" t="s">
        <v>88</v>
      </c>
      <c r="C7" s="105">
        <f>IRR(D9:N9)</f>
        <v>0.25423171484105289</v>
      </c>
      <c r="D7" s="96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6" x14ac:dyDescent="0.25">
      <c r="B8" t="s">
        <v>129</v>
      </c>
      <c r="C8" s="89"/>
      <c r="D8" s="97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-5000000</v>
      </c>
      <c r="K8" s="95">
        <v>2000000</v>
      </c>
      <c r="L8" s="95">
        <v>2000000</v>
      </c>
      <c r="M8" s="95">
        <v>2000000</v>
      </c>
      <c r="N8" s="95">
        <v>2000000</v>
      </c>
    </row>
    <row r="9" spans="1:16" x14ac:dyDescent="0.25">
      <c r="C9" s="104"/>
      <c r="D9" s="104">
        <f>SUM(D6+D8)</f>
        <v>-4127583.333333333</v>
      </c>
      <c r="E9" s="104">
        <f t="shared" ref="E9:N9" si="0">SUM(E6+E8)</f>
        <v>-1246408.5567166668</v>
      </c>
      <c r="F9" s="104">
        <f t="shared" si="0"/>
        <v>-585390.67325149954</v>
      </c>
      <c r="G9" s="104">
        <f t="shared" si="0"/>
        <v>-28181.876693045138</v>
      </c>
      <c r="H9" s="104">
        <f t="shared" si="0"/>
        <v>716528.59202816302</v>
      </c>
      <c r="I9" s="104">
        <f t="shared" si="0"/>
        <v>1705592.0619224389</v>
      </c>
      <c r="J9" s="104">
        <f t="shared" si="0"/>
        <v>-6987066.8398756599</v>
      </c>
      <c r="K9" s="104">
        <f t="shared" si="0"/>
        <v>4734672.33641937</v>
      </c>
      <c r="L9" s="104">
        <f t="shared" si="0"/>
        <v>7995785.1611494999</v>
      </c>
      <c r="M9" s="104">
        <f t="shared" si="0"/>
        <v>5148373.34478202</v>
      </c>
      <c r="N9" s="104">
        <f t="shared" si="0"/>
        <v>33888498.11900001</v>
      </c>
    </row>
    <row r="10" spans="1:16" x14ac:dyDescent="0.25"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6" x14ac:dyDescent="0.25">
      <c r="A11" t="s">
        <v>90</v>
      </c>
      <c r="D11" s="95"/>
      <c r="E11" s="95"/>
      <c r="F11" s="96">
        <v>9.4488391323376525E-2</v>
      </c>
      <c r="G11" s="95"/>
      <c r="H11" s="95"/>
      <c r="I11" s="95"/>
      <c r="J11" s="95"/>
      <c r="K11" s="95"/>
      <c r="L11" s="95"/>
      <c r="M11" s="95"/>
      <c r="N11" s="95"/>
    </row>
    <row r="12" spans="1:16" ht="15.75" thickBot="1" x14ac:dyDescent="0.3">
      <c r="A12" s="98" t="s">
        <v>91</v>
      </c>
      <c r="B12" s="98"/>
      <c r="C12" s="98"/>
      <c r="D12" s="99"/>
      <c r="E12" s="99"/>
      <c r="F12" s="99">
        <f>NPV(F11,E9:N9)+D9</f>
        <v>14166605.779280309</v>
      </c>
      <c r="G12" s="99"/>
      <c r="H12" s="99"/>
      <c r="I12" s="99"/>
      <c r="J12" s="99"/>
      <c r="K12" s="99"/>
      <c r="L12" s="99"/>
      <c r="M12" s="99"/>
      <c r="N12" s="99"/>
      <c r="O12" s="98"/>
      <c r="P12" s="98"/>
    </row>
    <row r="13" spans="1:16" ht="15.75" thickBot="1" x14ac:dyDescent="0.3">
      <c r="A13" s="109" t="s">
        <v>130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6" x14ac:dyDescent="0.25">
      <c r="A14" s="92" t="s">
        <v>131</v>
      </c>
    </row>
    <row r="15" spans="1:16" x14ac:dyDescent="0.25">
      <c r="B15" t="s">
        <v>132</v>
      </c>
      <c r="C15" s="93">
        <v>0.3</v>
      </c>
    </row>
    <row r="16" spans="1:16" x14ac:dyDescent="0.25">
      <c r="A16" s="100" t="s">
        <v>62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6" x14ac:dyDescent="0.25">
      <c r="A17" s="100" t="s">
        <v>87</v>
      </c>
      <c r="B17" s="100"/>
      <c r="C17" s="100"/>
      <c r="D17" s="100">
        <v>-4127583.333333333</v>
      </c>
      <c r="E17" s="100">
        <v>-1261810.8333333335</v>
      </c>
      <c r="F17" s="100">
        <v>-1014820.1583333337</v>
      </c>
      <c r="G17" s="100">
        <v>-631563.65006271238</v>
      </c>
      <c r="H17" s="100">
        <v>-310494.7394718373</v>
      </c>
      <c r="I17" s="100">
        <v>-9877.7765025643166</v>
      </c>
      <c r="J17" s="100">
        <v>345431.93657559517</v>
      </c>
      <c r="K17" s="100">
        <v>763921.74717030453</v>
      </c>
      <c r="L17" s="100">
        <v>1255360.5466946745</v>
      </c>
      <c r="M17" s="100">
        <v>425820.8272837759</v>
      </c>
      <c r="N17" s="100">
        <v>10628628.875759758</v>
      </c>
    </row>
    <row r="18" spans="1:16" x14ac:dyDescent="0.25">
      <c r="A18" s="100" t="s">
        <v>88</v>
      </c>
      <c r="B18" s="100"/>
      <c r="C18" s="100"/>
      <c r="D18" s="93">
        <v>7.2095351065958546E-2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6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6" x14ac:dyDescent="0.25">
      <c r="A20" s="100" t="s">
        <v>90</v>
      </c>
      <c r="B20" s="100"/>
      <c r="C20" s="100"/>
      <c r="D20" s="100"/>
      <c r="E20" s="100"/>
      <c r="F20" s="93">
        <v>9.7227381998066589E-2</v>
      </c>
      <c r="G20" s="100"/>
      <c r="H20" s="100"/>
      <c r="I20" s="100"/>
      <c r="J20" s="100"/>
      <c r="K20" s="100"/>
      <c r="L20" s="100"/>
      <c r="M20" s="100"/>
      <c r="N20" s="100"/>
    </row>
    <row r="21" spans="1:16" ht="15.75" thickBot="1" x14ac:dyDescent="0.3">
      <c r="A21" s="100" t="s">
        <v>91</v>
      </c>
      <c r="B21" s="100"/>
      <c r="C21" s="100"/>
      <c r="D21" s="100"/>
      <c r="E21" s="100"/>
      <c r="F21" s="107">
        <f>NPV(F20,E17:N17)+D17</f>
        <v>-1237255.5301487306</v>
      </c>
      <c r="G21" s="100"/>
      <c r="H21" s="100"/>
      <c r="I21" s="100"/>
      <c r="J21" s="100"/>
      <c r="K21" s="100"/>
      <c r="L21" s="100"/>
      <c r="M21" s="100"/>
      <c r="N21" s="100"/>
    </row>
    <row r="22" spans="1:16" ht="15.75" thickBot="1" x14ac:dyDescent="0.3">
      <c r="A22" s="108" t="s">
        <v>133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</row>
    <row r="23" spans="1:16" x14ac:dyDescent="0.25">
      <c r="A23" s="92" t="s">
        <v>134</v>
      </c>
    </row>
    <row r="24" spans="1:16" x14ac:dyDescent="0.25">
      <c r="B24" t="s">
        <v>132</v>
      </c>
      <c r="C24" s="93">
        <v>0.2</v>
      </c>
    </row>
    <row r="25" spans="1:16" x14ac:dyDescent="0.25">
      <c r="A25" t="s">
        <v>62</v>
      </c>
      <c r="D25" s="94"/>
    </row>
    <row r="26" spans="1:16" x14ac:dyDescent="0.25">
      <c r="A26" t="s">
        <v>87</v>
      </c>
      <c r="D26" s="95">
        <v>-4127583.333333333</v>
      </c>
      <c r="E26" s="95">
        <v>-1171810.8333333333</v>
      </c>
      <c r="F26" s="95">
        <v>-1271320.1583333334</v>
      </c>
      <c r="G26" s="95">
        <v>-1373770.6630833333</v>
      </c>
      <c r="H26" s="95">
        <v>-1479249.9889758334</v>
      </c>
      <c r="I26" s="95">
        <v>-1587848.3976451086</v>
      </c>
      <c r="J26" s="95">
        <v>-1699658.8494232625</v>
      </c>
      <c r="K26" s="95">
        <v>-1814777.084147224</v>
      </c>
      <c r="L26" s="95">
        <v>-1933301.7043871733</v>
      </c>
      <c r="M26" s="95">
        <v>-2055334.2611689691</v>
      </c>
      <c r="N26" s="95">
        <v>3075000</v>
      </c>
    </row>
    <row r="27" spans="1:16" x14ac:dyDescent="0.25">
      <c r="A27" t="s">
        <v>88</v>
      </c>
      <c r="D27" s="96">
        <f>IRR(E26:N26,-0.75)</f>
        <v>-0.3754012718369375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6" x14ac:dyDescent="0.25"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6" x14ac:dyDescent="0.25">
      <c r="A29" t="s">
        <v>90</v>
      </c>
      <c r="D29" s="95"/>
      <c r="E29" s="95"/>
      <c r="F29" s="96">
        <v>0.10815804250473472</v>
      </c>
      <c r="G29" s="95"/>
      <c r="H29" s="95"/>
      <c r="I29" s="95"/>
      <c r="J29" s="95"/>
      <c r="K29" s="95"/>
      <c r="L29" s="95"/>
      <c r="M29" s="95"/>
      <c r="N29" s="95"/>
    </row>
    <row r="30" spans="1:16" x14ac:dyDescent="0.25">
      <c r="A30" t="s">
        <v>91</v>
      </c>
      <c r="D30" s="95"/>
      <c r="E30" s="95"/>
      <c r="F30" s="95">
        <f>NPV(F29,E26:N26)+D26</f>
        <v>-11527626.234964067</v>
      </c>
      <c r="G30" s="95"/>
      <c r="H30" s="95"/>
      <c r="I30" s="95"/>
      <c r="J30" s="95"/>
      <c r="K30" s="95"/>
      <c r="L30" s="95"/>
      <c r="M30" s="95"/>
      <c r="N30" s="95"/>
    </row>
    <row r="34" spans="2:14" x14ac:dyDescent="0.25">
      <c r="B34" s="101" t="s">
        <v>135</v>
      </c>
    </row>
    <row r="35" spans="2:14" x14ac:dyDescent="0.25">
      <c r="B35" s="102">
        <f>F12*C4+F21*C15+F30*C24</f>
        <v>4406600.9836027212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</sheetData>
  <mergeCells count="3">
    <mergeCell ref="A2:P2"/>
    <mergeCell ref="A13:P13"/>
    <mergeCell ref="A22:P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Mortgage</vt:lpstr>
      <vt:lpstr>FCF</vt:lpstr>
      <vt:lpstr>FCF Option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2014-04-15T18:00:17Z</dcterms:created>
  <dcterms:modified xsi:type="dcterms:W3CDTF">2019-08-22T21:28:57Z</dcterms:modified>
</cp:coreProperties>
</file>