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1860" yWindow="0" windowWidth="19560" windowHeight="7740"/>
  </bookViews>
  <sheets>
    <sheet name="Forecast" sheetId="1" r:id="rId1"/>
    <sheet name="Mortgage" sheetId="2" r:id="rId2"/>
    <sheet name="Option" sheetId="3" r:id="rId3"/>
    <sheet name="Bankruptcy" sheetId="4" r:id="rId4"/>
  </sheets>
  <externalReferences>
    <externalReference r:id="rId5"/>
  </externalReference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9" i="1" l="1"/>
  <c r="Q55" i="1"/>
  <c r="C94" i="1"/>
  <c r="D79" i="1"/>
  <c r="E79" i="1"/>
  <c r="F79" i="1"/>
  <c r="G79" i="1"/>
  <c r="H79" i="1"/>
  <c r="I79" i="1"/>
  <c r="J79" i="1"/>
  <c r="K79" i="1"/>
  <c r="L79" i="1"/>
  <c r="M79" i="1"/>
  <c r="C79" i="1"/>
  <c r="D83" i="1"/>
  <c r="E83" i="1"/>
  <c r="F83" i="1"/>
  <c r="G83" i="1"/>
  <c r="H83" i="1"/>
  <c r="I83" i="1"/>
  <c r="J83" i="1"/>
  <c r="K83" i="1"/>
  <c r="L83" i="1"/>
  <c r="M83" i="1"/>
  <c r="C83" i="1"/>
  <c r="Q58" i="1"/>
  <c r="D21" i="4" l="1"/>
  <c r="D100" i="4"/>
  <c r="C93" i="4"/>
  <c r="R86" i="4"/>
  <c r="M83" i="4"/>
  <c r="L83" i="4"/>
  <c r="K83" i="4"/>
  <c r="J83" i="4"/>
  <c r="I83" i="4"/>
  <c r="H83" i="4"/>
  <c r="G83" i="4"/>
  <c r="F83" i="4"/>
  <c r="E83" i="4"/>
  <c r="D83" i="4"/>
  <c r="M79" i="4"/>
  <c r="M80" i="4" s="1"/>
  <c r="L79" i="4"/>
  <c r="K79" i="4"/>
  <c r="J79" i="4"/>
  <c r="I79" i="4"/>
  <c r="H79" i="4"/>
  <c r="G79" i="4"/>
  <c r="F79" i="4"/>
  <c r="E79" i="4"/>
  <c r="D79" i="4"/>
  <c r="Q75" i="4"/>
  <c r="M75" i="4"/>
  <c r="L75" i="4"/>
  <c r="K75" i="4"/>
  <c r="J75" i="4"/>
  <c r="I75" i="4"/>
  <c r="H75" i="4"/>
  <c r="G75" i="4"/>
  <c r="F75" i="4"/>
  <c r="E75" i="4"/>
  <c r="D75" i="4"/>
  <c r="Q74" i="4"/>
  <c r="Q79" i="4" s="1"/>
  <c r="Q85" i="4" s="1"/>
  <c r="R69" i="4"/>
  <c r="U61" i="4"/>
  <c r="S60" i="4"/>
  <c r="O58" i="4"/>
  <c r="S57" i="4"/>
  <c r="M57" i="4"/>
  <c r="L57" i="4"/>
  <c r="K57" i="4"/>
  <c r="J57" i="4"/>
  <c r="I57" i="4"/>
  <c r="H57" i="4"/>
  <c r="G57" i="4"/>
  <c r="F98" i="4" s="1"/>
  <c r="F57" i="4"/>
  <c r="E57" i="4"/>
  <c r="D57" i="4"/>
  <c r="C98" i="4" s="1"/>
  <c r="C101" i="4" s="1"/>
  <c r="R56" i="4"/>
  <c r="O56" i="4"/>
  <c r="R55" i="4"/>
  <c r="P51" i="4"/>
  <c r="Q58" i="4" s="1"/>
  <c r="R58" i="4" s="1"/>
  <c r="P48" i="4"/>
  <c r="P46" i="4"/>
  <c r="M34" i="4"/>
  <c r="L34" i="4"/>
  <c r="K34" i="4"/>
  <c r="J34" i="4"/>
  <c r="I34" i="4"/>
  <c r="H34" i="4"/>
  <c r="G34" i="4"/>
  <c r="F34" i="4"/>
  <c r="E34" i="4"/>
  <c r="D34" i="4"/>
  <c r="M33" i="4"/>
  <c r="M100" i="4" s="1"/>
  <c r="M101" i="4" s="1"/>
  <c r="L33" i="4"/>
  <c r="L100" i="4" s="1"/>
  <c r="K33" i="4"/>
  <c r="K100" i="4" s="1"/>
  <c r="J33" i="4"/>
  <c r="J100" i="4" s="1"/>
  <c r="I33" i="4"/>
  <c r="I100" i="4" s="1"/>
  <c r="H33" i="4"/>
  <c r="H100" i="4" s="1"/>
  <c r="G33" i="4"/>
  <c r="G100" i="4" s="1"/>
  <c r="F33" i="4"/>
  <c r="F100" i="4" s="1"/>
  <c r="E33" i="4"/>
  <c r="E100" i="4" s="1"/>
  <c r="M31" i="4"/>
  <c r="M69" i="4" s="1"/>
  <c r="L31" i="4"/>
  <c r="L69" i="4" s="1"/>
  <c r="K31" i="4"/>
  <c r="K69" i="4" s="1"/>
  <c r="J31" i="4"/>
  <c r="J69" i="4" s="1"/>
  <c r="I31" i="4"/>
  <c r="I69" i="4" s="1"/>
  <c r="H31" i="4"/>
  <c r="H69" i="4" s="1"/>
  <c r="G31" i="4"/>
  <c r="G69" i="4" s="1"/>
  <c r="F31" i="4"/>
  <c r="F69" i="4" s="1"/>
  <c r="E31" i="4"/>
  <c r="E69" i="4" s="1"/>
  <c r="D31" i="4"/>
  <c r="D69" i="4" s="1"/>
  <c r="D20" i="4"/>
  <c r="D28" i="4" s="1"/>
  <c r="D10" i="4"/>
  <c r="D23" i="4" s="1"/>
  <c r="D45" i="4" s="1"/>
  <c r="D9" i="4"/>
  <c r="E7" i="4"/>
  <c r="F7" i="4" s="1"/>
  <c r="G7" i="4" s="1"/>
  <c r="H7" i="4" s="1"/>
  <c r="I7" i="4" s="1"/>
  <c r="J7" i="4" s="1"/>
  <c r="K7" i="4" s="1"/>
  <c r="L7" i="4" s="1"/>
  <c r="M7" i="4" s="1"/>
  <c r="E6" i="4"/>
  <c r="F6" i="4" s="1"/>
  <c r="G6" i="4" s="1"/>
  <c r="H6" i="4" s="1"/>
  <c r="I6" i="4" s="1"/>
  <c r="J6" i="4" s="1"/>
  <c r="K6" i="4" s="1"/>
  <c r="L6" i="4" s="1"/>
  <c r="M6" i="4" s="1"/>
  <c r="E5" i="4"/>
  <c r="F5" i="4" s="1"/>
  <c r="E4" i="4"/>
  <c r="D55" i="4" l="1"/>
  <c r="D98" i="4"/>
  <c r="D101" i="4" s="1"/>
  <c r="H98" i="4"/>
  <c r="E20" i="4"/>
  <c r="Q46" i="4"/>
  <c r="D25" i="4"/>
  <c r="O55" i="4"/>
  <c r="F21" i="4"/>
  <c r="F10" i="4"/>
  <c r="F23" i="4" s="1"/>
  <c r="G5" i="4"/>
  <c r="E44" i="4"/>
  <c r="F4" i="4"/>
  <c r="E9" i="4"/>
  <c r="E10" i="4"/>
  <c r="E23" i="4" s="1"/>
  <c r="E21" i="4"/>
  <c r="D109" i="4"/>
  <c r="C107" i="4"/>
  <c r="C110" i="4" s="1"/>
  <c r="F109" i="4"/>
  <c r="E107" i="4"/>
  <c r="H109" i="4"/>
  <c r="G107" i="4"/>
  <c r="J109" i="4"/>
  <c r="I107" i="4"/>
  <c r="L109" i="4"/>
  <c r="K107" i="4"/>
  <c r="E98" i="4"/>
  <c r="E101" i="4" s="1"/>
  <c r="G98" i="4"/>
  <c r="G101" i="4" s="1"/>
  <c r="I98" i="4"/>
  <c r="I101" i="4" s="1"/>
  <c r="K98" i="4"/>
  <c r="K101" i="4" s="1"/>
  <c r="D26" i="4"/>
  <c r="D27" i="4"/>
  <c r="E109" i="4"/>
  <c r="D107" i="4"/>
  <c r="D110" i="4" s="1"/>
  <c r="G109" i="4"/>
  <c r="F107" i="4"/>
  <c r="I109" i="4"/>
  <c r="H107" i="4"/>
  <c r="H110" i="4" s="1"/>
  <c r="K109" i="4"/>
  <c r="J107" i="4"/>
  <c r="M109" i="4"/>
  <c r="M110" i="4" s="1"/>
  <c r="L107" i="4"/>
  <c r="L110" i="4" s="1"/>
  <c r="D44" i="4"/>
  <c r="D49" i="4"/>
  <c r="F101" i="4"/>
  <c r="H101" i="4"/>
  <c r="J98" i="4"/>
  <c r="J101" i="4" s="1"/>
  <c r="R85" i="4"/>
  <c r="L98" i="4"/>
  <c r="L101" i="4" s="1"/>
  <c r="M81" i="4"/>
  <c r="M84" i="4"/>
  <c r="M85" i="4" s="1"/>
  <c r="F45" i="4" l="1"/>
  <c r="F55" i="4"/>
  <c r="E25" i="4"/>
  <c r="J110" i="4"/>
  <c r="F110" i="4"/>
  <c r="D36" i="4"/>
  <c r="D37" i="4" s="1"/>
  <c r="D54" i="4" s="1"/>
  <c r="E55" i="4"/>
  <c r="E45" i="4"/>
  <c r="D102" i="4"/>
  <c r="D104" i="4" s="1"/>
  <c r="D77" i="4"/>
  <c r="K110" i="4"/>
  <c r="I110" i="4"/>
  <c r="G110" i="4"/>
  <c r="E110" i="4"/>
  <c r="E28" i="4"/>
  <c r="E26" i="4"/>
  <c r="D68" i="4"/>
  <c r="D76" i="4"/>
  <c r="D51" i="4"/>
  <c r="E49" i="4"/>
  <c r="R87" i="4"/>
  <c r="S86" i="4" s="1"/>
  <c r="F20" i="4"/>
  <c r="F9" i="4"/>
  <c r="G4" i="4"/>
  <c r="E27" i="4"/>
  <c r="H5" i="4"/>
  <c r="G21" i="4"/>
  <c r="G10" i="4"/>
  <c r="G23" i="4" s="1"/>
  <c r="F26" i="4"/>
  <c r="D63" i="4" l="1"/>
  <c r="G45" i="4"/>
  <c r="G55" i="4"/>
  <c r="F28" i="4"/>
  <c r="F25" i="4"/>
  <c r="E36" i="4"/>
  <c r="E37" i="4" s="1"/>
  <c r="E54" i="4" s="1"/>
  <c r="D111" i="4"/>
  <c r="D87" i="4"/>
  <c r="E68" i="4"/>
  <c r="E70" i="4" s="1"/>
  <c r="E71" i="4" s="1"/>
  <c r="E72" i="4" s="1"/>
  <c r="G26" i="4"/>
  <c r="G20" i="4"/>
  <c r="G25" i="4" s="1"/>
  <c r="G9" i="4"/>
  <c r="H4" i="4"/>
  <c r="F44" i="4"/>
  <c r="E76" i="4" s="1"/>
  <c r="F27" i="4"/>
  <c r="D70" i="4"/>
  <c r="D71" i="4" s="1"/>
  <c r="D72" i="4" s="1"/>
  <c r="H21" i="4"/>
  <c r="H10" i="4"/>
  <c r="H23" i="4" s="1"/>
  <c r="I5" i="4"/>
  <c r="S85" i="4"/>
  <c r="E51" i="4"/>
  <c r="F49" i="4"/>
  <c r="E77" i="4"/>
  <c r="D38" i="4"/>
  <c r="D61" i="4" s="1"/>
  <c r="D65" i="4" l="1"/>
  <c r="H55" i="4"/>
  <c r="H45" i="4"/>
  <c r="F36" i="4"/>
  <c r="E87" i="4"/>
  <c r="F68" i="4"/>
  <c r="F70" i="4" s="1"/>
  <c r="F71" i="4" s="1"/>
  <c r="F72" i="4" s="1"/>
  <c r="J5" i="4"/>
  <c r="I21" i="4"/>
  <c r="I10" i="4"/>
  <c r="I23" i="4" s="1"/>
  <c r="H26" i="4"/>
  <c r="F37" i="4"/>
  <c r="F54" i="4" s="1"/>
  <c r="D88" i="4"/>
  <c r="D90" i="4" s="1"/>
  <c r="F51" i="4"/>
  <c r="G49" i="4"/>
  <c r="F77" i="4"/>
  <c r="H20" i="4"/>
  <c r="H25" i="4" s="1"/>
  <c r="H9" i="4"/>
  <c r="I4" i="4"/>
  <c r="G44" i="4"/>
  <c r="F76" i="4" s="1"/>
  <c r="G27" i="4"/>
  <c r="G68" i="4" s="1"/>
  <c r="G28" i="4"/>
  <c r="E38" i="4"/>
  <c r="E61" i="4" s="1"/>
  <c r="I55" i="4" l="1"/>
  <c r="I45" i="4"/>
  <c r="G77" i="4"/>
  <c r="F87" i="4"/>
  <c r="E63" i="4"/>
  <c r="E65" i="4" s="1"/>
  <c r="G70" i="4"/>
  <c r="G71" i="4" s="1"/>
  <c r="G72" i="4" s="1"/>
  <c r="G36" i="4"/>
  <c r="G51" i="4"/>
  <c r="H49" i="4"/>
  <c r="F38" i="4"/>
  <c r="F61" i="4" s="1"/>
  <c r="J21" i="4"/>
  <c r="J10" i="4"/>
  <c r="J23" i="4" s="1"/>
  <c r="K5" i="4"/>
  <c r="I20" i="4"/>
  <c r="I25" i="4" s="1"/>
  <c r="I9" i="4"/>
  <c r="J4" i="4"/>
  <c r="H44" i="4"/>
  <c r="G76" i="4" s="1"/>
  <c r="H27" i="4"/>
  <c r="E88" i="4"/>
  <c r="E90" i="4" s="1"/>
  <c r="H28" i="4"/>
  <c r="I26" i="4"/>
  <c r="J45" i="4" l="1"/>
  <c r="J55" i="4"/>
  <c r="I28" i="4"/>
  <c r="H36" i="4"/>
  <c r="H68" i="4"/>
  <c r="H70" i="4" s="1"/>
  <c r="H71" i="4" s="1"/>
  <c r="H72" i="4" s="1"/>
  <c r="G87" i="4"/>
  <c r="F63" i="4"/>
  <c r="F65" i="4" s="1"/>
  <c r="H37" i="4"/>
  <c r="H54" i="4" s="1"/>
  <c r="L5" i="4"/>
  <c r="K21" i="4"/>
  <c r="K10" i="4"/>
  <c r="K23" i="4" s="1"/>
  <c r="J26" i="4"/>
  <c r="J20" i="4"/>
  <c r="J25" i="4" s="1"/>
  <c r="J9" i="4"/>
  <c r="K4" i="4"/>
  <c r="I44" i="4"/>
  <c r="H76" i="4" s="1"/>
  <c r="I27" i="4"/>
  <c r="H77" i="4"/>
  <c r="H51" i="4"/>
  <c r="I49" i="4"/>
  <c r="G37" i="4"/>
  <c r="G54" i="4" s="1"/>
  <c r="K45" i="4" l="1"/>
  <c r="K55" i="4"/>
  <c r="H87" i="4"/>
  <c r="I36" i="4"/>
  <c r="I37" i="4" s="1"/>
  <c r="I54" i="4" s="1"/>
  <c r="I68" i="4"/>
  <c r="G38" i="4"/>
  <c r="G61" i="4" s="1"/>
  <c r="I77" i="4"/>
  <c r="F88" i="4"/>
  <c r="F90" i="4" s="1"/>
  <c r="G63" i="4"/>
  <c r="G65" i="4" s="1"/>
  <c r="I51" i="4"/>
  <c r="J49" i="4"/>
  <c r="L21" i="4"/>
  <c r="L10" i="4"/>
  <c r="L23" i="4" s="1"/>
  <c r="M5" i="4"/>
  <c r="H38" i="4"/>
  <c r="K20" i="4"/>
  <c r="K25" i="4" s="1"/>
  <c r="K9" i="4"/>
  <c r="L4" i="4"/>
  <c r="J44" i="4"/>
  <c r="I76" i="4" s="1"/>
  <c r="J27" i="4"/>
  <c r="J36" i="4" s="1"/>
  <c r="J28" i="4"/>
  <c r="K26" i="4"/>
  <c r="G88" i="4"/>
  <c r="G90" i="4" s="1"/>
  <c r="I72" i="4" l="1"/>
  <c r="K28" i="4"/>
  <c r="I70" i="4"/>
  <c r="I71" i="4" s="1"/>
  <c r="L55" i="4"/>
  <c r="L45" i="4"/>
  <c r="H61" i="4"/>
  <c r="I87" i="4"/>
  <c r="J68" i="4"/>
  <c r="J70" i="4" s="1"/>
  <c r="J71" i="4" s="1"/>
  <c r="J72" i="4" s="1"/>
  <c r="H63" i="4"/>
  <c r="H65" i="4" s="1"/>
  <c r="L20" i="4"/>
  <c r="L9" i="4"/>
  <c r="M4" i="4"/>
  <c r="K44" i="4"/>
  <c r="J76" i="4" s="1"/>
  <c r="K27" i="4"/>
  <c r="K36" i="4"/>
  <c r="M21" i="4"/>
  <c r="M10" i="4"/>
  <c r="M23" i="4" s="1"/>
  <c r="L28" i="4"/>
  <c r="L26" i="4"/>
  <c r="J51" i="4"/>
  <c r="K49" i="4"/>
  <c r="I38" i="4"/>
  <c r="J37" i="4"/>
  <c r="J54" i="4" s="1"/>
  <c r="J77" i="4"/>
  <c r="H88" i="4"/>
  <c r="H90" i="4" s="1"/>
  <c r="M55" i="4" l="1"/>
  <c r="M45" i="4"/>
  <c r="L25" i="4"/>
  <c r="I61" i="4"/>
  <c r="J87" i="4"/>
  <c r="K77" i="4"/>
  <c r="K37" i="4"/>
  <c r="K54" i="4" s="1"/>
  <c r="I63" i="4"/>
  <c r="I65" i="4" s="1"/>
  <c r="J38" i="4"/>
  <c r="J61" i="4" s="1"/>
  <c r="M26" i="4"/>
  <c r="K68" i="4"/>
  <c r="M20" i="4"/>
  <c r="M9" i="4"/>
  <c r="L44" i="4"/>
  <c r="K76" i="4" s="1"/>
  <c r="L27" i="4"/>
  <c r="I88" i="4"/>
  <c r="I90" i="4" s="1"/>
  <c r="K51" i="4"/>
  <c r="L49" i="4"/>
  <c r="M25" i="4" l="1"/>
  <c r="L68" i="4"/>
  <c r="L70" i="4" s="1"/>
  <c r="L71" i="4" s="1"/>
  <c r="L72" i="4" s="1"/>
  <c r="K87" i="4"/>
  <c r="J63" i="4"/>
  <c r="J65" i="4" s="1"/>
  <c r="M77" i="4"/>
  <c r="R72" i="4"/>
  <c r="L77" i="4"/>
  <c r="L51" i="4"/>
  <c r="M49" i="4"/>
  <c r="L36" i="4"/>
  <c r="M44" i="4"/>
  <c r="M27" i="4"/>
  <c r="J88" i="4"/>
  <c r="J90" i="4" s="1"/>
  <c r="K70" i="4"/>
  <c r="K71" i="4" s="1"/>
  <c r="K72" i="4" s="1"/>
  <c r="M28" i="4"/>
  <c r="K38" i="4"/>
  <c r="K61" i="4" s="1"/>
  <c r="M68" i="4" l="1"/>
  <c r="M70" i="4" s="1"/>
  <c r="M71" i="4" s="1"/>
  <c r="M72" i="4" s="1"/>
  <c r="K63" i="4"/>
  <c r="K65" i="4" s="1"/>
  <c r="M76" i="4"/>
  <c r="L76" i="4"/>
  <c r="R71" i="4"/>
  <c r="M36" i="4"/>
  <c r="M51" i="4"/>
  <c r="L37" i="4"/>
  <c r="L54" i="4" s="1"/>
  <c r="L87" i="4" l="1"/>
  <c r="R77" i="4"/>
  <c r="M87" i="4"/>
  <c r="R79" i="4"/>
  <c r="R82" i="4" s="1"/>
  <c r="T86" i="4" s="1"/>
  <c r="U86" i="4" s="1"/>
  <c r="V86" i="4" s="1"/>
  <c r="L38" i="4"/>
  <c r="L61" i="4" s="1"/>
  <c r="M37" i="4"/>
  <c r="M54" i="4" s="1"/>
  <c r="K88" i="4"/>
  <c r="K90" i="4" s="1"/>
  <c r="L63" i="4"/>
  <c r="L65" i="4" s="1"/>
  <c r="T85" i="4" l="1"/>
  <c r="U85" i="4" s="1"/>
  <c r="V85" i="4" s="1"/>
  <c r="M38" i="4"/>
  <c r="M61" i="4" s="1"/>
  <c r="O59" i="4" s="1"/>
  <c r="O61" i="4"/>
  <c r="M88" i="4"/>
  <c r="M90" i="4" s="1"/>
  <c r="L88" i="4"/>
  <c r="L90" i="4" s="1"/>
  <c r="M63" i="4"/>
  <c r="M65" i="4" s="1"/>
  <c r="P55" i="4" l="1"/>
  <c r="P56" i="4"/>
  <c r="S56" i="4" s="1"/>
  <c r="P58" i="4"/>
  <c r="C94" i="4"/>
  <c r="C91" i="4"/>
  <c r="P59" i="4"/>
  <c r="S59" i="4" s="1"/>
  <c r="P43" i="4" l="1"/>
  <c r="S58" i="4"/>
  <c r="P61" i="4"/>
  <c r="P42" i="4"/>
  <c r="S55" i="4"/>
  <c r="P44" i="4" l="1"/>
  <c r="P49" i="4" s="1"/>
  <c r="P52" i="4" s="1"/>
  <c r="V58" i="4" s="1"/>
  <c r="Q42" i="4"/>
  <c r="S61" i="4"/>
  <c r="D19" i="3" l="1"/>
  <c r="N7" i="3"/>
  <c r="M7" i="3"/>
  <c r="E7" i="1" l="1"/>
  <c r="F7" i="1" s="1"/>
  <c r="G7" i="1" s="1"/>
  <c r="H7" i="1" s="1"/>
  <c r="I7" i="1" s="1"/>
  <c r="J7" i="1" s="1"/>
  <c r="K7" i="1" s="1"/>
  <c r="L7" i="1" s="1"/>
  <c r="M7" i="1" s="1"/>
  <c r="D21" i="1"/>
  <c r="D20" i="1"/>
  <c r="D26" i="1" l="1"/>
  <c r="E27" i="1"/>
  <c r="R25" i="1"/>
  <c r="D30" i="1"/>
  <c r="D29" i="1"/>
  <c r="D28" i="1"/>
  <c r="D9" i="1"/>
  <c r="D23" i="1" s="1"/>
  <c r="E6" i="1"/>
  <c r="F6" i="1" s="1"/>
  <c r="G6" i="1" s="1"/>
  <c r="H6" i="1" s="1"/>
  <c r="I6" i="1" s="1"/>
  <c r="J6" i="1" s="1"/>
  <c r="K6" i="1" s="1"/>
  <c r="L6" i="1" s="1"/>
  <c r="M6" i="1" s="1"/>
  <c r="E5" i="1"/>
  <c r="F5" i="1" s="1"/>
  <c r="E4" i="1"/>
  <c r="E20" i="1" s="1"/>
  <c r="E28" i="1" l="1"/>
  <c r="E9" i="1"/>
  <c r="E23" i="1" s="1"/>
  <c r="E21" i="1"/>
  <c r="E29" i="1" s="1"/>
  <c r="E30" i="1"/>
  <c r="F21" i="1"/>
  <c r="E26" i="1"/>
  <c r="F9" i="1"/>
  <c r="F23" i="1" s="1"/>
  <c r="G5" i="1"/>
  <c r="G21" i="1" s="1"/>
  <c r="G29" i="1" s="1"/>
  <c r="F4" i="1"/>
  <c r="F20" i="1" s="1"/>
  <c r="Q30" i="1"/>
  <c r="F28" i="1" l="1"/>
  <c r="G27" i="1"/>
  <c r="F27" i="1"/>
  <c r="F30" i="1"/>
  <c r="F29" i="1"/>
  <c r="F26" i="1"/>
  <c r="G4" i="1"/>
  <c r="G20" i="1" s="1"/>
  <c r="H27" i="1" s="1"/>
  <c r="G9" i="1"/>
  <c r="G23" i="1" s="1"/>
  <c r="H5" i="1"/>
  <c r="H21" i="1" s="1"/>
  <c r="H29" i="1" s="1"/>
  <c r="O81" i="1"/>
  <c r="G28" i="1" l="1"/>
  <c r="G30" i="1"/>
  <c r="G26" i="1"/>
  <c r="H9" i="1"/>
  <c r="H23" i="1" s="1"/>
  <c r="I5" i="1"/>
  <c r="I21" i="1" s="1"/>
  <c r="I29" i="1" s="1"/>
  <c r="H4" i="1"/>
  <c r="H20" i="1" s="1"/>
  <c r="I27" i="1" s="1"/>
  <c r="M75" i="1"/>
  <c r="M80" i="1"/>
  <c r="H28" i="1" l="1"/>
  <c r="H30" i="1"/>
  <c r="H26" i="1"/>
  <c r="I4" i="1"/>
  <c r="I20" i="1" s="1"/>
  <c r="J27" i="1" s="1"/>
  <c r="J5" i="1"/>
  <c r="J21" i="1" s="1"/>
  <c r="J29" i="1" s="1"/>
  <c r="I9" i="1"/>
  <c r="I23" i="1" s="1"/>
  <c r="O82" i="1"/>
  <c r="M81" i="1" s="1"/>
  <c r="T55" i="1"/>
  <c r="R44" i="1"/>
  <c r="D75" i="1"/>
  <c r="E75" i="1"/>
  <c r="F75" i="1"/>
  <c r="G75" i="1"/>
  <c r="H75" i="1"/>
  <c r="I75" i="1"/>
  <c r="J75" i="1"/>
  <c r="K75" i="1"/>
  <c r="L75" i="1"/>
  <c r="O50" i="1"/>
  <c r="M48" i="1" s="1"/>
  <c r="M32" i="1" s="1"/>
  <c r="F6" i="2"/>
  <c r="C7" i="2" s="1"/>
  <c r="B7" i="2"/>
  <c r="D7" i="2" s="1"/>
  <c r="F7" i="2" s="1"/>
  <c r="C8" i="2" s="1"/>
  <c r="E7" i="2"/>
  <c r="B8" i="2"/>
  <c r="E8" i="2"/>
  <c r="B9" i="2"/>
  <c r="E9" i="2"/>
  <c r="B10" i="2"/>
  <c r="E10" i="2"/>
  <c r="B11" i="2"/>
  <c r="E11" i="2"/>
  <c r="B12" i="2"/>
  <c r="E12" i="2"/>
  <c r="B13" i="2"/>
  <c r="E13" i="2"/>
  <c r="B14" i="2"/>
  <c r="E14" i="2"/>
  <c r="B15" i="2"/>
  <c r="E15" i="2"/>
  <c r="B16" i="2"/>
  <c r="E16" i="2"/>
  <c r="B17" i="2"/>
  <c r="E17" i="2"/>
  <c r="B18" i="2"/>
  <c r="E18" i="2"/>
  <c r="B19" i="2"/>
  <c r="E19" i="2"/>
  <c r="B20" i="2"/>
  <c r="E20" i="2"/>
  <c r="B21" i="2"/>
  <c r="E21" i="2"/>
  <c r="B22" i="2"/>
  <c r="E22" i="2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B33" i="2"/>
  <c r="E33" i="2"/>
  <c r="B34" i="2"/>
  <c r="E34" i="2"/>
  <c r="B35" i="2"/>
  <c r="E35" i="2"/>
  <c r="B36" i="2"/>
  <c r="E36" i="2"/>
  <c r="B37" i="2"/>
  <c r="E37" i="2"/>
  <c r="B38" i="2"/>
  <c r="E38" i="2"/>
  <c r="B39" i="2"/>
  <c r="E39" i="2"/>
  <c r="B40" i="2"/>
  <c r="E40" i="2"/>
  <c r="B41" i="2"/>
  <c r="E41" i="2"/>
  <c r="B42" i="2"/>
  <c r="E42" i="2"/>
  <c r="B43" i="2"/>
  <c r="E43" i="2"/>
  <c r="B44" i="2"/>
  <c r="E44" i="2"/>
  <c r="B45" i="2"/>
  <c r="E45" i="2"/>
  <c r="B46" i="2"/>
  <c r="E46" i="2"/>
  <c r="B47" i="2"/>
  <c r="E47" i="2"/>
  <c r="B48" i="2"/>
  <c r="E48" i="2"/>
  <c r="B49" i="2"/>
  <c r="E49" i="2"/>
  <c r="B50" i="2"/>
  <c r="E50" i="2"/>
  <c r="B51" i="2"/>
  <c r="E51" i="2"/>
  <c r="B52" i="2"/>
  <c r="E52" i="2"/>
  <c r="B53" i="2"/>
  <c r="E53" i="2"/>
  <c r="B54" i="2"/>
  <c r="E54" i="2"/>
  <c r="B55" i="2"/>
  <c r="E55" i="2"/>
  <c r="B56" i="2"/>
  <c r="E56" i="2"/>
  <c r="B57" i="2"/>
  <c r="E57" i="2"/>
  <c r="B58" i="2"/>
  <c r="E58" i="2"/>
  <c r="B59" i="2"/>
  <c r="E59" i="2"/>
  <c r="B60" i="2"/>
  <c r="E60" i="2"/>
  <c r="B61" i="2"/>
  <c r="E61" i="2"/>
  <c r="B62" i="2"/>
  <c r="E62" i="2"/>
  <c r="B63" i="2"/>
  <c r="E63" i="2"/>
  <c r="B64" i="2"/>
  <c r="E64" i="2"/>
  <c r="B65" i="2"/>
  <c r="E65" i="2"/>
  <c r="B66" i="2"/>
  <c r="E66" i="2"/>
  <c r="B67" i="2"/>
  <c r="E67" i="2"/>
  <c r="B68" i="2"/>
  <c r="E68" i="2"/>
  <c r="B69" i="2"/>
  <c r="E69" i="2"/>
  <c r="B70" i="2"/>
  <c r="E70" i="2"/>
  <c r="B71" i="2"/>
  <c r="E71" i="2"/>
  <c r="B72" i="2"/>
  <c r="E72" i="2"/>
  <c r="B73" i="2"/>
  <c r="E73" i="2"/>
  <c r="B74" i="2"/>
  <c r="E74" i="2"/>
  <c r="B75" i="2"/>
  <c r="E75" i="2"/>
  <c r="B76" i="2"/>
  <c r="E76" i="2"/>
  <c r="B77" i="2"/>
  <c r="E77" i="2"/>
  <c r="B78" i="2"/>
  <c r="E78" i="2"/>
  <c r="B79" i="2"/>
  <c r="E79" i="2"/>
  <c r="B80" i="2"/>
  <c r="E80" i="2"/>
  <c r="B81" i="2"/>
  <c r="E81" i="2"/>
  <c r="B82" i="2"/>
  <c r="E82" i="2"/>
  <c r="B83" i="2"/>
  <c r="E83" i="2"/>
  <c r="B84" i="2"/>
  <c r="E84" i="2"/>
  <c r="B85" i="2"/>
  <c r="E85" i="2"/>
  <c r="B86" i="2"/>
  <c r="E86" i="2"/>
  <c r="B87" i="2"/>
  <c r="E87" i="2"/>
  <c r="B88" i="2"/>
  <c r="E88" i="2"/>
  <c r="B89" i="2"/>
  <c r="E89" i="2"/>
  <c r="B90" i="2"/>
  <c r="E90" i="2"/>
  <c r="B91" i="2"/>
  <c r="E91" i="2"/>
  <c r="B92" i="2"/>
  <c r="E92" i="2"/>
  <c r="B93" i="2"/>
  <c r="E93" i="2"/>
  <c r="B94" i="2"/>
  <c r="E94" i="2"/>
  <c r="B95" i="2"/>
  <c r="E95" i="2"/>
  <c r="B96" i="2"/>
  <c r="E96" i="2"/>
  <c r="B97" i="2"/>
  <c r="E97" i="2"/>
  <c r="B98" i="2"/>
  <c r="E98" i="2"/>
  <c r="B99" i="2"/>
  <c r="E99" i="2"/>
  <c r="B100" i="2"/>
  <c r="E100" i="2"/>
  <c r="B101" i="2"/>
  <c r="E101" i="2"/>
  <c r="B102" i="2"/>
  <c r="E102" i="2"/>
  <c r="B103" i="2"/>
  <c r="E103" i="2"/>
  <c r="B104" i="2"/>
  <c r="E104" i="2"/>
  <c r="B105" i="2"/>
  <c r="E105" i="2"/>
  <c r="B106" i="2"/>
  <c r="E106" i="2"/>
  <c r="B107" i="2"/>
  <c r="E107" i="2"/>
  <c r="B108" i="2"/>
  <c r="E108" i="2"/>
  <c r="B109" i="2"/>
  <c r="E109" i="2"/>
  <c r="B110" i="2"/>
  <c r="E110" i="2"/>
  <c r="B111" i="2"/>
  <c r="E111" i="2"/>
  <c r="B112" i="2"/>
  <c r="E112" i="2"/>
  <c r="B113" i="2"/>
  <c r="E113" i="2"/>
  <c r="B114" i="2"/>
  <c r="E114" i="2"/>
  <c r="B115" i="2"/>
  <c r="E115" i="2"/>
  <c r="B116" i="2"/>
  <c r="E116" i="2"/>
  <c r="B117" i="2"/>
  <c r="E117" i="2"/>
  <c r="B118" i="2"/>
  <c r="E118" i="2"/>
  <c r="B119" i="2"/>
  <c r="E119" i="2"/>
  <c r="B120" i="2"/>
  <c r="E120" i="2"/>
  <c r="B121" i="2"/>
  <c r="E121" i="2"/>
  <c r="B122" i="2"/>
  <c r="E122" i="2"/>
  <c r="B123" i="2"/>
  <c r="E123" i="2"/>
  <c r="B124" i="2"/>
  <c r="E124" i="2"/>
  <c r="B125" i="2"/>
  <c r="E125" i="2"/>
  <c r="B126" i="2"/>
  <c r="E126" i="2"/>
  <c r="B127" i="2"/>
  <c r="E127" i="2"/>
  <c r="B128" i="2"/>
  <c r="E128" i="2"/>
  <c r="B129" i="2"/>
  <c r="E129" i="2"/>
  <c r="B130" i="2"/>
  <c r="E130" i="2"/>
  <c r="B131" i="2"/>
  <c r="E131" i="2"/>
  <c r="B132" i="2"/>
  <c r="E132" i="2"/>
  <c r="B133" i="2"/>
  <c r="E133" i="2"/>
  <c r="B134" i="2"/>
  <c r="E134" i="2"/>
  <c r="B135" i="2"/>
  <c r="E135" i="2"/>
  <c r="B136" i="2"/>
  <c r="E136" i="2"/>
  <c r="B137" i="2"/>
  <c r="E137" i="2"/>
  <c r="B138" i="2"/>
  <c r="E138" i="2"/>
  <c r="B139" i="2"/>
  <c r="E139" i="2"/>
  <c r="B140" i="2"/>
  <c r="E140" i="2"/>
  <c r="B141" i="2"/>
  <c r="E141" i="2"/>
  <c r="B142" i="2"/>
  <c r="E142" i="2"/>
  <c r="B143" i="2"/>
  <c r="E143" i="2"/>
  <c r="B144" i="2"/>
  <c r="E144" i="2"/>
  <c r="B145" i="2"/>
  <c r="E145" i="2"/>
  <c r="B146" i="2"/>
  <c r="E146" i="2"/>
  <c r="B147" i="2"/>
  <c r="E147" i="2"/>
  <c r="B148" i="2"/>
  <c r="E148" i="2"/>
  <c r="B149" i="2"/>
  <c r="E149" i="2"/>
  <c r="B150" i="2"/>
  <c r="E150" i="2"/>
  <c r="B151" i="2"/>
  <c r="E151" i="2"/>
  <c r="B152" i="2"/>
  <c r="E152" i="2"/>
  <c r="B153" i="2"/>
  <c r="E153" i="2"/>
  <c r="B154" i="2"/>
  <c r="E154" i="2"/>
  <c r="B155" i="2"/>
  <c r="E155" i="2"/>
  <c r="B156" i="2"/>
  <c r="E156" i="2"/>
  <c r="B157" i="2"/>
  <c r="E157" i="2"/>
  <c r="B158" i="2"/>
  <c r="E158" i="2"/>
  <c r="B159" i="2"/>
  <c r="E159" i="2"/>
  <c r="B160" i="2"/>
  <c r="E160" i="2"/>
  <c r="B161" i="2"/>
  <c r="E161" i="2"/>
  <c r="B162" i="2"/>
  <c r="E162" i="2"/>
  <c r="B163" i="2"/>
  <c r="E163" i="2"/>
  <c r="B164" i="2"/>
  <c r="E164" i="2"/>
  <c r="B165" i="2"/>
  <c r="E165" i="2"/>
  <c r="B166" i="2"/>
  <c r="E166" i="2"/>
  <c r="B167" i="2"/>
  <c r="E167" i="2"/>
  <c r="B168" i="2"/>
  <c r="E168" i="2"/>
  <c r="B169" i="2"/>
  <c r="E169" i="2"/>
  <c r="B170" i="2"/>
  <c r="E170" i="2"/>
  <c r="B171" i="2"/>
  <c r="E171" i="2"/>
  <c r="B172" i="2"/>
  <c r="E172" i="2"/>
  <c r="B173" i="2"/>
  <c r="E173" i="2"/>
  <c r="B174" i="2"/>
  <c r="E174" i="2"/>
  <c r="B175" i="2"/>
  <c r="E175" i="2"/>
  <c r="B176" i="2"/>
  <c r="E176" i="2"/>
  <c r="B177" i="2"/>
  <c r="E177" i="2"/>
  <c r="B178" i="2"/>
  <c r="E178" i="2"/>
  <c r="B179" i="2"/>
  <c r="E179" i="2"/>
  <c r="B180" i="2"/>
  <c r="E180" i="2"/>
  <c r="B181" i="2"/>
  <c r="E181" i="2"/>
  <c r="B182" i="2"/>
  <c r="E182" i="2"/>
  <c r="B183" i="2"/>
  <c r="E183" i="2"/>
  <c r="B184" i="2"/>
  <c r="E184" i="2"/>
  <c r="B185" i="2"/>
  <c r="E185" i="2"/>
  <c r="B186" i="2"/>
  <c r="E186" i="2"/>
  <c r="B187" i="2"/>
  <c r="E187" i="2"/>
  <c r="B188" i="2"/>
  <c r="E188" i="2"/>
  <c r="B189" i="2"/>
  <c r="E189" i="2"/>
  <c r="B190" i="2"/>
  <c r="E190" i="2"/>
  <c r="B191" i="2"/>
  <c r="E191" i="2"/>
  <c r="B192" i="2"/>
  <c r="E192" i="2"/>
  <c r="B193" i="2"/>
  <c r="E193" i="2"/>
  <c r="B194" i="2"/>
  <c r="E194" i="2"/>
  <c r="B195" i="2"/>
  <c r="E195" i="2"/>
  <c r="B196" i="2"/>
  <c r="E196" i="2"/>
  <c r="B197" i="2"/>
  <c r="E197" i="2"/>
  <c r="B198" i="2"/>
  <c r="E198" i="2"/>
  <c r="B199" i="2"/>
  <c r="E199" i="2"/>
  <c r="B200" i="2"/>
  <c r="E200" i="2"/>
  <c r="B201" i="2"/>
  <c r="E201" i="2"/>
  <c r="B202" i="2"/>
  <c r="E202" i="2"/>
  <c r="B203" i="2"/>
  <c r="E203" i="2"/>
  <c r="B204" i="2"/>
  <c r="E204" i="2"/>
  <c r="B205" i="2"/>
  <c r="E205" i="2"/>
  <c r="B206" i="2"/>
  <c r="E206" i="2"/>
  <c r="B207" i="2"/>
  <c r="E207" i="2"/>
  <c r="B208" i="2"/>
  <c r="E208" i="2"/>
  <c r="B209" i="2"/>
  <c r="E209" i="2"/>
  <c r="B210" i="2"/>
  <c r="E210" i="2"/>
  <c r="B211" i="2"/>
  <c r="E211" i="2"/>
  <c r="B212" i="2"/>
  <c r="E212" i="2"/>
  <c r="B213" i="2"/>
  <c r="E213" i="2"/>
  <c r="B214" i="2"/>
  <c r="E214" i="2"/>
  <c r="B215" i="2"/>
  <c r="E215" i="2"/>
  <c r="B216" i="2"/>
  <c r="E216" i="2"/>
  <c r="B217" i="2"/>
  <c r="E217" i="2"/>
  <c r="B218" i="2"/>
  <c r="E218" i="2"/>
  <c r="B219" i="2"/>
  <c r="E219" i="2"/>
  <c r="B220" i="2"/>
  <c r="E220" i="2"/>
  <c r="B221" i="2"/>
  <c r="E221" i="2"/>
  <c r="B222" i="2"/>
  <c r="E222" i="2"/>
  <c r="B223" i="2"/>
  <c r="E223" i="2"/>
  <c r="B224" i="2"/>
  <c r="E224" i="2"/>
  <c r="B225" i="2"/>
  <c r="E225" i="2"/>
  <c r="B226" i="2"/>
  <c r="E226" i="2"/>
  <c r="B227" i="2"/>
  <c r="E227" i="2"/>
  <c r="B228" i="2"/>
  <c r="E228" i="2"/>
  <c r="B229" i="2"/>
  <c r="E229" i="2"/>
  <c r="B230" i="2"/>
  <c r="E230" i="2"/>
  <c r="B231" i="2"/>
  <c r="E231" i="2"/>
  <c r="B232" i="2"/>
  <c r="E232" i="2"/>
  <c r="B233" i="2"/>
  <c r="E233" i="2"/>
  <c r="B234" i="2"/>
  <c r="E234" i="2"/>
  <c r="B235" i="2"/>
  <c r="E235" i="2"/>
  <c r="B236" i="2"/>
  <c r="E236" i="2"/>
  <c r="B237" i="2"/>
  <c r="E237" i="2"/>
  <c r="B238" i="2"/>
  <c r="E238" i="2"/>
  <c r="B239" i="2"/>
  <c r="E239" i="2"/>
  <c r="B240" i="2"/>
  <c r="E240" i="2"/>
  <c r="B241" i="2"/>
  <c r="E241" i="2"/>
  <c r="B242" i="2"/>
  <c r="E242" i="2"/>
  <c r="B243" i="2"/>
  <c r="E243" i="2"/>
  <c r="B244" i="2"/>
  <c r="E244" i="2"/>
  <c r="B245" i="2"/>
  <c r="E245" i="2"/>
  <c r="B246" i="2"/>
  <c r="E246" i="2"/>
  <c r="B247" i="2"/>
  <c r="E247" i="2"/>
  <c r="B248" i="2"/>
  <c r="E248" i="2"/>
  <c r="B249" i="2"/>
  <c r="E249" i="2"/>
  <c r="B250" i="2"/>
  <c r="E250" i="2"/>
  <c r="B251" i="2"/>
  <c r="E251" i="2"/>
  <c r="B252" i="2"/>
  <c r="E252" i="2"/>
  <c r="B253" i="2"/>
  <c r="E253" i="2"/>
  <c r="B254" i="2"/>
  <c r="E254" i="2"/>
  <c r="B255" i="2"/>
  <c r="E255" i="2"/>
  <c r="B256" i="2"/>
  <c r="E256" i="2"/>
  <c r="B257" i="2"/>
  <c r="E257" i="2"/>
  <c r="B258" i="2"/>
  <c r="E258" i="2"/>
  <c r="B259" i="2"/>
  <c r="E259" i="2"/>
  <c r="B260" i="2"/>
  <c r="E260" i="2"/>
  <c r="B261" i="2"/>
  <c r="E261" i="2"/>
  <c r="B262" i="2"/>
  <c r="E262" i="2"/>
  <c r="B263" i="2"/>
  <c r="E263" i="2"/>
  <c r="B264" i="2"/>
  <c r="E264" i="2"/>
  <c r="B265" i="2"/>
  <c r="E265" i="2"/>
  <c r="B266" i="2"/>
  <c r="E266" i="2"/>
  <c r="B267" i="2"/>
  <c r="E267" i="2"/>
  <c r="B268" i="2"/>
  <c r="E268" i="2"/>
  <c r="B269" i="2"/>
  <c r="E269" i="2"/>
  <c r="B270" i="2"/>
  <c r="E270" i="2"/>
  <c r="B271" i="2"/>
  <c r="E271" i="2"/>
  <c r="B272" i="2"/>
  <c r="E272" i="2"/>
  <c r="B273" i="2"/>
  <c r="E273" i="2"/>
  <c r="B274" i="2"/>
  <c r="E274" i="2"/>
  <c r="B275" i="2"/>
  <c r="E275" i="2"/>
  <c r="B276" i="2"/>
  <c r="E276" i="2"/>
  <c r="B277" i="2"/>
  <c r="E277" i="2"/>
  <c r="B278" i="2"/>
  <c r="E278" i="2"/>
  <c r="B279" i="2"/>
  <c r="E279" i="2"/>
  <c r="B280" i="2"/>
  <c r="E280" i="2"/>
  <c r="B281" i="2"/>
  <c r="E281" i="2"/>
  <c r="B282" i="2"/>
  <c r="E282" i="2"/>
  <c r="B283" i="2"/>
  <c r="E283" i="2"/>
  <c r="B284" i="2"/>
  <c r="E284" i="2"/>
  <c r="B285" i="2"/>
  <c r="E285" i="2"/>
  <c r="B286" i="2"/>
  <c r="E286" i="2"/>
  <c r="B287" i="2"/>
  <c r="E287" i="2"/>
  <c r="B288" i="2"/>
  <c r="E288" i="2"/>
  <c r="B289" i="2"/>
  <c r="E289" i="2"/>
  <c r="B290" i="2"/>
  <c r="E290" i="2"/>
  <c r="B291" i="2"/>
  <c r="E291" i="2"/>
  <c r="B292" i="2"/>
  <c r="E292" i="2"/>
  <c r="B293" i="2"/>
  <c r="E293" i="2"/>
  <c r="B294" i="2"/>
  <c r="E294" i="2"/>
  <c r="B295" i="2"/>
  <c r="E295" i="2"/>
  <c r="B296" i="2"/>
  <c r="E296" i="2"/>
  <c r="B297" i="2"/>
  <c r="E297" i="2"/>
  <c r="B298" i="2"/>
  <c r="E298" i="2"/>
  <c r="B299" i="2"/>
  <c r="E299" i="2"/>
  <c r="B300" i="2"/>
  <c r="E300" i="2"/>
  <c r="B301" i="2"/>
  <c r="E301" i="2"/>
  <c r="B302" i="2"/>
  <c r="E302" i="2"/>
  <c r="B303" i="2"/>
  <c r="E303" i="2"/>
  <c r="B304" i="2"/>
  <c r="E304" i="2"/>
  <c r="B305" i="2"/>
  <c r="E305" i="2"/>
  <c r="B306" i="2"/>
  <c r="E306" i="2"/>
  <c r="B307" i="2"/>
  <c r="E307" i="2"/>
  <c r="B308" i="2"/>
  <c r="E308" i="2"/>
  <c r="B309" i="2"/>
  <c r="E309" i="2"/>
  <c r="B310" i="2"/>
  <c r="E310" i="2"/>
  <c r="B311" i="2"/>
  <c r="E311" i="2"/>
  <c r="B312" i="2"/>
  <c r="E312" i="2"/>
  <c r="B313" i="2"/>
  <c r="E313" i="2"/>
  <c r="B314" i="2"/>
  <c r="E314" i="2"/>
  <c r="B315" i="2"/>
  <c r="E315" i="2"/>
  <c r="B316" i="2"/>
  <c r="E316" i="2"/>
  <c r="B317" i="2"/>
  <c r="E317" i="2"/>
  <c r="B318" i="2"/>
  <c r="E318" i="2"/>
  <c r="B319" i="2"/>
  <c r="E319" i="2"/>
  <c r="B320" i="2"/>
  <c r="E320" i="2"/>
  <c r="B321" i="2"/>
  <c r="E321" i="2"/>
  <c r="B322" i="2"/>
  <c r="E322" i="2"/>
  <c r="B323" i="2"/>
  <c r="E323" i="2"/>
  <c r="B324" i="2"/>
  <c r="E324" i="2"/>
  <c r="B325" i="2"/>
  <c r="E325" i="2"/>
  <c r="B326" i="2"/>
  <c r="E326" i="2"/>
  <c r="B327" i="2"/>
  <c r="E327" i="2"/>
  <c r="B328" i="2"/>
  <c r="E328" i="2"/>
  <c r="B329" i="2"/>
  <c r="E329" i="2"/>
  <c r="B330" i="2"/>
  <c r="E330" i="2"/>
  <c r="B331" i="2"/>
  <c r="E331" i="2"/>
  <c r="B332" i="2"/>
  <c r="E332" i="2"/>
  <c r="B333" i="2"/>
  <c r="E333" i="2"/>
  <c r="B334" i="2"/>
  <c r="E334" i="2"/>
  <c r="B335" i="2"/>
  <c r="E335" i="2"/>
  <c r="B336" i="2"/>
  <c r="E336" i="2"/>
  <c r="B337" i="2"/>
  <c r="E337" i="2"/>
  <c r="B338" i="2"/>
  <c r="E338" i="2"/>
  <c r="B339" i="2"/>
  <c r="E339" i="2"/>
  <c r="B340" i="2"/>
  <c r="E340" i="2"/>
  <c r="B341" i="2"/>
  <c r="E341" i="2"/>
  <c r="B342" i="2"/>
  <c r="E342" i="2"/>
  <c r="B343" i="2"/>
  <c r="E343" i="2"/>
  <c r="B344" i="2"/>
  <c r="E344" i="2"/>
  <c r="B345" i="2"/>
  <c r="E345" i="2"/>
  <c r="B346" i="2"/>
  <c r="E346" i="2"/>
  <c r="B347" i="2"/>
  <c r="E347" i="2"/>
  <c r="B348" i="2"/>
  <c r="E348" i="2"/>
  <c r="B349" i="2"/>
  <c r="E349" i="2"/>
  <c r="B350" i="2"/>
  <c r="E350" i="2"/>
  <c r="B351" i="2"/>
  <c r="E351" i="2"/>
  <c r="B352" i="2"/>
  <c r="E352" i="2"/>
  <c r="B353" i="2"/>
  <c r="E353" i="2"/>
  <c r="B354" i="2"/>
  <c r="E354" i="2"/>
  <c r="B355" i="2"/>
  <c r="E355" i="2"/>
  <c r="B356" i="2"/>
  <c r="E356" i="2"/>
  <c r="B357" i="2"/>
  <c r="E357" i="2"/>
  <c r="B358" i="2"/>
  <c r="E358" i="2"/>
  <c r="B359" i="2"/>
  <c r="E359" i="2"/>
  <c r="B360" i="2"/>
  <c r="E360" i="2"/>
  <c r="B361" i="2"/>
  <c r="E361" i="2"/>
  <c r="B362" i="2"/>
  <c r="E362" i="2"/>
  <c r="B363" i="2"/>
  <c r="E363" i="2"/>
  <c r="B364" i="2"/>
  <c r="E364" i="2"/>
  <c r="B365" i="2"/>
  <c r="E365" i="2"/>
  <c r="E366" i="2"/>
  <c r="B366" i="2"/>
  <c r="I28" i="1" l="1"/>
  <c r="I30" i="1"/>
  <c r="I26" i="1"/>
  <c r="L48" i="1"/>
  <c r="J9" i="1"/>
  <c r="J23" i="1" s="1"/>
  <c r="K5" i="1"/>
  <c r="K21" i="1" s="1"/>
  <c r="K29" i="1" s="1"/>
  <c r="J4" i="1"/>
  <c r="J20" i="1" s="1"/>
  <c r="K27" i="1" s="1"/>
  <c r="I48" i="1"/>
  <c r="K48" i="1"/>
  <c r="F48" i="1"/>
  <c r="D48" i="1"/>
  <c r="J48" i="1"/>
  <c r="G48" i="1"/>
  <c r="E48" i="1"/>
  <c r="I54" i="1"/>
  <c r="I45" i="1"/>
  <c r="G54" i="1"/>
  <c r="G45" i="1"/>
  <c r="D45" i="1"/>
  <c r="D54" i="1"/>
  <c r="H48" i="1"/>
  <c r="J45" i="1"/>
  <c r="J54" i="1"/>
  <c r="H45" i="1"/>
  <c r="H54" i="1"/>
  <c r="F45" i="1"/>
  <c r="F54" i="1"/>
  <c r="E54" i="1"/>
  <c r="E45" i="1"/>
  <c r="M84" i="1"/>
  <c r="M69" i="1"/>
  <c r="D44" i="1"/>
  <c r="D8" i="2"/>
  <c r="F8" i="2" s="1"/>
  <c r="J28" i="1" l="1"/>
  <c r="J30" i="1"/>
  <c r="J26" i="1"/>
  <c r="H32" i="1"/>
  <c r="H69" i="1" s="1"/>
  <c r="G32" i="1"/>
  <c r="G69" i="1" s="1"/>
  <c r="D32" i="1"/>
  <c r="D49" i="1" s="1"/>
  <c r="K32" i="1"/>
  <c r="K69" i="1" s="1"/>
  <c r="E32" i="1"/>
  <c r="E69" i="1" s="1"/>
  <c r="J32" i="1"/>
  <c r="J69" i="1" s="1"/>
  <c r="F32" i="1"/>
  <c r="F69" i="1" s="1"/>
  <c r="I32" i="1"/>
  <c r="I69" i="1" s="1"/>
  <c r="L32" i="1"/>
  <c r="L69" i="1" s="1"/>
  <c r="K4" i="1"/>
  <c r="K20" i="1" s="1"/>
  <c r="L27" i="1" s="1"/>
  <c r="K9" i="1"/>
  <c r="K23" i="1" s="1"/>
  <c r="L5" i="1"/>
  <c r="L21" i="1" s="1"/>
  <c r="L29" i="1" s="1"/>
  <c r="E49" i="1"/>
  <c r="F49" i="1" s="1"/>
  <c r="G49" i="1" s="1"/>
  <c r="H49" i="1" s="1"/>
  <c r="I49" i="1" s="1"/>
  <c r="J49" i="1" s="1"/>
  <c r="K49" i="1" s="1"/>
  <c r="L49" i="1" s="1"/>
  <c r="M49" i="1" s="1"/>
  <c r="D76" i="1"/>
  <c r="D51" i="1"/>
  <c r="D68" i="1"/>
  <c r="C9" i="2"/>
  <c r="E44" i="1"/>
  <c r="K54" i="1" l="1"/>
  <c r="K45" i="1"/>
  <c r="K28" i="1"/>
  <c r="K30" i="1"/>
  <c r="K26" i="1"/>
  <c r="D69" i="1"/>
  <c r="L9" i="1"/>
  <c r="L23" i="1" s="1"/>
  <c r="M5" i="1"/>
  <c r="L4" i="1"/>
  <c r="L20" i="1" s="1"/>
  <c r="M27" i="1" s="1"/>
  <c r="E68" i="1"/>
  <c r="E70" i="1" s="1"/>
  <c r="E71" i="1" s="1"/>
  <c r="E72" i="1" s="1"/>
  <c r="E76" i="1"/>
  <c r="F44" i="1"/>
  <c r="F76" i="1" s="1"/>
  <c r="D9" i="2"/>
  <c r="F9" i="2" s="1"/>
  <c r="D77" i="1"/>
  <c r="M9" i="1" l="1"/>
  <c r="M23" i="1" s="1"/>
  <c r="M21" i="1"/>
  <c r="M29" i="1" s="1"/>
  <c r="L28" i="1"/>
  <c r="L30" i="1"/>
  <c r="L26" i="1"/>
  <c r="L54" i="1"/>
  <c r="L45" i="1"/>
  <c r="M4" i="1"/>
  <c r="M20" i="1" s="1"/>
  <c r="F68" i="1"/>
  <c r="F70" i="1" s="1"/>
  <c r="F71" i="1" s="1"/>
  <c r="F72" i="1" s="1"/>
  <c r="C10" i="2"/>
  <c r="E77" i="1"/>
  <c r="D87" i="1"/>
  <c r="G44" i="1"/>
  <c r="M28" i="1" l="1"/>
  <c r="M30" i="1"/>
  <c r="M26" i="1"/>
  <c r="M54" i="1"/>
  <c r="M45" i="1"/>
  <c r="G68" i="1"/>
  <c r="G70" i="1" s="1"/>
  <c r="G71" i="1" s="1"/>
  <c r="G72" i="1" s="1"/>
  <c r="G76" i="1"/>
  <c r="H44" i="1"/>
  <c r="D10" i="2"/>
  <c r="F10" i="2" s="1"/>
  <c r="E87" i="1"/>
  <c r="H68" i="1" l="1"/>
  <c r="H70" i="1" s="1"/>
  <c r="H71" i="1" s="1"/>
  <c r="H72" i="1" s="1"/>
  <c r="H76" i="1"/>
  <c r="F87" i="1"/>
  <c r="C11" i="2"/>
  <c r="F77" i="1"/>
  <c r="G77" i="1"/>
  <c r="I44" i="1"/>
  <c r="I68" i="1" l="1"/>
  <c r="I70" i="1" s="1"/>
  <c r="I71" i="1" s="1"/>
  <c r="I72" i="1" s="1"/>
  <c r="I76" i="1"/>
  <c r="G87" i="1"/>
  <c r="D11" i="2"/>
  <c r="F11" i="2" s="1"/>
  <c r="H77" i="1"/>
  <c r="J44" i="1"/>
  <c r="J68" i="1" l="1"/>
  <c r="J70" i="1" s="1"/>
  <c r="J71" i="1" s="1"/>
  <c r="J72" i="1" s="1"/>
  <c r="J76" i="1"/>
  <c r="K44" i="1"/>
  <c r="H87" i="1"/>
  <c r="I77" i="1"/>
  <c r="C12" i="2"/>
  <c r="K68" i="1" l="1"/>
  <c r="K70" i="1" s="1"/>
  <c r="K71" i="1" s="1"/>
  <c r="K72" i="1" s="1"/>
  <c r="K76" i="1"/>
  <c r="I87" i="1"/>
  <c r="J77" i="1"/>
  <c r="L44" i="1"/>
  <c r="D12" i="2"/>
  <c r="F12" i="2" s="1"/>
  <c r="L68" i="1" l="1"/>
  <c r="L76" i="1"/>
  <c r="J87" i="1"/>
  <c r="C13" i="2"/>
  <c r="D13" i="2" s="1"/>
  <c r="F13" i="2" s="1"/>
  <c r="M44" i="1"/>
  <c r="M76" i="1" s="1"/>
  <c r="K77" i="1"/>
  <c r="M68" i="1" l="1"/>
  <c r="C14" i="2"/>
  <c r="D14" i="2" s="1"/>
  <c r="F14" i="2" s="1"/>
  <c r="M77" i="1"/>
  <c r="K87" i="1"/>
  <c r="L70" i="1"/>
  <c r="L71" i="1" s="1"/>
  <c r="L72" i="1" s="1"/>
  <c r="L77" i="1"/>
  <c r="C15" i="2" l="1"/>
  <c r="D15" i="2" s="1"/>
  <c r="F15" i="2" s="1"/>
  <c r="M87" i="1"/>
  <c r="L87" i="1"/>
  <c r="M70" i="1"/>
  <c r="M71" i="1" s="1"/>
  <c r="M72" i="1" s="1"/>
  <c r="C16" i="2" l="1"/>
  <c r="D16" i="2" s="1"/>
  <c r="F16" i="2"/>
  <c r="C17" i="2" l="1"/>
  <c r="D17" i="2" s="1"/>
  <c r="F17" i="2" s="1"/>
  <c r="C18" i="2" l="1"/>
  <c r="D18" i="2" l="1"/>
  <c r="F18" i="2" s="1"/>
  <c r="I18" i="2"/>
  <c r="D33" i="1" s="1"/>
  <c r="D36" i="1" s="1"/>
  <c r="D37" i="1" l="1"/>
  <c r="C19" i="2"/>
  <c r="D57" i="1"/>
  <c r="D55" i="1" l="1"/>
  <c r="D38" i="1"/>
  <c r="D61" i="1" s="1"/>
  <c r="D63" i="1" s="1"/>
  <c r="D19" i="2"/>
  <c r="F19" i="2" s="1"/>
  <c r="C20" i="2" l="1"/>
  <c r="D20" i="2" l="1"/>
  <c r="F20" i="2" s="1"/>
  <c r="C21" i="2" l="1"/>
  <c r="D21" i="2" l="1"/>
  <c r="F21" i="2" s="1"/>
  <c r="C22" i="2" l="1"/>
  <c r="D22" i="2" l="1"/>
  <c r="F22" i="2" s="1"/>
  <c r="C23" i="2" l="1"/>
  <c r="D23" i="2" l="1"/>
  <c r="F23" i="2" s="1"/>
  <c r="C24" i="2" l="1"/>
  <c r="D24" i="2" s="1"/>
  <c r="F24" i="2" s="1"/>
  <c r="C25" i="2" l="1"/>
  <c r="D25" i="2" s="1"/>
  <c r="F25" i="2" s="1"/>
  <c r="C26" i="2" l="1"/>
  <c r="D26" i="2" s="1"/>
  <c r="F26" i="2" s="1"/>
  <c r="C27" i="2" l="1"/>
  <c r="D27" i="2" s="1"/>
  <c r="F27" i="2"/>
  <c r="C28" i="2" l="1"/>
  <c r="D28" i="2" s="1"/>
  <c r="F28" i="2" s="1"/>
  <c r="C29" i="2" l="1"/>
  <c r="D29" i="2" s="1"/>
  <c r="F29" i="2" s="1"/>
  <c r="C30" i="2" l="1"/>
  <c r="D30" i="2" l="1"/>
  <c r="F30" i="2" s="1"/>
  <c r="I30" i="2"/>
  <c r="E33" i="1" s="1"/>
  <c r="E36" i="1" s="1"/>
  <c r="E37" i="1" l="1"/>
  <c r="C31" i="2"/>
  <c r="E57" i="1"/>
  <c r="E55" i="1" l="1"/>
  <c r="D88" i="1" s="1"/>
  <c r="E38" i="1"/>
  <c r="E61" i="1" s="1"/>
  <c r="E63" i="1" s="1"/>
  <c r="D31" i="2"/>
  <c r="F31" i="2" s="1"/>
  <c r="C32" i="2" l="1"/>
  <c r="D32" i="2" l="1"/>
  <c r="F32" i="2" s="1"/>
  <c r="C33" i="2" l="1"/>
  <c r="D33" i="2" l="1"/>
  <c r="F33" i="2" s="1"/>
  <c r="C34" i="2" l="1"/>
  <c r="D34" i="2" l="1"/>
  <c r="F34" i="2" s="1"/>
  <c r="C35" i="2" l="1"/>
  <c r="D35" i="2" l="1"/>
  <c r="F35" i="2" s="1"/>
  <c r="C36" i="2" l="1"/>
  <c r="D36" i="2" s="1"/>
  <c r="F36" i="2" s="1"/>
  <c r="C37" i="2" l="1"/>
  <c r="D37" i="2" s="1"/>
  <c r="F37" i="2" s="1"/>
  <c r="C38" i="2" l="1"/>
  <c r="D38" i="2" s="1"/>
  <c r="F38" i="2" s="1"/>
  <c r="C39" i="2" l="1"/>
  <c r="D39" i="2" s="1"/>
  <c r="F39" i="2" s="1"/>
  <c r="C40" i="2" l="1"/>
  <c r="D40" i="2" s="1"/>
  <c r="F40" i="2" s="1"/>
  <c r="C41" i="2" l="1"/>
  <c r="D41" i="2" s="1"/>
  <c r="F41" i="2" s="1"/>
  <c r="C42" i="2" l="1"/>
  <c r="D42" i="2" l="1"/>
  <c r="F42" i="2" s="1"/>
  <c r="I42" i="2"/>
  <c r="F33" i="1" s="1"/>
  <c r="F36" i="1" s="1"/>
  <c r="F37" i="1" l="1"/>
  <c r="C43" i="2"/>
  <c r="F57" i="1"/>
  <c r="F55" i="1" l="1"/>
  <c r="E88" i="1" s="1"/>
  <c r="E94" i="1" s="1"/>
  <c r="F4" i="3" s="1"/>
  <c r="F38" i="1"/>
  <c r="F61" i="1" s="1"/>
  <c r="F63" i="1" s="1"/>
  <c r="D43" i="2"/>
  <c r="F43" i="2" s="1"/>
  <c r="F12" i="3" l="1"/>
  <c r="F9" i="3"/>
  <c r="F15" i="3"/>
  <c r="C44" i="2"/>
  <c r="D44" i="2" l="1"/>
  <c r="F44" i="2" s="1"/>
  <c r="C45" i="2" l="1"/>
  <c r="D45" i="2" l="1"/>
  <c r="F45" i="2" s="1"/>
  <c r="C46" i="2" l="1"/>
  <c r="D46" i="2" l="1"/>
  <c r="F46" i="2" s="1"/>
  <c r="C47" i="2" l="1"/>
  <c r="D47" i="2" l="1"/>
  <c r="F47" i="2" s="1"/>
  <c r="C48" i="2" l="1"/>
  <c r="D48" i="2" s="1"/>
  <c r="F48" i="2" s="1"/>
  <c r="C49" i="2" l="1"/>
  <c r="D49" i="2" s="1"/>
  <c r="F49" i="2" s="1"/>
  <c r="C50" i="2" l="1"/>
  <c r="D50" i="2" s="1"/>
  <c r="F50" i="2" s="1"/>
  <c r="C51" i="2" l="1"/>
  <c r="D51" i="2" s="1"/>
  <c r="F51" i="2" s="1"/>
  <c r="C52" i="2" l="1"/>
  <c r="D52" i="2" s="1"/>
  <c r="F52" i="2" s="1"/>
  <c r="C53" i="2" l="1"/>
  <c r="D53" i="2" s="1"/>
  <c r="F53" i="2" s="1"/>
  <c r="C54" i="2" l="1"/>
  <c r="D54" i="2" l="1"/>
  <c r="F54" i="2" s="1"/>
  <c r="I54" i="2"/>
  <c r="G33" i="1" s="1"/>
  <c r="G36" i="1" s="1"/>
  <c r="G37" i="1" l="1"/>
  <c r="C55" i="2"/>
  <c r="G57" i="1"/>
  <c r="G55" i="1" l="1"/>
  <c r="F88" i="1" s="1"/>
  <c r="F94" i="1" s="1"/>
  <c r="G4" i="3" s="1"/>
  <c r="G38" i="1"/>
  <c r="G61" i="1" s="1"/>
  <c r="G63" i="1" s="1"/>
  <c r="D55" i="2"/>
  <c r="F55" i="2" s="1"/>
  <c r="G15" i="3" l="1"/>
  <c r="G12" i="3"/>
  <c r="G9" i="3"/>
  <c r="C56" i="2"/>
  <c r="D56" i="2" l="1"/>
  <c r="F56" i="2" s="1"/>
  <c r="C57" i="2" l="1"/>
  <c r="D57" i="2" l="1"/>
  <c r="F57" i="2" s="1"/>
  <c r="C58" i="2" l="1"/>
  <c r="D58" i="2" l="1"/>
  <c r="F58" i="2" s="1"/>
  <c r="C59" i="2" l="1"/>
  <c r="D59" i="2" l="1"/>
  <c r="F59" i="2" s="1"/>
  <c r="C60" i="2" l="1"/>
  <c r="D60" i="2" s="1"/>
  <c r="F60" i="2" s="1"/>
  <c r="C61" i="2" l="1"/>
  <c r="D61" i="2" s="1"/>
  <c r="F61" i="2" s="1"/>
  <c r="C62" i="2" l="1"/>
  <c r="D62" i="2" s="1"/>
  <c r="F62" i="2" s="1"/>
  <c r="C63" i="2" l="1"/>
  <c r="D63" i="2" s="1"/>
  <c r="F63" i="2" s="1"/>
  <c r="C64" i="2" l="1"/>
  <c r="D64" i="2" s="1"/>
  <c r="F64" i="2" s="1"/>
  <c r="C65" i="2" l="1"/>
  <c r="D65" i="2" s="1"/>
  <c r="F65" i="2" s="1"/>
  <c r="C66" i="2" l="1"/>
  <c r="D66" i="2" l="1"/>
  <c r="F66" i="2" s="1"/>
  <c r="I66" i="2"/>
  <c r="H33" i="1" s="1"/>
  <c r="H36" i="1" s="1"/>
  <c r="H37" i="1" l="1"/>
  <c r="H57" i="1"/>
  <c r="C67" i="2"/>
  <c r="H55" i="1" l="1"/>
  <c r="G88" i="1" s="1"/>
  <c r="G94" i="1" s="1"/>
  <c r="H4" i="3" s="1"/>
  <c r="H38" i="1"/>
  <c r="H61" i="1" s="1"/>
  <c r="H63" i="1" s="1"/>
  <c r="D67" i="2"/>
  <c r="F67" i="2" s="1"/>
  <c r="H15" i="3" l="1"/>
  <c r="H12" i="3"/>
  <c r="H9" i="3"/>
  <c r="C68" i="2"/>
  <c r="D68" i="2" l="1"/>
  <c r="F68" i="2" s="1"/>
  <c r="C69" i="2" l="1"/>
  <c r="D69" i="2" l="1"/>
  <c r="F69" i="2" s="1"/>
  <c r="C70" i="2" l="1"/>
  <c r="D70" i="2" l="1"/>
  <c r="F70" i="2" s="1"/>
  <c r="C71" i="2" l="1"/>
  <c r="D71" i="2" l="1"/>
  <c r="F71" i="2" s="1"/>
  <c r="C72" i="2" l="1"/>
  <c r="D72" i="2" s="1"/>
  <c r="F72" i="2" s="1"/>
  <c r="C73" i="2" l="1"/>
  <c r="D73" i="2" s="1"/>
  <c r="F73" i="2" s="1"/>
  <c r="C74" i="2" l="1"/>
  <c r="D74" i="2" s="1"/>
  <c r="F74" i="2" s="1"/>
  <c r="C75" i="2" l="1"/>
  <c r="D75" i="2" s="1"/>
  <c r="F75" i="2" s="1"/>
  <c r="C76" i="2" l="1"/>
  <c r="D76" i="2" s="1"/>
  <c r="F76" i="2" s="1"/>
  <c r="C77" i="2" l="1"/>
  <c r="D77" i="2" s="1"/>
  <c r="F77" i="2" s="1"/>
  <c r="C78" i="2" l="1"/>
  <c r="D78" i="2" l="1"/>
  <c r="F78" i="2" s="1"/>
  <c r="I78" i="2"/>
  <c r="I33" i="1" s="1"/>
  <c r="I36" i="1" s="1"/>
  <c r="I37" i="1" l="1"/>
  <c r="C79" i="2"/>
  <c r="I57" i="1"/>
  <c r="I55" i="1" l="1"/>
  <c r="H88" i="1" s="1"/>
  <c r="H94" i="1" s="1"/>
  <c r="I4" i="3" s="1"/>
  <c r="I38" i="1"/>
  <c r="I61" i="1" s="1"/>
  <c r="I63" i="1" s="1"/>
  <c r="D79" i="2"/>
  <c r="F79" i="2" s="1"/>
  <c r="I12" i="3" l="1"/>
  <c r="I15" i="3"/>
  <c r="I9" i="3"/>
  <c r="C80" i="2"/>
  <c r="D80" i="2" l="1"/>
  <c r="F80" i="2" s="1"/>
  <c r="C81" i="2" l="1"/>
  <c r="D81" i="2" l="1"/>
  <c r="F81" i="2" s="1"/>
  <c r="C82" i="2" l="1"/>
  <c r="D82" i="2" l="1"/>
  <c r="F82" i="2" s="1"/>
  <c r="C83" i="2" l="1"/>
  <c r="D83" i="2" l="1"/>
  <c r="F83" i="2" s="1"/>
  <c r="C84" i="2" l="1"/>
  <c r="D84" i="2" s="1"/>
  <c r="F84" i="2" s="1"/>
  <c r="C85" i="2" l="1"/>
  <c r="D85" i="2" s="1"/>
  <c r="F85" i="2" s="1"/>
  <c r="C86" i="2" l="1"/>
  <c r="D86" i="2" s="1"/>
  <c r="F86" i="2" s="1"/>
  <c r="C87" i="2" l="1"/>
  <c r="D87" i="2" s="1"/>
  <c r="F87" i="2" s="1"/>
  <c r="C88" i="2" l="1"/>
  <c r="D88" i="2" s="1"/>
  <c r="F88" i="2" s="1"/>
  <c r="C89" i="2" l="1"/>
  <c r="D89" i="2" s="1"/>
  <c r="F89" i="2" s="1"/>
  <c r="C90" i="2" l="1"/>
  <c r="D90" i="2" l="1"/>
  <c r="F90" i="2" s="1"/>
  <c r="I90" i="2"/>
  <c r="J33" i="1" s="1"/>
  <c r="J36" i="1" s="1"/>
  <c r="J37" i="1" l="1"/>
  <c r="C91" i="2"/>
  <c r="J57" i="1"/>
  <c r="J55" i="1" l="1"/>
  <c r="J38" i="1"/>
  <c r="J61" i="1" s="1"/>
  <c r="J63" i="1" s="1"/>
  <c r="D91" i="2"/>
  <c r="F91" i="2" s="1"/>
  <c r="I88" i="1"/>
  <c r="I94" i="1" s="1"/>
  <c r="J4" i="3" s="1"/>
  <c r="J12" i="3" l="1"/>
  <c r="J9" i="3"/>
  <c r="J15" i="3"/>
  <c r="C92" i="2"/>
  <c r="D92" i="2" l="1"/>
  <c r="F92" i="2" s="1"/>
  <c r="C93" i="2" l="1"/>
  <c r="D93" i="2" l="1"/>
  <c r="F93" i="2" s="1"/>
  <c r="C94" i="2" l="1"/>
  <c r="D94" i="2" l="1"/>
  <c r="F94" i="2" s="1"/>
  <c r="C95" i="2" l="1"/>
  <c r="D95" i="2" l="1"/>
  <c r="F95" i="2" s="1"/>
  <c r="C96" i="2" l="1"/>
  <c r="D96" i="2" s="1"/>
  <c r="F96" i="2" s="1"/>
  <c r="C97" i="2" l="1"/>
  <c r="D97" i="2" s="1"/>
  <c r="F97" i="2" s="1"/>
  <c r="C98" i="2" l="1"/>
  <c r="D98" i="2" s="1"/>
  <c r="F98" i="2" s="1"/>
  <c r="C99" i="2" l="1"/>
  <c r="D99" i="2" s="1"/>
  <c r="F99" i="2" s="1"/>
  <c r="C100" i="2" l="1"/>
  <c r="D100" i="2" s="1"/>
  <c r="F100" i="2" s="1"/>
  <c r="C101" i="2" l="1"/>
  <c r="D101" i="2" s="1"/>
  <c r="F101" i="2" s="1"/>
  <c r="C102" i="2" l="1"/>
  <c r="D102" i="2" l="1"/>
  <c r="F102" i="2" s="1"/>
  <c r="I102" i="2"/>
  <c r="K33" i="1" s="1"/>
  <c r="K36" i="1" s="1"/>
  <c r="K37" i="1" l="1"/>
  <c r="C103" i="2"/>
  <c r="K57" i="1"/>
  <c r="K55" i="1" l="1"/>
  <c r="J88" i="1" s="1"/>
  <c r="J94" i="1" s="1"/>
  <c r="K4" i="3" s="1"/>
  <c r="K38" i="1"/>
  <c r="K61" i="1" s="1"/>
  <c r="K63" i="1" s="1"/>
  <c r="D103" i="2"/>
  <c r="F103" i="2" s="1"/>
  <c r="K15" i="3" l="1"/>
  <c r="K9" i="3"/>
  <c r="K12" i="3"/>
  <c r="C104" i="2"/>
  <c r="D104" i="2" l="1"/>
  <c r="F104" i="2" s="1"/>
  <c r="C105" i="2" l="1"/>
  <c r="D105" i="2" l="1"/>
  <c r="F105" i="2" s="1"/>
  <c r="C106" i="2" l="1"/>
  <c r="D106" i="2" l="1"/>
  <c r="F106" i="2" s="1"/>
  <c r="C107" i="2" l="1"/>
  <c r="D107" i="2" l="1"/>
  <c r="F107" i="2" s="1"/>
  <c r="C108" i="2" l="1"/>
  <c r="D108" i="2" s="1"/>
  <c r="F108" i="2" s="1"/>
  <c r="C109" i="2" l="1"/>
  <c r="D109" i="2" s="1"/>
  <c r="F109" i="2" s="1"/>
  <c r="C110" i="2" l="1"/>
  <c r="D110" i="2" s="1"/>
  <c r="F110" i="2" s="1"/>
  <c r="C111" i="2" l="1"/>
  <c r="D111" i="2" s="1"/>
  <c r="F111" i="2" s="1"/>
  <c r="C112" i="2" l="1"/>
  <c r="D112" i="2" s="1"/>
  <c r="F112" i="2" s="1"/>
  <c r="C113" i="2" l="1"/>
  <c r="D113" i="2" s="1"/>
  <c r="F113" i="2" s="1"/>
  <c r="C114" i="2" l="1"/>
  <c r="D114" i="2" l="1"/>
  <c r="F114" i="2" s="1"/>
  <c r="I114" i="2"/>
  <c r="L33" i="1" s="1"/>
  <c r="L36" i="1" s="1"/>
  <c r="L37" i="1" l="1"/>
  <c r="L57" i="1"/>
  <c r="C115" i="2"/>
  <c r="L55" i="1" l="1"/>
  <c r="K88" i="1" s="1"/>
  <c r="K94" i="1" s="1"/>
  <c r="L4" i="3" s="1"/>
  <c r="L38" i="1"/>
  <c r="L61" i="1" s="1"/>
  <c r="D115" i="2"/>
  <c r="F115" i="2" s="1"/>
  <c r="L15" i="3" l="1"/>
  <c r="L12" i="3"/>
  <c r="L9" i="3"/>
  <c r="L63" i="1"/>
  <c r="C116" i="2"/>
  <c r="D116" i="2" l="1"/>
  <c r="F116" i="2" s="1"/>
  <c r="C117" i="2" l="1"/>
  <c r="D117" i="2" l="1"/>
  <c r="F117" i="2" s="1"/>
  <c r="C118" i="2" l="1"/>
  <c r="D118" i="2" l="1"/>
  <c r="F118" i="2" s="1"/>
  <c r="C119" i="2" l="1"/>
  <c r="D119" i="2" l="1"/>
  <c r="F119" i="2" s="1"/>
  <c r="C120" i="2" l="1"/>
  <c r="D120" i="2" s="1"/>
  <c r="F120" i="2" s="1"/>
  <c r="C121" i="2" l="1"/>
  <c r="D121" i="2" s="1"/>
  <c r="F121" i="2" s="1"/>
  <c r="C122" i="2" l="1"/>
  <c r="D122" i="2" s="1"/>
  <c r="F122" i="2" s="1"/>
  <c r="C123" i="2" l="1"/>
  <c r="D123" i="2" s="1"/>
  <c r="F123" i="2" s="1"/>
  <c r="C124" i="2" l="1"/>
  <c r="D124" i="2" s="1"/>
  <c r="F124" i="2" s="1"/>
  <c r="C125" i="2" l="1"/>
  <c r="D125" i="2" s="1"/>
  <c r="F125" i="2" s="1"/>
  <c r="C126" i="2" l="1"/>
  <c r="D126" i="2" l="1"/>
  <c r="F126" i="2" s="1"/>
  <c r="I126" i="2"/>
  <c r="M33" i="1" s="1"/>
  <c r="M36" i="1" s="1"/>
  <c r="M37" i="1" l="1"/>
  <c r="M55" i="1" s="1"/>
  <c r="C127" i="2"/>
  <c r="M57" i="1"/>
  <c r="M38" i="1" l="1"/>
  <c r="M61" i="1" s="1"/>
  <c r="M88" i="1"/>
  <c r="L88" i="1"/>
  <c r="L94" i="1" s="1"/>
  <c r="M4" i="3" s="1"/>
  <c r="D127" i="2"/>
  <c r="F127" i="2" s="1"/>
  <c r="M15" i="3" l="1"/>
  <c r="M9" i="3"/>
  <c r="M12" i="3"/>
  <c r="M63" i="1"/>
  <c r="C128" i="2"/>
  <c r="Q60" i="1"/>
  <c r="R45" i="1" l="1"/>
  <c r="R46" i="1"/>
  <c r="R58" i="1" s="1"/>
  <c r="D128" i="2"/>
  <c r="F128" i="2" s="1"/>
  <c r="R55" i="1" l="1"/>
  <c r="R47" i="1"/>
  <c r="R52" i="1" s="1"/>
  <c r="S58" i="1" s="1"/>
  <c r="T58" i="1" s="1"/>
  <c r="U58" i="1" s="1"/>
  <c r="C129" i="2"/>
  <c r="U55" i="1" l="1"/>
  <c r="U60" i="1" s="1"/>
  <c r="C98" i="1" s="1"/>
  <c r="R2" i="3" s="1"/>
  <c r="O7" i="3" s="1"/>
  <c r="C19" i="3" s="1"/>
  <c r="R60" i="1"/>
  <c r="D129" i="2"/>
  <c r="F129" i="2" s="1"/>
  <c r="C130" i="2" l="1"/>
  <c r="D130" i="2" l="1"/>
  <c r="F130" i="2" s="1"/>
  <c r="C131" i="2" l="1"/>
  <c r="D131" i="2" l="1"/>
  <c r="F131" i="2" s="1"/>
  <c r="C132" i="2" l="1"/>
  <c r="D132" i="2" s="1"/>
  <c r="F132" i="2" s="1"/>
  <c r="C133" i="2" l="1"/>
  <c r="D133" i="2" s="1"/>
  <c r="F133" i="2" s="1"/>
  <c r="C134" i="2" l="1"/>
  <c r="D134" i="2" s="1"/>
  <c r="F134" i="2" s="1"/>
  <c r="C135" i="2" l="1"/>
  <c r="D135" i="2" s="1"/>
  <c r="F135" i="2" s="1"/>
  <c r="C136" i="2" l="1"/>
  <c r="D136" i="2" s="1"/>
  <c r="F136" i="2" s="1"/>
  <c r="C137" i="2" l="1"/>
  <c r="D137" i="2" s="1"/>
  <c r="F137" i="2" s="1"/>
  <c r="C138" i="2" l="1"/>
  <c r="D138" i="2" l="1"/>
  <c r="F138" i="2" s="1"/>
  <c r="I138" i="2"/>
  <c r="C139" i="2" l="1"/>
  <c r="D139" i="2" l="1"/>
  <c r="F139" i="2" s="1"/>
  <c r="C140" i="2" l="1"/>
  <c r="D140" i="2" l="1"/>
  <c r="F140" i="2" s="1"/>
  <c r="C141" i="2" l="1"/>
  <c r="D141" i="2" l="1"/>
  <c r="F141" i="2" s="1"/>
  <c r="C142" i="2" l="1"/>
  <c r="D142" i="2" l="1"/>
  <c r="F142" i="2" s="1"/>
  <c r="C143" i="2" l="1"/>
  <c r="D143" i="2" l="1"/>
  <c r="F143" i="2" s="1"/>
  <c r="C144" i="2" l="1"/>
  <c r="D144" i="2" s="1"/>
  <c r="F144" i="2" s="1"/>
  <c r="C145" i="2" l="1"/>
  <c r="D145" i="2" s="1"/>
  <c r="F145" i="2" s="1"/>
  <c r="C146" i="2" l="1"/>
  <c r="D146" i="2" s="1"/>
  <c r="F146" i="2" s="1"/>
  <c r="C147" i="2" l="1"/>
  <c r="D147" i="2" s="1"/>
  <c r="F147" i="2" s="1"/>
  <c r="C148" i="2" l="1"/>
  <c r="D148" i="2" s="1"/>
  <c r="F148" i="2" s="1"/>
  <c r="C149" i="2" l="1"/>
  <c r="D149" i="2" s="1"/>
  <c r="F149" i="2" s="1"/>
  <c r="C150" i="2" l="1"/>
  <c r="D150" i="2" l="1"/>
  <c r="F150" i="2" s="1"/>
  <c r="I150" i="2"/>
  <c r="C151" i="2" l="1"/>
  <c r="D151" i="2" l="1"/>
  <c r="F151" i="2" s="1"/>
  <c r="C152" i="2" l="1"/>
  <c r="D152" i="2" l="1"/>
  <c r="F152" i="2" s="1"/>
  <c r="C153" i="2" l="1"/>
  <c r="D153" i="2" l="1"/>
  <c r="F153" i="2" s="1"/>
  <c r="C154" i="2" l="1"/>
  <c r="D154" i="2" l="1"/>
  <c r="F154" i="2" s="1"/>
  <c r="C155" i="2" l="1"/>
  <c r="D155" i="2" l="1"/>
  <c r="F155" i="2" s="1"/>
  <c r="C156" i="2" l="1"/>
  <c r="D156" i="2" s="1"/>
  <c r="F156" i="2" s="1"/>
  <c r="C157" i="2" l="1"/>
  <c r="D157" i="2" s="1"/>
  <c r="F157" i="2" s="1"/>
  <c r="C158" i="2" l="1"/>
  <c r="D158" i="2" s="1"/>
  <c r="F158" i="2" s="1"/>
  <c r="C159" i="2" l="1"/>
  <c r="D159" i="2" s="1"/>
  <c r="F159" i="2" s="1"/>
  <c r="C160" i="2" l="1"/>
  <c r="D160" i="2" s="1"/>
  <c r="F160" i="2" s="1"/>
  <c r="C161" i="2" l="1"/>
  <c r="D161" i="2" s="1"/>
  <c r="F161" i="2" s="1"/>
  <c r="C162" i="2" l="1"/>
  <c r="D162" i="2" l="1"/>
  <c r="F162" i="2" s="1"/>
  <c r="I162" i="2"/>
  <c r="C163" i="2" l="1"/>
  <c r="D163" i="2" l="1"/>
  <c r="F163" i="2" s="1"/>
  <c r="C164" i="2" l="1"/>
  <c r="D164" i="2" l="1"/>
  <c r="F164" i="2" s="1"/>
  <c r="C165" i="2" l="1"/>
  <c r="D165" i="2" l="1"/>
  <c r="F165" i="2" s="1"/>
  <c r="C166" i="2" l="1"/>
  <c r="D166" i="2" l="1"/>
  <c r="F166" i="2" s="1"/>
  <c r="C167" i="2" l="1"/>
  <c r="D167" i="2" l="1"/>
  <c r="F167" i="2" s="1"/>
  <c r="C168" i="2" l="1"/>
  <c r="D168" i="2" s="1"/>
  <c r="F168" i="2" s="1"/>
  <c r="C169" i="2" l="1"/>
  <c r="D169" i="2" s="1"/>
  <c r="F169" i="2" s="1"/>
  <c r="C170" i="2" l="1"/>
  <c r="D170" i="2" s="1"/>
  <c r="F170" i="2" s="1"/>
  <c r="C171" i="2" l="1"/>
  <c r="D171" i="2" s="1"/>
  <c r="F171" i="2" s="1"/>
  <c r="C172" i="2" l="1"/>
  <c r="D172" i="2" s="1"/>
  <c r="F172" i="2" s="1"/>
  <c r="C173" i="2" l="1"/>
  <c r="D173" i="2" s="1"/>
  <c r="F173" i="2" s="1"/>
  <c r="C174" i="2" l="1"/>
  <c r="D174" i="2" l="1"/>
  <c r="F174" i="2" s="1"/>
  <c r="I174" i="2"/>
  <c r="C175" i="2" l="1"/>
  <c r="D175" i="2" l="1"/>
  <c r="F175" i="2" s="1"/>
  <c r="C176" i="2" l="1"/>
  <c r="D176" i="2" l="1"/>
  <c r="F176" i="2" s="1"/>
  <c r="C177" i="2" l="1"/>
  <c r="D177" i="2" l="1"/>
  <c r="F177" i="2" s="1"/>
  <c r="C178" i="2" l="1"/>
  <c r="D178" i="2" l="1"/>
  <c r="F178" i="2" s="1"/>
  <c r="C179" i="2" l="1"/>
  <c r="D179" i="2" l="1"/>
  <c r="F179" i="2" s="1"/>
  <c r="C180" i="2" l="1"/>
  <c r="D180" i="2" s="1"/>
  <c r="F180" i="2" s="1"/>
  <c r="C181" i="2" l="1"/>
  <c r="D181" i="2" s="1"/>
  <c r="F181" i="2" s="1"/>
  <c r="C182" i="2" l="1"/>
  <c r="D182" i="2" s="1"/>
  <c r="F182" i="2" s="1"/>
  <c r="C183" i="2" l="1"/>
  <c r="D183" i="2" s="1"/>
  <c r="F183" i="2" s="1"/>
  <c r="C184" i="2" l="1"/>
  <c r="D184" i="2" s="1"/>
  <c r="F184" i="2" s="1"/>
  <c r="C185" i="2" l="1"/>
  <c r="D185" i="2" s="1"/>
  <c r="F185" i="2" s="1"/>
  <c r="C186" i="2" l="1"/>
  <c r="D186" i="2" l="1"/>
  <c r="F186" i="2" s="1"/>
  <c r="I186" i="2"/>
  <c r="C187" i="2" l="1"/>
  <c r="D187" i="2" l="1"/>
  <c r="F187" i="2" s="1"/>
  <c r="C188" i="2" l="1"/>
  <c r="D188" i="2" l="1"/>
  <c r="F188" i="2" s="1"/>
  <c r="C189" i="2" l="1"/>
  <c r="D189" i="2" l="1"/>
  <c r="F189" i="2" s="1"/>
  <c r="C190" i="2" l="1"/>
  <c r="D190" i="2" l="1"/>
  <c r="F190" i="2" s="1"/>
  <c r="C191" i="2" l="1"/>
  <c r="D191" i="2" l="1"/>
  <c r="F191" i="2" s="1"/>
  <c r="C192" i="2" l="1"/>
  <c r="D192" i="2" s="1"/>
  <c r="F192" i="2" s="1"/>
  <c r="C193" i="2" l="1"/>
  <c r="D193" i="2" s="1"/>
  <c r="F193" i="2" s="1"/>
  <c r="C194" i="2" l="1"/>
  <c r="D194" i="2" s="1"/>
  <c r="F194" i="2" s="1"/>
  <c r="C195" i="2" l="1"/>
  <c r="D195" i="2" s="1"/>
  <c r="F195" i="2" s="1"/>
  <c r="C196" i="2" l="1"/>
  <c r="D196" i="2" s="1"/>
  <c r="F196" i="2" s="1"/>
  <c r="C197" i="2" l="1"/>
  <c r="D197" i="2" s="1"/>
  <c r="F197" i="2" s="1"/>
  <c r="C198" i="2" l="1"/>
  <c r="D198" i="2" l="1"/>
  <c r="F198" i="2" s="1"/>
  <c r="I198" i="2"/>
  <c r="C199" i="2" l="1"/>
  <c r="D199" i="2" l="1"/>
  <c r="F199" i="2" s="1"/>
  <c r="C200" i="2" l="1"/>
  <c r="D200" i="2" l="1"/>
  <c r="F200" i="2" s="1"/>
  <c r="C201" i="2" l="1"/>
  <c r="D201" i="2" l="1"/>
  <c r="F201" i="2" s="1"/>
  <c r="C202" i="2" l="1"/>
  <c r="D202" i="2" l="1"/>
  <c r="F202" i="2" s="1"/>
  <c r="C203" i="2" l="1"/>
  <c r="D203" i="2" l="1"/>
  <c r="F203" i="2" s="1"/>
  <c r="C204" i="2" l="1"/>
  <c r="D204" i="2" s="1"/>
  <c r="F204" i="2" s="1"/>
  <c r="C205" i="2" l="1"/>
  <c r="D205" i="2" s="1"/>
  <c r="F205" i="2" s="1"/>
  <c r="C206" i="2" l="1"/>
  <c r="D206" i="2" s="1"/>
  <c r="F206" i="2" s="1"/>
  <c r="C207" i="2" l="1"/>
  <c r="D207" i="2" s="1"/>
  <c r="F207" i="2" s="1"/>
  <c r="C208" i="2" l="1"/>
  <c r="D208" i="2" s="1"/>
  <c r="F208" i="2" s="1"/>
  <c r="C209" i="2" l="1"/>
  <c r="D209" i="2" s="1"/>
  <c r="F209" i="2" s="1"/>
  <c r="C210" i="2" l="1"/>
  <c r="D210" i="2" l="1"/>
  <c r="F210" i="2" s="1"/>
  <c r="I210" i="2"/>
  <c r="C211" i="2" l="1"/>
  <c r="D211" i="2" l="1"/>
  <c r="F211" i="2" s="1"/>
  <c r="C212" i="2" l="1"/>
  <c r="D212" i="2" l="1"/>
  <c r="F212" i="2" s="1"/>
  <c r="C213" i="2" l="1"/>
  <c r="D213" i="2" l="1"/>
  <c r="F213" i="2" s="1"/>
  <c r="C214" i="2" l="1"/>
  <c r="D214" i="2" l="1"/>
  <c r="F214" i="2" s="1"/>
  <c r="C215" i="2" l="1"/>
  <c r="D215" i="2" l="1"/>
  <c r="F215" i="2" s="1"/>
  <c r="C216" i="2" l="1"/>
  <c r="D216" i="2" s="1"/>
  <c r="F216" i="2" s="1"/>
  <c r="C217" i="2" l="1"/>
  <c r="D217" i="2" s="1"/>
  <c r="F217" i="2" s="1"/>
  <c r="C218" i="2" l="1"/>
  <c r="D218" i="2" s="1"/>
  <c r="F218" i="2" s="1"/>
  <c r="C219" i="2" l="1"/>
  <c r="D219" i="2" s="1"/>
  <c r="F219" i="2" s="1"/>
  <c r="C220" i="2" l="1"/>
  <c r="D220" i="2" s="1"/>
  <c r="F220" i="2" s="1"/>
  <c r="C221" i="2" l="1"/>
  <c r="D221" i="2" s="1"/>
  <c r="F221" i="2" s="1"/>
  <c r="C222" i="2" l="1"/>
  <c r="D222" i="2" l="1"/>
  <c r="F222" i="2" s="1"/>
  <c r="I222" i="2"/>
  <c r="C223" i="2" l="1"/>
  <c r="D223" i="2" l="1"/>
  <c r="F223" i="2" s="1"/>
  <c r="C224" i="2" l="1"/>
  <c r="D224" i="2" l="1"/>
  <c r="F224" i="2" s="1"/>
  <c r="C225" i="2" l="1"/>
  <c r="D225" i="2" l="1"/>
  <c r="F225" i="2" s="1"/>
  <c r="C226" i="2" l="1"/>
  <c r="D226" i="2" l="1"/>
  <c r="F226" i="2" s="1"/>
  <c r="C227" i="2" l="1"/>
  <c r="D227" i="2" l="1"/>
  <c r="F227" i="2" s="1"/>
  <c r="C228" i="2" l="1"/>
  <c r="D228" i="2" s="1"/>
  <c r="F228" i="2" s="1"/>
  <c r="C229" i="2" l="1"/>
  <c r="D229" i="2" s="1"/>
  <c r="F229" i="2" s="1"/>
  <c r="C230" i="2" l="1"/>
  <c r="D230" i="2" s="1"/>
  <c r="F230" i="2" s="1"/>
  <c r="C231" i="2" l="1"/>
  <c r="D231" i="2" s="1"/>
  <c r="F231" i="2" s="1"/>
  <c r="C232" i="2" l="1"/>
  <c r="D232" i="2" s="1"/>
  <c r="F232" i="2" s="1"/>
  <c r="C233" i="2" l="1"/>
  <c r="D233" i="2" s="1"/>
  <c r="F233" i="2" s="1"/>
  <c r="C234" i="2" l="1"/>
  <c r="D234" i="2" l="1"/>
  <c r="F234" i="2" s="1"/>
  <c r="I234" i="2"/>
  <c r="C235" i="2" l="1"/>
  <c r="D235" i="2" l="1"/>
  <c r="F235" i="2" s="1"/>
  <c r="C236" i="2" l="1"/>
  <c r="D236" i="2" l="1"/>
  <c r="F236" i="2" s="1"/>
  <c r="C237" i="2" l="1"/>
  <c r="D237" i="2" l="1"/>
  <c r="F237" i="2" s="1"/>
  <c r="C238" i="2" l="1"/>
  <c r="D238" i="2" l="1"/>
  <c r="F238" i="2" s="1"/>
  <c r="C239" i="2" l="1"/>
  <c r="D239" i="2" l="1"/>
  <c r="F239" i="2" s="1"/>
  <c r="C240" i="2" l="1"/>
  <c r="D240" i="2" s="1"/>
  <c r="F240" i="2" s="1"/>
  <c r="C241" i="2" l="1"/>
  <c r="D241" i="2" s="1"/>
  <c r="F241" i="2" s="1"/>
  <c r="C242" i="2" l="1"/>
  <c r="D242" i="2" s="1"/>
  <c r="F242" i="2" s="1"/>
  <c r="C243" i="2" l="1"/>
  <c r="D243" i="2" s="1"/>
  <c r="F243" i="2" s="1"/>
  <c r="C244" i="2" l="1"/>
  <c r="D244" i="2" s="1"/>
  <c r="F244" i="2" s="1"/>
  <c r="C245" i="2" l="1"/>
  <c r="D245" i="2" s="1"/>
  <c r="F245" i="2" s="1"/>
  <c r="C246" i="2" l="1"/>
  <c r="D246" i="2" l="1"/>
  <c r="F246" i="2" s="1"/>
  <c r="I246" i="2"/>
  <c r="C247" i="2" l="1"/>
  <c r="D247" i="2" l="1"/>
  <c r="F247" i="2" s="1"/>
  <c r="C248" i="2" l="1"/>
  <c r="D248" i="2" l="1"/>
  <c r="F248" i="2" s="1"/>
  <c r="C249" i="2" l="1"/>
  <c r="D249" i="2" l="1"/>
  <c r="F249" i="2" s="1"/>
  <c r="C250" i="2" l="1"/>
  <c r="D250" i="2" l="1"/>
  <c r="F250" i="2" s="1"/>
  <c r="C251" i="2" l="1"/>
  <c r="D251" i="2" l="1"/>
  <c r="F251" i="2" s="1"/>
  <c r="C252" i="2" l="1"/>
  <c r="D252" i="2" s="1"/>
  <c r="F252" i="2"/>
  <c r="C253" i="2" l="1"/>
  <c r="D253" i="2" s="1"/>
  <c r="F253" i="2" s="1"/>
  <c r="C254" i="2" l="1"/>
  <c r="D254" i="2" s="1"/>
  <c r="F254" i="2" s="1"/>
  <c r="C255" i="2" l="1"/>
  <c r="D255" i="2" s="1"/>
  <c r="F255" i="2" s="1"/>
  <c r="C256" i="2" l="1"/>
  <c r="D256" i="2" s="1"/>
  <c r="F256" i="2"/>
  <c r="C257" i="2" l="1"/>
  <c r="D257" i="2" s="1"/>
  <c r="F257" i="2" s="1"/>
  <c r="C258" i="2" l="1"/>
  <c r="D258" i="2" l="1"/>
  <c r="F258" i="2" s="1"/>
  <c r="I258" i="2"/>
  <c r="C259" i="2" l="1"/>
  <c r="D259" i="2" l="1"/>
  <c r="F259" i="2" s="1"/>
  <c r="C260" i="2" l="1"/>
  <c r="D260" i="2" l="1"/>
  <c r="F260" i="2" s="1"/>
  <c r="C261" i="2" l="1"/>
  <c r="D261" i="2" l="1"/>
  <c r="F261" i="2" s="1"/>
  <c r="C262" i="2" l="1"/>
  <c r="D262" i="2" l="1"/>
  <c r="F262" i="2" s="1"/>
  <c r="C263" i="2" l="1"/>
  <c r="D263" i="2" l="1"/>
  <c r="F263" i="2" s="1"/>
  <c r="C264" i="2" l="1"/>
  <c r="D264" i="2" s="1"/>
  <c r="F264" i="2" s="1"/>
  <c r="C265" i="2" l="1"/>
  <c r="D265" i="2" s="1"/>
  <c r="F265" i="2" s="1"/>
  <c r="C266" i="2" l="1"/>
  <c r="D266" i="2" s="1"/>
  <c r="F266" i="2"/>
  <c r="C267" i="2" l="1"/>
  <c r="D267" i="2" s="1"/>
  <c r="F267" i="2" s="1"/>
  <c r="C268" i="2" l="1"/>
  <c r="D268" i="2" s="1"/>
  <c r="F268" i="2" s="1"/>
  <c r="C269" i="2" l="1"/>
  <c r="D269" i="2" s="1"/>
  <c r="F269" i="2" s="1"/>
  <c r="C270" i="2" l="1"/>
  <c r="D270" i="2" l="1"/>
  <c r="F270" i="2" s="1"/>
  <c r="I270" i="2"/>
  <c r="C271" i="2" l="1"/>
  <c r="D271" i="2" l="1"/>
  <c r="F271" i="2" s="1"/>
  <c r="C272" i="2" l="1"/>
  <c r="D272" i="2" l="1"/>
  <c r="F272" i="2" s="1"/>
  <c r="C273" i="2" l="1"/>
  <c r="D273" i="2" l="1"/>
  <c r="F273" i="2" s="1"/>
  <c r="C274" i="2" l="1"/>
  <c r="D274" i="2" l="1"/>
  <c r="F274" i="2" s="1"/>
  <c r="C275" i="2" l="1"/>
  <c r="D275" i="2" l="1"/>
  <c r="F275" i="2" s="1"/>
  <c r="C276" i="2" l="1"/>
  <c r="D276" i="2" s="1"/>
  <c r="F276" i="2" s="1"/>
  <c r="C277" i="2" l="1"/>
  <c r="D277" i="2" s="1"/>
  <c r="F277" i="2" s="1"/>
  <c r="C278" i="2" l="1"/>
  <c r="D278" i="2" s="1"/>
  <c r="F278" i="2" s="1"/>
  <c r="C279" i="2" l="1"/>
  <c r="D279" i="2" s="1"/>
  <c r="F279" i="2" s="1"/>
  <c r="C280" i="2" l="1"/>
  <c r="D280" i="2" s="1"/>
  <c r="F280" i="2" s="1"/>
  <c r="C281" i="2" l="1"/>
  <c r="D281" i="2" s="1"/>
  <c r="F281" i="2" s="1"/>
  <c r="C282" i="2" l="1"/>
  <c r="D282" i="2" l="1"/>
  <c r="F282" i="2" s="1"/>
  <c r="I282" i="2"/>
  <c r="C283" i="2" l="1"/>
  <c r="D283" i="2" l="1"/>
  <c r="F283" i="2" s="1"/>
  <c r="C284" i="2" l="1"/>
  <c r="D284" i="2" l="1"/>
  <c r="F284" i="2" s="1"/>
  <c r="C285" i="2" l="1"/>
  <c r="D285" i="2" l="1"/>
  <c r="F285" i="2" s="1"/>
  <c r="C286" i="2" l="1"/>
  <c r="D286" i="2" l="1"/>
  <c r="F286" i="2" s="1"/>
  <c r="C287" i="2" l="1"/>
  <c r="D287" i="2" l="1"/>
  <c r="F287" i="2" s="1"/>
  <c r="C288" i="2" l="1"/>
  <c r="D288" i="2" s="1"/>
  <c r="F288" i="2" s="1"/>
  <c r="C289" i="2" l="1"/>
  <c r="D289" i="2" s="1"/>
  <c r="F289" i="2" s="1"/>
  <c r="C290" i="2" l="1"/>
  <c r="D290" i="2" s="1"/>
  <c r="F290" i="2" s="1"/>
  <c r="C291" i="2" l="1"/>
  <c r="D291" i="2" s="1"/>
  <c r="F291" i="2" s="1"/>
  <c r="C292" i="2" l="1"/>
  <c r="D292" i="2" s="1"/>
  <c r="F292" i="2" s="1"/>
  <c r="C293" i="2" l="1"/>
  <c r="D293" i="2" s="1"/>
  <c r="F293" i="2" s="1"/>
  <c r="C294" i="2" l="1"/>
  <c r="D294" i="2" l="1"/>
  <c r="F294" i="2" s="1"/>
  <c r="I294" i="2"/>
  <c r="C295" i="2" l="1"/>
  <c r="D295" i="2" l="1"/>
  <c r="F295" i="2" s="1"/>
  <c r="C296" i="2" l="1"/>
  <c r="D296" i="2" l="1"/>
  <c r="F296" i="2" s="1"/>
  <c r="C297" i="2" l="1"/>
  <c r="D297" i="2" l="1"/>
  <c r="F297" i="2" s="1"/>
  <c r="C298" i="2" l="1"/>
  <c r="D298" i="2" l="1"/>
  <c r="F298" i="2" s="1"/>
  <c r="C299" i="2" l="1"/>
  <c r="D299" i="2" l="1"/>
  <c r="F299" i="2" s="1"/>
  <c r="C300" i="2" l="1"/>
  <c r="D300" i="2" s="1"/>
  <c r="F300" i="2" s="1"/>
  <c r="C301" i="2" l="1"/>
  <c r="D301" i="2" s="1"/>
  <c r="F301" i="2" s="1"/>
  <c r="C302" i="2" l="1"/>
  <c r="D302" i="2" s="1"/>
  <c r="F302" i="2" s="1"/>
  <c r="C303" i="2" l="1"/>
  <c r="D303" i="2" s="1"/>
  <c r="F303" i="2" s="1"/>
  <c r="C304" i="2" l="1"/>
  <c r="D304" i="2" s="1"/>
  <c r="F304" i="2" s="1"/>
  <c r="C305" i="2" l="1"/>
  <c r="D305" i="2" s="1"/>
  <c r="F305" i="2" s="1"/>
  <c r="C306" i="2" l="1"/>
  <c r="D306" i="2" l="1"/>
  <c r="F306" i="2" s="1"/>
  <c r="I306" i="2"/>
  <c r="C307" i="2" l="1"/>
  <c r="D307" i="2" l="1"/>
  <c r="F307" i="2" s="1"/>
  <c r="C308" i="2" l="1"/>
  <c r="D308" i="2" l="1"/>
  <c r="F308" i="2" s="1"/>
  <c r="C309" i="2" l="1"/>
  <c r="D309" i="2" l="1"/>
  <c r="F309" i="2" s="1"/>
  <c r="C310" i="2" l="1"/>
  <c r="D310" i="2" l="1"/>
  <c r="F310" i="2" s="1"/>
  <c r="C311" i="2" l="1"/>
  <c r="D311" i="2" l="1"/>
  <c r="F311" i="2" s="1"/>
  <c r="C312" i="2" l="1"/>
  <c r="D312" i="2" s="1"/>
  <c r="F312" i="2" s="1"/>
  <c r="C313" i="2" l="1"/>
  <c r="D313" i="2" s="1"/>
  <c r="F313" i="2" s="1"/>
  <c r="C314" i="2" l="1"/>
  <c r="D314" i="2" s="1"/>
  <c r="F314" i="2"/>
  <c r="C315" i="2" l="1"/>
  <c r="D315" i="2" s="1"/>
  <c r="F315" i="2" s="1"/>
  <c r="C316" i="2" l="1"/>
  <c r="D316" i="2" s="1"/>
  <c r="F316" i="2" s="1"/>
  <c r="C317" i="2" l="1"/>
  <c r="D317" i="2" s="1"/>
  <c r="F317" i="2" s="1"/>
  <c r="C318" i="2" l="1"/>
  <c r="D318" i="2" l="1"/>
  <c r="F318" i="2" s="1"/>
  <c r="I318" i="2"/>
  <c r="C319" i="2" l="1"/>
  <c r="D319" i="2" l="1"/>
  <c r="F319" i="2" s="1"/>
  <c r="C320" i="2" l="1"/>
  <c r="D320" i="2" l="1"/>
  <c r="F320" i="2" s="1"/>
  <c r="C321" i="2" l="1"/>
  <c r="D321" i="2" l="1"/>
  <c r="F321" i="2" s="1"/>
  <c r="C322" i="2" l="1"/>
  <c r="D322" i="2" l="1"/>
  <c r="F322" i="2" s="1"/>
  <c r="C323" i="2" l="1"/>
  <c r="D323" i="2" l="1"/>
  <c r="F323" i="2" s="1"/>
  <c r="C324" i="2" l="1"/>
  <c r="D324" i="2" s="1"/>
  <c r="F324" i="2"/>
  <c r="C325" i="2" l="1"/>
  <c r="D325" i="2" s="1"/>
  <c r="F325" i="2" s="1"/>
  <c r="C326" i="2" l="1"/>
  <c r="D326" i="2" s="1"/>
  <c r="F326" i="2" s="1"/>
  <c r="C327" i="2" l="1"/>
  <c r="D327" i="2" s="1"/>
  <c r="F327" i="2" s="1"/>
  <c r="C328" i="2" l="1"/>
  <c r="D328" i="2" s="1"/>
  <c r="F328" i="2" s="1"/>
  <c r="C329" i="2" l="1"/>
  <c r="D329" i="2" s="1"/>
  <c r="F329" i="2" s="1"/>
  <c r="C330" i="2" l="1"/>
  <c r="D330" i="2" l="1"/>
  <c r="F330" i="2" s="1"/>
  <c r="I330" i="2"/>
  <c r="C331" i="2" l="1"/>
  <c r="D331" i="2" l="1"/>
  <c r="F331" i="2" s="1"/>
  <c r="C332" i="2" l="1"/>
  <c r="D332" i="2" l="1"/>
  <c r="F332" i="2" s="1"/>
  <c r="C333" i="2" l="1"/>
  <c r="D333" i="2" l="1"/>
  <c r="F333" i="2" s="1"/>
  <c r="C334" i="2" l="1"/>
  <c r="D334" i="2" l="1"/>
  <c r="F334" i="2" s="1"/>
  <c r="C335" i="2" l="1"/>
  <c r="D335" i="2" l="1"/>
  <c r="F335" i="2" s="1"/>
  <c r="C336" i="2" l="1"/>
  <c r="D336" i="2" s="1"/>
  <c r="F336" i="2" s="1"/>
  <c r="C337" i="2" l="1"/>
  <c r="D337" i="2" s="1"/>
  <c r="F337" i="2" s="1"/>
  <c r="C338" i="2" l="1"/>
  <c r="D338" i="2" s="1"/>
  <c r="F338" i="2" s="1"/>
  <c r="C339" i="2" l="1"/>
  <c r="D339" i="2" s="1"/>
  <c r="F339" i="2" s="1"/>
  <c r="C340" i="2" l="1"/>
  <c r="D340" i="2" s="1"/>
  <c r="F340" i="2" s="1"/>
  <c r="C341" i="2" l="1"/>
  <c r="D341" i="2" s="1"/>
  <c r="F341" i="2" s="1"/>
  <c r="C342" i="2" l="1"/>
  <c r="D342" i="2" l="1"/>
  <c r="F342" i="2" s="1"/>
  <c r="I342" i="2"/>
  <c r="C343" i="2" l="1"/>
  <c r="D343" i="2" l="1"/>
  <c r="F343" i="2" s="1"/>
  <c r="C344" i="2" l="1"/>
  <c r="D344" i="2" l="1"/>
  <c r="F344" i="2" s="1"/>
  <c r="C345" i="2" l="1"/>
  <c r="D345" i="2" l="1"/>
  <c r="F345" i="2" s="1"/>
  <c r="C346" i="2" l="1"/>
  <c r="D346" i="2" l="1"/>
  <c r="F346" i="2" s="1"/>
  <c r="C347" i="2" l="1"/>
  <c r="D347" i="2" l="1"/>
  <c r="F347" i="2" s="1"/>
  <c r="C348" i="2" l="1"/>
  <c r="D348" i="2" s="1"/>
  <c r="F348" i="2" s="1"/>
  <c r="C349" i="2" l="1"/>
  <c r="D349" i="2" s="1"/>
  <c r="F349" i="2" s="1"/>
  <c r="C350" i="2" l="1"/>
  <c r="D350" i="2" s="1"/>
  <c r="F350" i="2" s="1"/>
  <c r="C351" i="2" l="1"/>
  <c r="D351" i="2" s="1"/>
  <c r="F351" i="2" s="1"/>
  <c r="C352" i="2" l="1"/>
  <c r="D352" i="2" s="1"/>
  <c r="F352" i="2" s="1"/>
  <c r="C353" i="2" l="1"/>
  <c r="D353" i="2" s="1"/>
  <c r="F353" i="2" s="1"/>
  <c r="C354" i="2" l="1"/>
  <c r="D354" i="2" l="1"/>
  <c r="F354" i="2" s="1"/>
  <c r="I354" i="2"/>
  <c r="C355" i="2" l="1"/>
  <c r="D355" i="2" l="1"/>
  <c r="F355" i="2" s="1"/>
  <c r="C356" i="2" l="1"/>
  <c r="D356" i="2" l="1"/>
  <c r="F356" i="2" s="1"/>
  <c r="C357" i="2" l="1"/>
  <c r="D357" i="2" l="1"/>
  <c r="F357" i="2" s="1"/>
  <c r="C358" i="2" l="1"/>
  <c r="D358" i="2" l="1"/>
  <c r="F358" i="2" s="1"/>
  <c r="C359" i="2" l="1"/>
  <c r="D359" i="2" l="1"/>
  <c r="F359" i="2" s="1"/>
  <c r="C360" i="2" l="1"/>
  <c r="D360" i="2" s="1"/>
  <c r="F360" i="2" s="1"/>
  <c r="C361" i="2" l="1"/>
  <c r="D361" i="2" s="1"/>
  <c r="F361" i="2" s="1"/>
  <c r="C362" i="2" l="1"/>
  <c r="D362" i="2" s="1"/>
  <c r="F362" i="2" s="1"/>
  <c r="C363" i="2" l="1"/>
  <c r="D363" i="2" s="1"/>
  <c r="F363" i="2" s="1"/>
  <c r="C364" i="2" l="1"/>
  <c r="D364" i="2" s="1"/>
  <c r="F364" i="2" s="1"/>
  <c r="C365" i="2" l="1"/>
  <c r="D365" i="2" s="1"/>
  <c r="F365" i="2" s="1"/>
  <c r="C366" i="2" l="1"/>
  <c r="D366" i="2" l="1"/>
  <c r="F366" i="2" s="1"/>
  <c r="F3" i="2"/>
  <c r="I366" i="2"/>
  <c r="D70" i="1"/>
  <c r="D71" i="1" s="1"/>
  <c r="E51" i="1"/>
  <c r="E65" i="1" s="1"/>
  <c r="D72" i="1" l="1"/>
  <c r="D94" i="1" s="1"/>
  <c r="E4" i="3" s="1"/>
  <c r="F51" i="1"/>
  <c r="F65" i="1" s="1"/>
  <c r="E12" i="3" l="1"/>
  <c r="E15" i="3"/>
  <c r="B22" i="3"/>
  <c r="E9" i="3"/>
  <c r="G51" i="1"/>
  <c r="G65" i="1" s="1"/>
  <c r="H51" i="1" l="1"/>
  <c r="H65" i="1" s="1"/>
  <c r="I51" i="1" l="1"/>
  <c r="I65" i="1" s="1"/>
  <c r="J51" i="1" l="1"/>
  <c r="J65" i="1" s="1"/>
  <c r="K51" i="1" l="1"/>
  <c r="K65" i="1" s="1"/>
  <c r="L51" i="1" l="1"/>
  <c r="L65" i="1" s="1"/>
  <c r="O85" i="1" l="1"/>
  <c r="O86" i="1" s="1"/>
  <c r="M85" i="1" s="1"/>
  <c r="M94" i="1" s="1"/>
  <c r="M51" i="1"/>
  <c r="M65" i="1" s="1"/>
  <c r="N4" i="3" l="1"/>
  <c r="C99" i="1"/>
  <c r="N15" i="3" l="1"/>
  <c r="O15" i="3" s="1"/>
  <c r="N12" i="3"/>
  <c r="O12" i="3" s="1"/>
  <c r="N9" i="3"/>
  <c r="O9" i="3" s="1"/>
  <c r="D65" i="1"/>
  <c r="C96" i="1" l="1"/>
  <c r="D4" i="3"/>
  <c r="D15" i="3" s="1"/>
  <c r="D9" i="3" l="1"/>
  <c r="D12" i="3"/>
  <c r="C13" i="3" s="1"/>
  <c r="G19" i="3" s="1"/>
  <c r="H19" i="3" s="1"/>
  <c r="B23" i="3" s="1"/>
  <c r="B24" i="3" s="1"/>
  <c r="C24" i="3" s="1"/>
</calcChain>
</file>

<file path=xl/sharedStrings.xml><?xml version="1.0" encoding="utf-8"?>
<sst xmlns="http://schemas.openxmlformats.org/spreadsheetml/2006/main" count="308" uniqueCount="178">
  <si>
    <t>Year 1</t>
  </si>
  <si>
    <t xml:space="preserve"> Year 2</t>
  </si>
  <si>
    <t>Year 3</t>
  </si>
  <si>
    <t>Year 4</t>
  </si>
  <si>
    <t>INCOME STATEMENT</t>
  </si>
  <si>
    <t>Operating Expenses</t>
  </si>
  <si>
    <t>Depreciation</t>
  </si>
  <si>
    <t>Mortgage Interest Expense</t>
  </si>
  <si>
    <t>Extra Bank Loan Interest Expense</t>
  </si>
  <si>
    <t>Profit Before Taxes</t>
  </si>
  <si>
    <t>Taxes</t>
  </si>
  <si>
    <t>Net Income</t>
  </si>
  <si>
    <t>BALANCE SHEET</t>
  </si>
  <si>
    <t>Assets</t>
  </si>
  <si>
    <t>Minimum Cash Inventory</t>
  </si>
  <si>
    <t>Extra Cash</t>
  </si>
  <si>
    <t>Accounts Receivable</t>
  </si>
  <si>
    <t>Total Inventories</t>
  </si>
  <si>
    <t>Land</t>
  </si>
  <si>
    <t>Buildings</t>
  </si>
  <si>
    <t>Less:  Accumulated Depreciation</t>
  </si>
  <si>
    <t>Total Assets</t>
  </si>
  <si>
    <t>Liabilities and Equity</t>
  </si>
  <si>
    <t>Total Accounts Payable</t>
  </si>
  <si>
    <t>Income Tax Payable</t>
  </si>
  <si>
    <t>Mortgage Loan</t>
  </si>
  <si>
    <t>Extra Bank Loan</t>
  </si>
  <si>
    <t>Common Stock</t>
  </si>
  <si>
    <t>Retained Earnings</t>
  </si>
  <si>
    <t>Total Liabilities and Equity</t>
  </si>
  <si>
    <t>DFN</t>
  </si>
  <si>
    <t>Pool Maintenance Revenue</t>
  </si>
  <si>
    <t>Pool Products Sales Revenue</t>
  </si>
  <si>
    <t>Cost of Goods Sold</t>
  </si>
  <si>
    <t>Service Labor Expense</t>
  </si>
  <si>
    <t>Year 5</t>
  </si>
  <si>
    <t>Year 6</t>
  </si>
  <si>
    <t>Year 7</t>
  </si>
  <si>
    <t>Year 8</t>
  </si>
  <si>
    <t>Year 9</t>
  </si>
  <si>
    <t>Year 10</t>
  </si>
  <si>
    <t>Sales Labor Expense</t>
  </si>
  <si>
    <t>Building Maintenance Expense</t>
  </si>
  <si>
    <t>General, and Administrative</t>
  </si>
  <si>
    <t>Loan Amt</t>
  </si>
  <si>
    <t>Extra Pmt</t>
  </si>
  <si>
    <t>Int Rate</t>
  </si>
  <si>
    <t>Periods</t>
  </si>
  <si>
    <t>Total Loan Int</t>
  </si>
  <si>
    <t>Payment</t>
  </si>
  <si>
    <t>Interest</t>
  </si>
  <si>
    <t>Principle</t>
  </si>
  <si>
    <t>Loan Bal</t>
  </si>
  <si>
    <t>Total Int paid to date (YR1):</t>
  </si>
  <si>
    <t>Total Int paid to date (YR2):</t>
  </si>
  <si>
    <t>Total Int paid to date (YR3):</t>
  </si>
  <si>
    <t>Total Int paid to date (YR4):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</si>
  <si>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</si>
  <si>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</si>
  <si>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</si>
  <si>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</si>
  <si>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</si>
  <si>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</si>
  <si>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</si>
  <si>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</si>
  <si>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</si>
  <si>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Minimum Cash Balance</t>
  </si>
  <si>
    <t>Inventory</t>
  </si>
  <si>
    <t>Adjustment for Resale</t>
  </si>
  <si>
    <t>Taxes on Resale</t>
  </si>
  <si>
    <t>(+)</t>
  </si>
  <si>
    <t>Accounts Payable</t>
  </si>
  <si>
    <t>Taxes Payable (=Taxes on Operations)</t>
  </si>
  <si>
    <t>TOTAL FREE CASH FLOWS</t>
  </si>
  <si>
    <t>IRR</t>
  </si>
  <si>
    <t>WACC COMPUTED FROM FORECAST</t>
  </si>
  <si>
    <t>NPV USING COMPUTED WACC</t>
  </si>
  <si>
    <t>Unlevered</t>
  </si>
  <si>
    <t>New Debt %</t>
  </si>
  <si>
    <t>New Equity %</t>
  </si>
  <si>
    <t>Relevered</t>
  </si>
  <si>
    <t>T-Bills</t>
  </si>
  <si>
    <t>S&amp;P 500</t>
  </si>
  <si>
    <t>CAPM</t>
  </si>
  <si>
    <t>Average</t>
  </si>
  <si>
    <t>Proportion</t>
  </si>
  <si>
    <t>Rate</t>
  </si>
  <si>
    <t>After tax</t>
  </si>
  <si>
    <t>Weighted</t>
  </si>
  <si>
    <t>WACC</t>
  </si>
  <si>
    <t>% Adjust</t>
  </si>
  <si>
    <t>Book</t>
  </si>
  <si>
    <t>Gain</t>
  </si>
  <si>
    <t>Tax Rate</t>
  </si>
  <si>
    <t>Sky Blue Pools Inc.</t>
  </si>
  <si>
    <t>Pool service revenue</t>
  </si>
  <si>
    <t>Pool parts revenue</t>
  </si>
  <si>
    <t>Pool service customers</t>
  </si>
  <si>
    <t>Pool parts customers</t>
  </si>
  <si>
    <t>Parts cost</t>
  </si>
  <si>
    <t>Days of receivables(service)</t>
  </si>
  <si>
    <t>Inventory Days</t>
  </si>
  <si>
    <t>Days of payable</t>
  </si>
  <si>
    <t>COGS</t>
  </si>
  <si>
    <t>Years</t>
  </si>
  <si>
    <t>NPV</t>
  </si>
  <si>
    <t>FCF</t>
  </si>
  <si>
    <t>Options</t>
  </si>
  <si>
    <t>Good</t>
  </si>
  <si>
    <t xml:space="preserve">We bought some transgenic fish that clean pools and live off poll debris and scum and is chlorine tolerant </t>
  </si>
  <si>
    <t>Medium</t>
  </si>
  <si>
    <t>Bad</t>
  </si>
  <si>
    <t xml:space="preserve">We stopped making money in year four and continued down the slippery slope to bankruptcy we also were unable to sell the company for anything </t>
  </si>
  <si>
    <t xml:space="preserve"> </t>
  </si>
  <si>
    <t>S</t>
  </si>
  <si>
    <t>X</t>
  </si>
  <si>
    <t>t</t>
  </si>
  <si>
    <t>STDEV(%)</t>
  </si>
  <si>
    <t>r</t>
  </si>
  <si>
    <t>Option Price</t>
  </si>
  <si>
    <t>Start Business NPV</t>
  </si>
  <si>
    <t>Value of Option</t>
  </si>
  <si>
    <t>Whole Project</t>
  </si>
  <si>
    <t>% Sale</t>
  </si>
  <si>
    <t>Secured</t>
  </si>
  <si>
    <t>Unsecured</t>
  </si>
  <si>
    <t>Cash</t>
  </si>
  <si>
    <t>A/R</t>
  </si>
  <si>
    <t>Inv</t>
  </si>
  <si>
    <t>Building</t>
  </si>
  <si>
    <t>A/P</t>
  </si>
  <si>
    <t>Total</t>
  </si>
  <si>
    <t>Extra</t>
  </si>
  <si>
    <t>Admin</t>
  </si>
  <si>
    <t>Remaining</t>
  </si>
  <si>
    <t>Prop</t>
  </si>
  <si>
    <t>TOTAL</t>
  </si>
  <si>
    <t>On the $</t>
  </si>
  <si>
    <t>Pool service Revenue</t>
  </si>
  <si>
    <t>Pool parts Revenue</t>
  </si>
  <si>
    <t>Pool service Cost</t>
  </si>
  <si>
    <t>Parts Cost</t>
  </si>
  <si>
    <t>Days of Receivables(service)</t>
  </si>
  <si>
    <t>Days of Payables</t>
  </si>
  <si>
    <t>Pool products Revenue</t>
  </si>
  <si>
    <t>Cost of products sold</t>
  </si>
  <si>
    <t>Service Labor</t>
  </si>
  <si>
    <t>Sales Labor</t>
  </si>
  <si>
    <t>General Admin Expense</t>
  </si>
  <si>
    <t>Maintenance</t>
  </si>
  <si>
    <t>Depreciation Expense</t>
  </si>
  <si>
    <t>Bank Loan Interest  Expense</t>
  </si>
  <si>
    <t>Taxable Income</t>
  </si>
  <si>
    <t>T Bill</t>
  </si>
  <si>
    <t>Equity Beta</t>
  </si>
  <si>
    <t>Debt %</t>
  </si>
  <si>
    <t>Equity  %</t>
  </si>
  <si>
    <t>Unlevered Beta</t>
  </si>
  <si>
    <t>Accumulated Depreciation</t>
  </si>
  <si>
    <t>CAPM %</t>
  </si>
  <si>
    <t>New CAPM %</t>
  </si>
  <si>
    <t>Taxes Payable</t>
  </si>
  <si>
    <t>Afte Tax</t>
  </si>
  <si>
    <t>New Prop</t>
  </si>
  <si>
    <t>New Rate</t>
  </si>
  <si>
    <t>Year 2</t>
  </si>
  <si>
    <t>Mortgage Loan Cash Flows</t>
  </si>
  <si>
    <t>Principal</t>
  </si>
  <si>
    <t>Paid in Bankruptcy</t>
  </si>
  <si>
    <t>Interest Payments</t>
  </si>
  <si>
    <t>Total Cash Flows</t>
  </si>
  <si>
    <t>Prob</t>
  </si>
  <si>
    <t>IRR if not in Bankruptcy</t>
  </si>
  <si>
    <t>Expected IRR</t>
  </si>
  <si>
    <t>Extra Bank Loan Cash Flows</t>
  </si>
  <si>
    <t>Advertising Expense</t>
  </si>
  <si>
    <t>a</t>
  </si>
  <si>
    <t>Possible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</si>
</sst>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\-??_);_(@_)"/>
    <numFmt numFmtId="165" formatCode="0.0%"/>
    <numFmt numFmtId="166" formatCode="_(&quot;$&quot;* #,##0_);_(&quot;$&quot;* \(#,##0\);_(&quot;$&quot;* &quot;-&quot;??_);_(@_)"/>
    <numFmt numFmtId="167" formatCode="_(\$* #,##0.00_);_(\$* \(#,##0.00\);_(\$* \-??_);_(@_)"/>
    <numFmt numFmtId="168" formatCode="0.0"/>
    <numFmt numFmtId="169" formatCode="_(* #,##0.0_);_(* \(#,##0.0\);_(* &quot;-&quot;?_);_(@_)"/>
    <numFmt numFmtId="170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2" fillId="2" borderId="0" xfId="3" applyFill="1"/>
    <xf numFmtId="0" fontId="3" fillId="2" borderId="0" xfId="3" applyFont="1" applyFill="1"/>
    <xf numFmtId="0" fontId="2" fillId="2" borderId="0" xfId="3" applyFont="1" applyFill="1"/>
    <xf numFmtId="164" fontId="2" fillId="2" borderId="0" xfId="1" applyNumberFormat="1" applyFont="1" applyFill="1" applyBorder="1" applyAlignment="1" applyProtection="1"/>
    <xf numFmtId="43" fontId="2" fillId="2" borderId="0" xfId="1" applyNumberFormat="1" applyFont="1" applyFill="1" applyBorder="1" applyAlignment="1" applyProtection="1"/>
    <xf numFmtId="164" fontId="1" fillId="2" borderId="0" xfId="1" applyNumberFormat="1" applyFill="1"/>
    <xf numFmtId="164" fontId="2" fillId="2" borderId="0" xfId="3" applyNumberFormat="1" applyFill="1"/>
    <xf numFmtId="0" fontId="4" fillId="2" borderId="0" xfId="3" applyFont="1" applyFill="1"/>
    <xf numFmtId="3" fontId="0" fillId="0" borderId="0" xfId="0" applyNumberFormat="1"/>
    <xf numFmtId="44" fontId="0" fillId="0" borderId="0" xfId="1" applyFont="1"/>
    <xf numFmtId="44" fontId="0" fillId="0" borderId="0" xfId="0" applyNumberFormat="1"/>
    <xf numFmtId="165" fontId="0" fillId="0" borderId="0" xfId="2" applyNumberFormat="1" applyFont="1"/>
    <xf numFmtId="44" fontId="1" fillId="2" borderId="0" xfId="1" applyFill="1"/>
    <xf numFmtId="0" fontId="5" fillId="0" borderId="0" xfId="0" applyFont="1"/>
    <xf numFmtId="43" fontId="0" fillId="0" borderId="0" xfId="0" applyNumberFormat="1"/>
    <xf numFmtId="164" fontId="0" fillId="0" borderId="0" xfId="0" applyNumberFormat="1"/>
    <xf numFmtId="164" fontId="2" fillId="3" borderId="3" xfId="1" applyNumberFormat="1" applyFont="1" applyFill="1" applyBorder="1" applyAlignment="1" applyProtection="1"/>
    <xf numFmtId="43" fontId="0" fillId="0" borderId="0" xfId="4" applyFont="1"/>
    <xf numFmtId="9" fontId="0" fillId="0" borderId="0" xfId="0" applyNumberFormat="1"/>
    <xf numFmtId="8" fontId="0" fillId="0" borderId="0" xfId="0" applyNumberFormat="1"/>
    <xf numFmtId="9" fontId="0" fillId="0" borderId="0" xfId="2" applyFont="1"/>
    <xf numFmtId="0" fontId="0" fillId="0" borderId="4" xfId="0" applyBorder="1"/>
    <xf numFmtId="43" fontId="8" fillId="0" borderId="5" xfId="4" applyFont="1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10" fontId="0" fillId="0" borderId="0" xfId="0" applyNumberFormat="1" applyBorder="1"/>
    <xf numFmtId="0" fontId="0" fillId="0" borderId="0" xfId="0" applyBorder="1"/>
    <xf numFmtId="0" fontId="0" fillId="0" borderId="1" xfId="0" applyBorder="1"/>
    <xf numFmtId="43" fontId="0" fillId="0" borderId="0" xfId="4" applyFont="1" applyBorder="1"/>
    <xf numFmtId="10" fontId="1" fillId="0" borderId="0" xfId="2" applyNumberFormat="1" applyBorder="1"/>
    <xf numFmtId="166" fontId="1" fillId="0" borderId="6" xfId="1" applyNumberFormat="1" applyBorder="1"/>
    <xf numFmtId="166" fontId="1" fillId="0" borderId="7" xfId="1" applyNumberFormat="1" applyBorder="1"/>
    <xf numFmtId="10" fontId="1" fillId="0" borderId="8" xfId="2" applyNumberFormat="1" applyBorder="1"/>
    <xf numFmtId="10" fontId="5" fillId="0" borderId="8" xfId="2" applyNumberFormat="1" applyFont="1" applyBorder="1"/>
    <xf numFmtId="0" fontId="5" fillId="0" borderId="9" xfId="0" applyFont="1" applyBorder="1"/>
    <xf numFmtId="0" fontId="2" fillId="0" borderId="0" xfId="3"/>
    <xf numFmtId="0" fontId="9" fillId="0" borderId="0" xfId="0" applyFont="1"/>
    <xf numFmtId="44" fontId="0" fillId="2" borderId="0" xfId="0" applyNumberFormat="1" applyFill="1"/>
    <xf numFmtId="0" fontId="0" fillId="0" borderId="0" xfId="1" applyNumberFormat="1" applyFont="1"/>
    <xf numFmtId="1" fontId="0" fillId="0" borderId="0" xfId="1" applyNumberFormat="1" applyFont="1"/>
    <xf numFmtId="44" fontId="2" fillId="2" borderId="0" xfId="1" applyFont="1" applyFill="1" applyBorder="1" applyAlignment="1" applyProtection="1"/>
    <xf numFmtId="10" fontId="0" fillId="0" borderId="0" xfId="0" applyNumberFormat="1"/>
    <xf numFmtId="8" fontId="0" fillId="0" borderId="7" xfId="0" applyNumberFormat="1" applyBorder="1"/>
    <xf numFmtId="8" fontId="0" fillId="0" borderId="8" xfId="0" applyNumberFormat="1" applyBorder="1"/>
    <xf numFmtId="0" fontId="0" fillId="0" borderId="8" xfId="0" applyBorder="1"/>
    <xf numFmtId="9" fontId="0" fillId="0" borderId="8" xfId="0" applyNumberFormat="1" applyBorder="1"/>
    <xf numFmtId="43" fontId="0" fillId="0" borderId="9" xfId="4" applyFont="1" applyBorder="1"/>
    <xf numFmtId="167" fontId="0" fillId="0" borderId="0" xfId="0" applyNumberFormat="1"/>
    <xf numFmtId="164" fontId="1" fillId="0" borderId="0" xfId="1" applyNumberFormat="1" applyFill="1" applyBorder="1"/>
    <xf numFmtId="0" fontId="2" fillId="0" borderId="0" xfId="3" applyFill="1" applyBorder="1"/>
    <xf numFmtId="10" fontId="0" fillId="0" borderId="0" xfId="2" applyNumberFormat="1" applyFont="1"/>
    <xf numFmtId="44" fontId="0" fillId="0" borderId="8" xfId="0" applyNumberFormat="1" applyBorder="1"/>
    <xf numFmtId="44" fontId="0" fillId="0" borderId="0" xfId="1" applyNumberFormat="1" applyFont="1"/>
    <xf numFmtId="0" fontId="10" fillId="0" borderId="0" xfId="0" applyFont="1"/>
    <xf numFmtId="0" fontId="11" fillId="0" borderId="0" xfId="0" applyFont="1"/>
    <xf numFmtId="44" fontId="12" fillId="0" borderId="0" xfId="1" applyFont="1"/>
    <xf numFmtId="1" fontId="11" fillId="0" borderId="0" xfId="0" applyNumberFormat="1" applyFont="1"/>
    <xf numFmtId="168" fontId="11" fillId="0" borderId="0" xfId="0" applyNumberFormat="1" applyFont="1"/>
    <xf numFmtId="43" fontId="12" fillId="0" borderId="0" xfId="4" applyFont="1"/>
    <xf numFmtId="164" fontId="12" fillId="0" borderId="0" xfId="1" applyNumberFormat="1" applyFont="1"/>
    <xf numFmtId="43" fontId="12" fillId="0" borderId="0" xfId="1" applyNumberFormat="1" applyFont="1"/>
    <xf numFmtId="0" fontId="2" fillId="0" borderId="4" xfId="3" applyFill="1" applyBorder="1"/>
    <xf numFmtId="9" fontId="2" fillId="4" borderId="5" xfId="3" applyNumberFormat="1" applyFill="1" applyBorder="1"/>
    <xf numFmtId="0" fontId="2" fillId="0" borderId="5" xfId="3" applyFill="1" applyBorder="1"/>
    <xf numFmtId="0" fontId="2" fillId="0" borderId="6" xfId="3" applyFill="1" applyBorder="1"/>
    <xf numFmtId="9" fontId="2" fillId="4" borderId="0" xfId="3" applyNumberFormat="1" applyFill="1" applyBorder="1"/>
    <xf numFmtId="0" fontId="2" fillId="4" borderId="0" xfId="3" applyFill="1" applyBorder="1"/>
    <xf numFmtId="9" fontId="2" fillId="0" borderId="0" xfId="3" applyNumberFormat="1" applyFill="1" applyBorder="1"/>
    <xf numFmtId="164" fontId="12" fillId="0" borderId="0" xfId="1" applyNumberFormat="1" applyFont="1" applyBorder="1"/>
    <xf numFmtId="9" fontId="1" fillId="0" borderId="0" xfId="2" applyNumberFormat="1" applyFill="1"/>
    <xf numFmtId="9" fontId="1" fillId="0" borderId="0" xfId="2" applyFill="1"/>
    <xf numFmtId="164" fontId="2" fillId="0" borderId="6" xfId="3" applyNumberFormat="1" applyFill="1" applyBorder="1"/>
    <xf numFmtId="9" fontId="1" fillId="0" borderId="0" xfId="2" applyFill="1" applyBorder="1"/>
    <xf numFmtId="164" fontId="2" fillId="0" borderId="7" xfId="3" applyNumberFormat="1" applyFill="1" applyBorder="1"/>
    <xf numFmtId="9" fontId="1" fillId="0" borderId="8" xfId="2" applyFill="1" applyBorder="1"/>
    <xf numFmtId="0" fontId="2" fillId="0" borderId="8" xfId="3" applyFill="1" applyBorder="1"/>
    <xf numFmtId="9" fontId="2" fillId="0" borderId="8" xfId="3" applyNumberFormat="1" applyFill="1" applyBorder="1"/>
    <xf numFmtId="0" fontId="11" fillId="0" borderId="8" xfId="0" applyFont="1" applyBorder="1"/>
    <xf numFmtId="164" fontId="12" fillId="0" borderId="8" xfId="1" applyNumberFormat="1" applyFont="1" applyBorder="1"/>
    <xf numFmtId="169" fontId="0" fillId="0" borderId="0" xfId="0" applyNumberFormat="1"/>
    <xf numFmtId="44" fontId="1" fillId="0" borderId="0" xfId="1"/>
    <xf numFmtId="170" fontId="0" fillId="0" borderId="0" xfId="0" applyNumberFormat="1"/>
    <xf numFmtId="9" fontId="1" fillId="0" borderId="0" xfId="2"/>
  </cellXfs>
  <cellStyles count="7">
    <cellStyle name="Comma" xfId="4" builtinId="3"/>
    <cellStyle name="Currency" xfId="1" builtinId="4"/>
    <cellStyle name="Excel Built-in Normal" xfId="3"/>
    <cellStyle name="Followed Hyperlink" xfId="6" builtinId="9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ple/Downloads/Sky%20Blue%20pool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;balance"/>
      <sheetName val="Mortgage"/>
    </sheetNames>
    <sheetDataSet>
      <sheetData sheetId="0" refreshError="1"/>
      <sheetData sheetId="1">
        <row r="19">
          <cell r="E19">
            <v>314739.28781330126</v>
          </cell>
          <cell r="F19">
            <v>14289.923486897158</v>
          </cell>
        </row>
        <row r="31">
          <cell r="E31">
            <v>309341.49341166072</v>
          </cell>
          <cell r="F31">
            <v>14052.841271955373</v>
          </cell>
        </row>
        <row r="43">
          <cell r="E43">
            <v>303695.72527960374</v>
          </cell>
          <cell r="F43">
            <v>13804.867541538926</v>
          </cell>
        </row>
        <row r="55">
          <cell r="E55">
            <v>297790.59154734033</v>
          </cell>
          <cell r="F55">
            <v>13545.501941332488</v>
          </cell>
        </row>
        <row r="67">
          <cell r="E67">
            <v>291614.17700457538</v>
          </cell>
          <cell r="F67">
            <v>13274.221130831018</v>
          </cell>
        </row>
        <row r="79">
          <cell r="E79">
            <v>285154.01905833773</v>
          </cell>
          <cell r="F79">
            <v>12990.477727358237</v>
          </cell>
        </row>
        <row r="91">
          <cell r="E91">
            <v>278397.08258631523</v>
          </cell>
          <cell r="F91">
            <v>12693.699201573498</v>
          </cell>
        </row>
        <row r="103">
          <cell r="E103">
            <v>271329.73363495775</v>
          </cell>
          <cell r="F103">
            <v>12383.286722238399</v>
          </cell>
        </row>
        <row r="115">
          <cell r="E115">
            <v>263937.7119092741</v>
          </cell>
          <cell r="F115">
            <v>12058.613947912236</v>
          </cell>
        </row>
        <row r="127">
          <cell r="E127">
            <v>256206.10199881624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topLeftCell="A71" zoomScale="80" zoomScaleNormal="80" workbookViewId="0">
      <selection activeCell="E97" sqref="E97"/>
    </sheetView>
  </sheetViews>
  <sheetFormatPr defaultColWidth="8.85546875" defaultRowHeight="15" x14ac:dyDescent="0.25"/>
  <cols>
    <col min="2" max="2" width="29.7109375" customWidth="1"/>
    <col min="3" max="3" width="14" customWidth="1"/>
    <col min="4" max="4" width="15.42578125" customWidth="1"/>
    <col min="5" max="5" width="16.42578125" customWidth="1"/>
    <col min="6" max="6" width="15" customWidth="1"/>
    <col min="7" max="7" width="15.28515625" customWidth="1"/>
    <col min="8" max="8" width="18.42578125" customWidth="1"/>
    <col min="9" max="9" width="16.42578125" customWidth="1"/>
    <col min="10" max="10" width="15.28515625" customWidth="1"/>
    <col min="11" max="11" width="16.28515625" customWidth="1"/>
    <col min="12" max="12" width="14.42578125" customWidth="1"/>
    <col min="13" max="13" width="15.85546875" customWidth="1"/>
    <col min="14" max="14" width="15.7109375" customWidth="1"/>
    <col min="15" max="15" width="16.42578125" customWidth="1"/>
    <col min="16" max="16" width="14.28515625" bestFit="1" customWidth="1"/>
    <col min="17" max="17" width="17.42578125" customWidth="1"/>
    <col min="18" max="18" width="19" customWidth="1"/>
    <col min="19" max="19" width="14.7109375" customWidth="1"/>
    <col min="20" max="20" width="17.42578125" customWidth="1"/>
    <col min="21" max="21" width="15" customWidth="1"/>
    <col min="22" max="22" width="14.7109375" customWidth="1"/>
    <col min="23" max="23" width="17.140625" customWidth="1"/>
    <col min="24" max="24" width="16.140625" customWidth="1"/>
    <col min="25" max="25" width="16" customWidth="1"/>
  </cols>
  <sheetData>
    <row r="1" spans="1:13" x14ac:dyDescent="0.25">
      <c r="A1" t="s">
        <v>94</v>
      </c>
    </row>
    <row r="2" spans="1:13" x14ac:dyDescent="0.25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</row>
    <row r="4" spans="1:13" x14ac:dyDescent="0.25">
      <c r="A4" t="s">
        <v>95</v>
      </c>
      <c r="D4" s="10">
        <v>69.5</v>
      </c>
      <c r="E4" s="10">
        <f>D4*(1+0.01)</f>
        <v>70.195000000000007</v>
      </c>
      <c r="F4" s="10">
        <f t="shared" ref="F4:M4" si="0">E4*(1+0.01)</f>
        <v>70.896950000000004</v>
      </c>
      <c r="G4" s="10">
        <f t="shared" si="0"/>
        <v>71.605919499999999</v>
      </c>
      <c r="H4" s="10">
        <f t="shared" si="0"/>
        <v>72.321978694999999</v>
      </c>
      <c r="I4" s="10">
        <f t="shared" si="0"/>
        <v>73.045198481949996</v>
      </c>
      <c r="J4" s="10">
        <f t="shared" si="0"/>
        <v>73.775650466769491</v>
      </c>
      <c r="K4" s="10">
        <f t="shared" si="0"/>
        <v>74.513406971437192</v>
      </c>
      <c r="L4" s="10">
        <f t="shared" si="0"/>
        <v>75.25854104115156</v>
      </c>
      <c r="M4" s="10">
        <f t="shared" si="0"/>
        <v>76.011126451563072</v>
      </c>
    </row>
    <row r="5" spans="1:13" x14ac:dyDescent="0.25">
      <c r="A5" t="s">
        <v>96</v>
      </c>
      <c r="D5" s="10">
        <v>91.88</v>
      </c>
      <c r="E5" s="11">
        <f>D5*(1+0)</f>
        <v>91.88</v>
      </c>
      <c r="F5" s="11">
        <f t="shared" ref="F5:M5" si="1">E5*(1+0)</f>
        <v>91.88</v>
      </c>
      <c r="G5" s="11">
        <f t="shared" si="1"/>
        <v>91.88</v>
      </c>
      <c r="H5" s="11">
        <f t="shared" si="1"/>
        <v>91.88</v>
      </c>
      <c r="I5" s="11">
        <f t="shared" si="1"/>
        <v>91.88</v>
      </c>
      <c r="J5" s="11">
        <f t="shared" si="1"/>
        <v>91.88</v>
      </c>
      <c r="K5" s="11">
        <f t="shared" si="1"/>
        <v>91.88</v>
      </c>
      <c r="L5" s="11">
        <f t="shared" si="1"/>
        <v>91.88</v>
      </c>
      <c r="M5" s="11">
        <f t="shared" si="1"/>
        <v>91.88</v>
      </c>
    </row>
    <row r="6" spans="1:13" x14ac:dyDescent="0.25">
      <c r="A6" t="s">
        <v>97</v>
      </c>
      <c r="D6" s="40">
        <v>14044</v>
      </c>
      <c r="E6" s="41">
        <f>D6*(1+0.01)</f>
        <v>14184.44</v>
      </c>
      <c r="F6" s="41">
        <f t="shared" ref="F6:M6" si="2">E6*(1+0.01)</f>
        <v>14326.2844</v>
      </c>
      <c r="G6" s="41">
        <f t="shared" si="2"/>
        <v>14469.547244000001</v>
      </c>
      <c r="H6" s="41">
        <f t="shared" si="2"/>
        <v>14614.242716440001</v>
      </c>
      <c r="I6" s="41">
        <f t="shared" si="2"/>
        <v>14760.385143604402</v>
      </c>
      <c r="J6" s="41">
        <f t="shared" si="2"/>
        <v>14907.988995040447</v>
      </c>
      <c r="K6" s="41">
        <f t="shared" si="2"/>
        <v>15057.068884990851</v>
      </c>
      <c r="L6" s="41">
        <f t="shared" si="2"/>
        <v>15207.639573840759</v>
      </c>
      <c r="M6" s="41">
        <f t="shared" si="2"/>
        <v>15359.715969579167</v>
      </c>
    </row>
    <row r="7" spans="1:13" x14ac:dyDescent="0.25">
      <c r="A7" t="s">
        <v>98</v>
      </c>
      <c r="D7" s="40">
        <v>3945</v>
      </c>
      <c r="E7">
        <f>D7*(1-0.08)</f>
        <v>3629.4</v>
      </c>
      <c r="F7">
        <f t="shared" ref="F7:M7" si="3">E7*(1-0.08)</f>
        <v>3339.0480000000002</v>
      </c>
      <c r="G7">
        <f t="shared" si="3"/>
        <v>3071.9241600000005</v>
      </c>
      <c r="H7">
        <f t="shared" si="3"/>
        <v>2826.1702272000007</v>
      </c>
      <c r="I7">
        <f t="shared" si="3"/>
        <v>2600.0766090240008</v>
      </c>
      <c r="J7">
        <f t="shared" si="3"/>
        <v>2392.0704803020808</v>
      </c>
      <c r="K7">
        <f t="shared" si="3"/>
        <v>2200.7048418779145</v>
      </c>
      <c r="L7">
        <f t="shared" si="3"/>
        <v>2024.6484545276815</v>
      </c>
      <c r="M7">
        <f t="shared" si="3"/>
        <v>1862.6765781654669</v>
      </c>
    </row>
    <row r="9" spans="1:13" x14ac:dyDescent="0.25">
      <c r="A9" t="s">
        <v>99</v>
      </c>
      <c r="D9" s="11">
        <f t="shared" ref="D9:M9" si="4">D5*0.6</f>
        <v>55.127999999999993</v>
      </c>
      <c r="E9" s="11">
        <f t="shared" si="4"/>
        <v>55.127999999999993</v>
      </c>
      <c r="F9" s="11">
        <f t="shared" si="4"/>
        <v>55.127999999999993</v>
      </c>
      <c r="G9" s="11">
        <f t="shared" si="4"/>
        <v>55.127999999999993</v>
      </c>
      <c r="H9" s="11">
        <f t="shared" si="4"/>
        <v>55.127999999999993</v>
      </c>
      <c r="I9" s="11">
        <f t="shared" si="4"/>
        <v>55.127999999999993</v>
      </c>
      <c r="J9" s="11">
        <f t="shared" si="4"/>
        <v>55.127999999999993</v>
      </c>
      <c r="K9" s="11">
        <f t="shared" si="4"/>
        <v>55.127999999999993</v>
      </c>
      <c r="L9" s="11">
        <f t="shared" si="4"/>
        <v>55.127999999999993</v>
      </c>
      <c r="M9" s="11">
        <f t="shared" si="4"/>
        <v>55.127999999999993</v>
      </c>
    </row>
    <row r="11" spans="1:13" x14ac:dyDescent="0.25">
      <c r="A11" t="s">
        <v>100</v>
      </c>
      <c r="D11">
        <v>30</v>
      </c>
      <c r="E11">
        <v>30</v>
      </c>
      <c r="F11">
        <v>30</v>
      </c>
      <c r="G11">
        <v>30</v>
      </c>
      <c r="H11">
        <v>30</v>
      </c>
      <c r="I11">
        <v>30</v>
      </c>
      <c r="J11">
        <v>30</v>
      </c>
      <c r="K11">
        <v>30</v>
      </c>
      <c r="L11">
        <v>30</v>
      </c>
      <c r="M11">
        <v>30</v>
      </c>
    </row>
    <row r="13" spans="1:13" x14ac:dyDescent="0.25">
      <c r="A13" t="s">
        <v>101</v>
      </c>
      <c r="D13">
        <v>60</v>
      </c>
      <c r="E13">
        <v>60</v>
      </c>
      <c r="F13">
        <v>60</v>
      </c>
      <c r="G13">
        <v>60</v>
      </c>
      <c r="H13">
        <v>60</v>
      </c>
      <c r="I13">
        <v>60</v>
      </c>
      <c r="J13">
        <v>60</v>
      </c>
      <c r="K13">
        <v>60</v>
      </c>
      <c r="L13">
        <v>60</v>
      </c>
      <c r="M13">
        <v>60</v>
      </c>
    </row>
    <row r="15" spans="1:13" x14ac:dyDescent="0.25">
      <c r="A15" t="s">
        <v>102</v>
      </c>
    </row>
    <row r="16" spans="1:13" x14ac:dyDescent="0.25">
      <c r="B16" t="s">
        <v>103</v>
      </c>
      <c r="D16">
        <v>30</v>
      </c>
      <c r="E16">
        <v>30</v>
      </c>
      <c r="F16">
        <v>30</v>
      </c>
      <c r="G16">
        <v>30</v>
      </c>
      <c r="H16">
        <v>30</v>
      </c>
      <c r="I16">
        <v>30</v>
      </c>
      <c r="J16">
        <v>30</v>
      </c>
      <c r="K16">
        <v>30</v>
      </c>
      <c r="L16">
        <v>30</v>
      </c>
      <c r="M16">
        <v>30</v>
      </c>
    </row>
    <row r="18" spans="1:25" x14ac:dyDescent="0.25">
      <c r="A18" s="1"/>
      <c r="B18" s="1"/>
      <c r="C18" s="1"/>
      <c r="D18" s="1" t="s">
        <v>0</v>
      </c>
      <c r="E18" s="1" t="s">
        <v>1</v>
      </c>
      <c r="F18" s="1" t="s">
        <v>2</v>
      </c>
      <c r="G18" s="1" t="s">
        <v>3</v>
      </c>
      <c r="H18" s="1" t="s">
        <v>35</v>
      </c>
      <c r="I18" s="1" t="s">
        <v>36</v>
      </c>
      <c r="J18" s="1" t="s">
        <v>37</v>
      </c>
      <c r="K18" s="1" t="s">
        <v>38</v>
      </c>
      <c r="L18" s="1" t="s">
        <v>39</v>
      </c>
      <c r="M18" s="1" t="s">
        <v>40</v>
      </c>
      <c r="O18" s="9"/>
    </row>
    <row r="19" spans="1:25" x14ac:dyDescent="0.25">
      <c r="A19" s="2" t="s">
        <v>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3" t="s">
        <v>31</v>
      </c>
      <c r="B20" s="1"/>
      <c r="C20" s="1"/>
      <c r="D20" s="4">
        <f>D4*D6</f>
        <v>976058</v>
      </c>
      <c r="E20" s="4">
        <f t="shared" ref="E20:M20" si="5">E4*E6</f>
        <v>995676.76580000017</v>
      </c>
      <c r="F20" s="4">
        <f t="shared" si="5"/>
        <v>1015689.8687925801</v>
      </c>
      <c r="G20" s="4">
        <f t="shared" si="5"/>
        <v>1036105.2351553109</v>
      </c>
      <c r="H20" s="4">
        <f t="shared" si="5"/>
        <v>1056930.9503819328</v>
      </c>
      <c r="I20" s="4">
        <f t="shared" si="5"/>
        <v>1078175.2624846096</v>
      </c>
      <c r="J20" s="4">
        <f t="shared" si="5"/>
        <v>1099846.5852605503</v>
      </c>
      <c r="K20" s="4">
        <f t="shared" si="5"/>
        <v>1121953.5016242873</v>
      </c>
      <c r="L20" s="4">
        <f t="shared" si="5"/>
        <v>1144504.7670069353</v>
      </c>
      <c r="M20" s="4">
        <f t="shared" si="5"/>
        <v>1167509.3128237748</v>
      </c>
    </row>
    <row r="21" spans="1:25" x14ac:dyDescent="0.25">
      <c r="A21" s="3" t="s">
        <v>32</v>
      </c>
      <c r="B21" s="1"/>
      <c r="C21" s="1"/>
      <c r="D21" s="4">
        <f>D5*D7</f>
        <v>362466.6</v>
      </c>
      <c r="E21" s="4">
        <f>E5*E7</f>
        <v>333469.272</v>
      </c>
      <c r="F21" s="4">
        <f t="shared" ref="F21:M21" si="6">F5*F7</f>
        <v>306791.73024</v>
      </c>
      <c r="G21" s="4">
        <f t="shared" si="6"/>
        <v>282248.39182080003</v>
      </c>
      <c r="H21" s="4">
        <f t="shared" si="6"/>
        <v>259668.52047513606</v>
      </c>
      <c r="I21" s="4">
        <f t="shared" si="6"/>
        <v>238895.03883712518</v>
      </c>
      <c r="J21" s="4">
        <f t="shared" si="6"/>
        <v>219783.43573015518</v>
      </c>
      <c r="K21" s="4">
        <f t="shared" si="6"/>
        <v>202200.76087174276</v>
      </c>
      <c r="L21" s="4">
        <f t="shared" si="6"/>
        <v>186024.70000200337</v>
      </c>
      <c r="M21" s="4">
        <f t="shared" si="6"/>
        <v>171142.7240018431</v>
      </c>
    </row>
    <row r="22" spans="1:25" x14ac:dyDescent="0.25">
      <c r="A22" s="3"/>
      <c r="B22" s="1"/>
      <c r="C22" s="1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25" x14ac:dyDescent="0.25">
      <c r="A23" s="1" t="s">
        <v>33</v>
      </c>
      <c r="B23" s="1"/>
      <c r="C23" s="1"/>
      <c r="D23" s="4">
        <f>D9*D7</f>
        <v>217479.95999999996</v>
      </c>
      <c r="E23" s="4">
        <f t="shared" ref="E23:M23" si="7">E9*E7</f>
        <v>200081.56319999998</v>
      </c>
      <c r="F23" s="4">
        <f t="shared" si="7"/>
        <v>184075.03814399999</v>
      </c>
      <c r="G23" s="4">
        <f t="shared" si="7"/>
        <v>169349.03509248002</v>
      </c>
      <c r="H23" s="4">
        <f t="shared" si="7"/>
        <v>155801.11228508162</v>
      </c>
      <c r="I23" s="4">
        <f t="shared" si="7"/>
        <v>143337.02330227511</v>
      </c>
      <c r="J23" s="4">
        <f t="shared" si="7"/>
        <v>131870.06143809311</v>
      </c>
      <c r="K23" s="4">
        <f t="shared" si="7"/>
        <v>121320.45652304565</v>
      </c>
      <c r="L23" s="4">
        <f t="shared" si="7"/>
        <v>111614.82000120201</v>
      </c>
      <c r="M23" s="4">
        <f t="shared" si="7"/>
        <v>102685.63440110585</v>
      </c>
    </row>
    <row r="24" spans="1:25" x14ac:dyDescent="0.25">
      <c r="A24" s="3"/>
      <c r="B24" s="1"/>
      <c r="C24" s="1"/>
      <c r="D24" s="4"/>
      <c r="E24" s="4"/>
      <c r="F24" s="4"/>
      <c r="G24" s="4"/>
      <c r="H24" s="4"/>
      <c r="I24" s="4"/>
      <c r="J24" s="4"/>
      <c r="K24" s="4"/>
      <c r="L24" s="4"/>
      <c r="M24" s="4"/>
      <c r="R24">
        <v>319900</v>
      </c>
      <c r="S24">
        <v>30</v>
      </c>
    </row>
    <row r="25" spans="1:25" x14ac:dyDescent="0.25">
      <c r="A25" s="1" t="s">
        <v>5</v>
      </c>
      <c r="B25" s="1"/>
      <c r="C25" s="1"/>
      <c r="D25" s="4"/>
      <c r="E25" s="4"/>
      <c r="F25" s="4"/>
      <c r="G25" s="4"/>
      <c r="H25" s="4"/>
      <c r="I25" s="4"/>
      <c r="J25" s="4"/>
      <c r="K25" s="4"/>
      <c r="L25" s="4"/>
      <c r="M25" s="4"/>
      <c r="R25">
        <f>R24-11000</f>
        <v>308900</v>
      </c>
    </row>
    <row r="26" spans="1:25" x14ac:dyDescent="0.25">
      <c r="A26" s="1"/>
      <c r="B26" s="1" t="s">
        <v>43</v>
      </c>
      <c r="C26" s="1"/>
      <c r="D26" s="42">
        <f>(D20+D21)*$N$26</f>
        <v>133852.46000000002</v>
      </c>
      <c r="E26" s="42">
        <f t="shared" ref="E26:M26" si="8">(E20+E21)*$N$26</f>
        <v>132914.60378</v>
      </c>
      <c r="F26" s="42">
        <f t="shared" si="8"/>
        <v>132248.15990325803</v>
      </c>
      <c r="G26" s="42">
        <f t="shared" si="8"/>
        <v>131835.3626976111</v>
      </c>
      <c r="H26" s="42">
        <f t="shared" si="8"/>
        <v>131659.9470857069</v>
      </c>
      <c r="I26" s="42">
        <f t="shared" si="8"/>
        <v>131707.03013217347</v>
      </c>
      <c r="J26" s="42">
        <f t="shared" si="8"/>
        <v>131963.00209907055</v>
      </c>
      <c r="K26" s="42">
        <f t="shared" si="8"/>
        <v>132415.42624960301</v>
      </c>
      <c r="L26" s="42">
        <f t="shared" si="8"/>
        <v>133052.9467008939</v>
      </c>
      <c r="M26" s="42">
        <f t="shared" si="8"/>
        <v>133865.20368256178</v>
      </c>
      <c r="N26" s="21">
        <v>0.1</v>
      </c>
    </row>
    <row r="27" spans="1:25" x14ac:dyDescent="0.25">
      <c r="A27" s="1"/>
      <c r="B27" s="1" t="s">
        <v>175</v>
      </c>
      <c r="C27" s="1"/>
      <c r="D27" s="42">
        <v>0</v>
      </c>
      <c r="E27" s="42">
        <f>(D20+D21)*$N$27</f>
        <v>133852.46000000002</v>
      </c>
      <c r="F27" s="42">
        <f t="shared" ref="F27:M27" si="9">(E20+E21)*$N$27</f>
        <v>132914.60378</v>
      </c>
      <c r="G27" s="42">
        <f t="shared" si="9"/>
        <v>132248.15990325803</v>
      </c>
      <c r="H27" s="42">
        <f t="shared" si="9"/>
        <v>131835.3626976111</v>
      </c>
      <c r="I27" s="42">
        <f t="shared" si="9"/>
        <v>131659.9470857069</v>
      </c>
      <c r="J27" s="42">
        <f t="shared" si="9"/>
        <v>131707.03013217347</v>
      </c>
      <c r="K27" s="42">
        <f t="shared" si="9"/>
        <v>131963.00209907055</v>
      </c>
      <c r="L27" s="42">
        <f t="shared" si="9"/>
        <v>132415.42624960301</v>
      </c>
      <c r="M27" s="42">
        <f t="shared" si="9"/>
        <v>133052.9467008939</v>
      </c>
      <c r="N27" s="21">
        <v>0.1</v>
      </c>
    </row>
    <row r="28" spans="1:25" x14ac:dyDescent="0.25">
      <c r="A28" s="1"/>
      <c r="B28" s="1" t="s">
        <v>34</v>
      </c>
      <c r="C28" s="1"/>
      <c r="D28" s="42">
        <f>D20*$N$28</f>
        <v>634437.70000000007</v>
      </c>
      <c r="E28" s="42">
        <f t="shared" ref="E28:M28" si="10">E20*$N$28</f>
        <v>647189.89777000016</v>
      </c>
      <c r="F28" s="42">
        <f t="shared" si="10"/>
        <v>660198.41471517703</v>
      </c>
      <c r="G28" s="42">
        <f t="shared" si="10"/>
        <v>673468.40285095212</v>
      </c>
      <c r="H28" s="42">
        <f t="shared" si="10"/>
        <v>687005.11774825631</v>
      </c>
      <c r="I28" s="42">
        <f t="shared" si="10"/>
        <v>700813.92061499623</v>
      </c>
      <c r="J28" s="42">
        <f t="shared" si="10"/>
        <v>714900.2804193577</v>
      </c>
      <c r="K28" s="42">
        <f t="shared" si="10"/>
        <v>729269.77605578676</v>
      </c>
      <c r="L28" s="42">
        <f t="shared" si="10"/>
        <v>743928.09855450795</v>
      </c>
      <c r="M28" s="42">
        <f t="shared" si="10"/>
        <v>758881.05333545362</v>
      </c>
      <c r="N28" s="21">
        <v>0.65</v>
      </c>
    </row>
    <row r="29" spans="1:25" x14ac:dyDescent="0.25">
      <c r="A29" s="1"/>
      <c r="B29" s="1" t="s">
        <v>41</v>
      </c>
      <c r="C29" s="1"/>
      <c r="D29" s="42">
        <f>D21*$N$29</f>
        <v>18123.329999999998</v>
      </c>
      <c r="E29" s="42">
        <f t="shared" ref="E29:M29" si="11">E21*$N$29</f>
        <v>16673.463599999999</v>
      </c>
      <c r="F29" s="42">
        <f t="shared" si="11"/>
        <v>15339.586512000002</v>
      </c>
      <c r="G29" s="42">
        <f t="shared" si="11"/>
        <v>14112.419591040001</v>
      </c>
      <c r="H29" s="42">
        <f t="shared" si="11"/>
        <v>12983.426023756803</v>
      </c>
      <c r="I29" s="42">
        <f t="shared" si="11"/>
        <v>11944.751941856259</v>
      </c>
      <c r="J29" s="42">
        <f t="shared" si="11"/>
        <v>10989.171786507759</v>
      </c>
      <c r="K29" s="42">
        <f t="shared" si="11"/>
        <v>10110.038043587139</v>
      </c>
      <c r="L29" s="42">
        <f t="shared" si="11"/>
        <v>9301.2350001001687</v>
      </c>
      <c r="M29" s="42">
        <f t="shared" si="11"/>
        <v>8557.1362000921563</v>
      </c>
      <c r="N29" s="21">
        <v>0.05</v>
      </c>
    </row>
    <row r="30" spans="1:25" x14ac:dyDescent="0.25">
      <c r="A30" s="1"/>
      <c r="B30" s="1" t="s">
        <v>42</v>
      </c>
      <c r="C30" s="1"/>
      <c r="D30" s="42">
        <f>(D20+D21)*$N$30</f>
        <v>107081.96800000001</v>
      </c>
      <c r="E30" s="42">
        <f t="shared" ref="E30:M30" si="12">(E20+E21)*$N$30</f>
        <v>106331.68302400001</v>
      </c>
      <c r="F30" s="42">
        <f t="shared" si="12"/>
        <v>105798.52792260642</v>
      </c>
      <c r="G30" s="42">
        <f t="shared" si="12"/>
        <v>105468.29015808889</v>
      </c>
      <c r="H30" s="42">
        <f t="shared" si="12"/>
        <v>105327.95766856552</v>
      </c>
      <c r="I30" s="42">
        <f t="shared" si="12"/>
        <v>105365.62410573878</v>
      </c>
      <c r="J30" s="42">
        <f t="shared" si="12"/>
        <v>105570.40167925644</v>
      </c>
      <c r="K30" s="42">
        <f t="shared" si="12"/>
        <v>105932.34099968242</v>
      </c>
      <c r="L30" s="42">
        <f t="shared" si="12"/>
        <v>106442.3573607151</v>
      </c>
      <c r="M30" s="42">
        <f t="shared" si="12"/>
        <v>107092.16294604943</v>
      </c>
      <c r="N30" s="21">
        <v>0.08</v>
      </c>
      <c r="Q30">
        <f>O30+P23</f>
        <v>0</v>
      </c>
    </row>
    <row r="31" spans="1:25" x14ac:dyDescent="0.25">
      <c r="A31" s="1"/>
      <c r="B31" s="1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25" x14ac:dyDescent="0.25">
      <c r="A32" s="1" t="s">
        <v>6</v>
      </c>
      <c r="B32" s="1"/>
      <c r="C32" s="1"/>
      <c r="D32" s="13">
        <f>D48/$N$32</f>
        <v>8966.6666666666661</v>
      </c>
      <c r="E32" s="13">
        <f t="shared" ref="E32:M32" si="13">E48/$N$32</f>
        <v>8966.6666666666661</v>
      </c>
      <c r="F32" s="13">
        <f t="shared" si="13"/>
        <v>8966.6666666666661</v>
      </c>
      <c r="G32" s="13">
        <f t="shared" si="13"/>
        <v>8966.6666666666661</v>
      </c>
      <c r="H32" s="13">
        <f t="shared" si="13"/>
        <v>8966.6666666666661</v>
      </c>
      <c r="I32" s="13">
        <f t="shared" si="13"/>
        <v>8966.6666666666661</v>
      </c>
      <c r="J32" s="13">
        <f t="shared" si="13"/>
        <v>8966.6666666666661</v>
      </c>
      <c r="K32" s="13">
        <f t="shared" si="13"/>
        <v>8966.6666666666661</v>
      </c>
      <c r="L32" s="13">
        <f t="shared" si="13"/>
        <v>8966.6666666666661</v>
      </c>
      <c r="M32" s="13">
        <f t="shared" si="13"/>
        <v>8966.6666666666661</v>
      </c>
      <c r="N32">
        <v>30</v>
      </c>
      <c r="O32" t="s">
        <v>104</v>
      </c>
    </row>
    <row r="33" spans="1:22" x14ac:dyDescent="0.25">
      <c r="A33" s="1" t="s">
        <v>7</v>
      </c>
      <c r="B33" s="1"/>
      <c r="C33" s="1"/>
      <c r="D33" s="4">
        <f>Mortgage!I18</f>
        <v>14289.923486897158</v>
      </c>
      <c r="E33" s="4">
        <f>Mortgage!I30</f>
        <v>14052.841271955373</v>
      </c>
      <c r="F33" s="4">
        <f>Mortgage!I42</f>
        <v>13804.867541538926</v>
      </c>
      <c r="G33" s="4">
        <f>Mortgage!I54</f>
        <v>13545.501941332488</v>
      </c>
      <c r="H33" s="4">
        <f>Mortgage!I66</f>
        <v>13274.221130831018</v>
      </c>
      <c r="I33" s="4">
        <f>Mortgage!I78</f>
        <v>12990.477727358237</v>
      </c>
      <c r="J33" s="4">
        <f>Mortgage!I90</f>
        <v>12693.699201573498</v>
      </c>
      <c r="K33" s="4">
        <f>Mortgage!I102</f>
        <v>12383.286722238399</v>
      </c>
      <c r="L33" s="4">
        <f>Mortgage!I114</f>
        <v>12058.613947912236</v>
      </c>
      <c r="M33" s="39">
        <f>Mortgage!I126</f>
        <v>11719.025763138085</v>
      </c>
    </row>
    <row r="34" spans="1:22" x14ac:dyDescent="0.25">
      <c r="A34" s="1" t="s">
        <v>8</v>
      </c>
      <c r="B34" s="1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17"/>
    </row>
    <row r="35" spans="1:22" x14ac:dyDescent="0.25">
      <c r="A35" s="1"/>
      <c r="B35" s="1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22" x14ac:dyDescent="0.25">
      <c r="A36" s="1" t="s">
        <v>9</v>
      </c>
      <c r="B36" s="1"/>
      <c r="C36" s="1"/>
      <c r="D36" s="4">
        <f>(D20+D21)-D23-D26-D28-D29-D30-D32-D33-D34-D27</f>
        <v>204292.59184643626</v>
      </c>
      <c r="E36" s="4">
        <f t="shared" ref="E36:M36" si="14">(E20+E21)-E23-E26-E28-E29-E30-E32-E33-E34-E27</f>
        <v>69082.858487377816</v>
      </c>
      <c r="F36" s="4">
        <f t="shared" si="14"/>
        <v>69135.733847332915</v>
      </c>
      <c r="G36" s="4">
        <f t="shared" si="14"/>
        <v>69359.788074681681</v>
      </c>
      <c r="H36" s="4">
        <f t="shared" si="14"/>
        <v>69745.659550593118</v>
      </c>
      <c r="I36" s="4">
        <f t="shared" si="14"/>
        <v>70284.859744963003</v>
      </c>
      <c r="J36" s="4">
        <f t="shared" si="14"/>
        <v>70969.707568006153</v>
      </c>
      <c r="K36" s="4">
        <f t="shared" si="14"/>
        <v>71793.269136349554</v>
      </c>
      <c r="L36" s="4">
        <f t="shared" si="14"/>
        <v>72749.302527337917</v>
      </c>
      <c r="M36" s="4">
        <f t="shared" si="14"/>
        <v>73832.207129656279</v>
      </c>
      <c r="N36">
        <v>0.42</v>
      </c>
      <c r="O36" s="38" t="s">
        <v>93</v>
      </c>
    </row>
    <row r="37" spans="1:22" x14ac:dyDescent="0.25">
      <c r="A37" s="1" t="s">
        <v>10</v>
      </c>
      <c r="B37" s="1"/>
      <c r="C37" s="1"/>
      <c r="D37" s="5">
        <f t="shared" ref="D37:M37" si="15">$N$36*D36</f>
        <v>85802.888575503224</v>
      </c>
      <c r="E37" s="5">
        <f t="shared" si="15"/>
        <v>29014.800564698682</v>
      </c>
      <c r="F37" s="5">
        <f t="shared" si="15"/>
        <v>29037.008215879821</v>
      </c>
      <c r="G37" s="5">
        <f t="shared" si="15"/>
        <v>29131.110991366306</v>
      </c>
      <c r="H37" s="5">
        <f t="shared" si="15"/>
        <v>29293.17701124911</v>
      </c>
      <c r="I37" s="5">
        <f t="shared" si="15"/>
        <v>29519.64109288446</v>
      </c>
      <c r="J37" s="5">
        <f t="shared" si="15"/>
        <v>29807.277178562585</v>
      </c>
      <c r="K37" s="5">
        <f t="shared" si="15"/>
        <v>30153.17303726681</v>
      </c>
      <c r="L37" s="5">
        <f t="shared" si="15"/>
        <v>30554.707061481924</v>
      </c>
      <c r="M37" s="5">
        <f t="shared" si="15"/>
        <v>31009.526994455635</v>
      </c>
    </row>
    <row r="38" spans="1:22" x14ac:dyDescent="0.25">
      <c r="A38" s="2" t="s">
        <v>11</v>
      </c>
      <c r="B38" s="1"/>
      <c r="C38" s="1"/>
      <c r="D38" s="4">
        <f>D36-D37</f>
        <v>118489.70327093304</v>
      </c>
      <c r="E38" s="4">
        <f t="shared" ref="E38:L38" si="16">E36-E37</f>
        <v>40068.057922679131</v>
      </c>
      <c r="F38" s="4">
        <f t="shared" si="16"/>
        <v>40098.725631453097</v>
      </c>
      <c r="G38" s="4">
        <f t="shared" si="16"/>
        <v>40228.677083315371</v>
      </c>
      <c r="H38" s="4">
        <f t="shared" si="16"/>
        <v>40452.482539344011</v>
      </c>
      <c r="I38" s="4">
        <f t="shared" si="16"/>
        <v>40765.218652078547</v>
      </c>
      <c r="J38" s="4">
        <f t="shared" si="16"/>
        <v>41162.430389443572</v>
      </c>
      <c r="K38" s="4">
        <f t="shared" si="16"/>
        <v>41640.096099082744</v>
      </c>
      <c r="L38" s="4">
        <f t="shared" si="16"/>
        <v>42194.595465855993</v>
      </c>
      <c r="M38" s="4">
        <f t="shared" ref="M38" si="17">M36-M37</f>
        <v>42822.680135200644</v>
      </c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22" x14ac:dyDescent="0.25">
      <c r="A40" s="2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22" x14ac:dyDescent="0.25">
      <c r="A41" s="2" t="s">
        <v>13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22" x14ac:dyDescent="0.25">
      <c r="A42" s="1" t="s">
        <v>14</v>
      </c>
      <c r="B42" s="1"/>
      <c r="C42" s="1"/>
      <c r="D42" s="4">
        <v>5000</v>
      </c>
      <c r="E42" s="4">
        <v>5000</v>
      </c>
      <c r="F42" s="4">
        <v>5000</v>
      </c>
      <c r="G42" s="4">
        <v>5000</v>
      </c>
      <c r="H42" s="4">
        <v>5000</v>
      </c>
      <c r="I42" s="4">
        <v>5000</v>
      </c>
      <c r="J42" s="4">
        <v>5000</v>
      </c>
      <c r="K42" s="4">
        <v>5000</v>
      </c>
      <c r="L42" s="4">
        <v>5000</v>
      </c>
      <c r="M42" s="4">
        <v>5000</v>
      </c>
    </row>
    <row r="43" spans="1:22" x14ac:dyDescent="0.25">
      <c r="A43" s="1" t="s">
        <v>15</v>
      </c>
      <c r="B43" s="1"/>
      <c r="C43" s="1"/>
      <c r="D43" s="4">
        <v>65900</v>
      </c>
      <c r="E43" s="4">
        <v>52566</v>
      </c>
      <c r="F43" s="4">
        <v>95678</v>
      </c>
      <c r="G43" s="4">
        <v>138595</v>
      </c>
      <c r="H43" s="4">
        <v>181402</v>
      </c>
      <c r="I43" s="4">
        <v>224178</v>
      </c>
      <c r="J43" s="4">
        <v>266999</v>
      </c>
      <c r="K43" s="4">
        <v>309935</v>
      </c>
      <c r="L43" s="4">
        <v>353050</v>
      </c>
      <c r="M43" s="4">
        <v>396405</v>
      </c>
    </row>
    <row r="44" spans="1:22" x14ac:dyDescent="0.25">
      <c r="A44" s="1" t="s">
        <v>16</v>
      </c>
      <c r="B44" s="1"/>
      <c r="C44" s="1"/>
      <c r="D44" s="13">
        <f t="shared" ref="D44:M44" si="18">$O$45*(D20/365)</f>
        <v>80223.945205479453</v>
      </c>
      <c r="E44" s="13">
        <f t="shared" si="18"/>
        <v>81836.446504109597</v>
      </c>
      <c r="F44" s="13">
        <f t="shared" si="18"/>
        <v>83481.359078842201</v>
      </c>
      <c r="G44" s="13">
        <f t="shared" si="18"/>
        <v>85159.334396326929</v>
      </c>
      <c r="H44" s="13">
        <f t="shared" si="18"/>
        <v>86871.037017693117</v>
      </c>
      <c r="I44" s="13">
        <f t="shared" si="18"/>
        <v>88617.144861748733</v>
      </c>
      <c r="J44" s="13">
        <f t="shared" si="18"/>
        <v>90398.349473469891</v>
      </c>
      <c r="K44" s="13">
        <f t="shared" si="18"/>
        <v>92215.356297886625</v>
      </c>
      <c r="L44" s="13">
        <f t="shared" si="18"/>
        <v>94068.884959474133</v>
      </c>
      <c r="M44" s="13">
        <f t="shared" si="18"/>
        <v>95959.669547159574</v>
      </c>
      <c r="Q44" s="22" t="s">
        <v>77</v>
      </c>
      <c r="R44" s="23">
        <f>1.2</f>
        <v>1.2</v>
      </c>
      <c r="S44" s="24"/>
      <c r="T44" s="24"/>
      <c r="U44" s="24"/>
      <c r="V44" s="25"/>
    </row>
    <row r="45" spans="1:22" x14ac:dyDescent="0.25">
      <c r="A45" s="1" t="s">
        <v>17</v>
      </c>
      <c r="B45" s="1"/>
      <c r="C45" s="1"/>
      <c r="D45" s="6">
        <f t="shared" ref="D45:M45" si="19">$O$46*((D23)/365)</f>
        <v>35750.130410958896</v>
      </c>
      <c r="E45" s="6">
        <f t="shared" si="19"/>
        <v>32890.119978082184</v>
      </c>
      <c r="F45" s="6">
        <f t="shared" si="19"/>
        <v>30258.910379835615</v>
      </c>
      <c r="G45" s="6">
        <f t="shared" si="19"/>
        <v>27838.197549448771</v>
      </c>
      <c r="H45" s="6">
        <f t="shared" si="19"/>
        <v>25611.141745492871</v>
      </c>
      <c r="I45" s="6">
        <f t="shared" si="19"/>
        <v>23562.250405853443</v>
      </c>
      <c r="J45" s="6">
        <f t="shared" si="19"/>
        <v>21677.27037338517</v>
      </c>
      <c r="K45" s="6">
        <f t="shared" si="19"/>
        <v>19943.088743514352</v>
      </c>
      <c r="L45" s="6">
        <f t="shared" si="19"/>
        <v>18347.641644033207</v>
      </c>
      <c r="M45" s="6">
        <f t="shared" si="19"/>
        <v>16879.830312510552</v>
      </c>
      <c r="O45">
        <v>30</v>
      </c>
      <c r="Q45" s="26" t="s">
        <v>78</v>
      </c>
      <c r="R45" s="27">
        <f>Q55/Q60</f>
        <v>0.48002674986832056</v>
      </c>
      <c r="S45" s="28"/>
      <c r="T45" s="28"/>
      <c r="U45" s="28"/>
      <c r="V45" s="29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>
        <v>60</v>
      </c>
      <c r="Q46" s="26" t="s">
        <v>79</v>
      </c>
      <c r="R46" s="27">
        <f>(Q58+Q59)/Q60</f>
        <v>0.5199732501316795</v>
      </c>
      <c r="S46" s="28"/>
      <c r="T46" s="28"/>
      <c r="U46" s="28"/>
      <c r="V46" s="29"/>
    </row>
    <row r="47" spans="1:22" x14ac:dyDescent="0.25">
      <c r="A47" s="1" t="s">
        <v>18</v>
      </c>
      <c r="B47" s="1"/>
      <c r="C47" s="1"/>
      <c r="D47" s="6">
        <v>100000</v>
      </c>
      <c r="E47" s="6">
        <v>100000</v>
      </c>
      <c r="F47" s="6">
        <v>100000</v>
      </c>
      <c r="G47" s="6">
        <v>100000</v>
      </c>
      <c r="H47" s="6">
        <v>100000</v>
      </c>
      <c r="I47" s="6">
        <v>100000</v>
      </c>
      <c r="J47" s="6">
        <v>100000</v>
      </c>
      <c r="K47" s="6">
        <v>100000</v>
      </c>
      <c r="L47" s="6">
        <v>100000</v>
      </c>
      <c r="M47" s="6">
        <v>100000</v>
      </c>
      <c r="Q47" s="26" t="s">
        <v>80</v>
      </c>
      <c r="R47" s="30">
        <f>R44*(1+(1-0.42)/(R45/R46))</f>
        <v>1.9539191976091428</v>
      </c>
      <c r="S47" s="28"/>
      <c r="T47" s="28"/>
      <c r="U47" s="28"/>
      <c r="V47" s="29"/>
    </row>
    <row r="48" spans="1:22" x14ac:dyDescent="0.25">
      <c r="A48" s="1" t="s">
        <v>19</v>
      </c>
      <c r="B48" s="1"/>
      <c r="C48" s="1"/>
      <c r="D48" s="4">
        <f t="shared" ref="D48:M48" si="20">$O$50</f>
        <v>269000</v>
      </c>
      <c r="E48" s="4">
        <f t="shared" si="20"/>
        <v>269000</v>
      </c>
      <c r="F48" s="4">
        <f t="shared" si="20"/>
        <v>269000</v>
      </c>
      <c r="G48" s="4">
        <f t="shared" si="20"/>
        <v>269000</v>
      </c>
      <c r="H48" s="4">
        <f t="shared" si="20"/>
        <v>269000</v>
      </c>
      <c r="I48" s="4">
        <f t="shared" si="20"/>
        <v>269000</v>
      </c>
      <c r="J48" s="4">
        <f t="shared" si="20"/>
        <v>269000</v>
      </c>
      <c r="K48" s="4">
        <f t="shared" si="20"/>
        <v>269000</v>
      </c>
      <c r="L48" s="4">
        <f t="shared" si="20"/>
        <v>269000</v>
      </c>
      <c r="M48" s="4">
        <f t="shared" si="20"/>
        <v>269000</v>
      </c>
      <c r="Q48" s="26"/>
      <c r="R48" s="28"/>
      <c r="S48" s="28"/>
      <c r="T48" s="28"/>
      <c r="U48" s="28"/>
      <c r="V48" s="29"/>
    </row>
    <row r="49" spans="1:22" x14ac:dyDescent="0.25">
      <c r="A49" s="1" t="s">
        <v>20</v>
      </c>
      <c r="B49" s="1"/>
      <c r="C49" s="1"/>
      <c r="D49" s="4">
        <f>D32</f>
        <v>8966.6666666666661</v>
      </c>
      <c r="E49" s="4">
        <f t="shared" ref="E49:M49" si="21">D49+E32</f>
        <v>17933.333333333332</v>
      </c>
      <c r="F49" s="4">
        <f t="shared" si="21"/>
        <v>26900</v>
      </c>
      <c r="G49" s="4">
        <f t="shared" si="21"/>
        <v>35866.666666666664</v>
      </c>
      <c r="H49" s="4">
        <f t="shared" si="21"/>
        <v>44833.333333333328</v>
      </c>
      <c r="I49" s="4">
        <f t="shared" si="21"/>
        <v>53799.999999999993</v>
      </c>
      <c r="J49" s="4">
        <f t="shared" si="21"/>
        <v>62766.666666666657</v>
      </c>
      <c r="K49" s="4">
        <f t="shared" si="21"/>
        <v>71733.333333333328</v>
      </c>
      <c r="L49" s="4">
        <f t="shared" si="21"/>
        <v>80700</v>
      </c>
      <c r="M49" s="4">
        <f t="shared" si="21"/>
        <v>89666.666666666672</v>
      </c>
      <c r="Q49" s="26" t="s">
        <v>81</v>
      </c>
      <c r="R49" s="27">
        <v>0.03</v>
      </c>
      <c r="S49" s="28"/>
      <c r="T49" s="28"/>
      <c r="U49" s="28"/>
      <c r="V49" s="29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>
        <f>319000-50000</f>
        <v>269000</v>
      </c>
      <c r="Q50" s="26" t="s">
        <v>82</v>
      </c>
      <c r="R50" s="27">
        <v>9.5000000000000001E-2</v>
      </c>
      <c r="S50" s="28"/>
      <c r="T50" s="28"/>
      <c r="U50" s="28"/>
      <c r="V50" s="29"/>
    </row>
    <row r="51" spans="1:22" x14ac:dyDescent="0.25">
      <c r="A51" s="2" t="s">
        <v>21</v>
      </c>
      <c r="B51" s="1"/>
      <c r="C51" s="1"/>
      <c r="D51" s="7">
        <f>SUM(D42:D45,D47:D48)-D49</f>
        <v>546907.40894977178</v>
      </c>
      <c r="E51" s="7">
        <f t="shared" ref="E51:M51" si="22">SUM(E42:E45,E47:E48)-E49</f>
        <v>523359.23314885848</v>
      </c>
      <c r="F51" s="7">
        <f t="shared" si="22"/>
        <v>556518.26945867785</v>
      </c>
      <c r="G51" s="7">
        <f t="shared" si="22"/>
        <v>589725.8652791091</v>
      </c>
      <c r="H51" s="7">
        <f t="shared" si="22"/>
        <v>623050.8454298526</v>
      </c>
      <c r="I51" s="7">
        <f t="shared" si="22"/>
        <v>656557.39526760217</v>
      </c>
      <c r="J51" s="7">
        <f t="shared" si="22"/>
        <v>690307.95318018843</v>
      </c>
      <c r="K51" s="7">
        <f t="shared" si="22"/>
        <v>724360.11170806759</v>
      </c>
      <c r="L51" s="7">
        <f t="shared" si="22"/>
        <v>758766.52660350734</v>
      </c>
      <c r="M51" s="7">
        <f t="shared" si="22"/>
        <v>793577.83319300355</v>
      </c>
      <c r="Q51" s="26"/>
      <c r="R51" s="28"/>
      <c r="S51" s="28"/>
      <c r="T51" s="28"/>
      <c r="U51" s="28"/>
      <c r="V51" s="29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Q52" s="26" t="s">
        <v>83</v>
      </c>
      <c r="R52" s="31">
        <f>R49+R47*(R50-R49)</f>
        <v>0.15700474784459428</v>
      </c>
      <c r="S52" s="28"/>
      <c r="T52" s="28"/>
      <c r="U52" s="28"/>
      <c r="V52" s="29"/>
    </row>
    <row r="53" spans="1:22" x14ac:dyDescent="0.25">
      <c r="A53" s="2" t="s">
        <v>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Q53" s="26"/>
      <c r="R53" s="28"/>
      <c r="S53" s="28"/>
      <c r="T53" s="28"/>
      <c r="U53" s="28"/>
      <c r="V53" s="29"/>
    </row>
    <row r="54" spans="1:22" x14ac:dyDescent="0.25">
      <c r="A54" s="8" t="s">
        <v>23</v>
      </c>
      <c r="B54" s="1"/>
      <c r="C54" s="1"/>
      <c r="D54" s="6">
        <f t="shared" ref="D54:M54" si="23">$O$54*((D23)/365)</f>
        <v>17875.065205479448</v>
      </c>
      <c r="E54" s="6">
        <f t="shared" si="23"/>
        <v>16445.059989041092</v>
      </c>
      <c r="F54" s="6">
        <f t="shared" si="23"/>
        <v>15129.455189917808</v>
      </c>
      <c r="G54" s="6">
        <f t="shared" si="23"/>
        <v>13919.098774724385</v>
      </c>
      <c r="H54" s="6">
        <f t="shared" si="23"/>
        <v>12805.570872746435</v>
      </c>
      <c r="I54" s="6">
        <f t="shared" si="23"/>
        <v>11781.125202926722</v>
      </c>
      <c r="J54" s="6">
        <f t="shared" si="23"/>
        <v>10838.635186692585</v>
      </c>
      <c r="K54" s="6">
        <f t="shared" si="23"/>
        <v>9971.5443717571761</v>
      </c>
      <c r="L54" s="6">
        <f t="shared" si="23"/>
        <v>9173.8208220166034</v>
      </c>
      <c r="M54" s="6">
        <f t="shared" si="23"/>
        <v>8439.9151562552761</v>
      </c>
      <c r="O54">
        <v>30</v>
      </c>
      <c r="Q54" s="26"/>
      <c r="R54" s="28" t="s">
        <v>85</v>
      </c>
      <c r="S54" s="28" t="s">
        <v>86</v>
      </c>
      <c r="T54" s="28" t="s">
        <v>87</v>
      </c>
      <c r="U54" s="28" t="s">
        <v>88</v>
      </c>
      <c r="V54" s="29"/>
    </row>
    <row r="55" spans="1:22" x14ac:dyDescent="0.25">
      <c r="A55" s="1" t="s">
        <v>24</v>
      </c>
      <c r="B55" s="1"/>
      <c r="C55" s="1"/>
      <c r="D55" s="4">
        <f>D37</f>
        <v>85802.888575503224</v>
      </c>
      <c r="E55" s="4">
        <f t="shared" ref="E55:M55" si="24">E37</f>
        <v>29014.800564698682</v>
      </c>
      <c r="F55" s="4">
        <f t="shared" si="24"/>
        <v>29037.008215879821</v>
      </c>
      <c r="G55" s="4">
        <f t="shared" si="24"/>
        <v>29131.110991366306</v>
      </c>
      <c r="H55" s="4">
        <f t="shared" si="24"/>
        <v>29293.17701124911</v>
      </c>
      <c r="I55" s="4">
        <f t="shared" si="24"/>
        <v>29519.64109288446</v>
      </c>
      <c r="J55" s="4">
        <f t="shared" si="24"/>
        <v>29807.277178562585</v>
      </c>
      <c r="K55" s="4">
        <f t="shared" si="24"/>
        <v>30153.17303726681</v>
      </c>
      <c r="L55" s="4">
        <f t="shared" si="24"/>
        <v>30554.707061481924</v>
      </c>
      <c r="M55" s="4">
        <f t="shared" si="24"/>
        <v>31009.526994455635</v>
      </c>
      <c r="Q55" s="32">
        <f>AVERAGE(D57:M57)</f>
        <v>287220.5924244182</v>
      </c>
      <c r="R55" s="31">
        <f>R45</f>
        <v>0.48002674986832056</v>
      </c>
      <c r="S55" s="31">
        <v>4.4999999999999998E-2</v>
      </c>
      <c r="T55" s="31">
        <f>S55*(1+0.42)</f>
        <v>6.3899999999999998E-2</v>
      </c>
      <c r="U55" s="31">
        <f>R55*T55</f>
        <v>3.0673709316585682E-2</v>
      </c>
      <c r="V55" s="29"/>
    </row>
    <row r="56" spans="1:22" x14ac:dyDescent="0.25">
      <c r="A56" s="1"/>
      <c r="B56" s="1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Q56" s="32"/>
      <c r="R56" s="31"/>
      <c r="S56" s="31"/>
      <c r="T56" s="31"/>
      <c r="U56" s="31"/>
      <c r="V56" s="29"/>
    </row>
    <row r="57" spans="1:22" x14ac:dyDescent="0.25">
      <c r="A57" s="1" t="s">
        <v>25</v>
      </c>
      <c r="B57" s="1"/>
      <c r="C57" s="1"/>
      <c r="D57" s="4">
        <f>Mortgage!F18</f>
        <v>314739.28781330126</v>
      </c>
      <c r="E57" s="4">
        <f>Mortgage!F30</f>
        <v>309341.49341166072</v>
      </c>
      <c r="F57" s="4">
        <f>Mortgage!F42</f>
        <v>303695.72527960374</v>
      </c>
      <c r="G57" s="4">
        <f>Mortgage!F54</f>
        <v>297790.59154734033</v>
      </c>
      <c r="H57" s="4">
        <f>Mortgage!F66</f>
        <v>291614.17700457538</v>
      </c>
      <c r="I57" s="4">
        <f>Mortgage!F78</f>
        <v>285154.01905833773</v>
      </c>
      <c r="J57" s="4">
        <f>Mortgage!F90</f>
        <v>278397.08258631523</v>
      </c>
      <c r="K57" s="4">
        <f>Mortgage!F102</f>
        <v>271329.73363495775</v>
      </c>
      <c r="L57" s="4">
        <f>Mortgage!F114</f>
        <v>263937.7119092741</v>
      </c>
      <c r="M57" s="4">
        <f>Mortgage!F126</f>
        <v>256206.10199881624</v>
      </c>
      <c r="Q57" s="32"/>
      <c r="R57" s="31"/>
      <c r="S57" s="31"/>
      <c r="T57" s="31"/>
      <c r="U57" s="31"/>
      <c r="V57" s="29"/>
    </row>
    <row r="58" spans="1:22" x14ac:dyDescent="0.25">
      <c r="A58" s="1" t="s">
        <v>26</v>
      </c>
      <c r="B58" s="1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Q58" s="32">
        <f>M60</f>
        <v>10000</v>
      </c>
      <c r="R58" s="31">
        <f>R46</f>
        <v>0.5199732501316795</v>
      </c>
      <c r="S58" s="31">
        <f>R52</f>
        <v>0.15700474784459428</v>
      </c>
      <c r="T58" s="31">
        <f>S58</f>
        <v>0.15700474784459428</v>
      </c>
      <c r="U58" s="31">
        <f>R58*T58</f>
        <v>8.1638269022858492E-2</v>
      </c>
      <c r="V58" s="29"/>
    </row>
    <row r="59" spans="1:22" x14ac:dyDescent="0.25">
      <c r="A59" s="1"/>
      <c r="B59" s="1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Q59" s="32">
        <f>AVERAGE(D61:M61)</f>
        <v>301122.29680666671</v>
      </c>
      <c r="R59" s="31"/>
      <c r="S59" s="31"/>
      <c r="T59" s="31"/>
      <c r="U59" s="31"/>
      <c r="V59" s="29"/>
    </row>
    <row r="60" spans="1:22" x14ac:dyDescent="0.25">
      <c r="A60" s="1" t="s">
        <v>27</v>
      </c>
      <c r="B60" s="1"/>
      <c r="C60" s="1"/>
      <c r="D60" s="4">
        <v>10000</v>
      </c>
      <c r="E60" s="4">
        <v>10000</v>
      </c>
      <c r="F60" s="4">
        <v>10000</v>
      </c>
      <c r="G60" s="4">
        <v>10000</v>
      </c>
      <c r="H60" s="4">
        <v>10000</v>
      </c>
      <c r="I60" s="4">
        <v>10000</v>
      </c>
      <c r="J60" s="4">
        <v>10000</v>
      </c>
      <c r="K60" s="4">
        <v>10000</v>
      </c>
      <c r="L60" s="4">
        <v>10000</v>
      </c>
      <c r="M60" s="4">
        <v>10000</v>
      </c>
      <c r="Q60" s="33">
        <f>SUM(Q55:Q59)</f>
        <v>598342.88923108485</v>
      </c>
      <c r="R60" s="34">
        <f>SUM(R55:R59)</f>
        <v>1</v>
      </c>
      <c r="S60" s="34"/>
      <c r="T60" s="34"/>
      <c r="U60" s="35">
        <f>SUM(U55:U59)</f>
        <v>0.11231197833944417</v>
      </c>
      <c r="V60" s="36" t="s">
        <v>89</v>
      </c>
    </row>
    <row r="61" spans="1:22" x14ac:dyDescent="0.25">
      <c r="A61" s="1" t="s">
        <v>28</v>
      </c>
      <c r="B61" s="1"/>
      <c r="C61" s="4"/>
      <c r="D61" s="4">
        <f>D38</f>
        <v>118489.70327093304</v>
      </c>
      <c r="E61" s="4">
        <f>D61+E38</f>
        <v>158557.76119361218</v>
      </c>
      <c r="F61" s="4">
        <f t="shared" ref="F61:M61" si="25">E61+F38</f>
        <v>198656.48682506528</v>
      </c>
      <c r="G61" s="4">
        <f t="shared" si="25"/>
        <v>238885.16390838067</v>
      </c>
      <c r="H61" s="4">
        <f t="shared" si="25"/>
        <v>279337.64644772466</v>
      </c>
      <c r="I61" s="4">
        <f t="shared" si="25"/>
        <v>320102.8650998032</v>
      </c>
      <c r="J61" s="4">
        <f t="shared" si="25"/>
        <v>361265.29548924678</v>
      </c>
      <c r="K61" s="4">
        <f t="shared" si="25"/>
        <v>402905.39158832951</v>
      </c>
      <c r="L61" s="4">
        <f t="shared" si="25"/>
        <v>445099.98705418548</v>
      </c>
      <c r="M61" s="4">
        <f t="shared" si="25"/>
        <v>487922.66718938609</v>
      </c>
    </row>
    <row r="62" spans="1:22" x14ac:dyDescent="0.25">
      <c r="A62" s="1"/>
      <c r="B62" s="1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22" x14ac:dyDescent="0.25">
      <c r="A63" s="2" t="s">
        <v>29</v>
      </c>
      <c r="B63" s="1"/>
      <c r="C63" s="1"/>
      <c r="D63" s="4">
        <f>SUM(D54:D55,D57:D58,D60:D61)</f>
        <v>546906.94486521697</v>
      </c>
      <c r="E63" s="4">
        <f t="shared" ref="E63:M63" si="26">SUM(E54:E55,E57:E58,E60:E61)</f>
        <v>523359.11515901267</v>
      </c>
      <c r="F63" s="4">
        <f t="shared" si="26"/>
        <v>556518.67551046656</v>
      </c>
      <c r="G63" s="4">
        <f t="shared" si="26"/>
        <v>589725.96522181167</v>
      </c>
      <c r="H63" s="4">
        <f t="shared" si="26"/>
        <v>623050.57133629557</v>
      </c>
      <c r="I63" s="4">
        <f t="shared" si="26"/>
        <v>656557.65045395214</v>
      </c>
      <c r="J63" s="4">
        <f t="shared" si="26"/>
        <v>690308.29044081713</v>
      </c>
      <c r="K63" s="4">
        <f t="shared" si="26"/>
        <v>724359.84263231116</v>
      </c>
      <c r="L63" s="4">
        <f t="shared" si="26"/>
        <v>758766.22684695804</v>
      </c>
      <c r="M63" s="4">
        <f t="shared" si="26"/>
        <v>793578.2113389133</v>
      </c>
    </row>
    <row r="64" spans="1:22" x14ac:dyDescent="0.25">
      <c r="A64" s="2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5" x14ac:dyDescent="0.25">
      <c r="A65" s="2" t="s">
        <v>30</v>
      </c>
      <c r="B65" s="1"/>
      <c r="C65" s="1"/>
      <c r="D65" s="4">
        <f>D51-D63</f>
        <v>0.46408455481287092</v>
      </c>
      <c r="E65" s="4">
        <f t="shared" ref="E65:M65" si="27">E51-E63</f>
        <v>0.11798984580673277</v>
      </c>
      <c r="F65" s="4">
        <f t="shared" si="27"/>
        <v>-0.40605178871192038</v>
      </c>
      <c r="G65" s="4">
        <f t="shared" si="27"/>
        <v>-9.9942702567204833E-2</v>
      </c>
      <c r="H65" s="4">
        <f t="shared" si="27"/>
        <v>0.27409355703275651</v>
      </c>
      <c r="I65" s="4">
        <f t="shared" si="27"/>
        <v>-0.25518634996842593</v>
      </c>
      <c r="J65" s="4">
        <f t="shared" si="27"/>
        <v>-0.33726062870118767</v>
      </c>
      <c r="K65" s="4">
        <f t="shared" si="27"/>
        <v>0.26907575642690063</v>
      </c>
      <c r="L65" s="4">
        <f t="shared" si="27"/>
        <v>0.29975654929876328</v>
      </c>
      <c r="M65" s="4">
        <f t="shared" si="27"/>
        <v>-0.37814590975176543</v>
      </c>
    </row>
    <row r="66" spans="1:15" x14ac:dyDescent="0.25">
      <c r="A66" s="14" t="s">
        <v>57</v>
      </c>
    </row>
    <row r="67" spans="1:15" x14ac:dyDescent="0.25">
      <c r="A67" t="s">
        <v>58</v>
      </c>
    </row>
    <row r="68" spans="1:15" x14ac:dyDescent="0.25">
      <c r="B68" t="s">
        <v>59</v>
      </c>
      <c r="D68" s="15">
        <f t="shared" ref="D68:M68" si="28">(D20+D21)-(D23+D26+D28+D29+D30)</f>
        <v>227549.18200000003</v>
      </c>
      <c r="E68" s="15">
        <f t="shared" si="28"/>
        <v>225954.82642599987</v>
      </c>
      <c r="F68" s="15">
        <f t="shared" si="28"/>
        <v>224821.87183553865</v>
      </c>
      <c r="G68" s="15">
        <f t="shared" si="28"/>
        <v>224120.11658593896</v>
      </c>
      <c r="H68" s="15">
        <f t="shared" si="28"/>
        <v>223821.91004570178</v>
      </c>
      <c r="I68" s="15">
        <f t="shared" si="28"/>
        <v>223901.95122469496</v>
      </c>
      <c r="J68" s="15">
        <f t="shared" si="28"/>
        <v>224337.10356841981</v>
      </c>
      <c r="K68" s="15">
        <f t="shared" si="28"/>
        <v>225106.22462432529</v>
      </c>
      <c r="L68" s="15">
        <f t="shared" si="28"/>
        <v>226190.00939151971</v>
      </c>
      <c r="M68" s="15">
        <f t="shared" si="28"/>
        <v>227570.84626035485</v>
      </c>
    </row>
    <row r="69" spans="1:15" x14ac:dyDescent="0.25">
      <c r="B69" t="s">
        <v>60</v>
      </c>
      <c r="D69" s="16">
        <f t="shared" ref="D69:M69" si="29">D32</f>
        <v>8966.6666666666661</v>
      </c>
      <c r="E69" s="16">
        <f t="shared" si="29"/>
        <v>8966.6666666666661</v>
      </c>
      <c r="F69" s="16">
        <f t="shared" si="29"/>
        <v>8966.6666666666661</v>
      </c>
      <c r="G69" s="16">
        <f t="shared" si="29"/>
        <v>8966.6666666666661</v>
      </c>
      <c r="H69" s="16">
        <f t="shared" si="29"/>
        <v>8966.6666666666661</v>
      </c>
      <c r="I69" s="16">
        <f t="shared" si="29"/>
        <v>8966.6666666666661</v>
      </c>
      <c r="J69" s="16">
        <f t="shared" si="29"/>
        <v>8966.6666666666661</v>
      </c>
      <c r="K69" s="16">
        <f t="shared" si="29"/>
        <v>8966.6666666666661</v>
      </c>
      <c r="L69" s="16">
        <f t="shared" si="29"/>
        <v>8966.6666666666661</v>
      </c>
      <c r="M69" s="16">
        <f t="shared" si="29"/>
        <v>8966.6666666666661</v>
      </c>
    </row>
    <row r="70" spans="1:15" x14ac:dyDescent="0.25">
      <c r="B70" t="s">
        <v>61</v>
      </c>
      <c r="D70" s="16">
        <f>D68-D69</f>
        <v>218582.51533333337</v>
      </c>
      <c r="E70" s="16">
        <f t="shared" ref="E70:M70" si="30">E68-E69</f>
        <v>216988.15975933321</v>
      </c>
      <c r="F70" s="16">
        <f t="shared" si="30"/>
        <v>215855.20516887199</v>
      </c>
      <c r="G70" s="16">
        <f t="shared" si="30"/>
        <v>215153.4499192723</v>
      </c>
      <c r="H70" s="16">
        <f t="shared" si="30"/>
        <v>214855.24337903512</v>
      </c>
      <c r="I70" s="16">
        <f t="shared" si="30"/>
        <v>214935.2845580283</v>
      </c>
      <c r="J70" s="16">
        <f t="shared" si="30"/>
        <v>215370.43690175316</v>
      </c>
      <c r="K70" s="16">
        <f t="shared" si="30"/>
        <v>216139.55795765863</v>
      </c>
      <c r="L70" s="16">
        <f t="shared" si="30"/>
        <v>217223.34272485305</v>
      </c>
      <c r="M70" s="16">
        <f t="shared" si="30"/>
        <v>218604.1795936882</v>
      </c>
    </row>
    <row r="71" spans="1:15" x14ac:dyDescent="0.25">
      <c r="B71" t="s">
        <v>62</v>
      </c>
      <c r="D71" s="15">
        <f t="shared" ref="D71:M71" si="31">D70*$N$36</f>
        <v>91804.656440000006</v>
      </c>
      <c r="E71" s="15">
        <f t="shared" si="31"/>
        <v>91135.027098919949</v>
      </c>
      <c r="F71" s="15">
        <f t="shared" si="31"/>
        <v>90659.18617092623</v>
      </c>
      <c r="G71" s="15">
        <f t="shared" si="31"/>
        <v>90364.448966094365</v>
      </c>
      <c r="H71" s="15">
        <f t="shared" si="31"/>
        <v>90239.202219194747</v>
      </c>
      <c r="I71" s="15">
        <f t="shared" si="31"/>
        <v>90272.819514371877</v>
      </c>
      <c r="J71" s="15">
        <f t="shared" si="31"/>
        <v>90455.58349873632</v>
      </c>
      <c r="K71" s="15">
        <f t="shared" si="31"/>
        <v>90778.614342216621</v>
      </c>
      <c r="L71" s="15">
        <f t="shared" si="31"/>
        <v>91233.803944438274</v>
      </c>
      <c r="M71" s="15">
        <f t="shared" si="31"/>
        <v>91813.755429349039</v>
      </c>
    </row>
    <row r="72" spans="1:15" x14ac:dyDescent="0.25">
      <c r="B72" t="s">
        <v>63</v>
      </c>
      <c r="D72" s="16">
        <f>D68-SUM(D69,D71)</f>
        <v>126777.85889333335</v>
      </c>
      <c r="E72" s="16">
        <f t="shared" ref="E72:M72" si="32">E68-SUM(E69,E71)</f>
        <v>125853.13266041325</v>
      </c>
      <c r="F72" s="16">
        <f t="shared" si="32"/>
        <v>125196.01899794575</v>
      </c>
      <c r="G72" s="16">
        <f t="shared" si="32"/>
        <v>124789.00095317792</v>
      </c>
      <c r="H72" s="16">
        <f t="shared" si="32"/>
        <v>124616.04115984036</v>
      </c>
      <c r="I72" s="16">
        <f t="shared" si="32"/>
        <v>124662.46504365641</v>
      </c>
      <c r="J72" s="16">
        <f t="shared" si="32"/>
        <v>124914.85340301682</v>
      </c>
      <c r="K72" s="16">
        <f t="shared" si="32"/>
        <v>125360.943615442</v>
      </c>
      <c r="L72" s="16">
        <f t="shared" si="32"/>
        <v>125989.53878041476</v>
      </c>
      <c r="M72" s="16">
        <f t="shared" si="32"/>
        <v>126790.42416433914</v>
      </c>
    </row>
    <row r="74" spans="1:15" x14ac:dyDescent="0.25">
      <c r="A74" t="s">
        <v>64</v>
      </c>
    </row>
    <row r="75" spans="1:15" x14ac:dyDescent="0.25">
      <c r="A75" t="s">
        <v>65</v>
      </c>
      <c r="B75" t="s">
        <v>66</v>
      </c>
      <c r="D75" s="16">
        <f>D42-E42</f>
        <v>0</v>
      </c>
      <c r="E75" s="16">
        <f t="shared" ref="E75:L75" si="33">E42-F42</f>
        <v>0</v>
      </c>
      <c r="F75" s="16">
        <f t="shared" si="33"/>
        <v>0</v>
      </c>
      <c r="G75" s="16">
        <f t="shared" si="33"/>
        <v>0</v>
      </c>
      <c r="H75" s="16">
        <f t="shared" si="33"/>
        <v>0</v>
      </c>
      <c r="I75" s="16">
        <f t="shared" si="33"/>
        <v>0</v>
      </c>
      <c r="J75" s="16">
        <f t="shared" si="33"/>
        <v>0</v>
      </c>
      <c r="K75" s="16">
        <f t="shared" si="33"/>
        <v>0</v>
      </c>
      <c r="L75" s="16">
        <f t="shared" si="33"/>
        <v>0</v>
      </c>
      <c r="M75" s="16">
        <f>-M42</f>
        <v>-5000</v>
      </c>
    </row>
    <row r="76" spans="1:15" x14ac:dyDescent="0.25">
      <c r="A76" t="s">
        <v>65</v>
      </c>
      <c r="B76" t="s">
        <v>16</v>
      </c>
      <c r="D76" s="11">
        <f>C44-D44</f>
        <v>-80223.945205479453</v>
      </c>
      <c r="E76" s="11">
        <f t="shared" ref="E76:M76" si="34">D44-E44</f>
        <v>-1612.5012986301444</v>
      </c>
      <c r="F76" s="11">
        <f t="shared" si="34"/>
        <v>-1644.9125747326034</v>
      </c>
      <c r="G76" s="11">
        <f t="shared" si="34"/>
        <v>-1677.9753174847283</v>
      </c>
      <c r="H76" s="11">
        <f t="shared" si="34"/>
        <v>-1711.7026213661884</v>
      </c>
      <c r="I76" s="11">
        <f t="shared" si="34"/>
        <v>-1746.1078440556157</v>
      </c>
      <c r="J76" s="11">
        <f t="shared" si="34"/>
        <v>-1781.2046117211576</v>
      </c>
      <c r="K76" s="11">
        <f t="shared" si="34"/>
        <v>-1817.0068244167342</v>
      </c>
      <c r="L76" s="11">
        <f t="shared" si="34"/>
        <v>-1853.5286615875084</v>
      </c>
      <c r="M76" s="11">
        <f t="shared" si="34"/>
        <v>-1890.7845876854408</v>
      </c>
    </row>
    <row r="77" spans="1:15" x14ac:dyDescent="0.25">
      <c r="A77" t="s">
        <v>65</v>
      </c>
      <c r="B77" t="s">
        <v>67</v>
      </c>
      <c r="D77" s="16">
        <f>D45-E45</f>
        <v>2860.010432876712</v>
      </c>
      <c r="E77" s="16">
        <f t="shared" ref="E77:L77" si="35">E45-F45</f>
        <v>2631.2095982465689</v>
      </c>
      <c r="F77" s="16">
        <f t="shared" si="35"/>
        <v>2420.7128303868449</v>
      </c>
      <c r="G77" s="16">
        <f t="shared" si="35"/>
        <v>2227.0558039559</v>
      </c>
      <c r="H77" s="16">
        <f t="shared" si="35"/>
        <v>2048.8913396394273</v>
      </c>
      <c r="I77" s="16">
        <f t="shared" si="35"/>
        <v>1884.9800324682728</v>
      </c>
      <c r="J77" s="16">
        <f t="shared" si="35"/>
        <v>1734.1816298708181</v>
      </c>
      <c r="K77" s="16">
        <f t="shared" si="35"/>
        <v>1595.4470994811454</v>
      </c>
      <c r="L77" s="16">
        <f t="shared" si="35"/>
        <v>1467.8113315226547</v>
      </c>
      <c r="M77" s="16">
        <f>-M45</f>
        <v>-16879.830312510552</v>
      </c>
    </row>
    <row r="79" spans="1:15" x14ac:dyDescent="0.25">
      <c r="A79" t="s">
        <v>65</v>
      </c>
      <c r="B79" t="s">
        <v>18</v>
      </c>
      <c r="C79" s="16">
        <f>-(D47-C47)</f>
        <v>-100000</v>
      </c>
      <c r="D79" s="16">
        <f t="shared" ref="D79:M79" si="36">-(E47-D47)</f>
        <v>0</v>
      </c>
      <c r="E79" s="16">
        <f t="shared" si="36"/>
        <v>0</v>
      </c>
      <c r="F79" s="16">
        <f t="shared" si="36"/>
        <v>0</v>
      </c>
      <c r="G79" s="16">
        <f t="shared" si="36"/>
        <v>0</v>
      </c>
      <c r="H79" s="16">
        <f t="shared" si="36"/>
        <v>0</v>
      </c>
      <c r="I79" s="16">
        <f t="shared" si="36"/>
        <v>0</v>
      </c>
      <c r="J79" s="16">
        <f t="shared" si="36"/>
        <v>0</v>
      </c>
      <c r="K79" s="16">
        <f t="shared" si="36"/>
        <v>0</v>
      </c>
      <c r="L79" s="16">
        <f t="shared" si="36"/>
        <v>0</v>
      </c>
      <c r="M79" s="16">
        <f t="shared" si="36"/>
        <v>100000</v>
      </c>
    </row>
    <row r="80" spans="1:15" x14ac:dyDescent="0.25">
      <c r="B80" t="s">
        <v>68</v>
      </c>
      <c r="M80" s="15">
        <f>M79*O80</f>
        <v>10000</v>
      </c>
      <c r="N80" s="37" t="s">
        <v>90</v>
      </c>
      <c r="O80" s="21">
        <v>0.1</v>
      </c>
    </row>
    <row r="81" spans="1:15" x14ac:dyDescent="0.25">
      <c r="A81" t="s">
        <v>65</v>
      </c>
      <c r="B81" t="s">
        <v>69</v>
      </c>
      <c r="M81" s="18">
        <f>-O82*N36</f>
        <v>-4200</v>
      </c>
      <c r="N81" s="37" t="s">
        <v>91</v>
      </c>
      <c r="O81" s="16">
        <f>M47</f>
        <v>100000</v>
      </c>
    </row>
    <row r="82" spans="1:15" x14ac:dyDescent="0.25">
      <c r="N82" s="37" t="s">
        <v>92</v>
      </c>
      <c r="O82" s="16">
        <f>SUM(M79:M80)-O81</f>
        <v>10000</v>
      </c>
    </row>
    <row r="83" spans="1:15" x14ac:dyDescent="0.25">
      <c r="A83" t="s">
        <v>65</v>
      </c>
      <c r="B83" t="s">
        <v>19</v>
      </c>
      <c r="C83" s="16">
        <f>-(D48-C48)</f>
        <v>-269000</v>
      </c>
      <c r="D83" s="16">
        <f t="shared" ref="D83:M83" si="37">-(E48-D48)</f>
        <v>0</v>
      </c>
      <c r="E83" s="16">
        <f t="shared" si="37"/>
        <v>0</v>
      </c>
      <c r="F83" s="16">
        <f t="shared" si="37"/>
        <v>0</v>
      </c>
      <c r="G83" s="16">
        <f t="shared" si="37"/>
        <v>0</v>
      </c>
      <c r="H83" s="16">
        <f t="shared" si="37"/>
        <v>0</v>
      </c>
      <c r="I83" s="16">
        <f t="shared" si="37"/>
        <v>0</v>
      </c>
      <c r="J83" s="16">
        <f t="shared" si="37"/>
        <v>0</v>
      </c>
      <c r="K83" s="16">
        <f t="shared" si="37"/>
        <v>0</v>
      </c>
      <c r="L83" s="16">
        <f t="shared" si="37"/>
        <v>0</v>
      </c>
      <c r="M83" s="16">
        <f t="shared" si="37"/>
        <v>269000</v>
      </c>
      <c r="N83" s="37"/>
    </row>
    <row r="84" spans="1:15" x14ac:dyDescent="0.25">
      <c r="B84" t="s">
        <v>68</v>
      </c>
      <c r="M84" s="16">
        <f>M83*O84</f>
        <v>-26900</v>
      </c>
      <c r="N84" s="37" t="s">
        <v>90</v>
      </c>
      <c r="O84" s="21">
        <v>-0.1</v>
      </c>
    </row>
    <row r="85" spans="1:15" x14ac:dyDescent="0.25">
      <c r="A85" t="s">
        <v>65</v>
      </c>
      <c r="B85" t="s">
        <v>69</v>
      </c>
      <c r="M85" s="18">
        <f>-O86*N36</f>
        <v>-26362.000000000007</v>
      </c>
      <c r="N85" s="37" t="s">
        <v>91</v>
      </c>
      <c r="O85" s="16">
        <f>M48-M49</f>
        <v>179333.33333333331</v>
      </c>
    </row>
    <row r="86" spans="1:15" x14ac:dyDescent="0.25">
      <c r="N86" s="37" t="s">
        <v>92</v>
      </c>
      <c r="O86" s="16">
        <f>SUM(M83:M84)-O85</f>
        <v>62766.666666666686</v>
      </c>
    </row>
    <row r="87" spans="1:15" x14ac:dyDescent="0.25">
      <c r="A87" t="s">
        <v>70</v>
      </c>
      <c r="B87" t="s">
        <v>71</v>
      </c>
      <c r="D87" s="16">
        <f>E54-D54</f>
        <v>-1430.005216438356</v>
      </c>
      <c r="E87" s="16">
        <f t="shared" ref="E87:L87" si="38">F54-E54</f>
        <v>-1315.6047991232845</v>
      </c>
      <c r="F87" s="16">
        <f t="shared" si="38"/>
        <v>-1210.3564151934224</v>
      </c>
      <c r="G87" s="16">
        <f t="shared" si="38"/>
        <v>-1113.52790197795</v>
      </c>
      <c r="H87" s="16">
        <f t="shared" si="38"/>
        <v>-1024.4456698197137</v>
      </c>
      <c r="I87" s="16">
        <f t="shared" si="38"/>
        <v>-942.49001623413642</v>
      </c>
      <c r="J87" s="16">
        <f t="shared" si="38"/>
        <v>-867.09081493540907</v>
      </c>
      <c r="K87" s="16">
        <f t="shared" si="38"/>
        <v>-797.72354974057271</v>
      </c>
      <c r="L87" s="16">
        <f t="shared" si="38"/>
        <v>-733.90566576132733</v>
      </c>
      <c r="M87" s="16">
        <f>N55-M54</f>
        <v>-8439.9151562552761</v>
      </c>
    </row>
    <row r="88" spans="1:15" x14ac:dyDescent="0.25">
      <c r="A88" t="s">
        <v>70</v>
      </c>
      <c r="B88" t="s">
        <v>72</v>
      </c>
      <c r="D88" s="16">
        <f>E55-D55</f>
        <v>-56788.088010804538</v>
      </c>
      <c r="E88" s="16">
        <f t="shared" ref="E88:L88" si="39">F55-E55</f>
        <v>22.207651181139227</v>
      </c>
      <c r="F88" s="16">
        <f t="shared" si="39"/>
        <v>94.102775486484461</v>
      </c>
      <c r="G88" s="16">
        <f t="shared" si="39"/>
        <v>162.06601988280454</v>
      </c>
      <c r="H88" s="16">
        <f t="shared" si="39"/>
        <v>226.46408163534943</v>
      </c>
      <c r="I88" s="16">
        <f t="shared" si="39"/>
        <v>287.6360856781248</v>
      </c>
      <c r="J88" s="16">
        <f t="shared" si="39"/>
        <v>345.89585870422525</v>
      </c>
      <c r="K88" s="16">
        <f t="shared" si="39"/>
        <v>401.53402421511419</v>
      </c>
      <c r="L88" s="16">
        <f t="shared" si="39"/>
        <v>454.81993297371082</v>
      </c>
      <c r="M88" s="16">
        <f>N56-M55</f>
        <v>-31009.526994455635</v>
      </c>
    </row>
    <row r="89" spans="1:15" x14ac:dyDescent="0.25"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5" x14ac:dyDescent="0.25">
      <c r="B90" t="s">
        <v>177</v>
      </c>
      <c r="C90" s="10">
        <v>-300000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5" x14ac:dyDescent="0.25"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5" x14ac:dyDescent="0.25"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4" spans="1:15" x14ac:dyDescent="0.25">
      <c r="A94" s="14" t="s">
        <v>73</v>
      </c>
      <c r="C94" s="15">
        <f>SUM(C72:C90)</f>
        <v>-669000</v>
      </c>
      <c r="D94" s="15">
        <f>SUM(D72:D88)</f>
        <v>-8804.1691065122868</v>
      </c>
      <c r="E94" s="15">
        <f t="shared" ref="E94:M94" si="40">SUM(E72:E88)</f>
        <v>125578.44381208753</v>
      </c>
      <c r="F94" s="15">
        <f t="shared" si="40"/>
        <v>124855.56561389306</v>
      </c>
      <c r="G94" s="15">
        <f t="shared" si="40"/>
        <v>124386.61955755393</v>
      </c>
      <c r="H94" s="15">
        <f t="shared" si="40"/>
        <v>124155.24828992924</v>
      </c>
      <c r="I94" s="15">
        <f t="shared" si="40"/>
        <v>124146.48330151306</v>
      </c>
      <c r="J94" s="15">
        <f t="shared" si="40"/>
        <v>124346.6354649353</v>
      </c>
      <c r="K94" s="15">
        <f t="shared" si="40"/>
        <v>124743.19436498094</v>
      </c>
      <c r="L94" s="15">
        <f t="shared" si="40"/>
        <v>125324.73571756229</v>
      </c>
      <c r="M94" s="15">
        <f t="shared" si="40"/>
        <v>385108.36711343215</v>
      </c>
    </row>
    <row r="96" spans="1:15" x14ac:dyDescent="0.25">
      <c r="A96" s="14" t="s">
        <v>74</v>
      </c>
      <c r="C96" s="19">
        <f>IRR(C94:M94)</f>
        <v>0.12009432319787172</v>
      </c>
    </row>
    <row r="97" spans="1:3" x14ac:dyDescent="0.25">
      <c r="A97" s="14"/>
    </row>
    <row r="98" spans="1:3" x14ac:dyDescent="0.25">
      <c r="A98" s="14" t="s">
        <v>75</v>
      </c>
      <c r="C98" s="21">
        <f>U60</f>
        <v>0.11231197833944417</v>
      </c>
    </row>
    <row r="99" spans="1:3" x14ac:dyDescent="0.25">
      <c r="A99" s="14" t="s">
        <v>76</v>
      </c>
      <c r="C99" s="20">
        <f>NPV(C98,D94:M94)</f>
        <v>697217.46690948715</v>
      </c>
    </row>
  </sheetData>
  <pageMargins left="0.7" right="0.7" top="0.75" bottom="0.75" header="0.3" footer="0.3"/>
  <pageSetup orientation="portrait" horizontalDpi="4294967292" verticalDpi="4294967292" r:id="rId1"/>
  <ignoredErrors>
    <ignoredError sqref="H63 U6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opLeftCell="A105" workbookViewId="0">
      <selection activeCell="L27" sqref="L27"/>
    </sheetView>
  </sheetViews>
  <sheetFormatPr defaultColWidth="8.85546875" defaultRowHeight="15" x14ac:dyDescent="0.25"/>
  <cols>
    <col min="2" max="2" width="10.42578125" style="10" bestFit="1" customWidth="1"/>
    <col min="3" max="3" width="16.28515625" customWidth="1"/>
    <col min="4" max="4" width="13.42578125" style="10" customWidth="1"/>
    <col min="5" max="5" width="23.42578125" style="10" customWidth="1"/>
    <col min="6" max="6" width="12.42578125" style="10" bestFit="1" customWidth="1"/>
    <col min="8" max="8" width="29.7109375" customWidth="1"/>
    <col min="9" max="9" width="11.42578125" style="10" bestFit="1" customWidth="1"/>
  </cols>
  <sheetData>
    <row r="1" spans="1:6" x14ac:dyDescent="0.25">
      <c r="B1" s="10" t="s">
        <v>44</v>
      </c>
      <c r="C1" s="10">
        <v>319900</v>
      </c>
      <c r="E1" s="10" t="s">
        <v>45</v>
      </c>
      <c r="F1" s="10">
        <v>0</v>
      </c>
    </row>
    <row r="2" spans="1:6" x14ac:dyDescent="0.25">
      <c r="B2" s="10" t="s">
        <v>46</v>
      </c>
      <c r="C2" s="12">
        <v>4.4999999999999998E-2</v>
      </c>
    </row>
    <row r="3" spans="1:6" x14ac:dyDescent="0.25">
      <c r="B3" s="10" t="s">
        <v>47</v>
      </c>
      <c r="C3">
        <v>360</v>
      </c>
      <c r="E3" s="10" t="s">
        <v>48</v>
      </c>
      <c r="F3" s="10">
        <f>SUMIF(C7:C366,"&gt;0")</f>
        <v>263619.07020787668</v>
      </c>
    </row>
    <row r="5" spans="1:6" x14ac:dyDescent="0.25">
      <c r="B5" s="10" t="s">
        <v>49</v>
      </c>
      <c r="C5" t="s">
        <v>50</v>
      </c>
      <c r="D5" s="10" t="s">
        <v>51</v>
      </c>
      <c r="E5" s="10" t="s">
        <v>45</v>
      </c>
      <c r="F5" s="10" t="s">
        <v>52</v>
      </c>
    </row>
    <row r="6" spans="1:6" x14ac:dyDescent="0.25">
      <c r="F6" s="10">
        <f>C1</f>
        <v>319900</v>
      </c>
    </row>
    <row r="7" spans="1:6" x14ac:dyDescent="0.25">
      <c r="A7">
        <v>1</v>
      </c>
      <c r="B7" s="10">
        <f>PMT($C$2/12,$C$3,-$C$1)</f>
        <v>1620.8863061329923</v>
      </c>
      <c r="C7" s="10">
        <f>F6*($C$2/12)</f>
        <v>1199.625</v>
      </c>
      <c r="D7" s="10">
        <f t="shared" ref="D7:D70" si="0">B7-C7</f>
        <v>421.26130613299233</v>
      </c>
      <c r="E7" s="10">
        <f>$F$1</f>
        <v>0</v>
      </c>
      <c r="F7" s="10">
        <f>F6-D7-E7</f>
        <v>319478.738693867</v>
      </c>
    </row>
    <row r="8" spans="1:6" x14ac:dyDescent="0.25">
      <c r="A8">
        <v>2</v>
      </c>
      <c r="B8" s="10">
        <f t="shared" ref="B8:B71" si="1">PMT($C$2/12,$C$3,-$C$1)</f>
        <v>1620.8863061329923</v>
      </c>
      <c r="C8" s="10">
        <f t="shared" ref="C8:C71" si="2">F7*($C$2/12)</f>
        <v>1198.0452701020013</v>
      </c>
      <c r="D8" s="10">
        <f t="shared" si="0"/>
        <v>422.84103603099106</v>
      </c>
      <c r="E8" s="10">
        <f t="shared" ref="E8:E71" si="3">$F$1</f>
        <v>0</v>
      </c>
      <c r="F8" s="10">
        <f t="shared" ref="F8:F71" si="4">F7-D8-E8</f>
        <v>319055.89765783603</v>
      </c>
    </row>
    <row r="9" spans="1:6" x14ac:dyDescent="0.25">
      <c r="A9">
        <v>3</v>
      </c>
      <c r="B9" s="10">
        <f t="shared" si="1"/>
        <v>1620.8863061329923</v>
      </c>
      <c r="C9" s="10">
        <f t="shared" si="2"/>
        <v>1196.459616216885</v>
      </c>
      <c r="D9" s="10">
        <f t="shared" si="0"/>
        <v>424.42668991610731</v>
      </c>
      <c r="E9" s="10">
        <f t="shared" si="3"/>
        <v>0</v>
      </c>
      <c r="F9" s="10">
        <f t="shared" si="4"/>
        <v>318631.47096791991</v>
      </c>
    </row>
    <row r="10" spans="1:6" x14ac:dyDescent="0.25">
      <c r="A10">
        <v>4</v>
      </c>
      <c r="B10" s="10">
        <f t="shared" si="1"/>
        <v>1620.8863061329923</v>
      </c>
      <c r="C10" s="10">
        <f t="shared" si="2"/>
        <v>1194.8680161296995</v>
      </c>
      <c r="D10" s="10">
        <f t="shared" si="0"/>
        <v>426.0182900032928</v>
      </c>
      <c r="E10" s="10">
        <f t="shared" si="3"/>
        <v>0</v>
      </c>
      <c r="F10" s="10">
        <f t="shared" si="4"/>
        <v>318205.45267791662</v>
      </c>
    </row>
    <row r="11" spans="1:6" x14ac:dyDescent="0.25">
      <c r="A11">
        <v>5</v>
      </c>
      <c r="B11" s="10">
        <f t="shared" si="1"/>
        <v>1620.8863061329923</v>
      </c>
      <c r="C11" s="10">
        <f t="shared" si="2"/>
        <v>1193.2704475421872</v>
      </c>
      <c r="D11" s="10">
        <f t="shared" si="0"/>
        <v>427.61585859080515</v>
      </c>
      <c r="E11" s="10">
        <f t="shared" si="3"/>
        <v>0</v>
      </c>
      <c r="F11" s="10">
        <f t="shared" si="4"/>
        <v>317777.83681932581</v>
      </c>
    </row>
    <row r="12" spans="1:6" x14ac:dyDescent="0.25">
      <c r="A12">
        <v>6</v>
      </c>
      <c r="B12" s="10">
        <f t="shared" si="1"/>
        <v>1620.8863061329923</v>
      </c>
      <c r="C12" s="10">
        <f t="shared" si="2"/>
        <v>1191.6668880724717</v>
      </c>
      <c r="D12" s="10">
        <f t="shared" si="0"/>
        <v>429.21941806052064</v>
      </c>
      <c r="E12" s="10">
        <f t="shared" si="3"/>
        <v>0</v>
      </c>
      <c r="F12" s="10">
        <f t="shared" si="4"/>
        <v>317348.61740126531</v>
      </c>
    </row>
    <row r="13" spans="1:6" x14ac:dyDescent="0.25">
      <c r="A13">
        <v>7</v>
      </c>
      <c r="B13" s="10">
        <f t="shared" si="1"/>
        <v>1620.8863061329923</v>
      </c>
      <c r="C13" s="10">
        <f t="shared" si="2"/>
        <v>1190.0573152547449</v>
      </c>
      <c r="D13" s="10">
        <f t="shared" si="0"/>
        <v>430.8289908782474</v>
      </c>
      <c r="E13" s="10">
        <f t="shared" si="3"/>
        <v>0</v>
      </c>
      <c r="F13" s="10">
        <f t="shared" si="4"/>
        <v>316917.78841038706</v>
      </c>
    </row>
    <row r="14" spans="1:6" x14ac:dyDescent="0.25">
      <c r="A14">
        <v>8</v>
      </c>
      <c r="B14" s="10">
        <f t="shared" si="1"/>
        <v>1620.8863061329923</v>
      </c>
      <c r="C14" s="10">
        <f t="shared" si="2"/>
        <v>1188.4417065389514</v>
      </c>
      <c r="D14" s="10">
        <f t="shared" si="0"/>
        <v>432.44459959404094</v>
      </c>
      <c r="E14" s="10">
        <f t="shared" si="3"/>
        <v>0</v>
      </c>
      <c r="F14" s="10">
        <f t="shared" si="4"/>
        <v>316485.34381079301</v>
      </c>
    </row>
    <row r="15" spans="1:6" x14ac:dyDescent="0.25">
      <c r="A15">
        <v>9</v>
      </c>
      <c r="B15" s="10">
        <f t="shared" si="1"/>
        <v>1620.8863061329923</v>
      </c>
      <c r="C15" s="10">
        <f t="shared" si="2"/>
        <v>1186.8200392904737</v>
      </c>
      <c r="D15" s="10">
        <f t="shared" si="0"/>
        <v>434.06626684251864</v>
      </c>
      <c r="E15" s="10">
        <f t="shared" si="3"/>
        <v>0</v>
      </c>
      <c r="F15" s="10">
        <f t="shared" si="4"/>
        <v>316051.27754395048</v>
      </c>
    </row>
    <row r="16" spans="1:6" x14ac:dyDescent="0.25">
      <c r="A16">
        <v>10</v>
      </c>
      <c r="B16" s="10">
        <f t="shared" si="1"/>
        <v>1620.8863061329923</v>
      </c>
      <c r="C16" s="10">
        <f t="shared" si="2"/>
        <v>1185.1922907898143</v>
      </c>
      <c r="D16" s="10">
        <f t="shared" si="0"/>
        <v>435.69401534317808</v>
      </c>
      <c r="E16" s="10">
        <f t="shared" si="3"/>
        <v>0</v>
      </c>
      <c r="F16" s="10">
        <f t="shared" si="4"/>
        <v>315615.58352860733</v>
      </c>
    </row>
    <row r="17" spans="1:9" x14ac:dyDescent="0.25">
      <c r="A17">
        <v>11</v>
      </c>
      <c r="B17" s="10">
        <f t="shared" si="1"/>
        <v>1620.8863061329923</v>
      </c>
      <c r="C17" s="10">
        <f t="shared" si="2"/>
        <v>1183.5584382322775</v>
      </c>
      <c r="D17" s="10">
        <f t="shared" si="0"/>
        <v>437.32786790071486</v>
      </c>
      <c r="E17" s="10">
        <f t="shared" si="3"/>
        <v>0</v>
      </c>
      <c r="F17" s="10">
        <f t="shared" si="4"/>
        <v>315178.25566070661</v>
      </c>
    </row>
    <row r="18" spans="1:9" x14ac:dyDescent="0.25">
      <c r="A18">
        <v>12</v>
      </c>
      <c r="B18" s="10">
        <f t="shared" si="1"/>
        <v>1620.8863061329923</v>
      </c>
      <c r="C18" s="10">
        <f t="shared" si="2"/>
        <v>1181.9184587276497</v>
      </c>
      <c r="D18" s="10">
        <f t="shared" si="0"/>
        <v>438.96784740534258</v>
      </c>
      <c r="E18" s="10">
        <f t="shared" si="3"/>
        <v>0</v>
      </c>
      <c r="F18" s="10">
        <f t="shared" si="4"/>
        <v>314739.28781330126</v>
      </c>
      <c r="H18" t="s">
        <v>53</v>
      </c>
      <c r="I18" s="10">
        <f>SUM(C7:C18)</f>
        <v>14289.923486897158</v>
      </c>
    </row>
    <row r="19" spans="1:9" x14ac:dyDescent="0.25">
      <c r="A19">
        <v>13</v>
      </c>
      <c r="B19" s="10">
        <f t="shared" si="1"/>
        <v>1620.8863061329923</v>
      </c>
      <c r="C19" s="10">
        <f t="shared" si="2"/>
        <v>1180.2723292998796</v>
      </c>
      <c r="D19" s="10">
        <f t="shared" si="0"/>
        <v>440.6139768331127</v>
      </c>
      <c r="E19" s="10">
        <f t="shared" si="3"/>
        <v>0</v>
      </c>
      <c r="F19" s="10">
        <f t="shared" si="4"/>
        <v>314298.67383646814</v>
      </c>
    </row>
    <row r="20" spans="1:9" x14ac:dyDescent="0.25">
      <c r="A20">
        <v>14</v>
      </c>
      <c r="B20" s="10">
        <f t="shared" si="1"/>
        <v>1620.8863061329923</v>
      </c>
      <c r="C20" s="10">
        <f t="shared" si="2"/>
        <v>1178.6200268867556</v>
      </c>
      <c r="D20" s="10">
        <f t="shared" si="0"/>
        <v>442.26627924623676</v>
      </c>
      <c r="E20" s="10">
        <f t="shared" si="3"/>
        <v>0</v>
      </c>
      <c r="F20" s="10">
        <f t="shared" si="4"/>
        <v>313856.40755722189</v>
      </c>
    </row>
    <row r="21" spans="1:9" x14ac:dyDescent="0.25">
      <c r="A21">
        <v>15</v>
      </c>
      <c r="B21" s="10">
        <f t="shared" si="1"/>
        <v>1620.8863061329923</v>
      </c>
      <c r="C21" s="10">
        <f t="shared" si="2"/>
        <v>1176.9615283395819</v>
      </c>
      <c r="D21" s="10">
        <f t="shared" si="0"/>
        <v>443.92477779341039</v>
      </c>
      <c r="E21" s="10">
        <f t="shared" si="3"/>
        <v>0</v>
      </c>
      <c r="F21" s="10">
        <f t="shared" si="4"/>
        <v>313412.48277942848</v>
      </c>
    </row>
    <row r="22" spans="1:9" x14ac:dyDescent="0.25">
      <c r="A22">
        <v>16</v>
      </c>
      <c r="B22" s="10">
        <f t="shared" si="1"/>
        <v>1620.8863061329923</v>
      </c>
      <c r="C22" s="10">
        <f t="shared" si="2"/>
        <v>1175.2968104228567</v>
      </c>
      <c r="D22" s="10">
        <f t="shared" si="0"/>
        <v>445.58949571013568</v>
      </c>
      <c r="E22" s="10">
        <f t="shared" si="3"/>
        <v>0</v>
      </c>
      <c r="F22" s="10">
        <f t="shared" si="4"/>
        <v>312966.89328371832</v>
      </c>
    </row>
    <row r="23" spans="1:9" x14ac:dyDescent="0.25">
      <c r="A23">
        <v>17</v>
      </c>
      <c r="B23" s="10">
        <f t="shared" si="1"/>
        <v>1620.8863061329923</v>
      </c>
      <c r="C23" s="10">
        <f t="shared" si="2"/>
        <v>1173.6258498139437</v>
      </c>
      <c r="D23" s="10">
        <f t="shared" si="0"/>
        <v>447.26045631904867</v>
      </c>
      <c r="E23" s="10">
        <f t="shared" si="3"/>
        <v>0</v>
      </c>
      <c r="F23" s="10">
        <f t="shared" si="4"/>
        <v>312519.6328273993</v>
      </c>
    </row>
    <row r="24" spans="1:9" x14ac:dyDescent="0.25">
      <c r="A24">
        <v>18</v>
      </c>
      <c r="B24" s="10">
        <f t="shared" si="1"/>
        <v>1620.8863061329923</v>
      </c>
      <c r="C24" s="10">
        <f t="shared" si="2"/>
        <v>1171.9486231027474</v>
      </c>
      <c r="D24" s="10">
        <f t="shared" si="0"/>
        <v>448.9376830302449</v>
      </c>
      <c r="E24" s="10">
        <f t="shared" si="3"/>
        <v>0</v>
      </c>
      <c r="F24" s="10">
        <f t="shared" si="4"/>
        <v>312070.69514436903</v>
      </c>
    </row>
    <row r="25" spans="1:9" x14ac:dyDescent="0.25">
      <c r="A25">
        <v>19</v>
      </c>
      <c r="B25" s="10">
        <f t="shared" si="1"/>
        <v>1620.8863061329923</v>
      </c>
      <c r="C25" s="10">
        <f t="shared" si="2"/>
        <v>1170.2651067913839</v>
      </c>
      <c r="D25" s="10">
        <f t="shared" si="0"/>
        <v>450.62119934160842</v>
      </c>
      <c r="E25" s="10">
        <f t="shared" si="3"/>
        <v>0</v>
      </c>
      <c r="F25" s="10">
        <f t="shared" si="4"/>
        <v>311620.07394502743</v>
      </c>
    </row>
    <row r="26" spans="1:9" x14ac:dyDescent="0.25">
      <c r="A26">
        <v>20</v>
      </c>
      <c r="B26" s="10">
        <f t="shared" si="1"/>
        <v>1620.8863061329923</v>
      </c>
      <c r="C26" s="10">
        <f t="shared" si="2"/>
        <v>1168.5752772938529</v>
      </c>
      <c r="D26" s="10">
        <f t="shared" si="0"/>
        <v>452.31102883913945</v>
      </c>
      <c r="E26" s="10">
        <f t="shared" si="3"/>
        <v>0</v>
      </c>
      <c r="F26" s="10">
        <f t="shared" si="4"/>
        <v>311167.76291618828</v>
      </c>
    </row>
    <row r="27" spans="1:9" x14ac:dyDescent="0.25">
      <c r="A27">
        <v>21</v>
      </c>
      <c r="B27" s="10">
        <f t="shared" si="1"/>
        <v>1620.8863061329923</v>
      </c>
      <c r="C27" s="10">
        <f t="shared" si="2"/>
        <v>1166.879110935706</v>
      </c>
      <c r="D27" s="10">
        <f t="shared" si="0"/>
        <v>454.00719519728636</v>
      </c>
      <c r="E27" s="10">
        <f t="shared" si="3"/>
        <v>0</v>
      </c>
      <c r="F27" s="10">
        <f t="shared" si="4"/>
        <v>310713.755720991</v>
      </c>
    </row>
    <row r="28" spans="1:9" x14ac:dyDescent="0.25">
      <c r="A28">
        <v>22</v>
      </c>
      <c r="B28" s="10">
        <f t="shared" si="1"/>
        <v>1620.8863061329923</v>
      </c>
      <c r="C28" s="10">
        <f t="shared" si="2"/>
        <v>1165.1765839537163</v>
      </c>
      <c r="D28" s="10">
        <f t="shared" si="0"/>
        <v>455.70972217927601</v>
      </c>
      <c r="E28" s="10">
        <f t="shared" si="3"/>
        <v>0</v>
      </c>
      <c r="F28" s="10">
        <f t="shared" si="4"/>
        <v>310258.04599881172</v>
      </c>
    </row>
    <row r="29" spans="1:9" x14ac:dyDescent="0.25">
      <c r="A29">
        <v>23</v>
      </c>
      <c r="B29" s="10">
        <f t="shared" si="1"/>
        <v>1620.8863061329923</v>
      </c>
      <c r="C29" s="10">
        <f t="shared" si="2"/>
        <v>1163.4676724955439</v>
      </c>
      <c r="D29" s="10">
        <f t="shared" si="0"/>
        <v>457.41863363744847</v>
      </c>
      <c r="E29" s="10">
        <f t="shared" si="3"/>
        <v>0</v>
      </c>
      <c r="F29" s="10">
        <f t="shared" si="4"/>
        <v>309800.6273651743</v>
      </c>
    </row>
    <row r="30" spans="1:9" x14ac:dyDescent="0.25">
      <c r="A30">
        <v>24</v>
      </c>
      <c r="B30" s="10">
        <f t="shared" si="1"/>
        <v>1620.8863061329923</v>
      </c>
      <c r="C30" s="10">
        <f t="shared" si="2"/>
        <v>1161.7523526194036</v>
      </c>
      <c r="D30" s="10">
        <f t="shared" si="0"/>
        <v>459.13395351358872</v>
      </c>
      <c r="E30" s="10">
        <f t="shared" si="3"/>
        <v>0</v>
      </c>
      <c r="F30" s="10">
        <f t="shared" si="4"/>
        <v>309341.49341166072</v>
      </c>
      <c r="H30" t="s">
        <v>54</v>
      </c>
      <c r="I30" s="10">
        <f>SUM(C19:C30)</f>
        <v>14052.841271955373</v>
      </c>
    </row>
    <row r="31" spans="1:9" x14ac:dyDescent="0.25">
      <c r="A31">
        <v>25</v>
      </c>
      <c r="B31" s="10">
        <f t="shared" si="1"/>
        <v>1620.8863061329923</v>
      </c>
      <c r="C31" s="10">
        <f t="shared" si="2"/>
        <v>1160.0306002937277</v>
      </c>
      <c r="D31" s="10">
        <f t="shared" si="0"/>
        <v>460.8557058392646</v>
      </c>
      <c r="E31" s="10">
        <f t="shared" si="3"/>
        <v>0</v>
      </c>
      <c r="F31" s="10">
        <f t="shared" si="4"/>
        <v>308880.63770582143</v>
      </c>
    </row>
    <row r="32" spans="1:9" x14ac:dyDescent="0.25">
      <c r="A32">
        <v>26</v>
      </c>
      <c r="B32" s="10">
        <f t="shared" si="1"/>
        <v>1620.8863061329923</v>
      </c>
      <c r="C32" s="10">
        <f t="shared" si="2"/>
        <v>1158.3023913968302</v>
      </c>
      <c r="D32" s="10">
        <f t="shared" si="0"/>
        <v>462.58391473616211</v>
      </c>
      <c r="E32" s="10">
        <f t="shared" si="3"/>
        <v>0</v>
      </c>
      <c r="F32" s="10">
        <f t="shared" si="4"/>
        <v>308418.05379108526</v>
      </c>
    </row>
    <row r="33" spans="1:9" x14ac:dyDescent="0.25">
      <c r="A33">
        <v>27</v>
      </c>
      <c r="B33" s="10">
        <f t="shared" si="1"/>
        <v>1620.8863061329923</v>
      </c>
      <c r="C33" s="10">
        <f t="shared" si="2"/>
        <v>1156.5677017165697</v>
      </c>
      <c r="D33" s="10">
        <f t="shared" si="0"/>
        <v>464.31860441642266</v>
      </c>
      <c r="E33" s="10">
        <f t="shared" si="3"/>
        <v>0</v>
      </c>
      <c r="F33" s="10">
        <f t="shared" si="4"/>
        <v>307953.73518666881</v>
      </c>
    </row>
    <row r="34" spans="1:9" x14ac:dyDescent="0.25">
      <c r="A34">
        <v>28</v>
      </c>
      <c r="B34" s="10">
        <f t="shared" si="1"/>
        <v>1620.8863061329923</v>
      </c>
      <c r="C34" s="10">
        <f t="shared" si="2"/>
        <v>1154.826506950008</v>
      </c>
      <c r="D34" s="10">
        <f t="shared" si="0"/>
        <v>466.05979918298431</v>
      </c>
      <c r="E34" s="10">
        <f t="shared" si="3"/>
        <v>0</v>
      </c>
      <c r="F34" s="10">
        <f t="shared" si="4"/>
        <v>307487.67538748583</v>
      </c>
    </row>
    <row r="35" spans="1:9" x14ac:dyDescent="0.25">
      <c r="A35">
        <v>29</v>
      </c>
      <c r="B35" s="10">
        <f t="shared" si="1"/>
        <v>1620.8863061329923</v>
      </c>
      <c r="C35" s="10">
        <f t="shared" si="2"/>
        <v>1153.0787827030717</v>
      </c>
      <c r="D35" s="10">
        <f t="shared" si="0"/>
        <v>467.80752342992059</v>
      </c>
      <c r="E35" s="10">
        <f t="shared" si="3"/>
        <v>0</v>
      </c>
      <c r="F35" s="10">
        <f t="shared" si="4"/>
        <v>307019.86786405591</v>
      </c>
    </row>
    <row r="36" spans="1:9" x14ac:dyDescent="0.25">
      <c r="A36">
        <v>30</v>
      </c>
      <c r="B36" s="10">
        <f t="shared" si="1"/>
        <v>1620.8863061329923</v>
      </c>
      <c r="C36" s="10">
        <f t="shared" si="2"/>
        <v>1151.3245044902096</v>
      </c>
      <c r="D36" s="10">
        <f t="shared" si="0"/>
        <v>469.56180164278271</v>
      </c>
      <c r="E36" s="10">
        <f t="shared" si="3"/>
        <v>0</v>
      </c>
      <c r="F36" s="10">
        <f t="shared" si="4"/>
        <v>306550.30606241315</v>
      </c>
    </row>
    <row r="37" spans="1:9" x14ac:dyDescent="0.25">
      <c r="A37">
        <v>31</v>
      </c>
      <c r="B37" s="10">
        <f t="shared" si="1"/>
        <v>1620.8863061329923</v>
      </c>
      <c r="C37" s="10">
        <f t="shared" si="2"/>
        <v>1149.5636477340493</v>
      </c>
      <c r="D37" s="10">
        <f t="shared" si="0"/>
        <v>471.32265839894308</v>
      </c>
      <c r="E37" s="10">
        <f t="shared" si="3"/>
        <v>0</v>
      </c>
      <c r="F37" s="10">
        <f t="shared" si="4"/>
        <v>306078.9834040142</v>
      </c>
    </row>
    <row r="38" spans="1:9" x14ac:dyDescent="0.25">
      <c r="A38">
        <v>32</v>
      </c>
      <c r="B38" s="10">
        <f t="shared" si="1"/>
        <v>1620.8863061329923</v>
      </c>
      <c r="C38" s="10">
        <f t="shared" si="2"/>
        <v>1147.7961877650532</v>
      </c>
      <c r="D38" s="10">
        <f t="shared" si="0"/>
        <v>473.09011836793911</v>
      </c>
      <c r="E38" s="10">
        <f t="shared" si="3"/>
        <v>0</v>
      </c>
      <c r="F38" s="10">
        <f t="shared" si="4"/>
        <v>305605.89328564628</v>
      </c>
    </row>
    <row r="39" spans="1:9" x14ac:dyDescent="0.25">
      <c r="A39">
        <v>33</v>
      </c>
      <c r="B39" s="10">
        <f t="shared" si="1"/>
        <v>1620.8863061329923</v>
      </c>
      <c r="C39" s="10">
        <f t="shared" si="2"/>
        <v>1146.0220998211735</v>
      </c>
      <c r="D39" s="10">
        <f t="shared" si="0"/>
        <v>474.86420631181886</v>
      </c>
      <c r="E39" s="10">
        <f t="shared" si="3"/>
        <v>0</v>
      </c>
      <c r="F39" s="10">
        <f t="shared" si="4"/>
        <v>305131.02907933446</v>
      </c>
    </row>
    <row r="40" spans="1:9" x14ac:dyDescent="0.25">
      <c r="A40">
        <v>34</v>
      </c>
      <c r="B40" s="10">
        <f t="shared" si="1"/>
        <v>1620.8863061329923</v>
      </c>
      <c r="C40" s="10">
        <f t="shared" si="2"/>
        <v>1144.2413590475041</v>
      </c>
      <c r="D40" s="10">
        <f t="shared" si="0"/>
        <v>476.64494708548818</v>
      </c>
      <c r="E40" s="10">
        <f t="shared" si="3"/>
        <v>0</v>
      </c>
      <c r="F40" s="10">
        <f t="shared" si="4"/>
        <v>304654.38413224899</v>
      </c>
    </row>
    <row r="41" spans="1:9" x14ac:dyDescent="0.25">
      <c r="A41">
        <v>35</v>
      </c>
      <c r="B41" s="10">
        <f t="shared" si="1"/>
        <v>1620.8863061329923</v>
      </c>
      <c r="C41" s="10">
        <f t="shared" si="2"/>
        <v>1142.4539404959337</v>
      </c>
      <c r="D41" s="10">
        <f t="shared" si="0"/>
        <v>478.43236563705864</v>
      </c>
      <c r="E41" s="10">
        <f t="shared" si="3"/>
        <v>0</v>
      </c>
      <c r="F41" s="10">
        <f t="shared" si="4"/>
        <v>304175.95176661195</v>
      </c>
    </row>
    <row r="42" spans="1:9" x14ac:dyDescent="0.25">
      <c r="A42">
        <v>36</v>
      </c>
      <c r="B42" s="10">
        <f t="shared" si="1"/>
        <v>1620.8863061329923</v>
      </c>
      <c r="C42" s="10">
        <f t="shared" si="2"/>
        <v>1140.6598191247947</v>
      </c>
      <c r="D42" s="10">
        <f t="shared" si="0"/>
        <v>480.22648700819764</v>
      </c>
      <c r="E42" s="10">
        <f t="shared" si="3"/>
        <v>0</v>
      </c>
      <c r="F42" s="10">
        <f t="shared" si="4"/>
        <v>303695.72527960374</v>
      </c>
      <c r="H42" t="s">
        <v>55</v>
      </c>
      <c r="I42" s="10">
        <f>SUM(C31:C42)</f>
        <v>13804.867541538926</v>
      </c>
    </row>
    <row r="43" spans="1:9" x14ac:dyDescent="0.25">
      <c r="A43">
        <v>37</v>
      </c>
      <c r="B43" s="10">
        <f t="shared" si="1"/>
        <v>1620.8863061329923</v>
      </c>
      <c r="C43" s="10">
        <f t="shared" si="2"/>
        <v>1138.858969798514</v>
      </c>
      <c r="D43" s="10">
        <f t="shared" si="0"/>
        <v>482.02733633447838</v>
      </c>
      <c r="E43" s="10">
        <f t="shared" si="3"/>
        <v>0</v>
      </c>
      <c r="F43" s="10">
        <f t="shared" si="4"/>
        <v>303213.69794326928</v>
      </c>
    </row>
    <row r="44" spans="1:9" x14ac:dyDescent="0.25">
      <c r="A44">
        <v>38</v>
      </c>
      <c r="B44" s="10">
        <f t="shared" si="1"/>
        <v>1620.8863061329923</v>
      </c>
      <c r="C44" s="10">
        <f t="shared" si="2"/>
        <v>1137.0513672872598</v>
      </c>
      <c r="D44" s="10">
        <f t="shared" si="0"/>
        <v>483.83493884573249</v>
      </c>
      <c r="E44" s="10">
        <f t="shared" si="3"/>
        <v>0</v>
      </c>
      <c r="F44" s="10">
        <f t="shared" si="4"/>
        <v>302729.86300442356</v>
      </c>
    </row>
    <row r="45" spans="1:9" x14ac:dyDescent="0.25">
      <c r="A45">
        <v>39</v>
      </c>
      <c r="B45" s="10">
        <f t="shared" si="1"/>
        <v>1620.8863061329923</v>
      </c>
      <c r="C45" s="10">
        <f t="shared" si="2"/>
        <v>1135.2369862665882</v>
      </c>
      <c r="D45" s="10">
        <f t="shared" si="0"/>
        <v>485.64931986640408</v>
      </c>
      <c r="E45" s="10">
        <f t="shared" si="3"/>
        <v>0</v>
      </c>
      <c r="F45" s="10">
        <f t="shared" si="4"/>
        <v>302244.21368455718</v>
      </c>
    </row>
    <row r="46" spans="1:9" x14ac:dyDescent="0.25">
      <c r="A46">
        <v>40</v>
      </c>
      <c r="B46" s="10">
        <f t="shared" si="1"/>
        <v>1620.8863061329923</v>
      </c>
      <c r="C46" s="10">
        <f t="shared" si="2"/>
        <v>1133.4158013170893</v>
      </c>
      <c r="D46" s="10">
        <f t="shared" si="0"/>
        <v>487.47050481590304</v>
      </c>
      <c r="E46" s="10">
        <f t="shared" si="3"/>
        <v>0</v>
      </c>
      <c r="F46" s="10">
        <f t="shared" si="4"/>
        <v>301756.74317974126</v>
      </c>
    </row>
    <row r="47" spans="1:9" x14ac:dyDescent="0.25">
      <c r="A47">
        <v>41</v>
      </c>
      <c r="B47" s="10">
        <f t="shared" si="1"/>
        <v>1620.8863061329923</v>
      </c>
      <c r="C47" s="10">
        <f t="shared" si="2"/>
        <v>1131.5877869240296</v>
      </c>
      <c r="D47" s="10">
        <f t="shared" si="0"/>
        <v>489.29851920896272</v>
      </c>
      <c r="E47" s="10">
        <f t="shared" si="3"/>
        <v>0</v>
      </c>
      <c r="F47" s="10">
        <f t="shared" si="4"/>
        <v>301267.44466053229</v>
      </c>
    </row>
    <row r="48" spans="1:9" x14ac:dyDescent="0.25">
      <c r="A48">
        <v>42</v>
      </c>
      <c r="B48" s="10">
        <f t="shared" si="1"/>
        <v>1620.8863061329923</v>
      </c>
      <c r="C48" s="10">
        <f t="shared" si="2"/>
        <v>1129.7529174769961</v>
      </c>
      <c r="D48" s="10">
        <f t="shared" si="0"/>
        <v>491.13338865599621</v>
      </c>
      <c r="E48" s="10">
        <f t="shared" si="3"/>
        <v>0</v>
      </c>
      <c r="F48" s="10">
        <f t="shared" si="4"/>
        <v>300776.31127187627</v>
      </c>
    </row>
    <row r="49" spans="1:9" x14ac:dyDescent="0.25">
      <c r="A49">
        <v>43</v>
      </c>
      <c r="B49" s="10">
        <f t="shared" si="1"/>
        <v>1620.8863061329923</v>
      </c>
      <c r="C49" s="10">
        <f t="shared" si="2"/>
        <v>1127.911167269536</v>
      </c>
      <c r="D49" s="10">
        <f t="shared" si="0"/>
        <v>492.97513886345632</v>
      </c>
      <c r="E49" s="10">
        <f t="shared" si="3"/>
        <v>0</v>
      </c>
      <c r="F49" s="10">
        <f t="shared" si="4"/>
        <v>300283.33613301284</v>
      </c>
    </row>
    <row r="50" spans="1:9" x14ac:dyDescent="0.25">
      <c r="A50">
        <v>44</v>
      </c>
      <c r="B50" s="10">
        <f t="shared" si="1"/>
        <v>1620.8863061329923</v>
      </c>
      <c r="C50" s="10">
        <f t="shared" si="2"/>
        <v>1126.062510498798</v>
      </c>
      <c r="D50" s="10">
        <f t="shared" si="0"/>
        <v>494.82379563419431</v>
      </c>
      <c r="E50" s="10">
        <f t="shared" si="3"/>
        <v>0</v>
      </c>
      <c r="F50" s="10">
        <f t="shared" si="4"/>
        <v>299788.51233737863</v>
      </c>
    </row>
    <row r="51" spans="1:9" x14ac:dyDescent="0.25">
      <c r="A51">
        <v>45</v>
      </c>
      <c r="B51" s="10">
        <f t="shared" si="1"/>
        <v>1620.8863061329923</v>
      </c>
      <c r="C51" s="10">
        <f t="shared" si="2"/>
        <v>1124.2069212651697</v>
      </c>
      <c r="D51" s="10">
        <f t="shared" si="0"/>
        <v>496.67938486782259</v>
      </c>
      <c r="E51" s="10">
        <f t="shared" si="3"/>
        <v>0</v>
      </c>
      <c r="F51" s="10">
        <f t="shared" si="4"/>
        <v>299291.8329525108</v>
      </c>
    </row>
    <row r="52" spans="1:9" x14ac:dyDescent="0.25">
      <c r="A52">
        <v>46</v>
      </c>
      <c r="B52" s="10">
        <f t="shared" si="1"/>
        <v>1620.8863061329923</v>
      </c>
      <c r="C52" s="10">
        <f t="shared" si="2"/>
        <v>1122.3443735719154</v>
      </c>
      <c r="D52" s="10">
        <f t="shared" si="0"/>
        <v>498.54193256107692</v>
      </c>
      <c r="E52" s="10">
        <f t="shared" si="3"/>
        <v>0</v>
      </c>
      <c r="F52" s="10">
        <f t="shared" si="4"/>
        <v>298793.29101994971</v>
      </c>
    </row>
    <row r="53" spans="1:9" x14ac:dyDescent="0.25">
      <c r="A53">
        <v>47</v>
      </c>
      <c r="B53" s="10">
        <f t="shared" si="1"/>
        <v>1620.8863061329923</v>
      </c>
      <c r="C53" s="10">
        <f t="shared" si="2"/>
        <v>1120.4748413248115</v>
      </c>
      <c r="D53" s="10">
        <f t="shared" si="0"/>
        <v>500.41146480818088</v>
      </c>
      <c r="E53" s="10">
        <f t="shared" si="3"/>
        <v>0</v>
      </c>
      <c r="F53" s="10">
        <f t="shared" si="4"/>
        <v>298292.87955514155</v>
      </c>
    </row>
    <row r="54" spans="1:9" x14ac:dyDescent="0.25">
      <c r="A54">
        <v>48</v>
      </c>
      <c r="B54" s="10">
        <f t="shared" si="1"/>
        <v>1620.8863061329923</v>
      </c>
      <c r="C54" s="10">
        <f t="shared" si="2"/>
        <v>1118.5982983317808</v>
      </c>
      <c r="D54" s="10">
        <f t="shared" si="0"/>
        <v>502.28800780121151</v>
      </c>
      <c r="E54" s="10">
        <f t="shared" si="3"/>
        <v>0</v>
      </c>
      <c r="F54" s="10">
        <f t="shared" si="4"/>
        <v>297790.59154734033</v>
      </c>
      <c r="H54" t="s">
        <v>56</v>
      </c>
      <c r="I54" s="10">
        <f>SUM(C43:C54)</f>
        <v>13545.501941332488</v>
      </c>
    </row>
    <row r="55" spans="1:9" x14ac:dyDescent="0.25">
      <c r="A55">
        <v>49</v>
      </c>
      <c r="B55" s="10">
        <f t="shared" si="1"/>
        <v>1620.8863061329923</v>
      </c>
      <c r="C55" s="10">
        <f t="shared" si="2"/>
        <v>1116.7147183025261</v>
      </c>
      <c r="D55" s="10">
        <f t="shared" si="0"/>
        <v>504.17158783046625</v>
      </c>
      <c r="E55" s="10">
        <f t="shared" si="3"/>
        <v>0</v>
      </c>
      <c r="F55" s="10">
        <f t="shared" si="4"/>
        <v>297286.41995950986</v>
      </c>
    </row>
    <row r="56" spans="1:9" x14ac:dyDescent="0.25">
      <c r="A56">
        <v>50</v>
      </c>
      <c r="B56" s="10">
        <f t="shared" si="1"/>
        <v>1620.8863061329923</v>
      </c>
      <c r="C56" s="10">
        <f t="shared" si="2"/>
        <v>1114.8240748481619</v>
      </c>
      <c r="D56" s="10">
        <f t="shared" si="0"/>
        <v>506.06223128483043</v>
      </c>
      <c r="E56" s="10">
        <f t="shared" si="3"/>
        <v>0</v>
      </c>
      <c r="F56" s="10">
        <f t="shared" si="4"/>
        <v>296780.357728225</v>
      </c>
    </row>
    <row r="57" spans="1:9" x14ac:dyDescent="0.25">
      <c r="A57">
        <v>51</v>
      </c>
      <c r="B57" s="10">
        <f t="shared" si="1"/>
        <v>1620.8863061329923</v>
      </c>
      <c r="C57" s="10">
        <f t="shared" si="2"/>
        <v>1112.9263414808438</v>
      </c>
      <c r="D57" s="10">
        <f t="shared" si="0"/>
        <v>507.95996465214853</v>
      </c>
      <c r="E57" s="10">
        <f t="shared" si="3"/>
        <v>0</v>
      </c>
      <c r="F57" s="10">
        <f t="shared" si="4"/>
        <v>296272.39776357287</v>
      </c>
    </row>
    <row r="58" spans="1:9" x14ac:dyDescent="0.25">
      <c r="A58">
        <v>52</v>
      </c>
      <c r="B58" s="10">
        <f t="shared" si="1"/>
        <v>1620.8863061329923</v>
      </c>
      <c r="C58" s="10">
        <f t="shared" si="2"/>
        <v>1111.0214916133982</v>
      </c>
      <c r="D58" s="10">
        <f t="shared" si="0"/>
        <v>509.86481451959412</v>
      </c>
      <c r="E58" s="10">
        <f t="shared" si="3"/>
        <v>0</v>
      </c>
      <c r="F58" s="10">
        <f t="shared" si="4"/>
        <v>295762.53294905327</v>
      </c>
    </row>
    <row r="59" spans="1:9" x14ac:dyDescent="0.25">
      <c r="A59">
        <v>53</v>
      </c>
      <c r="B59" s="10">
        <f t="shared" si="1"/>
        <v>1620.8863061329923</v>
      </c>
      <c r="C59" s="10">
        <f t="shared" si="2"/>
        <v>1109.1094985589498</v>
      </c>
      <c r="D59" s="10">
        <f t="shared" si="0"/>
        <v>511.77680757404255</v>
      </c>
      <c r="E59" s="10">
        <f t="shared" si="3"/>
        <v>0</v>
      </c>
      <c r="F59" s="10">
        <f t="shared" si="4"/>
        <v>295250.75614147924</v>
      </c>
    </row>
    <row r="60" spans="1:9" x14ac:dyDescent="0.25">
      <c r="A60">
        <v>54</v>
      </c>
      <c r="B60" s="10">
        <f t="shared" si="1"/>
        <v>1620.8863061329923</v>
      </c>
      <c r="C60" s="10">
        <f t="shared" si="2"/>
        <v>1107.1903355305471</v>
      </c>
      <c r="D60" s="10">
        <f t="shared" si="0"/>
        <v>513.69597060244519</v>
      </c>
      <c r="E60" s="10">
        <f t="shared" si="3"/>
        <v>0</v>
      </c>
      <c r="F60" s="10">
        <f t="shared" si="4"/>
        <v>294737.06017087679</v>
      </c>
    </row>
    <row r="61" spans="1:9" x14ac:dyDescent="0.25">
      <c r="A61">
        <v>55</v>
      </c>
      <c r="B61" s="10">
        <f t="shared" si="1"/>
        <v>1620.8863061329923</v>
      </c>
      <c r="C61" s="10">
        <f t="shared" si="2"/>
        <v>1105.263975640788</v>
      </c>
      <c r="D61" s="10">
        <f t="shared" si="0"/>
        <v>515.62233049220436</v>
      </c>
      <c r="E61" s="10">
        <f t="shared" si="3"/>
        <v>0</v>
      </c>
      <c r="F61" s="10">
        <f t="shared" si="4"/>
        <v>294221.43784038461</v>
      </c>
    </row>
    <row r="62" spans="1:9" x14ac:dyDescent="0.25">
      <c r="A62">
        <v>56</v>
      </c>
      <c r="B62" s="10">
        <f t="shared" si="1"/>
        <v>1620.8863061329923</v>
      </c>
      <c r="C62" s="10">
        <f t="shared" si="2"/>
        <v>1103.3303919014422</v>
      </c>
      <c r="D62" s="10">
        <f t="shared" si="0"/>
        <v>517.5559142315501</v>
      </c>
      <c r="E62" s="10">
        <f t="shared" si="3"/>
        <v>0</v>
      </c>
      <c r="F62" s="10">
        <f t="shared" si="4"/>
        <v>293703.88192615303</v>
      </c>
    </row>
    <row r="63" spans="1:9" x14ac:dyDescent="0.25">
      <c r="A63">
        <v>57</v>
      </c>
      <c r="B63" s="10">
        <f t="shared" si="1"/>
        <v>1620.8863061329923</v>
      </c>
      <c r="C63" s="10">
        <f t="shared" si="2"/>
        <v>1101.3895572230738</v>
      </c>
      <c r="D63" s="10">
        <f t="shared" si="0"/>
        <v>519.49674890991855</v>
      </c>
      <c r="E63" s="10">
        <f t="shared" si="3"/>
        <v>0</v>
      </c>
      <c r="F63" s="10">
        <f t="shared" si="4"/>
        <v>293184.38517724309</v>
      </c>
    </row>
    <row r="64" spans="1:9" x14ac:dyDescent="0.25">
      <c r="A64">
        <v>58</v>
      </c>
      <c r="B64" s="10">
        <f t="shared" si="1"/>
        <v>1620.8863061329923</v>
      </c>
      <c r="C64" s="10">
        <f t="shared" si="2"/>
        <v>1099.4414444146616</v>
      </c>
      <c r="D64" s="10">
        <f t="shared" si="0"/>
        <v>521.44486171833069</v>
      </c>
      <c r="E64" s="10">
        <f t="shared" si="3"/>
        <v>0</v>
      </c>
      <c r="F64" s="10">
        <f t="shared" si="4"/>
        <v>292662.94031552476</v>
      </c>
    </row>
    <row r="65" spans="1:9" x14ac:dyDescent="0.25">
      <c r="A65">
        <v>59</v>
      </c>
      <c r="B65" s="10">
        <f t="shared" si="1"/>
        <v>1620.8863061329923</v>
      </c>
      <c r="C65" s="10">
        <f t="shared" si="2"/>
        <v>1097.4860261832177</v>
      </c>
      <c r="D65" s="10">
        <f t="shared" si="0"/>
        <v>523.40027994977459</v>
      </c>
      <c r="E65" s="10">
        <f t="shared" si="3"/>
        <v>0</v>
      </c>
      <c r="F65" s="10">
        <f t="shared" si="4"/>
        <v>292139.54003557499</v>
      </c>
    </row>
    <row r="66" spans="1:9" x14ac:dyDescent="0.25">
      <c r="A66">
        <v>60</v>
      </c>
      <c r="B66" s="10">
        <f t="shared" si="1"/>
        <v>1620.8863061329923</v>
      </c>
      <c r="C66" s="10">
        <f t="shared" si="2"/>
        <v>1095.5232751334061</v>
      </c>
      <c r="D66" s="10">
        <f t="shared" si="0"/>
        <v>525.36303099958627</v>
      </c>
      <c r="E66" s="10">
        <f t="shared" si="3"/>
        <v>0</v>
      </c>
      <c r="F66" s="10">
        <f t="shared" si="4"/>
        <v>291614.17700457538</v>
      </c>
      <c r="H66" t="s">
        <v>53</v>
      </c>
      <c r="I66" s="10">
        <f t="shared" ref="I66" si="5">SUM(C55:C66)</f>
        <v>13274.221130831018</v>
      </c>
    </row>
    <row r="67" spans="1:9" x14ac:dyDescent="0.25">
      <c r="A67">
        <v>61</v>
      </c>
      <c r="B67" s="10">
        <f t="shared" si="1"/>
        <v>1620.8863061329923</v>
      </c>
      <c r="C67" s="10">
        <f t="shared" si="2"/>
        <v>1093.5531637671577</v>
      </c>
      <c r="D67" s="10">
        <f t="shared" si="0"/>
        <v>527.33314236583465</v>
      </c>
      <c r="E67" s="10">
        <f t="shared" si="3"/>
        <v>0</v>
      </c>
      <c r="F67" s="10">
        <f t="shared" si="4"/>
        <v>291086.84386220953</v>
      </c>
    </row>
    <row r="68" spans="1:9" x14ac:dyDescent="0.25">
      <c r="A68">
        <v>62</v>
      </c>
      <c r="B68" s="10">
        <f t="shared" si="1"/>
        <v>1620.8863061329923</v>
      </c>
      <c r="C68" s="10">
        <f t="shared" si="2"/>
        <v>1091.5756644832857</v>
      </c>
      <c r="D68" s="10">
        <f t="shared" si="0"/>
        <v>529.31064164970667</v>
      </c>
      <c r="E68" s="10">
        <f t="shared" si="3"/>
        <v>0</v>
      </c>
      <c r="F68" s="10">
        <f t="shared" si="4"/>
        <v>290557.53322055982</v>
      </c>
    </row>
    <row r="69" spans="1:9" x14ac:dyDescent="0.25">
      <c r="A69">
        <v>63</v>
      </c>
      <c r="B69" s="10">
        <f t="shared" si="1"/>
        <v>1620.8863061329923</v>
      </c>
      <c r="C69" s="10">
        <f t="shared" si="2"/>
        <v>1089.5907495770994</v>
      </c>
      <c r="D69" s="10">
        <f t="shared" si="0"/>
        <v>531.29555655589297</v>
      </c>
      <c r="E69" s="10">
        <f t="shared" si="3"/>
        <v>0</v>
      </c>
      <c r="F69" s="10">
        <f t="shared" si="4"/>
        <v>290026.23766400391</v>
      </c>
    </row>
    <row r="70" spans="1:9" x14ac:dyDescent="0.25">
      <c r="A70">
        <v>64</v>
      </c>
      <c r="B70" s="10">
        <f t="shared" si="1"/>
        <v>1620.8863061329923</v>
      </c>
      <c r="C70" s="10">
        <f t="shared" si="2"/>
        <v>1087.5983912400147</v>
      </c>
      <c r="D70" s="10">
        <f t="shared" si="0"/>
        <v>533.2879148929776</v>
      </c>
      <c r="E70" s="10">
        <f t="shared" si="3"/>
        <v>0</v>
      </c>
      <c r="F70" s="10">
        <f t="shared" si="4"/>
        <v>289492.94974911097</v>
      </c>
    </row>
    <row r="71" spans="1:9" x14ac:dyDescent="0.25">
      <c r="A71">
        <v>65</v>
      </c>
      <c r="B71" s="10">
        <f t="shared" si="1"/>
        <v>1620.8863061329923</v>
      </c>
      <c r="C71" s="10">
        <f t="shared" si="2"/>
        <v>1085.598561559166</v>
      </c>
      <c r="D71" s="10">
        <f t="shared" ref="D71:D134" si="6">B71-C71</f>
        <v>535.28774457382633</v>
      </c>
      <c r="E71" s="10">
        <f t="shared" si="3"/>
        <v>0</v>
      </c>
      <c r="F71" s="10">
        <f t="shared" si="4"/>
        <v>288957.66200453712</v>
      </c>
    </row>
    <row r="72" spans="1:9" x14ac:dyDescent="0.25">
      <c r="A72">
        <v>66</v>
      </c>
      <c r="B72" s="10">
        <f t="shared" ref="B72:B135" si="7">PMT($C$2/12,$C$3,-$C$1)</f>
        <v>1620.8863061329923</v>
      </c>
      <c r="C72" s="10">
        <f t="shared" ref="C72:C135" si="8">F71*($C$2/12)</f>
        <v>1083.5912325170141</v>
      </c>
      <c r="D72" s="10">
        <f t="shared" si="6"/>
        <v>537.29507361597825</v>
      </c>
      <c r="E72" s="10">
        <f t="shared" ref="E72:E135" si="9">$F$1</f>
        <v>0</v>
      </c>
      <c r="F72" s="10">
        <f t="shared" ref="F72:F135" si="10">F71-D72-E72</f>
        <v>288420.36693092115</v>
      </c>
    </row>
    <row r="73" spans="1:9" x14ac:dyDescent="0.25">
      <c r="A73">
        <v>67</v>
      </c>
      <c r="B73" s="10">
        <f t="shared" si="7"/>
        <v>1620.8863061329923</v>
      </c>
      <c r="C73" s="10">
        <f t="shared" si="8"/>
        <v>1081.5763759909544</v>
      </c>
      <c r="D73" s="10">
        <f t="shared" si="6"/>
        <v>539.30993014203796</v>
      </c>
      <c r="E73" s="10">
        <f t="shared" si="9"/>
        <v>0</v>
      </c>
      <c r="F73" s="10">
        <f t="shared" si="10"/>
        <v>287881.05700077914</v>
      </c>
    </row>
    <row r="74" spans="1:9" x14ac:dyDescent="0.25">
      <c r="A74">
        <v>68</v>
      </c>
      <c r="B74" s="10">
        <f t="shared" si="7"/>
        <v>1620.8863061329923</v>
      </c>
      <c r="C74" s="10">
        <f t="shared" si="8"/>
        <v>1079.5539637529218</v>
      </c>
      <c r="D74" s="10">
        <f t="shared" si="6"/>
        <v>541.33234238007049</v>
      </c>
      <c r="E74" s="10">
        <f t="shared" si="9"/>
        <v>0</v>
      </c>
      <c r="F74" s="10">
        <f t="shared" si="10"/>
        <v>287339.72465839906</v>
      </c>
    </row>
    <row r="75" spans="1:9" x14ac:dyDescent="0.25">
      <c r="A75">
        <v>69</v>
      </c>
      <c r="B75" s="10">
        <f t="shared" si="7"/>
        <v>1620.8863061329923</v>
      </c>
      <c r="C75" s="10">
        <f t="shared" si="8"/>
        <v>1077.5239674689965</v>
      </c>
      <c r="D75" s="10">
        <f t="shared" si="6"/>
        <v>543.36233866399584</v>
      </c>
      <c r="E75" s="10">
        <f t="shared" si="9"/>
        <v>0</v>
      </c>
      <c r="F75" s="10">
        <f t="shared" si="10"/>
        <v>286796.36231973505</v>
      </c>
    </row>
    <row r="76" spans="1:9" x14ac:dyDescent="0.25">
      <c r="A76">
        <v>70</v>
      </c>
      <c r="B76" s="10">
        <f t="shared" si="7"/>
        <v>1620.8863061329923</v>
      </c>
      <c r="C76" s="10">
        <f t="shared" si="8"/>
        <v>1075.4863586990064</v>
      </c>
      <c r="D76" s="10">
        <f t="shared" si="6"/>
        <v>545.39994743398597</v>
      </c>
      <c r="E76" s="10">
        <f t="shared" si="9"/>
        <v>0</v>
      </c>
      <c r="F76" s="10">
        <f t="shared" si="10"/>
        <v>286250.96237230109</v>
      </c>
    </row>
    <row r="77" spans="1:9" x14ac:dyDescent="0.25">
      <c r="A77">
        <v>71</v>
      </c>
      <c r="B77" s="10">
        <f t="shared" si="7"/>
        <v>1620.8863061329923</v>
      </c>
      <c r="C77" s="10">
        <f t="shared" si="8"/>
        <v>1073.441108896129</v>
      </c>
      <c r="D77" s="10">
        <f t="shared" si="6"/>
        <v>547.44519723686335</v>
      </c>
      <c r="E77" s="10">
        <f t="shared" si="9"/>
        <v>0</v>
      </c>
      <c r="F77" s="10">
        <f t="shared" si="10"/>
        <v>285703.51717506425</v>
      </c>
    </row>
    <row r="78" spans="1:9" x14ac:dyDescent="0.25">
      <c r="A78">
        <v>72</v>
      </c>
      <c r="B78" s="10">
        <f t="shared" si="7"/>
        <v>1620.8863061329923</v>
      </c>
      <c r="C78" s="10">
        <f t="shared" si="8"/>
        <v>1071.3881894064909</v>
      </c>
      <c r="D78" s="10">
        <f t="shared" si="6"/>
        <v>549.49811672650139</v>
      </c>
      <c r="E78" s="10">
        <f t="shared" si="9"/>
        <v>0</v>
      </c>
      <c r="F78" s="10">
        <f t="shared" si="10"/>
        <v>285154.01905833773</v>
      </c>
      <c r="H78" t="s">
        <v>54</v>
      </c>
      <c r="I78" s="10">
        <f t="shared" ref="I78" si="11">SUM(C67:C78)</f>
        <v>12990.477727358237</v>
      </c>
    </row>
    <row r="79" spans="1:9" x14ac:dyDescent="0.25">
      <c r="A79">
        <v>73</v>
      </c>
      <c r="B79" s="10">
        <f t="shared" si="7"/>
        <v>1620.8863061329923</v>
      </c>
      <c r="C79" s="10">
        <f t="shared" si="8"/>
        <v>1069.3275714687663</v>
      </c>
      <c r="D79" s="10">
        <f t="shared" si="6"/>
        <v>551.55873466422599</v>
      </c>
      <c r="E79" s="10">
        <f t="shared" si="9"/>
        <v>0</v>
      </c>
      <c r="F79" s="10">
        <f t="shared" si="10"/>
        <v>284602.4603236735</v>
      </c>
    </row>
    <row r="80" spans="1:9" x14ac:dyDescent="0.25">
      <c r="A80">
        <v>74</v>
      </c>
      <c r="B80" s="10">
        <f t="shared" si="7"/>
        <v>1620.8863061329923</v>
      </c>
      <c r="C80" s="10">
        <f t="shared" si="8"/>
        <v>1067.2592262137755</v>
      </c>
      <c r="D80" s="10">
        <f t="shared" si="6"/>
        <v>553.62707991921684</v>
      </c>
      <c r="E80" s="10">
        <f t="shared" si="9"/>
        <v>0</v>
      </c>
      <c r="F80" s="10">
        <f t="shared" si="10"/>
        <v>284048.83324375428</v>
      </c>
    </row>
    <row r="81" spans="1:9" x14ac:dyDescent="0.25">
      <c r="A81">
        <v>75</v>
      </c>
      <c r="B81" s="10">
        <f t="shared" si="7"/>
        <v>1620.8863061329923</v>
      </c>
      <c r="C81" s="10">
        <f t="shared" si="8"/>
        <v>1065.1831246640786</v>
      </c>
      <c r="D81" s="10">
        <f t="shared" si="6"/>
        <v>555.70318146891373</v>
      </c>
      <c r="E81" s="10">
        <f t="shared" si="9"/>
        <v>0</v>
      </c>
      <c r="F81" s="10">
        <f t="shared" si="10"/>
        <v>283493.13006228535</v>
      </c>
    </row>
    <row r="82" spans="1:9" x14ac:dyDescent="0.25">
      <c r="A82">
        <v>76</v>
      </c>
      <c r="B82" s="10">
        <f t="shared" si="7"/>
        <v>1620.8863061329923</v>
      </c>
      <c r="C82" s="10">
        <f t="shared" si="8"/>
        <v>1063.0992377335699</v>
      </c>
      <c r="D82" s="10">
        <f t="shared" si="6"/>
        <v>557.78706839942242</v>
      </c>
      <c r="E82" s="10">
        <f t="shared" si="9"/>
        <v>0</v>
      </c>
      <c r="F82" s="10">
        <f t="shared" si="10"/>
        <v>282935.34299388592</v>
      </c>
    </row>
    <row r="83" spans="1:9" x14ac:dyDescent="0.25">
      <c r="A83">
        <v>77</v>
      </c>
      <c r="B83" s="10">
        <f t="shared" si="7"/>
        <v>1620.8863061329923</v>
      </c>
      <c r="C83" s="10">
        <f t="shared" si="8"/>
        <v>1061.0075362270723</v>
      </c>
      <c r="D83" s="10">
        <f t="shared" si="6"/>
        <v>559.87876990592008</v>
      </c>
      <c r="E83" s="10">
        <f t="shared" si="9"/>
        <v>0</v>
      </c>
      <c r="F83" s="10">
        <f t="shared" si="10"/>
        <v>282375.46422397997</v>
      </c>
    </row>
    <row r="84" spans="1:9" x14ac:dyDescent="0.25">
      <c r="A84">
        <v>78</v>
      </c>
      <c r="B84" s="10">
        <f t="shared" si="7"/>
        <v>1620.8863061329923</v>
      </c>
      <c r="C84" s="10">
        <f t="shared" si="8"/>
        <v>1058.9079908399249</v>
      </c>
      <c r="D84" s="10">
        <f t="shared" si="6"/>
        <v>561.97831529306745</v>
      </c>
      <c r="E84" s="10">
        <f t="shared" si="9"/>
        <v>0</v>
      </c>
      <c r="F84" s="10">
        <f t="shared" si="10"/>
        <v>281813.48590868688</v>
      </c>
    </row>
    <row r="85" spans="1:9" x14ac:dyDescent="0.25">
      <c r="A85">
        <v>79</v>
      </c>
      <c r="B85" s="10">
        <f t="shared" si="7"/>
        <v>1620.8863061329923</v>
      </c>
      <c r="C85" s="10">
        <f t="shared" si="8"/>
        <v>1056.8005721575757</v>
      </c>
      <c r="D85" s="10">
        <f t="shared" si="6"/>
        <v>564.08573397541659</v>
      </c>
      <c r="E85" s="10">
        <f t="shared" si="9"/>
        <v>0</v>
      </c>
      <c r="F85" s="10">
        <f t="shared" si="10"/>
        <v>281249.40017471148</v>
      </c>
    </row>
    <row r="86" spans="1:9" x14ac:dyDescent="0.25">
      <c r="A86">
        <v>80</v>
      </c>
      <c r="B86" s="10">
        <f t="shared" si="7"/>
        <v>1620.8863061329923</v>
      </c>
      <c r="C86" s="10">
        <f t="shared" si="8"/>
        <v>1054.6852506551679</v>
      </c>
      <c r="D86" s="10">
        <f t="shared" si="6"/>
        <v>566.20105547782441</v>
      </c>
      <c r="E86" s="10">
        <f t="shared" si="9"/>
        <v>0</v>
      </c>
      <c r="F86" s="10">
        <f t="shared" si="10"/>
        <v>280683.19911923364</v>
      </c>
    </row>
    <row r="87" spans="1:9" x14ac:dyDescent="0.25">
      <c r="A87">
        <v>81</v>
      </c>
      <c r="B87" s="10">
        <f t="shared" si="7"/>
        <v>1620.8863061329923</v>
      </c>
      <c r="C87" s="10">
        <f t="shared" si="8"/>
        <v>1052.5619966971262</v>
      </c>
      <c r="D87" s="10">
        <f t="shared" si="6"/>
        <v>568.3243094358661</v>
      </c>
      <c r="E87" s="10">
        <f t="shared" si="9"/>
        <v>0</v>
      </c>
      <c r="F87" s="10">
        <f t="shared" si="10"/>
        <v>280114.8748097978</v>
      </c>
    </row>
    <row r="88" spans="1:9" x14ac:dyDescent="0.25">
      <c r="A88">
        <v>82</v>
      </c>
      <c r="B88" s="10">
        <f t="shared" si="7"/>
        <v>1620.8863061329923</v>
      </c>
      <c r="C88" s="10">
        <f t="shared" si="8"/>
        <v>1050.4307805367416</v>
      </c>
      <c r="D88" s="10">
        <f t="shared" si="6"/>
        <v>570.45552559625071</v>
      </c>
      <c r="E88" s="10">
        <f t="shared" si="9"/>
        <v>0</v>
      </c>
      <c r="F88" s="10">
        <f t="shared" si="10"/>
        <v>279544.41928420152</v>
      </c>
    </row>
    <row r="89" spans="1:9" x14ac:dyDescent="0.25">
      <c r="A89">
        <v>83</v>
      </c>
      <c r="B89" s="10">
        <f t="shared" si="7"/>
        <v>1620.8863061329923</v>
      </c>
      <c r="C89" s="10">
        <f t="shared" si="8"/>
        <v>1048.2915723157557</v>
      </c>
      <c r="D89" s="10">
        <f t="shared" si="6"/>
        <v>572.5947338172366</v>
      </c>
      <c r="E89" s="10">
        <f t="shared" si="9"/>
        <v>0</v>
      </c>
      <c r="F89" s="10">
        <f t="shared" si="10"/>
        <v>278971.82455038431</v>
      </c>
    </row>
    <row r="90" spans="1:9" x14ac:dyDescent="0.25">
      <c r="A90">
        <v>84</v>
      </c>
      <c r="B90" s="10">
        <f t="shared" si="7"/>
        <v>1620.8863061329923</v>
      </c>
      <c r="C90" s="10">
        <f t="shared" si="8"/>
        <v>1046.1443420639412</v>
      </c>
      <c r="D90" s="10">
        <f t="shared" si="6"/>
        <v>574.74196406905116</v>
      </c>
      <c r="E90" s="10">
        <f t="shared" si="9"/>
        <v>0</v>
      </c>
      <c r="F90" s="10">
        <f t="shared" si="10"/>
        <v>278397.08258631523</v>
      </c>
      <c r="H90" t="s">
        <v>55</v>
      </c>
      <c r="I90" s="10">
        <f t="shared" ref="I90" si="12">SUM(C79:C90)</f>
        <v>12693.699201573498</v>
      </c>
    </row>
    <row r="91" spans="1:9" x14ac:dyDescent="0.25">
      <c r="A91">
        <v>85</v>
      </c>
      <c r="B91" s="10">
        <f t="shared" si="7"/>
        <v>1620.8863061329923</v>
      </c>
      <c r="C91" s="10">
        <f t="shared" si="8"/>
        <v>1043.989059698682</v>
      </c>
      <c r="D91" s="10">
        <f t="shared" si="6"/>
        <v>576.89724643431032</v>
      </c>
      <c r="E91" s="10">
        <f t="shared" si="9"/>
        <v>0</v>
      </c>
      <c r="F91" s="10">
        <f t="shared" si="10"/>
        <v>277820.18533988093</v>
      </c>
    </row>
    <row r="92" spans="1:9" x14ac:dyDescent="0.25">
      <c r="A92">
        <v>86</v>
      </c>
      <c r="B92" s="10">
        <f t="shared" si="7"/>
        <v>1620.8863061329923</v>
      </c>
      <c r="C92" s="10">
        <f t="shared" si="8"/>
        <v>1041.8256950245534</v>
      </c>
      <c r="D92" s="10">
        <f t="shared" si="6"/>
        <v>579.06061110843893</v>
      </c>
      <c r="E92" s="10">
        <f t="shared" si="9"/>
        <v>0</v>
      </c>
      <c r="F92" s="10">
        <f t="shared" si="10"/>
        <v>277241.1247287725</v>
      </c>
    </row>
    <row r="93" spans="1:9" x14ac:dyDescent="0.25">
      <c r="A93">
        <v>87</v>
      </c>
      <c r="B93" s="10">
        <f t="shared" si="7"/>
        <v>1620.8863061329923</v>
      </c>
      <c r="C93" s="10">
        <f t="shared" si="8"/>
        <v>1039.6542177328968</v>
      </c>
      <c r="D93" s="10">
        <f t="shared" si="6"/>
        <v>581.23208840009556</v>
      </c>
      <c r="E93" s="10">
        <f t="shared" si="9"/>
        <v>0</v>
      </c>
      <c r="F93" s="10">
        <f t="shared" si="10"/>
        <v>276659.89264037239</v>
      </c>
    </row>
    <row r="94" spans="1:9" x14ac:dyDescent="0.25">
      <c r="A94">
        <v>88</v>
      </c>
      <c r="B94" s="10">
        <f t="shared" si="7"/>
        <v>1620.8863061329923</v>
      </c>
      <c r="C94" s="10">
        <f t="shared" si="8"/>
        <v>1037.4745974013965</v>
      </c>
      <c r="D94" s="10">
        <f t="shared" si="6"/>
        <v>583.41170873159581</v>
      </c>
      <c r="E94" s="10">
        <f t="shared" si="9"/>
        <v>0</v>
      </c>
      <c r="F94" s="10">
        <f t="shared" si="10"/>
        <v>276076.48093164078</v>
      </c>
    </row>
    <row r="95" spans="1:9" x14ac:dyDescent="0.25">
      <c r="A95">
        <v>89</v>
      </c>
      <c r="B95" s="10">
        <f t="shared" si="7"/>
        <v>1620.8863061329923</v>
      </c>
      <c r="C95" s="10">
        <f t="shared" si="8"/>
        <v>1035.2868034936528</v>
      </c>
      <c r="D95" s="10">
        <f t="shared" si="6"/>
        <v>585.59950263933956</v>
      </c>
      <c r="E95" s="10">
        <f t="shared" si="9"/>
        <v>0</v>
      </c>
      <c r="F95" s="10">
        <f t="shared" si="10"/>
        <v>275490.88142900146</v>
      </c>
    </row>
    <row r="96" spans="1:9" x14ac:dyDescent="0.25">
      <c r="A96">
        <v>90</v>
      </c>
      <c r="B96" s="10">
        <f t="shared" si="7"/>
        <v>1620.8863061329923</v>
      </c>
      <c r="C96" s="10">
        <f t="shared" si="8"/>
        <v>1033.0908053587555</v>
      </c>
      <c r="D96" s="10">
        <f t="shared" si="6"/>
        <v>587.79550077423687</v>
      </c>
      <c r="E96" s="10">
        <f t="shared" si="9"/>
        <v>0</v>
      </c>
      <c r="F96" s="10">
        <f t="shared" si="10"/>
        <v>274903.08592822723</v>
      </c>
    </row>
    <row r="97" spans="1:9" x14ac:dyDescent="0.25">
      <c r="A97">
        <v>91</v>
      </c>
      <c r="B97" s="10">
        <f t="shared" si="7"/>
        <v>1620.8863061329923</v>
      </c>
      <c r="C97" s="10">
        <f t="shared" si="8"/>
        <v>1030.8865722308522</v>
      </c>
      <c r="D97" s="10">
        <f t="shared" si="6"/>
        <v>589.99973390214018</v>
      </c>
      <c r="E97" s="10">
        <f t="shared" si="9"/>
        <v>0</v>
      </c>
      <c r="F97" s="10">
        <f t="shared" si="10"/>
        <v>274313.08619432506</v>
      </c>
    </row>
    <row r="98" spans="1:9" x14ac:dyDescent="0.25">
      <c r="A98">
        <v>92</v>
      </c>
      <c r="B98" s="10">
        <f t="shared" si="7"/>
        <v>1620.8863061329923</v>
      </c>
      <c r="C98" s="10">
        <f t="shared" si="8"/>
        <v>1028.674073228719</v>
      </c>
      <c r="D98" s="10">
        <f t="shared" si="6"/>
        <v>592.21223290427338</v>
      </c>
      <c r="E98" s="10">
        <f t="shared" si="9"/>
        <v>0</v>
      </c>
      <c r="F98" s="10">
        <f t="shared" si="10"/>
        <v>273720.87396142079</v>
      </c>
    </row>
    <row r="99" spans="1:9" x14ac:dyDescent="0.25">
      <c r="A99">
        <v>93</v>
      </c>
      <c r="B99" s="10">
        <f t="shared" si="7"/>
        <v>1620.8863061329923</v>
      </c>
      <c r="C99" s="10">
        <f t="shared" si="8"/>
        <v>1026.4532773553278</v>
      </c>
      <c r="D99" s="10">
        <f t="shared" si="6"/>
        <v>594.4330287776645</v>
      </c>
      <c r="E99" s="10">
        <f t="shared" si="9"/>
        <v>0</v>
      </c>
      <c r="F99" s="10">
        <f t="shared" si="10"/>
        <v>273126.44093264313</v>
      </c>
    </row>
    <row r="100" spans="1:9" x14ac:dyDescent="0.25">
      <c r="A100">
        <v>94</v>
      </c>
      <c r="B100" s="10">
        <f t="shared" si="7"/>
        <v>1620.8863061329923</v>
      </c>
      <c r="C100" s="10">
        <f t="shared" si="8"/>
        <v>1024.2241534974116</v>
      </c>
      <c r="D100" s="10">
        <f t="shared" si="6"/>
        <v>596.6621526355807</v>
      </c>
      <c r="E100" s="10">
        <f t="shared" si="9"/>
        <v>0</v>
      </c>
      <c r="F100" s="10">
        <f t="shared" si="10"/>
        <v>272529.77878000756</v>
      </c>
    </row>
    <row r="101" spans="1:9" x14ac:dyDescent="0.25">
      <c r="A101">
        <v>95</v>
      </c>
      <c r="B101" s="10">
        <f t="shared" si="7"/>
        <v>1620.8863061329923</v>
      </c>
      <c r="C101" s="10">
        <f t="shared" si="8"/>
        <v>1021.9866704250284</v>
      </c>
      <c r="D101" s="10">
        <f t="shared" si="6"/>
        <v>598.89963570796397</v>
      </c>
      <c r="E101" s="10">
        <f t="shared" si="9"/>
        <v>0</v>
      </c>
      <c r="F101" s="10">
        <f t="shared" si="10"/>
        <v>271930.8791442996</v>
      </c>
    </row>
    <row r="102" spans="1:9" x14ac:dyDescent="0.25">
      <c r="A102">
        <v>96</v>
      </c>
      <c r="B102" s="10">
        <f t="shared" si="7"/>
        <v>1620.8863061329923</v>
      </c>
      <c r="C102" s="10">
        <f t="shared" si="8"/>
        <v>1019.7407967911234</v>
      </c>
      <c r="D102" s="10">
        <f t="shared" si="6"/>
        <v>601.14550934186889</v>
      </c>
      <c r="E102" s="10">
        <f t="shared" si="9"/>
        <v>0</v>
      </c>
      <c r="F102" s="10">
        <f t="shared" si="10"/>
        <v>271329.73363495775</v>
      </c>
      <c r="H102" t="s">
        <v>56</v>
      </c>
      <c r="I102" s="10">
        <f t="shared" ref="I102" si="13">SUM(C91:C102)</f>
        <v>12383.286722238399</v>
      </c>
    </row>
    <row r="103" spans="1:9" x14ac:dyDescent="0.25">
      <c r="A103">
        <v>97</v>
      </c>
      <c r="B103" s="10">
        <f t="shared" si="7"/>
        <v>1620.8863061329923</v>
      </c>
      <c r="C103" s="10">
        <f t="shared" si="8"/>
        <v>1017.4865011310916</v>
      </c>
      <c r="D103" s="10">
        <f t="shared" si="6"/>
        <v>603.39980500190075</v>
      </c>
      <c r="E103" s="10">
        <f t="shared" si="9"/>
        <v>0</v>
      </c>
      <c r="F103" s="10">
        <f t="shared" si="10"/>
        <v>270726.33382995584</v>
      </c>
    </row>
    <row r="104" spans="1:9" x14ac:dyDescent="0.25">
      <c r="A104">
        <v>98</v>
      </c>
      <c r="B104" s="10">
        <f t="shared" si="7"/>
        <v>1620.8863061329923</v>
      </c>
      <c r="C104" s="10">
        <f t="shared" si="8"/>
        <v>1015.2237518623343</v>
      </c>
      <c r="D104" s="10">
        <f t="shared" si="6"/>
        <v>605.66255427065801</v>
      </c>
      <c r="E104" s="10">
        <f t="shared" si="9"/>
        <v>0</v>
      </c>
      <c r="F104" s="10">
        <f t="shared" si="10"/>
        <v>270120.67127568519</v>
      </c>
    </row>
    <row r="105" spans="1:9" x14ac:dyDescent="0.25">
      <c r="A105">
        <v>99</v>
      </c>
      <c r="B105" s="10">
        <f t="shared" si="7"/>
        <v>1620.8863061329923</v>
      </c>
      <c r="C105" s="10">
        <f t="shared" si="8"/>
        <v>1012.9525172838195</v>
      </c>
      <c r="D105" s="10">
        <f t="shared" si="6"/>
        <v>607.93378884917286</v>
      </c>
      <c r="E105" s="10">
        <f t="shared" si="9"/>
        <v>0</v>
      </c>
      <c r="F105" s="10">
        <f t="shared" si="10"/>
        <v>269512.73748683603</v>
      </c>
    </row>
    <row r="106" spans="1:9" x14ac:dyDescent="0.25">
      <c r="A106">
        <v>100</v>
      </c>
      <c r="B106" s="10">
        <f t="shared" si="7"/>
        <v>1620.8863061329923</v>
      </c>
      <c r="C106" s="10">
        <f t="shared" si="8"/>
        <v>1010.6727655756351</v>
      </c>
      <c r="D106" s="10">
        <f t="shared" si="6"/>
        <v>610.21354055735719</v>
      </c>
      <c r="E106" s="10">
        <f t="shared" si="9"/>
        <v>0</v>
      </c>
      <c r="F106" s="10">
        <f t="shared" si="10"/>
        <v>268902.52394627867</v>
      </c>
    </row>
    <row r="107" spans="1:9" x14ac:dyDescent="0.25">
      <c r="A107">
        <v>101</v>
      </c>
      <c r="B107" s="10">
        <f t="shared" si="7"/>
        <v>1620.8863061329923</v>
      </c>
      <c r="C107" s="10">
        <f t="shared" si="8"/>
        <v>1008.384464798545</v>
      </c>
      <c r="D107" s="10">
        <f t="shared" si="6"/>
        <v>612.50184133444736</v>
      </c>
      <c r="E107" s="10">
        <f t="shared" si="9"/>
        <v>0</v>
      </c>
      <c r="F107" s="10">
        <f t="shared" si="10"/>
        <v>268290.02210494422</v>
      </c>
    </row>
    <row r="108" spans="1:9" x14ac:dyDescent="0.25">
      <c r="A108">
        <v>102</v>
      </c>
      <c r="B108" s="10">
        <f t="shared" si="7"/>
        <v>1620.8863061329923</v>
      </c>
      <c r="C108" s="10">
        <f t="shared" si="8"/>
        <v>1006.0875828935408</v>
      </c>
      <c r="D108" s="10">
        <f t="shared" si="6"/>
        <v>614.79872323945153</v>
      </c>
      <c r="E108" s="10">
        <f t="shared" si="9"/>
        <v>0</v>
      </c>
      <c r="F108" s="10">
        <f t="shared" si="10"/>
        <v>267675.22338170477</v>
      </c>
    </row>
    <row r="109" spans="1:9" x14ac:dyDescent="0.25">
      <c r="A109">
        <v>103</v>
      </c>
      <c r="B109" s="10">
        <f t="shared" si="7"/>
        <v>1620.8863061329923</v>
      </c>
      <c r="C109" s="10">
        <f t="shared" si="8"/>
        <v>1003.7820876813928</v>
      </c>
      <c r="D109" s="10">
        <f t="shared" si="6"/>
        <v>617.10421845159954</v>
      </c>
      <c r="E109" s="10">
        <f t="shared" si="9"/>
        <v>0</v>
      </c>
      <c r="F109" s="10">
        <f t="shared" si="10"/>
        <v>267058.11916325317</v>
      </c>
    </row>
    <row r="110" spans="1:9" x14ac:dyDescent="0.25">
      <c r="A110">
        <v>104</v>
      </c>
      <c r="B110" s="10">
        <f t="shared" si="7"/>
        <v>1620.8863061329923</v>
      </c>
      <c r="C110" s="10">
        <f t="shared" si="8"/>
        <v>1001.4679468621994</v>
      </c>
      <c r="D110" s="10">
        <f t="shared" si="6"/>
        <v>619.41835927079296</v>
      </c>
      <c r="E110" s="10">
        <f t="shared" si="9"/>
        <v>0</v>
      </c>
      <c r="F110" s="10">
        <f t="shared" si="10"/>
        <v>266438.70080398238</v>
      </c>
    </row>
    <row r="111" spans="1:9" x14ac:dyDescent="0.25">
      <c r="A111">
        <v>105</v>
      </c>
      <c r="B111" s="10">
        <f t="shared" si="7"/>
        <v>1620.8863061329923</v>
      </c>
      <c r="C111" s="10">
        <f t="shared" si="8"/>
        <v>999.1451280149339</v>
      </c>
      <c r="D111" s="10">
        <f t="shared" si="6"/>
        <v>621.74117811805843</v>
      </c>
      <c r="E111" s="10">
        <f t="shared" si="9"/>
        <v>0</v>
      </c>
      <c r="F111" s="10">
        <f t="shared" si="10"/>
        <v>265816.95962586434</v>
      </c>
    </row>
    <row r="112" spans="1:9" x14ac:dyDescent="0.25">
      <c r="A112">
        <v>106</v>
      </c>
      <c r="B112" s="10">
        <f t="shared" si="7"/>
        <v>1620.8863061329923</v>
      </c>
      <c r="C112" s="10">
        <f t="shared" si="8"/>
        <v>996.81359859699126</v>
      </c>
      <c r="D112" s="10">
        <f t="shared" si="6"/>
        <v>624.07270753600108</v>
      </c>
      <c r="E112" s="10">
        <f t="shared" si="9"/>
        <v>0</v>
      </c>
      <c r="F112" s="10">
        <f t="shared" si="10"/>
        <v>265192.88691832835</v>
      </c>
    </row>
    <row r="113" spans="1:9" x14ac:dyDescent="0.25">
      <c r="A113">
        <v>107</v>
      </c>
      <c r="B113" s="10">
        <f t="shared" si="7"/>
        <v>1620.8863061329923</v>
      </c>
      <c r="C113" s="10">
        <f t="shared" si="8"/>
        <v>994.47332594373131</v>
      </c>
      <c r="D113" s="10">
        <f t="shared" si="6"/>
        <v>626.41298018926102</v>
      </c>
      <c r="E113" s="10">
        <f t="shared" si="9"/>
        <v>0</v>
      </c>
      <c r="F113" s="10">
        <f t="shared" si="10"/>
        <v>264566.4739381391</v>
      </c>
    </row>
    <row r="114" spans="1:9" x14ac:dyDescent="0.25">
      <c r="A114">
        <v>108</v>
      </c>
      <c r="B114" s="10">
        <f t="shared" si="7"/>
        <v>1620.8863061329923</v>
      </c>
      <c r="C114" s="10">
        <f t="shared" si="8"/>
        <v>992.12427726802161</v>
      </c>
      <c r="D114" s="10">
        <f t="shared" si="6"/>
        <v>628.76202886497072</v>
      </c>
      <c r="E114" s="10">
        <f t="shared" si="9"/>
        <v>0</v>
      </c>
      <c r="F114" s="10">
        <f t="shared" si="10"/>
        <v>263937.7119092741</v>
      </c>
      <c r="H114" t="s">
        <v>53</v>
      </c>
      <c r="I114" s="10">
        <f t="shared" ref="I114" si="14">SUM(C103:C114)</f>
        <v>12058.613947912236</v>
      </c>
    </row>
    <row r="115" spans="1:9" x14ac:dyDescent="0.25">
      <c r="A115">
        <v>109</v>
      </c>
      <c r="B115" s="10">
        <f t="shared" si="7"/>
        <v>1620.8863061329923</v>
      </c>
      <c r="C115" s="10">
        <f t="shared" si="8"/>
        <v>989.76641965977785</v>
      </c>
      <c r="D115" s="10">
        <f t="shared" si="6"/>
        <v>631.11988647321448</v>
      </c>
      <c r="E115" s="10">
        <f t="shared" si="9"/>
        <v>0</v>
      </c>
      <c r="F115" s="10">
        <f t="shared" si="10"/>
        <v>263306.59202280088</v>
      </c>
    </row>
    <row r="116" spans="1:9" x14ac:dyDescent="0.25">
      <c r="A116">
        <v>110</v>
      </c>
      <c r="B116" s="10">
        <f t="shared" si="7"/>
        <v>1620.8863061329923</v>
      </c>
      <c r="C116" s="10">
        <f t="shared" si="8"/>
        <v>987.3997200855033</v>
      </c>
      <c r="D116" s="10">
        <f t="shared" si="6"/>
        <v>633.48658604748903</v>
      </c>
      <c r="E116" s="10">
        <f t="shared" si="9"/>
        <v>0</v>
      </c>
      <c r="F116" s="10">
        <f t="shared" si="10"/>
        <v>262673.10543675337</v>
      </c>
    </row>
    <row r="117" spans="1:9" x14ac:dyDescent="0.25">
      <c r="A117">
        <v>111</v>
      </c>
      <c r="B117" s="10">
        <f t="shared" si="7"/>
        <v>1620.8863061329923</v>
      </c>
      <c r="C117" s="10">
        <f t="shared" si="8"/>
        <v>985.02414538782511</v>
      </c>
      <c r="D117" s="10">
        <f t="shared" si="6"/>
        <v>635.86216074516722</v>
      </c>
      <c r="E117" s="10">
        <f t="shared" si="9"/>
        <v>0</v>
      </c>
      <c r="F117" s="10">
        <f t="shared" si="10"/>
        <v>262037.2432760082</v>
      </c>
    </row>
    <row r="118" spans="1:9" x14ac:dyDescent="0.25">
      <c r="A118">
        <v>112</v>
      </c>
      <c r="B118" s="10">
        <f t="shared" si="7"/>
        <v>1620.8863061329923</v>
      </c>
      <c r="C118" s="10">
        <f t="shared" si="8"/>
        <v>982.63966228503068</v>
      </c>
      <c r="D118" s="10">
        <f t="shared" si="6"/>
        <v>638.24664384796165</v>
      </c>
      <c r="E118" s="10">
        <f t="shared" si="9"/>
        <v>0</v>
      </c>
      <c r="F118" s="10">
        <f t="shared" si="10"/>
        <v>261398.99663216024</v>
      </c>
    </row>
    <row r="119" spans="1:9" x14ac:dyDescent="0.25">
      <c r="A119">
        <v>113</v>
      </c>
      <c r="B119" s="10">
        <f t="shared" si="7"/>
        <v>1620.8863061329923</v>
      </c>
      <c r="C119" s="10">
        <f t="shared" si="8"/>
        <v>980.24623737060085</v>
      </c>
      <c r="D119" s="10">
        <f t="shared" si="6"/>
        <v>640.64006876239148</v>
      </c>
      <c r="E119" s="10">
        <f t="shared" si="9"/>
        <v>0</v>
      </c>
      <c r="F119" s="10">
        <f t="shared" si="10"/>
        <v>260758.35656339786</v>
      </c>
    </row>
    <row r="120" spans="1:9" x14ac:dyDescent="0.25">
      <c r="A120">
        <v>114</v>
      </c>
      <c r="B120" s="10">
        <f t="shared" si="7"/>
        <v>1620.8863061329923</v>
      </c>
      <c r="C120" s="10">
        <f t="shared" si="8"/>
        <v>977.84383711274188</v>
      </c>
      <c r="D120" s="10">
        <f t="shared" si="6"/>
        <v>643.04246902025045</v>
      </c>
      <c r="E120" s="10">
        <f t="shared" si="9"/>
        <v>0</v>
      </c>
      <c r="F120" s="10">
        <f t="shared" si="10"/>
        <v>260115.31409437759</v>
      </c>
    </row>
    <row r="121" spans="1:9" x14ac:dyDescent="0.25">
      <c r="A121">
        <v>115</v>
      </c>
      <c r="B121" s="10">
        <f t="shared" si="7"/>
        <v>1620.8863061329923</v>
      </c>
      <c r="C121" s="10">
        <f t="shared" si="8"/>
        <v>975.4324278539159</v>
      </c>
      <c r="D121" s="10">
        <f t="shared" si="6"/>
        <v>645.45387827907643</v>
      </c>
      <c r="E121" s="10">
        <f t="shared" si="9"/>
        <v>0</v>
      </c>
      <c r="F121" s="10">
        <f t="shared" si="10"/>
        <v>259469.86021609852</v>
      </c>
    </row>
    <row r="122" spans="1:9" x14ac:dyDescent="0.25">
      <c r="A122">
        <v>116</v>
      </c>
      <c r="B122" s="10">
        <f t="shared" si="7"/>
        <v>1620.8863061329923</v>
      </c>
      <c r="C122" s="10">
        <f t="shared" si="8"/>
        <v>973.01197581036945</v>
      </c>
      <c r="D122" s="10">
        <f t="shared" si="6"/>
        <v>647.87433032262288</v>
      </c>
      <c r="E122" s="10">
        <f t="shared" si="9"/>
        <v>0</v>
      </c>
      <c r="F122" s="10">
        <f t="shared" si="10"/>
        <v>258821.98588577588</v>
      </c>
    </row>
    <row r="123" spans="1:9" x14ac:dyDescent="0.25">
      <c r="A123">
        <v>117</v>
      </c>
      <c r="B123" s="10">
        <f t="shared" si="7"/>
        <v>1620.8863061329923</v>
      </c>
      <c r="C123" s="10">
        <f t="shared" si="8"/>
        <v>970.58244707165954</v>
      </c>
      <c r="D123" s="10">
        <f t="shared" si="6"/>
        <v>650.30385906133279</v>
      </c>
      <c r="E123" s="10">
        <f t="shared" si="9"/>
        <v>0</v>
      </c>
      <c r="F123" s="10">
        <f t="shared" si="10"/>
        <v>258171.68202671455</v>
      </c>
    </row>
    <row r="124" spans="1:9" x14ac:dyDescent="0.25">
      <c r="A124">
        <v>118</v>
      </c>
      <c r="B124" s="10">
        <f t="shared" si="7"/>
        <v>1620.8863061329923</v>
      </c>
      <c r="C124" s="10">
        <f t="shared" si="8"/>
        <v>968.14380760017957</v>
      </c>
      <c r="D124" s="10">
        <f t="shared" si="6"/>
        <v>652.74249853281276</v>
      </c>
      <c r="E124" s="10">
        <f t="shared" si="9"/>
        <v>0</v>
      </c>
      <c r="F124" s="10">
        <f t="shared" si="10"/>
        <v>257518.93952818174</v>
      </c>
    </row>
    <row r="125" spans="1:9" x14ac:dyDescent="0.25">
      <c r="A125">
        <v>119</v>
      </c>
      <c r="B125" s="10">
        <f t="shared" si="7"/>
        <v>1620.8863061329923</v>
      </c>
      <c r="C125" s="10">
        <f t="shared" si="8"/>
        <v>965.69602323068148</v>
      </c>
      <c r="D125" s="10">
        <f t="shared" si="6"/>
        <v>655.19028290231086</v>
      </c>
      <c r="E125" s="10">
        <f t="shared" si="9"/>
        <v>0</v>
      </c>
      <c r="F125" s="10">
        <f t="shared" si="10"/>
        <v>256863.74924527944</v>
      </c>
    </row>
    <row r="126" spans="1:9" x14ac:dyDescent="0.25">
      <c r="A126">
        <v>120</v>
      </c>
      <c r="B126" s="10">
        <f t="shared" si="7"/>
        <v>1620.8863061329923</v>
      </c>
      <c r="C126" s="10">
        <f t="shared" si="8"/>
        <v>963.23905966979783</v>
      </c>
      <c r="D126" s="10">
        <f t="shared" si="6"/>
        <v>657.64724646319451</v>
      </c>
      <c r="E126" s="10">
        <f t="shared" si="9"/>
        <v>0</v>
      </c>
      <c r="F126" s="10">
        <f t="shared" si="10"/>
        <v>256206.10199881624</v>
      </c>
      <c r="H126" t="s">
        <v>54</v>
      </c>
      <c r="I126" s="10">
        <f t="shared" ref="I126" si="15">SUM(C115:C126)</f>
        <v>11719.025763138085</v>
      </c>
    </row>
    <row r="127" spans="1:9" x14ac:dyDescent="0.25">
      <c r="A127">
        <v>121</v>
      </c>
      <c r="B127" s="10">
        <f t="shared" si="7"/>
        <v>1620.8863061329923</v>
      </c>
      <c r="C127" s="10">
        <f t="shared" si="8"/>
        <v>960.77288249556091</v>
      </c>
      <c r="D127" s="10">
        <f t="shared" si="6"/>
        <v>660.11342363743142</v>
      </c>
      <c r="E127" s="10">
        <f t="shared" si="9"/>
        <v>0</v>
      </c>
      <c r="F127" s="10">
        <f t="shared" si="10"/>
        <v>255545.98857517881</v>
      </c>
    </row>
    <row r="128" spans="1:9" x14ac:dyDescent="0.25">
      <c r="A128">
        <v>122</v>
      </c>
      <c r="B128" s="10">
        <f t="shared" si="7"/>
        <v>1620.8863061329923</v>
      </c>
      <c r="C128" s="10">
        <f t="shared" si="8"/>
        <v>958.29745715692047</v>
      </c>
      <c r="D128" s="10">
        <f t="shared" si="6"/>
        <v>662.58884897607186</v>
      </c>
      <c r="E128" s="10">
        <f t="shared" si="9"/>
        <v>0</v>
      </c>
      <c r="F128" s="10">
        <f t="shared" si="10"/>
        <v>254883.39972620274</v>
      </c>
    </row>
    <row r="129" spans="1:9" x14ac:dyDescent="0.25">
      <c r="A129">
        <v>123</v>
      </c>
      <c r="B129" s="10">
        <f t="shared" si="7"/>
        <v>1620.8863061329923</v>
      </c>
      <c r="C129" s="10">
        <f t="shared" si="8"/>
        <v>955.81274897326023</v>
      </c>
      <c r="D129" s="10">
        <f t="shared" si="6"/>
        <v>665.0735571597321</v>
      </c>
      <c r="E129" s="10">
        <f t="shared" si="9"/>
        <v>0</v>
      </c>
      <c r="F129" s="10">
        <f t="shared" si="10"/>
        <v>254218.32616904302</v>
      </c>
    </row>
    <row r="130" spans="1:9" x14ac:dyDescent="0.25">
      <c r="A130">
        <v>124</v>
      </c>
      <c r="B130" s="10">
        <f t="shared" si="7"/>
        <v>1620.8863061329923</v>
      </c>
      <c r="C130" s="10">
        <f t="shared" si="8"/>
        <v>953.31872313391125</v>
      </c>
      <c r="D130" s="10">
        <f t="shared" si="6"/>
        <v>667.56758299908108</v>
      </c>
      <c r="E130" s="10">
        <f t="shared" si="9"/>
        <v>0</v>
      </c>
      <c r="F130" s="10">
        <f t="shared" si="10"/>
        <v>253550.75858604393</v>
      </c>
    </row>
    <row r="131" spans="1:9" x14ac:dyDescent="0.25">
      <c r="A131">
        <v>125</v>
      </c>
      <c r="B131" s="10">
        <f t="shared" si="7"/>
        <v>1620.8863061329923</v>
      </c>
      <c r="C131" s="10">
        <f t="shared" si="8"/>
        <v>950.81534469766473</v>
      </c>
      <c r="D131" s="10">
        <f t="shared" si="6"/>
        <v>670.0709614353276</v>
      </c>
      <c r="E131" s="10">
        <f t="shared" si="9"/>
        <v>0</v>
      </c>
      <c r="F131" s="10">
        <f t="shared" si="10"/>
        <v>252880.6876246086</v>
      </c>
    </row>
    <row r="132" spans="1:9" x14ac:dyDescent="0.25">
      <c r="A132">
        <v>126</v>
      </c>
      <c r="B132" s="10">
        <f t="shared" si="7"/>
        <v>1620.8863061329923</v>
      </c>
      <c r="C132" s="10">
        <f t="shared" si="8"/>
        <v>948.3025785922822</v>
      </c>
      <c r="D132" s="10">
        <f t="shared" si="6"/>
        <v>672.58372754071013</v>
      </c>
      <c r="E132" s="10">
        <f t="shared" si="9"/>
        <v>0</v>
      </c>
      <c r="F132" s="10">
        <f t="shared" si="10"/>
        <v>252208.10389706789</v>
      </c>
    </row>
    <row r="133" spans="1:9" x14ac:dyDescent="0.25">
      <c r="A133">
        <v>127</v>
      </c>
      <c r="B133" s="10">
        <f t="shared" si="7"/>
        <v>1620.8863061329923</v>
      </c>
      <c r="C133" s="10">
        <f t="shared" si="8"/>
        <v>945.78038961400455</v>
      </c>
      <c r="D133" s="10">
        <f t="shared" si="6"/>
        <v>675.10591651898778</v>
      </c>
      <c r="E133" s="10">
        <f t="shared" si="9"/>
        <v>0</v>
      </c>
      <c r="F133" s="10">
        <f t="shared" si="10"/>
        <v>251532.99798054891</v>
      </c>
    </row>
    <row r="134" spans="1:9" x14ac:dyDescent="0.25">
      <c r="A134">
        <v>128</v>
      </c>
      <c r="B134" s="10">
        <f t="shared" si="7"/>
        <v>1620.8863061329923</v>
      </c>
      <c r="C134" s="10">
        <f t="shared" si="8"/>
        <v>943.24874242705835</v>
      </c>
      <c r="D134" s="10">
        <f t="shared" si="6"/>
        <v>677.63756370593399</v>
      </c>
      <c r="E134" s="10">
        <f t="shared" si="9"/>
        <v>0</v>
      </c>
      <c r="F134" s="10">
        <f t="shared" si="10"/>
        <v>250855.36041684297</v>
      </c>
    </row>
    <row r="135" spans="1:9" x14ac:dyDescent="0.25">
      <c r="A135">
        <v>129</v>
      </c>
      <c r="B135" s="10">
        <f t="shared" si="7"/>
        <v>1620.8863061329923</v>
      </c>
      <c r="C135" s="10">
        <f t="shared" si="8"/>
        <v>940.70760156316112</v>
      </c>
      <c r="D135" s="10">
        <f t="shared" ref="D135:D198" si="16">B135-C135</f>
        <v>680.17870456983121</v>
      </c>
      <c r="E135" s="10">
        <f t="shared" si="9"/>
        <v>0</v>
      </c>
      <c r="F135" s="10">
        <f t="shared" si="10"/>
        <v>250175.18171227313</v>
      </c>
    </row>
    <row r="136" spans="1:9" x14ac:dyDescent="0.25">
      <c r="A136">
        <v>130</v>
      </c>
      <c r="B136" s="10">
        <f t="shared" ref="B136:B199" si="17">PMT($C$2/12,$C$3,-$C$1)</f>
        <v>1620.8863061329923</v>
      </c>
      <c r="C136" s="10">
        <f t="shared" ref="C136:C199" si="18">F135*($C$2/12)</f>
        <v>938.15693142102418</v>
      </c>
      <c r="D136" s="10">
        <f t="shared" si="16"/>
        <v>682.72937471196815</v>
      </c>
      <c r="E136" s="10">
        <f t="shared" ref="E136:E199" si="19">$F$1</f>
        <v>0</v>
      </c>
      <c r="F136" s="10">
        <f t="shared" ref="F136:F199" si="20">F135-D136-E136</f>
        <v>249492.45233756118</v>
      </c>
    </row>
    <row r="137" spans="1:9" x14ac:dyDescent="0.25">
      <c r="A137">
        <v>131</v>
      </c>
      <c r="B137" s="10">
        <f t="shared" si="17"/>
        <v>1620.8863061329923</v>
      </c>
      <c r="C137" s="10">
        <f t="shared" si="18"/>
        <v>935.59669626585435</v>
      </c>
      <c r="D137" s="10">
        <f t="shared" si="16"/>
        <v>685.28960986713798</v>
      </c>
      <c r="E137" s="10">
        <f t="shared" si="19"/>
        <v>0</v>
      </c>
      <c r="F137" s="10">
        <f t="shared" si="20"/>
        <v>248807.16272769403</v>
      </c>
    </row>
    <row r="138" spans="1:9" x14ac:dyDescent="0.25">
      <c r="A138">
        <v>132</v>
      </c>
      <c r="B138" s="10">
        <f t="shared" si="17"/>
        <v>1620.8863061329923</v>
      </c>
      <c r="C138" s="10">
        <f t="shared" si="18"/>
        <v>933.02686022885257</v>
      </c>
      <c r="D138" s="10">
        <f t="shared" si="16"/>
        <v>687.85944590413976</v>
      </c>
      <c r="E138" s="10">
        <f t="shared" si="19"/>
        <v>0</v>
      </c>
      <c r="F138" s="10">
        <f t="shared" si="20"/>
        <v>248119.30328178988</v>
      </c>
      <c r="H138" t="s">
        <v>55</v>
      </c>
      <c r="I138" s="10">
        <f t="shared" ref="I138" si="21">SUM(C127:C138)</f>
        <v>11363.836956569556</v>
      </c>
    </row>
    <row r="139" spans="1:9" x14ac:dyDescent="0.25">
      <c r="A139">
        <v>133</v>
      </c>
      <c r="B139" s="10">
        <f t="shared" si="17"/>
        <v>1620.8863061329923</v>
      </c>
      <c r="C139" s="10">
        <f t="shared" si="18"/>
        <v>930.44738730671202</v>
      </c>
      <c r="D139" s="10">
        <f t="shared" si="16"/>
        <v>690.43891882628031</v>
      </c>
      <c r="E139" s="10">
        <f t="shared" si="19"/>
        <v>0</v>
      </c>
      <c r="F139" s="10">
        <f t="shared" si="20"/>
        <v>247428.86436296359</v>
      </c>
    </row>
    <row r="140" spans="1:9" x14ac:dyDescent="0.25">
      <c r="A140">
        <v>134</v>
      </c>
      <c r="B140" s="10">
        <f t="shared" si="17"/>
        <v>1620.8863061329923</v>
      </c>
      <c r="C140" s="10">
        <f t="shared" si="18"/>
        <v>927.85824136111341</v>
      </c>
      <c r="D140" s="10">
        <f t="shared" si="16"/>
        <v>693.02806477187892</v>
      </c>
      <c r="E140" s="10">
        <f t="shared" si="19"/>
        <v>0</v>
      </c>
      <c r="F140" s="10">
        <f t="shared" si="20"/>
        <v>246735.83629819172</v>
      </c>
    </row>
    <row r="141" spans="1:9" x14ac:dyDescent="0.25">
      <c r="A141">
        <v>135</v>
      </c>
      <c r="B141" s="10">
        <f t="shared" si="17"/>
        <v>1620.8863061329923</v>
      </c>
      <c r="C141" s="10">
        <f t="shared" si="18"/>
        <v>925.25938611821891</v>
      </c>
      <c r="D141" s="10">
        <f t="shared" si="16"/>
        <v>695.62692001477342</v>
      </c>
      <c r="E141" s="10">
        <f t="shared" si="19"/>
        <v>0</v>
      </c>
      <c r="F141" s="10">
        <f t="shared" si="20"/>
        <v>246040.20937817695</v>
      </c>
    </row>
    <row r="142" spans="1:9" x14ac:dyDescent="0.25">
      <c r="A142">
        <v>136</v>
      </c>
      <c r="B142" s="10">
        <f t="shared" si="17"/>
        <v>1620.8863061329923</v>
      </c>
      <c r="C142" s="10">
        <f t="shared" si="18"/>
        <v>922.65078516816357</v>
      </c>
      <c r="D142" s="10">
        <f t="shared" si="16"/>
        <v>698.23552096482877</v>
      </c>
      <c r="E142" s="10">
        <f t="shared" si="19"/>
        <v>0</v>
      </c>
      <c r="F142" s="10">
        <f t="shared" si="20"/>
        <v>245341.97385721211</v>
      </c>
    </row>
    <row r="143" spans="1:9" x14ac:dyDescent="0.25">
      <c r="A143">
        <v>137</v>
      </c>
      <c r="B143" s="10">
        <f t="shared" si="17"/>
        <v>1620.8863061329923</v>
      </c>
      <c r="C143" s="10">
        <f t="shared" si="18"/>
        <v>920.03240196454544</v>
      </c>
      <c r="D143" s="10">
        <f t="shared" si="16"/>
        <v>700.85390416844689</v>
      </c>
      <c r="E143" s="10">
        <f t="shared" si="19"/>
        <v>0</v>
      </c>
      <c r="F143" s="10">
        <f t="shared" si="20"/>
        <v>244641.11995304367</v>
      </c>
    </row>
    <row r="144" spans="1:9" x14ac:dyDescent="0.25">
      <c r="A144">
        <v>138</v>
      </c>
      <c r="B144" s="10">
        <f t="shared" si="17"/>
        <v>1620.8863061329923</v>
      </c>
      <c r="C144" s="10">
        <f t="shared" si="18"/>
        <v>917.4041998239137</v>
      </c>
      <c r="D144" s="10">
        <f t="shared" si="16"/>
        <v>703.48210630907863</v>
      </c>
      <c r="E144" s="10">
        <f t="shared" si="19"/>
        <v>0</v>
      </c>
      <c r="F144" s="10">
        <f t="shared" si="20"/>
        <v>243937.63784673458</v>
      </c>
    </row>
    <row r="145" spans="1:9" x14ac:dyDescent="0.25">
      <c r="A145">
        <v>139</v>
      </c>
      <c r="B145" s="10">
        <f t="shared" si="17"/>
        <v>1620.8863061329923</v>
      </c>
      <c r="C145" s="10">
        <f t="shared" si="18"/>
        <v>914.7661419252546</v>
      </c>
      <c r="D145" s="10">
        <f t="shared" si="16"/>
        <v>706.12016420773773</v>
      </c>
      <c r="E145" s="10">
        <f t="shared" si="19"/>
        <v>0</v>
      </c>
      <c r="F145" s="10">
        <f t="shared" si="20"/>
        <v>243231.51768252684</v>
      </c>
    </row>
    <row r="146" spans="1:9" x14ac:dyDescent="0.25">
      <c r="A146">
        <v>140</v>
      </c>
      <c r="B146" s="10">
        <f t="shared" si="17"/>
        <v>1620.8863061329923</v>
      </c>
      <c r="C146" s="10">
        <f t="shared" si="18"/>
        <v>912.11819130947561</v>
      </c>
      <c r="D146" s="10">
        <f t="shared" si="16"/>
        <v>708.76811482351673</v>
      </c>
      <c r="E146" s="10">
        <f t="shared" si="19"/>
        <v>0</v>
      </c>
      <c r="F146" s="10">
        <f t="shared" si="20"/>
        <v>242522.74956770331</v>
      </c>
    </row>
    <row r="147" spans="1:9" x14ac:dyDescent="0.25">
      <c r="A147">
        <v>141</v>
      </c>
      <c r="B147" s="10">
        <f t="shared" si="17"/>
        <v>1620.8863061329923</v>
      </c>
      <c r="C147" s="10">
        <f t="shared" si="18"/>
        <v>909.46031087888741</v>
      </c>
      <c r="D147" s="10">
        <f t="shared" si="16"/>
        <v>711.42599525410492</v>
      </c>
      <c r="E147" s="10">
        <f t="shared" si="19"/>
        <v>0</v>
      </c>
      <c r="F147" s="10">
        <f t="shared" si="20"/>
        <v>241811.32357244921</v>
      </c>
    </row>
    <row r="148" spans="1:9" x14ac:dyDescent="0.25">
      <c r="A148">
        <v>142</v>
      </c>
      <c r="B148" s="10">
        <f t="shared" si="17"/>
        <v>1620.8863061329923</v>
      </c>
      <c r="C148" s="10">
        <f t="shared" si="18"/>
        <v>906.79246339668452</v>
      </c>
      <c r="D148" s="10">
        <f t="shared" si="16"/>
        <v>714.09384273630781</v>
      </c>
      <c r="E148" s="10">
        <f t="shared" si="19"/>
        <v>0</v>
      </c>
      <c r="F148" s="10">
        <f t="shared" si="20"/>
        <v>241097.22972971291</v>
      </c>
    </row>
    <row r="149" spans="1:9" x14ac:dyDescent="0.25">
      <c r="A149">
        <v>143</v>
      </c>
      <c r="B149" s="10">
        <f t="shared" si="17"/>
        <v>1620.8863061329923</v>
      </c>
      <c r="C149" s="10">
        <f t="shared" si="18"/>
        <v>904.11461148642343</v>
      </c>
      <c r="D149" s="10">
        <f t="shared" si="16"/>
        <v>716.7716946465689</v>
      </c>
      <c r="E149" s="10">
        <f t="shared" si="19"/>
        <v>0</v>
      </c>
      <c r="F149" s="10">
        <f t="shared" si="20"/>
        <v>240380.45803506635</v>
      </c>
    </row>
    <row r="150" spans="1:9" x14ac:dyDescent="0.25">
      <c r="A150">
        <v>144</v>
      </c>
      <c r="B150" s="10">
        <f t="shared" si="17"/>
        <v>1620.8863061329923</v>
      </c>
      <c r="C150" s="10">
        <f t="shared" si="18"/>
        <v>901.42671763149872</v>
      </c>
      <c r="D150" s="10">
        <f t="shared" si="16"/>
        <v>719.45958850149361</v>
      </c>
      <c r="E150" s="10">
        <f t="shared" si="19"/>
        <v>0</v>
      </c>
      <c r="F150" s="10">
        <f t="shared" si="20"/>
        <v>239660.99844656486</v>
      </c>
      <c r="H150" t="s">
        <v>56</v>
      </c>
      <c r="I150" s="10">
        <f t="shared" ref="I150" si="22">SUM(C139:C150)</f>
        <v>10992.330838370892</v>
      </c>
    </row>
    <row r="151" spans="1:9" x14ac:dyDescent="0.25">
      <c r="A151">
        <v>145</v>
      </c>
      <c r="B151" s="10">
        <f t="shared" si="17"/>
        <v>1620.8863061329923</v>
      </c>
      <c r="C151" s="10">
        <f t="shared" si="18"/>
        <v>898.72874417461821</v>
      </c>
      <c r="D151" s="10">
        <f t="shared" si="16"/>
        <v>722.15756195837412</v>
      </c>
      <c r="E151" s="10">
        <f t="shared" si="19"/>
        <v>0</v>
      </c>
      <c r="F151" s="10">
        <f t="shared" si="20"/>
        <v>238938.8408846065</v>
      </c>
    </row>
    <row r="152" spans="1:9" x14ac:dyDescent="0.25">
      <c r="A152">
        <v>146</v>
      </c>
      <c r="B152" s="10">
        <f t="shared" si="17"/>
        <v>1620.8863061329923</v>
      </c>
      <c r="C152" s="10">
        <f t="shared" si="18"/>
        <v>896.02065331727431</v>
      </c>
      <c r="D152" s="10">
        <f t="shared" si="16"/>
        <v>724.86565281571802</v>
      </c>
      <c r="E152" s="10">
        <f t="shared" si="19"/>
        <v>0</v>
      </c>
      <c r="F152" s="10">
        <f t="shared" si="20"/>
        <v>238213.97523179077</v>
      </c>
    </row>
    <row r="153" spans="1:9" x14ac:dyDescent="0.25">
      <c r="A153">
        <v>147</v>
      </c>
      <c r="B153" s="10">
        <f t="shared" si="17"/>
        <v>1620.8863061329923</v>
      </c>
      <c r="C153" s="10">
        <f t="shared" si="18"/>
        <v>893.30240711921533</v>
      </c>
      <c r="D153" s="10">
        <f t="shared" si="16"/>
        <v>727.583899013777</v>
      </c>
      <c r="E153" s="10">
        <f t="shared" si="19"/>
        <v>0</v>
      </c>
      <c r="F153" s="10">
        <f t="shared" si="20"/>
        <v>237486.39133277698</v>
      </c>
    </row>
    <row r="154" spans="1:9" x14ac:dyDescent="0.25">
      <c r="A154">
        <v>148</v>
      </c>
      <c r="B154" s="10">
        <f t="shared" si="17"/>
        <v>1620.8863061329923</v>
      </c>
      <c r="C154" s="10">
        <f t="shared" si="18"/>
        <v>890.57396749791371</v>
      </c>
      <c r="D154" s="10">
        <f t="shared" si="16"/>
        <v>730.31233863507862</v>
      </c>
      <c r="E154" s="10">
        <f t="shared" si="19"/>
        <v>0</v>
      </c>
      <c r="F154" s="10">
        <f t="shared" si="20"/>
        <v>236756.07899414189</v>
      </c>
    </row>
    <row r="155" spans="1:9" x14ac:dyDescent="0.25">
      <c r="A155">
        <v>149</v>
      </c>
      <c r="B155" s="10">
        <f t="shared" si="17"/>
        <v>1620.8863061329923</v>
      </c>
      <c r="C155" s="10">
        <f t="shared" si="18"/>
        <v>887.83529622803201</v>
      </c>
      <c r="D155" s="10">
        <f t="shared" si="16"/>
        <v>733.05100990496032</v>
      </c>
      <c r="E155" s="10">
        <f t="shared" si="19"/>
        <v>0</v>
      </c>
      <c r="F155" s="10">
        <f t="shared" si="20"/>
        <v>236023.02798423692</v>
      </c>
    </row>
    <row r="156" spans="1:9" x14ac:dyDescent="0.25">
      <c r="A156">
        <v>150</v>
      </c>
      <c r="B156" s="10">
        <f t="shared" si="17"/>
        <v>1620.8863061329923</v>
      </c>
      <c r="C156" s="10">
        <f t="shared" si="18"/>
        <v>885.08635494088844</v>
      </c>
      <c r="D156" s="10">
        <f t="shared" si="16"/>
        <v>735.79995119210389</v>
      </c>
      <c r="E156" s="10">
        <f t="shared" si="19"/>
        <v>0</v>
      </c>
      <c r="F156" s="10">
        <f t="shared" si="20"/>
        <v>235287.22803304481</v>
      </c>
    </row>
    <row r="157" spans="1:9" x14ac:dyDescent="0.25">
      <c r="A157">
        <v>151</v>
      </c>
      <c r="B157" s="10">
        <f t="shared" si="17"/>
        <v>1620.8863061329923</v>
      </c>
      <c r="C157" s="10">
        <f t="shared" si="18"/>
        <v>882.32710512391805</v>
      </c>
      <c r="D157" s="10">
        <f t="shared" si="16"/>
        <v>738.55920100907429</v>
      </c>
      <c r="E157" s="10">
        <f t="shared" si="19"/>
        <v>0</v>
      </c>
      <c r="F157" s="10">
        <f t="shared" si="20"/>
        <v>234548.66883203574</v>
      </c>
    </row>
    <row r="158" spans="1:9" x14ac:dyDescent="0.25">
      <c r="A158">
        <v>152</v>
      </c>
      <c r="B158" s="10">
        <f t="shared" si="17"/>
        <v>1620.8863061329923</v>
      </c>
      <c r="C158" s="10">
        <f t="shared" si="18"/>
        <v>879.557508120134</v>
      </c>
      <c r="D158" s="10">
        <f t="shared" si="16"/>
        <v>741.32879801285833</v>
      </c>
      <c r="E158" s="10">
        <f t="shared" si="19"/>
        <v>0</v>
      </c>
      <c r="F158" s="10">
        <f t="shared" si="20"/>
        <v>233807.34003402287</v>
      </c>
    </row>
    <row r="159" spans="1:9" x14ac:dyDescent="0.25">
      <c r="A159">
        <v>153</v>
      </c>
      <c r="B159" s="10">
        <f t="shared" si="17"/>
        <v>1620.8863061329923</v>
      </c>
      <c r="C159" s="10">
        <f t="shared" si="18"/>
        <v>876.7775251275857</v>
      </c>
      <c r="D159" s="10">
        <f t="shared" si="16"/>
        <v>744.10878100540663</v>
      </c>
      <c r="E159" s="10">
        <f t="shared" si="19"/>
        <v>0</v>
      </c>
      <c r="F159" s="10">
        <f t="shared" si="20"/>
        <v>233063.23125301747</v>
      </c>
    </row>
    <row r="160" spans="1:9" x14ac:dyDescent="0.25">
      <c r="A160">
        <v>154</v>
      </c>
      <c r="B160" s="10">
        <f t="shared" si="17"/>
        <v>1620.8863061329923</v>
      </c>
      <c r="C160" s="10">
        <f t="shared" si="18"/>
        <v>873.98711719881544</v>
      </c>
      <c r="D160" s="10">
        <f t="shared" si="16"/>
        <v>746.89918893417689</v>
      </c>
      <c r="E160" s="10">
        <f t="shared" si="19"/>
        <v>0</v>
      </c>
      <c r="F160" s="10">
        <f t="shared" si="20"/>
        <v>232316.33206408328</v>
      </c>
    </row>
    <row r="161" spans="1:9" x14ac:dyDescent="0.25">
      <c r="A161">
        <v>155</v>
      </c>
      <c r="B161" s="10">
        <f t="shared" si="17"/>
        <v>1620.8863061329923</v>
      </c>
      <c r="C161" s="10">
        <f t="shared" si="18"/>
        <v>871.18624524031225</v>
      </c>
      <c r="D161" s="10">
        <f t="shared" si="16"/>
        <v>749.70006089268009</v>
      </c>
      <c r="E161" s="10">
        <f t="shared" si="19"/>
        <v>0</v>
      </c>
      <c r="F161" s="10">
        <f t="shared" si="20"/>
        <v>231566.63200319061</v>
      </c>
    </row>
    <row r="162" spans="1:9" x14ac:dyDescent="0.25">
      <c r="A162">
        <v>156</v>
      </c>
      <c r="B162" s="10">
        <f t="shared" si="17"/>
        <v>1620.8863061329923</v>
      </c>
      <c r="C162" s="10">
        <f t="shared" si="18"/>
        <v>868.37487001196473</v>
      </c>
      <c r="D162" s="10">
        <f t="shared" si="16"/>
        <v>752.5114361210276</v>
      </c>
      <c r="E162" s="10">
        <f t="shared" si="19"/>
        <v>0</v>
      </c>
      <c r="F162" s="10">
        <f t="shared" si="20"/>
        <v>230814.12056706959</v>
      </c>
      <c r="H162" t="s">
        <v>53</v>
      </c>
      <c r="I162" s="10">
        <f t="shared" ref="I162" si="23">SUM(C151:C162)</f>
        <v>10603.757794100675</v>
      </c>
    </row>
    <row r="163" spans="1:9" x14ac:dyDescent="0.25">
      <c r="A163">
        <v>157</v>
      </c>
      <c r="B163" s="10">
        <f t="shared" si="17"/>
        <v>1620.8863061329923</v>
      </c>
      <c r="C163" s="10">
        <f t="shared" si="18"/>
        <v>865.55295212651095</v>
      </c>
      <c r="D163" s="10">
        <f t="shared" si="16"/>
        <v>755.33335400648139</v>
      </c>
      <c r="E163" s="10">
        <f t="shared" si="19"/>
        <v>0</v>
      </c>
      <c r="F163" s="10">
        <f t="shared" si="20"/>
        <v>230058.7872130631</v>
      </c>
    </row>
    <row r="164" spans="1:9" x14ac:dyDescent="0.25">
      <c r="A164">
        <v>158</v>
      </c>
      <c r="B164" s="10">
        <f t="shared" si="17"/>
        <v>1620.8863061329923</v>
      </c>
      <c r="C164" s="10">
        <f t="shared" si="18"/>
        <v>862.72045204898654</v>
      </c>
      <c r="D164" s="10">
        <f t="shared" si="16"/>
        <v>758.16585408400579</v>
      </c>
      <c r="E164" s="10">
        <f t="shared" si="19"/>
        <v>0</v>
      </c>
      <c r="F164" s="10">
        <f t="shared" si="20"/>
        <v>229300.62135897909</v>
      </c>
    </row>
    <row r="165" spans="1:9" x14ac:dyDescent="0.25">
      <c r="A165">
        <v>159</v>
      </c>
      <c r="B165" s="10">
        <f t="shared" si="17"/>
        <v>1620.8863061329923</v>
      </c>
      <c r="C165" s="10">
        <f t="shared" si="18"/>
        <v>859.87733009617159</v>
      </c>
      <c r="D165" s="10">
        <f t="shared" si="16"/>
        <v>761.00897603682074</v>
      </c>
      <c r="E165" s="10">
        <f t="shared" si="19"/>
        <v>0</v>
      </c>
      <c r="F165" s="10">
        <f t="shared" si="20"/>
        <v>228539.61238294226</v>
      </c>
    </row>
    <row r="166" spans="1:9" x14ac:dyDescent="0.25">
      <c r="A166">
        <v>160</v>
      </c>
      <c r="B166" s="10">
        <f t="shared" si="17"/>
        <v>1620.8863061329923</v>
      </c>
      <c r="C166" s="10">
        <f t="shared" si="18"/>
        <v>857.02354643603348</v>
      </c>
      <c r="D166" s="10">
        <f t="shared" si="16"/>
        <v>763.86275969695885</v>
      </c>
      <c r="E166" s="10">
        <f t="shared" si="19"/>
        <v>0</v>
      </c>
      <c r="F166" s="10">
        <f t="shared" si="20"/>
        <v>227775.7496232453</v>
      </c>
    </row>
    <row r="167" spans="1:9" x14ac:dyDescent="0.25">
      <c r="A167">
        <v>161</v>
      </c>
      <c r="B167" s="10">
        <f t="shared" si="17"/>
        <v>1620.8863061329923</v>
      </c>
      <c r="C167" s="10">
        <f t="shared" si="18"/>
        <v>854.15906108716979</v>
      </c>
      <c r="D167" s="10">
        <f t="shared" si="16"/>
        <v>766.72724504582254</v>
      </c>
      <c r="E167" s="10">
        <f t="shared" si="19"/>
        <v>0</v>
      </c>
      <c r="F167" s="10">
        <f t="shared" si="20"/>
        <v>227009.02237819947</v>
      </c>
    </row>
    <row r="168" spans="1:9" x14ac:dyDescent="0.25">
      <c r="A168">
        <v>162</v>
      </c>
      <c r="B168" s="10">
        <f t="shared" si="17"/>
        <v>1620.8863061329923</v>
      </c>
      <c r="C168" s="10">
        <f t="shared" si="18"/>
        <v>851.28383391824798</v>
      </c>
      <c r="D168" s="10">
        <f t="shared" si="16"/>
        <v>769.60247221474435</v>
      </c>
      <c r="E168" s="10">
        <f t="shared" si="19"/>
        <v>0</v>
      </c>
      <c r="F168" s="10">
        <f t="shared" si="20"/>
        <v>226239.41990598472</v>
      </c>
    </row>
    <row r="169" spans="1:9" x14ac:dyDescent="0.25">
      <c r="A169">
        <v>163</v>
      </c>
      <c r="B169" s="10">
        <f t="shared" si="17"/>
        <v>1620.8863061329923</v>
      </c>
      <c r="C169" s="10">
        <f t="shared" si="18"/>
        <v>848.39782464744269</v>
      </c>
      <c r="D169" s="10">
        <f t="shared" si="16"/>
        <v>772.48848148554964</v>
      </c>
      <c r="E169" s="10">
        <f t="shared" si="19"/>
        <v>0</v>
      </c>
      <c r="F169" s="10">
        <f t="shared" si="20"/>
        <v>225466.93142449917</v>
      </c>
    </row>
    <row r="170" spans="1:9" x14ac:dyDescent="0.25">
      <c r="A170">
        <v>164</v>
      </c>
      <c r="B170" s="10">
        <f t="shared" si="17"/>
        <v>1620.8863061329923</v>
      </c>
      <c r="C170" s="10">
        <f t="shared" si="18"/>
        <v>845.50099284187183</v>
      </c>
      <c r="D170" s="10">
        <f t="shared" si="16"/>
        <v>775.3853132911205</v>
      </c>
      <c r="E170" s="10">
        <f t="shared" si="19"/>
        <v>0</v>
      </c>
      <c r="F170" s="10">
        <f t="shared" si="20"/>
        <v>224691.54611120804</v>
      </c>
    </row>
    <row r="171" spans="1:9" x14ac:dyDescent="0.25">
      <c r="A171">
        <v>165</v>
      </c>
      <c r="B171" s="10">
        <f t="shared" si="17"/>
        <v>1620.8863061329923</v>
      </c>
      <c r="C171" s="10">
        <f t="shared" si="18"/>
        <v>842.5932979170301</v>
      </c>
      <c r="D171" s="10">
        <f t="shared" si="16"/>
        <v>778.29300821596223</v>
      </c>
      <c r="E171" s="10">
        <f t="shared" si="19"/>
        <v>0</v>
      </c>
      <c r="F171" s="10">
        <f t="shared" si="20"/>
        <v>223913.25310299208</v>
      </c>
    </row>
    <row r="172" spans="1:9" x14ac:dyDescent="0.25">
      <c r="A172">
        <v>166</v>
      </c>
      <c r="B172" s="10">
        <f t="shared" si="17"/>
        <v>1620.8863061329923</v>
      </c>
      <c r="C172" s="10">
        <f t="shared" si="18"/>
        <v>839.67469913622028</v>
      </c>
      <c r="D172" s="10">
        <f t="shared" si="16"/>
        <v>781.21160699677205</v>
      </c>
      <c r="E172" s="10">
        <f t="shared" si="19"/>
        <v>0</v>
      </c>
      <c r="F172" s="10">
        <f t="shared" si="20"/>
        <v>223132.04149599531</v>
      </c>
    </row>
    <row r="173" spans="1:9" x14ac:dyDescent="0.25">
      <c r="A173">
        <v>167</v>
      </c>
      <c r="B173" s="10">
        <f t="shared" si="17"/>
        <v>1620.8863061329923</v>
      </c>
      <c r="C173" s="10">
        <f t="shared" si="18"/>
        <v>836.74515560998236</v>
      </c>
      <c r="D173" s="10">
        <f t="shared" si="16"/>
        <v>784.14115052300997</v>
      </c>
      <c r="E173" s="10">
        <f t="shared" si="19"/>
        <v>0</v>
      </c>
      <c r="F173" s="10">
        <f t="shared" si="20"/>
        <v>222347.9003454723</v>
      </c>
    </row>
    <row r="174" spans="1:9" x14ac:dyDescent="0.25">
      <c r="A174">
        <v>168</v>
      </c>
      <c r="B174" s="10">
        <f t="shared" si="17"/>
        <v>1620.8863061329923</v>
      </c>
      <c r="C174" s="10">
        <f t="shared" si="18"/>
        <v>833.80462629552108</v>
      </c>
      <c r="D174" s="10">
        <f t="shared" si="16"/>
        <v>787.08167983747126</v>
      </c>
      <c r="E174" s="10">
        <f t="shared" si="19"/>
        <v>0</v>
      </c>
      <c r="F174" s="10">
        <f t="shared" si="20"/>
        <v>221560.81866563484</v>
      </c>
      <c r="H174" t="s">
        <v>54</v>
      </c>
      <c r="I174" s="10">
        <f t="shared" ref="I174" si="24">SUM(C163:C174)</f>
        <v>10197.33377216119</v>
      </c>
    </row>
    <row r="175" spans="1:9" x14ac:dyDescent="0.25">
      <c r="A175">
        <v>169</v>
      </c>
      <c r="B175" s="10">
        <f t="shared" si="17"/>
        <v>1620.8863061329923</v>
      </c>
      <c r="C175" s="10">
        <f t="shared" si="18"/>
        <v>830.85306999613067</v>
      </c>
      <c r="D175" s="10">
        <f t="shared" si="16"/>
        <v>790.03323613686166</v>
      </c>
      <c r="E175" s="10">
        <f t="shared" si="19"/>
        <v>0</v>
      </c>
      <c r="F175" s="10">
        <f t="shared" si="20"/>
        <v>220770.78542949798</v>
      </c>
    </row>
    <row r="176" spans="1:9" x14ac:dyDescent="0.25">
      <c r="A176">
        <v>170</v>
      </c>
      <c r="B176" s="10">
        <f t="shared" si="17"/>
        <v>1620.8863061329923</v>
      </c>
      <c r="C176" s="10">
        <f t="shared" si="18"/>
        <v>827.89044536061738</v>
      </c>
      <c r="D176" s="10">
        <f t="shared" si="16"/>
        <v>792.99586077237495</v>
      </c>
      <c r="E176" s="10">
        <f t="shared" si="19"/>
        <v>0</v>
      </c>
      <c r="F176" s="10">
        <f t="shared" si="20"/>
        <v>219977.7895687256</v>
      </c>
    </row>
    <row r="177" spans="1:9" x14ac:dyDescent="0.25">
      <c r="A177">
        <v>171</v>
      </c>
      <c r="B177" s="10">
        <f t="shared" si="17"/>
        <v>1620.8863061329923</v>
      </c>
      <c r="C177" s="10">
        <f t="shared" si="18"/>
        <v>824.91671088272096</v>
      </c>
      <c r="D177" s="10">
        <f t="shared" si="16"/>
        <v>795.96959525027137</v>
      </c>
      <c r="E177" s="10">
        <f t="shared" si="19"/>
        <v>0</v>
      </c>
      <c r="F177" s="10">
        <f t="shared" si="20"/>
        <v>219181.81997347533</v>
      </c>
    </row>
    <row r="178" spans="1:9" x14ac:dyDescent="0.25">
      <c r="A178">
        <v>172</v>
      </c>
      <c r="B178" s="10">
        <f t="shared" si="17"/>
        <v>1620.8863061329923</v>
      </c>
      <c r="C178" s="10">
        <f t="shared" si="18"/>
        <v>821.93182490053243</v>
      </c>
      <c r="D178" s="10">
        <f t="shared" si="16"/>
        <v>798.9544812324599</v>
      </c>
      <c r="E178" s="10">
        <f t="shared" si="19"/>
        <v>0</v>
      </c>
      <c r="F178" s="10">
        <f t="shared" si="20"/>
        <v>218382.86549224288</v>
      </c>
    </row>
    <row r="179" spans="1:9" x14ac:dyDescent="0.25">
      <c r="A179">
        <v>173</v>
      </c>
      <c r="B179" s="10">
        <f t="shared" si="17"/>
        <v>1620.8863061329923</v>
      </c>
      <c r="C179" s="10">
        <f t="shared" si="18"/>
        <v>818.93574559591082</v>
      </c>
      <c r="D179" s="10">
        <f t="shared" si="16"/>
        <v>801.95056053708151</v>
      </c>
      <c r="E179" s="10">
        <f t="shared" si="19"/>
        <v>0</v>
      </c>
      <c r="F179" s="10">
        <f t="shared" si="20"/>
        <v>217580.9149317058</v>
      </c>
    </row>
    <row r="180" spans="1:9" x14ac:dyDescent="0.25">
      <c r="A180">
        <v>174</v>
      </c>
      <c r="B180" s="10">
        <f t="shared" si="17"/>
        <v>1620.8863061329923</v>
      </c>
      <c r="C180" s="10">
        <f t="shared" si="18"/>
        <v>815.92843099389677</v>
      </c>
      <c r="D180" s="10">
        <f t="shared" si="16"/>
        <v>804.95787513909556</v>
      </c>
      <c r="E180" s="10">
        <f t="shared" si="19"/>
        <v>0</v>
      </c>
      <c r="F180" s="10">
        <f t="shared" si="20"/>
        <v>216775.95705656669</v>
      </c>
    </row>
    <row r="181" spans="1:9" x14ac:dyDescent="0.25">
      <c r="A181">
        <v>175</v>
      </c>
      <c r="B181" s="10">
        <f t="shared" si="17"/>
        <v>1620.8863061329923</v>
      </c>
      <c r="C181" s="10">
        <f t="shared" si="18"/>
        <v>812.90983896212504</v>
      </c>
      <c r="D181" s="10">
        <f t="shared" si="16"/>
        <v>807.97646717086729</v>
      </c>
      <c r="E181" s="10">
        <f t="shared" si="19"/>
        <v>0</v>
      </c>
      <c r="F181" s="10">
        <f t="shared" si="20"/>
        <v>215967.98058939583</v>
      </c>
    </row>
    <row r="182" spans="1:9" x14ac:dyDescent="0.25">
      <c r="A182">
        <v>176</v>
      </c>
      <c r="B182" s="10">
        <f t="shared" si="17"/>
        <v>1620.8863061329923</v>
      </c>
      <c r="C182" s="10">
        <f t="shared" si="18"/>
        <v>809.87992721023431</v>
      </c>
      <c r="D182" s="10">
        <f t="shared" si="16"/>
        <v>811.00637892275802</v>
      </c>
      <c r="E182" s="10">
        <f t="shared" si="19"/>
        <v>0</v>
      </c>
      <c r="F182" s="10">
        <f t="shared" si="20"/>
        <v>215156.97421047307</v>
      </c>
    </row>
    <row r="183" spans="1:9" x14ac:dyDescent="0.25">
      <c r="A183">
        <v>177</v>
      </c>
      <c r="B183" s="10">
        <f t="shared" si="17"/>
        <v>1620.8863061329923</v>
      </c>
      <c r="C183" s="10">
        <f t="shared" si="18"/>
        <v>806.83865328927402</v>
      </c>
      <c r="D183" s="10">
        <f t="shared" si="16"/>
        <v>814.04765284371831</v>
      </c>
      <c r="E183" s="10">
        <f t="shared" si="19"/>
        <v>0</v>
      </c>
      <c r="F183" s="10">
        <f t="shared" si="20"/>
        <v>214342.92655762934</v>
      </c>
    </row>
    <row r="184" spans="1:9" x14ac:dyDescent="0.25">
      <c r="A184">
        <v>178</v>
      </c>
      <c r="B184" s="10">
        <f t="shared" si="17"/>
        <v>1620.8863061329923</v>
      </c>
      <c r="C184" s="10">
        <f t="shared" si="18"/>
        <v>803.78597459110995</v>
      </c>
      <c r="D184" s="10">
        <f t="shared" si="16"/>
        <v>817.10033154188238</v>
      </c>
      <c r="E184" s="10">
        <f t="shared" si="19"/>
        <v>0</v>
      </c>
      <c r="F184" s="10">
        <f t="shared" si="20"/>
        <v>213525.82622608746</v>
      </c>
    </row>
    <row r="185" spans="1:9" x14ac:dyDescent="0.25">
      <c r="A185">
        <v>179</v>
      </c>
      <c r="B185" s="10">
        <f t="shared" si="17"/>
        <v>1620.8863061329923</v>
      </c>
      <c r="C185" s="10">
        <f t="shared" si="18"/>
        <v>800.72184834782797</v>
      </c>
      <c r="D185" s="10">
        <f t="shared" si="16"/>
        <v>820.16445778516436</v>
      </c>
      <c r="E185" s="10">
        <f t="shared" si="19"/>
        <v>0</v>
      </c>
      <c r="F185" s="10">
        <f t="shared" si="20"/>
        <v>212705.66176830229</v>
      </c>
    </row>
    <row r="186" spans="1:9" x14ac:dyDescent="0.25">
      <c r="A186">
        <v>180</v>
      </c>
      <c r="B186" s="10">
        <f t="shared" si="17"/>
        <v>1620.8863061329923</v>
      </c>
      <c r="C186" s="10">
        <f t="shared" si="18"/>
        <v>797.64623163113356</v>
      </c>
      <c r="D186" s="10">
        <f t="shared" si="16"/>
        <v>823.24007450185877</v>
      </c>
      <c r="E186" s="10">
        <f t="shared" si="19"/>
        <v>0</v>
      </c>
      <c r="F186" s="10">
        <f t="shared" si="20"/>
        <v>211882.42169380042</v>
      </c>
      <c r="H186" t="s">
        <v>55</v>
      </c>
      <c r="I186" s="10">
        <f t="shared" ref="I186" si="25">SUM(C175:C186)</f>
        <v>9772.2387017615129</v>
      </c>
    </row>
    <row r="187" spans="1:9" x14ac:dyDescent="0.25">
      <c r="A187">
        <v>181</v>
      </c>
      <c r="B187" s="10">
        <f t="shared" si="17"/>
        <v>1620.8863061329923</v>
      </c>
      <c r="C187" s="10">
        <f t="shared" si="18"/>
        <v>794.55908135175162</v>
      </c>
      <c r="D187" s="10">
        <f t="shared" si="16"/>
        <v>826.32722478124072</v>
      </c>
      <c r="E187" s="10">
        <f t="shared" si="19"/>
        <v>0</v>
      </c>
      <c r="F187" s="10">
        <f t="shared" si="20"/>
        <v>211056.09446901918</v>
      </c>
    </row>
    <row r="188" spans="1:9" x14ac:dyDescent="0.25">
      <c r="A188">
        <v>182</v>
      </c>
      <c r="B188" s="10">
        <f t="shared" si="17"/>
        <v>1620.8863061329923</v>
      </c>
      <c r="C188" s="10">
        <f t="shared" si="18"/>
        <v>791.46035425882189</v>
      </c>
      <c r="D188" s="10">
        <f t="shared" si="16"/>
        <v>829.42595187417044</v>
      </c>
      <c r="E188" s="10">
        <f t="shared" si="19"/>
        <v>0</v>
      </c>
      <c r="F188" s="10">
        <f t="shared" si="20"/>
        <v>210226.66851714501</v>
      </c>
    </row>
    <row r="189" spans="1:9" x14ac:dyDescent="0.25">
      <c r="A189">
        <v>183</v>
      </c>
      <c r="B189" s="10">
        <f t="shared" si="17"/>
        <v>1620.8863061329923</v>
      </c>
      <c r="C189" s="10">
        <f t="shared" si="18"/>
        <v>788.35000693929373</v>
      </c>
      <c r="D189" s="10">
        <f t="shared" si="16"/>
        <v>832.5362991936986</v>
      </c>
      <c r="E189" s="10">
        <f t="shared" si="19"/>
        <v>0</v>
      </c>
      <c r="F189" s="10">
        <f t="shared" si="20"/>
        <v>209394.13221795132</v>
      </c>
    </row>
    <row r="190" spans="1:9" x14ac:dyDescent="0.25">
      <c r="A190">
        <v>184</v>
      </c>
      <c r="B190" s="10">
        <f t="shared" si="17"/>
        <v>1620.8863061329923</v>
      </c>
      <c r="C190" s="10">
        <f t="shared" si="18"/>
        <v>785.22799581731738</v>
      </c>
      <c r="D190" s="10">
        <f t="shared" si="16"/>
        <v>835.65831031567495</v>
      </c>
      <c r="E190" s="10">
        <f t="shared" si="19"/>
        <v>0</v>
      </c>
      <c r="F190" s="10">
        <f t="shared" si="20"/>
        <v>208558.47390763563</v>
      </c>
    </row>
    <row r="191" spans="1:9" x14ac:dyDescent="0.25">
      <c r="A191">
        <v>185</v>
      </c>
      <c r="B191" s="10">
        <f t="shared" si="17"/>
        <v>1620.8863061329923</v>
      </c>
      <c r="C191" s="10">
        <f t="shared" si="18"/>
        <v>782.09427715363358</v>
      </c>
      <c r="D191" s="10">
        <f t="shared" si="16"/>
        <v>838.79202897935875</v>
      </c>
      <c r="E191" s="10">
        <f t="shared" si="19"/>
        <v>0</v>
      </c>
      <c r="F191" s="10">
        <f t="shared" si="20"/>
        <v>207719.68187865627</v>
      </c>
    </row>
    <row r="192" spans="1:9" x14ac:dyDescent="0.25">
      <c r="A192">
        <v>186</v>
      </c>
      <c r="B192" s="10">
        <f t="shared" si="17"/>
        <v>1620.8863061329923</v>
      </c>
      <c r="C192" s="10">
        <f t="shared" si="18"/>
        <v>778.94880704496097</v>
      </c>
      <c r="D192" s="10">
        <f t="shared" si="16"/>
        <v>841.93749908803136</v>
      </c>
      <c r="E192" s="10">
        <f t="shared" si="19"/>
        <v>0</v>
      </c>
      <c r="F192" s="10">
        <f t="shared" si="20"/>
        <v>206877.74437956823</v>
      </c>
    </row>
    <row r="193" spans="1:9" x14ac:dyDescent="0.25">
      <c r="A193">
        <v>187</v>
      </c>
      <c r="B193" s="10">
        <f t="shared" si="17"/>
        <v>1620.8863061329923</v>
      </c>
      <c r="C193" s="10">
        <f t="shared" si="18"/>
        <v>775.79154142338086</v>
      </c>
      <c r="D193" s="10">
        <f t="shared" si="16"/>
        <v>845.09476470961147</v>
      </c>
      <c r="E193" s="10">
        <f t="shared" si="19"/>
        <v>0</v>
      </c>
      <c r="F193" s="10">
        <f t="shared" si="20"/>
        <v>206032.64961485862</v>
      </c>
    </row>
    <row r="194" spans="1:9" x14ac:dyDescent="0.25">
      <c r="A194">
        <v>188</v>
      </c>
      <c r="B194" s="10">
        <f t="shared" si="17"/>
        <v>1620.8863061329923</v>
      </c>
      <c r="C194" s="10">
        <f t="shared" si="18"/>
        <v>772.62243605571973</v>
      </c>
      <c r="D194" s="10">
        <f t="shared" si="16"/>
        <v>848.2638700772726</v>
      </c>
      <c r="E194" s="10">
        <f t="shared" si="19"/>
        <v>0</v>
      </c>
      <c r="F194" s="10">
        <f t="shared" si="20"/>
        <v>205184.38574478135</v>
      </c>
    </row>
    <row r="195" spans="1:9" x14ac:dyDescent="0.25">
      <c r="A195">
        <v>189</v>
      </c>
      <c r="B195" s="10">
        <f t="shared" si="17"/>
        <v>1620.8863061329923</v>
      </c>
      <c r="C195" s="10">
        <f t="shared" si="18"/>
        <v>769.44144654293007</v>
      </c>
      <c r="D195" s="10">
        <f t="shared" si="16"/>
        <v>851.44485959006226</v>
      </c>
      <c r="E195" s="10">
        <f t="shared" si="19"/>
        <v>0</v>
      </c>
      <c r="F195" s="10">
        <f t="shared" si="20"/>
        <v>204332.94088519129</v>
      </c>
    </row>
    <row r="196" spans="1:9" x14ac:dyDescent="0.25">
      <c r="A196">
        <v>190</v>
      </c>
      <c r="B196" s="10">
        <f t="shared" si="17"/>
        <v>1620.8863061329923</v>
      </c>
      <c r="C196" s="10">
        <f t="shared" si="18"/>
        <v>766.24852831946725</v>
      </c>
      <c r="D196" s="10">
        <f t="shared" si="16"/>
        <v>854.63777781352508</v>
      </c>
      <c r="E196" s="10">
        <f t="shared" si="19"/>
        <v>0</v>
      </c>
      <c r="F196" s="10">
        <f t="shared" si="20"/>
        <v>203478.30310737775</v>
      </c>
    </row>
    <row r="197" spans="1:9" x14ac:dyDescent="0.25">
      <c r="A197">
        <v>191</v>
      </c>
      <c r="B197" s="10">
        <f t="shared" si="17"/>
        <v>1620.8863061329923</v>
      </c>
      <c r="C197" s="10">
        <f t="shared" si="18"/>
        <v>763.04363665266658</v>
      </c>
      <c r="D197" s="10">
        <f t="shared" si="16"/>
        <v>857.84266948032575</v>
      </c>
      <c r="E197" s="10">
        <f t="shared" si="19"/>
        <v>0</v>
      </c>
      <c r="F197" s="10">
        <f t="shared" si="20"/>
        <v>202620.46043789742</v>
      </c>
    </row>
    <row r="198" spans="1:9" x14ac:dyDescent="0.25">
      <c r="A198">
        <v>192</v>
      </c>
      <c r="B198" s="10">
        <f t="shared" si="17"/>
        <v>1620.8863061329923</v>
      </c>
      <c r="C198" s="10">
        <f t="shared" si="18"/>
        <v>759.82672664211532</v>
      </c>
      <c r="D198" s="10">
        <f t="shared" si="16"/>
        <v>861.05957949087701</v>
      </c>
      <c r="E198" s="10">
        <f t="shared" si="19"/>
        <v>0</v>
      </c>
      <c r="F198" s="10">
        <f t="shared" si="20"/>
        <v>201759.40085840653</v>
      </c>
      <c r="H198" t="s">
        <v>56</v>
      </c>
      <c r="I198" s="10">
        <f t="shared" ref="I198" si="26">SUM(C187:C198)</f>
        <v>9327.6148382020601</v>
      </c>
    </row>
    <row r="199" spans="1:9" x14ac:dyDescent="0.25">
      <c r="A199">
        <v>193</v>
      </c>
      <c r="B199" s="10">
        <f t="shared" si="17"/>
        <v>1620.8863061329923</v>
      </c>
      <c r="C199" s="10">
        <f t="shared" si="18"/>
        <v>756.59775321902441</v>
      </c>
      <c r="D199" s="10">
        <f t="shared" ref="D199:D262" si="27">B199-C199</f>
        <v>864.28855291396792</v>
      </c>
      <c r="E199" s="10">
        <f t="shared" si="19"/>
        <v>0</v>
      </c>
      <c r="F199" s="10">
        <f t="shared" si="20"/>
        <v>200895.11230549257</v>
      </c>
    </row>
    <row r="200" spans="1:9" x14ac:dyDescent="0.25">
      <c r="A200">
        <v>194</v>
      </c>
      <c r="B200" s="10">
        <f t="shared" ref="B200:B263" si="28">PMT($C$2/12,$C$3,-$C$1)</f>
        <v>1620.8863061329923</v>
      </c>
      <c r="C200" s="10">
        <f t="shared" ref="C200:C263" si="29">F199*($C$2/12)</f>
        <v>753.35667114559715</v>
      </c>
      <c r="D200" s="10">
        <f t="shared" si="27"/>
        <v>867.52963498739518</v>
      </c>
      <c r="E200" s="10">
        <f t="shared" ref="E200:E263" si="30">$F$1</f>
        <v>0</v>
      </c>
      <c r="F200" s="10">
        <f t="shared" ref="F200:F263" si="31">F199-D200-E200</f>
        <v>200027.58267050519</v>
      </c>
    </row>
    <row r="201" spans="1:9" x14ac:dyDescent="0.25">
      <c r="A201">
        <v>195</v>
      </c>
      <c r="B201" s="10">
        <f t="shared" si="28"/>
        <v>1620.8863061329923</v>
      </c>
      <c r="C201" s="10">
        <f t="shared" si="29"/>
        <v>750.10343501439445</v>
      </c>
      <c r="D201" s="10">
        <f t="shared" si="27"/>
        <v>870.78287111859788</v>
      </c>
      <c r="E201" s="10">
        <f t="shared" si="30"/>
        <v>0</v>
      </c>
      <c r="F201" s="10">
        <f t="shared" si="31"/>
        <v>199156.79979938659</v>
      </c>
    </row>
    <row r="202" spans="1:9" x14ac:dyDescent="0.25">
      <c r="A202">
        <v>196</v>
      </c>
      <c r="B202" s="10">
        <f t="shared" si="28"/>
        <v>1620.8863061329923</v>
      </c>
      <c r="C202" s="10">
        <f t="shared" si="29"/>
        <v>746.83799924769971</v>
      </c>
      <c r="D202" s="10">
        <f t="shared" si="27"/>
        <v>874.04830688529262</v>
      </c>
      <c r="E202" s="10">
        <f t="shared" si="30"/>
        <v>0</v>
      </c>
      <c r="F202" s="10">
        <f t="shared" si="31"/>
        <v>198282.75149250129</v>
      </c>
    </row>
    <row r="203" spans="1:9" x14ac:dyDescent="0.25">
      <c r="A203">
        <v>197</v>
      </c>
      <c r="B203" s="10">
        <f t="shared" si="28"/>
        <v>1620.8863061329923</v>
      </c>
      <c r="C203" s="10">
        <f t="shared" si="29"/>
        <v>743.56031809687988</v>
      </c>
      <c r="D203" s="10">
        <f t="shared" si="27"/>
        <v>877.32598803611245</v>
      </c>
      <c r="E203" s="10">
        <f t="shared" si="30"/>
        <v>0</v>
      </c>
      <c r="F203" s="10">
        <f t="shared" si="31"/>
        <v>197405.42550446518</v>
      </c>
    </row>
    <row r="204" spans="1:9" x14ac:dyDescent="0.25">
      <c r="A204">
        <v>198</v>
      </c>
      <c r="B204" s="10">
        <f t="shared" si="28"/>
        <v>1620.8863061329923</v>
      </c>
      <c r="C204" s="10">
        <f t="shared" si="29"/>
        <v>740.27034564174437</v>
      </c>
      <c r="D204" s="10">
        <f t="shared" si="27"/>
        <v>880.61596049124796</v>
      </c>
      <c r="E204" s="10">
        <f t="shared" si="30"/>
        <v>0</v>
      </c>
      <c r="F204" s="10">
        <f t="shared" si="31"/>
        <v>196524.80954397394</v>
      </c>
    </row>
    <row r="205" spans="1:9" x14ac:dyDescent="0.25">
      <c r="A205">
        <v>199</v>
      </c>
      <c r="B205" s="10">
        <f t="shared" si="28"/>
        <v>1620.8863061329923</v>
      </c>
      <c r="C205" s="10">
        <f t="shared" si="29"/>
        <v>736.96803578990227</v>
      </c>
      <c r="D205" s="10">
        <f t="shared" si="27"/>
        <v>883.91827034309006</v>
      </c>
      <c r="E205" s="10">
        <f t="shared" si="30"/>
        <v>0</v>
      </c>
      <c r="F205" s="10">
        <f t="shared" si="31"/>
        <v>195640.89127363084</v>
      </c>
    </row>
    <row r="206" spans="1:9" x14ac:dyDescent="0.25">
      <c r="A206">
        <v>200</v>
      </c>
      <c r="B206" s="10">
        <f t="shared" si="28"/>
        <v>1620.8863061329923</v>
      </c>
      <c r="C206" s="10">
        <f t="shared" si="29"/>
        <v>733.65334227611561</v>
      </c>
      <c r="D206" s="10">
        <f t="shared" si="27"/>
        <v>887.23296385687672</v>
      </c>
      <c r="E206" s="10">
        <f t="shared" si="30"/>
        <v>0</v>
      </c>
      <c r="F206" s="10">
        <f t="shared" si="31"/>
        <v>194753.65830977398</v>
      </c>
    </row>
    <row r="207" spans="1:9" x14ac:dyDescent="0.25">
      <c r="A207">
        <v>201</v>
      </c>
      <c r="B207" s="10">
        <f t="shared" si="28"/>
        <v>1620.8863061329923</v>
      </c>
      <c r="C207" s="10">
        <f t="shared" si="29"/>
        <v>730.32621866165243</v>
      </c>
      <c r="D207" s="10">
        <f t="shared" si="27"/>
        <v>890.5600874713399</v>
      </c>
      <c r="E207" s="10">
        <f t="shared" si="30"/>
        <v>0</v>
      </c>
      <c r="F207" s="10">
        <f t="shared" si="31"/>
        <v>193863.09822230265</v>
      </c>
    </row>
    <row r="208" spans="1:9" x14ac:dyDescent="0.25">
      <c r="A208">
        <v>202</v>
      </c>
      <c r="B208" s="10">
        <f t="shared" si="28"/>
        <v>1620.8863061329923</v>
      </c>
      <c r="C208" s="10">
        <f t="shared" si="29"/>
        <v>726.98661833363496</v>
      </c>
      <c r="D208" s="10">
        <f t="shared" si="27"/>
        <v>893.89968779935737</v>
      </c>
      <c r="E208" s="10">
        <f t="shared" si="30"/>
        <v>0</v>
      </c>
      <c r="F208" s="10">
        <f t="shared" si="31"/>
        <v>192969.19853450329</v>
      </c>
    </row>
    <row r="209" spans="1:9" x14ac:dyDescent="0.25">
      <c r="A209">
        <v>203</v>
      </c>
      <c r="B209" s="10">
        <f t="shared" si="28"/>
        <v>1620.8863061329923</v>
      </c>
      <c r="C209" s="10">
        <f t="shared" si="29"/>
        <v>723.63449450438725</v>
      </c>
      <c r="D209" s="10">
        <f t="shared" si="27"/>
        <v>897.25181162860508</v>
      </c>
      <c r="E209" s="10">
        <f t="shared" si="30"/>
        <v>0</v>
      </c>
      <c r="F209" s="10">
        <f t="shared" si="31"/>
        <v>192071.94672287468</v>
      </c>
    </row>
    <row r="210" spans="1:9" x14ac:dyDescent="0.25">
      <c r="A210">
        <v>204</v>
      </c>
      <c r="B210" s="10">
        <f t="shared" si="28"/>
        <v>1620.8863061329923</v>
      </c>
      <c r="C210" s="10">
        <f t="shared" si="29"/>
        <v>720.26980021077998</v>
      </c>
      <c r="D210" s="10">
        <f t="shared" si="27"/>
        <v>900.61650592221235</v>
      </c>
      <c r="E210" s="10">
        <f t="shared" si="30"/>
        <v>0</v>
      </c>
      <c r="F210" s="10">
        <f t="shared" si="31"/>
        <v>191171.33021695245</v>
      </c>
      <c r="H210" t="s">
        <v>53</v>
      </c>
      <c r="I210" s="10">
        <f t="shared" ref="I210" si="32">SUM(C199:C210)</f>
        <v>8862.5650321418125</v>
      </c>
    </row>
    <row r="211" spans="1:9" x14ac:dyDescent="0.25">
      <c r="A211">
        <v>205</v>
      </c>
      <c r="B211" s="10">
        <f t="shared" si="28"/>
        <v>1620.8863061329923</v>
      </c>
      <c r="C211" s="10">
        <f t="shared" si="29"/>
        <v>716.89248831357168</v>
      </c>
      <c r="D211" s="10">
        <f t="shared" si="27"/>
        <v>903.99381781942066</v>
      </c>
      <c r="E211" s="10">
        <f t="shared" si="30"/>
        <v>0</v>
      </c>
      <c r="F211" s="10">
        <f t="shared" si="31"/>
        <v>190267.33639913303</v>
      </c>
    </row>
    <row r="212" spans="1:9" x14ac:dyDescent="0.25">
      <c r="A212">
        <v>206</v>
      </c>
      <c r="B212" s="10">
        <f t="shared" si="28"/>
        <v>1620.8863061329923</v>
      </c>
      <c r="C212" s="10">
        <f t="shared" si="29"/>
        <v>713.50251149674887</v>
      </c>
      <c r="D212" s="10">
        <f t="shared" si="27"/>
        <v>907.38379463624346</v>
      </c>
      <c r="E212" s="10">
        <f t="shared" si="30"/>
        <v>0</v>
      </c>
      <c r="F212" s="10">
        <f t="shared" si="31"/>
        <v>189359.95260449679</v>
      </c>
    </row>
    <row r="213" spans="1:9" x14ac:dyDescent="0.25">
      <c r="A213">
        <v>207</v>
      </c>
      <c r="B213" s="10">
        <f t="shared" si="28"/>
        <v>1620.8863061329923</v>
      </c>
      <c r="C213" s="10">
        <f t="shared" si="29"/>
        <v>710.09982226686293</v>
      </c>
      <c r="D213" s="10">
        <f t="shared" si="27"/>
        <v>910.7864838661294</v>
      </c>
      <c r="E213" s="10">
        <f t="shared" si="30"/>
        <v>0</v>
      </c>
      <c r="F213" s="10">
        <f t="shared" si="31"/>
        <v>188449.16612063066</v>
      </c>
    </row>
    <row r="214" spans="1:9" x14ac:dyDescent="0.25">
      <c r="A214">
        <v>208</v>
      </c>
      <c r="B214" s="10">
        <f t="shared" si="28"/>
        <v>1620.8863061329923</v>
      </c>
      <c r="C214" s="10">
        <f t="shared" si="29"/>
        <v>706.68437295236492</v>
      </c>
      <c r="D214" s="10">
        <f t="shared" si="27"/>
        <v>914.20193318062741</v>
      </c>
      <c r="E214" s="10">
        <f t="shared" si="30"/>
        <v>0</v>
      </c>
      <c r="F214" s="10">
        <f t="shared" si="31"/>
        <v>187534.96418745004</v>
      </c>
    </row>
    <row r="215" spans="1:9" x14ac:dyDescent="0.25">
      <c r="A215">
        <v>209</v>
      </c>
      <c r="B215" s="10">
        <f t="shared" si="28"/>
        <v>1620.8863061329923</v>
      </c>
      <c r="C215" s="10">
        <f t="shared" si="29"/>
        <v>703.25611570293756</v>
      </c>
      <c r="D215" s="10">
        <f t="shared" si="27"/>
        <v>917.63019043005477</v>
      </c>
      <c r="E215" s="10">
        <f t="shared" si="30"/>
        <v>0</v>
      </c>
      <c r="F215" s="10">
        <f t="shared" si="31"/>
        <v>186617.33399701997</v>
      </c>
    </row>
    <row r="216" spans="1:9" x14ac:dyDescent="0.25">
      <c r="A216">
        <v>210</v>
      </c>
      <c r="B216" s="10">
        <f t="shared" si="28"/>
        <v>1620.8863061329923</v>
      </c>
      <c r="C216" s="10">
        <f t="shared" si="29"/>
        <v>699.81500248882492</v>
      </c>
      <c r="D216" s="10">
        <f t="shared" si="27"/>
        <v>921.07130364416741</v>
      </c>
      <c r="E216" s="10">
        <f t="shared" si="30"/>
        <v>0</v>
      </c>
      <c r="F216" s="10">
        <f t="shared" si="31"/>
        <v>185696.26269337581</v>
      </c>
    </row>
    <row r="217" spans="1:9" x14ac:dyDescent="0.25">
      <c r="A217">
        <v>211</v>
      </c>
      <c r="B217" s="10">
        <f t="shared" si="28"/>
        <v>1620.8863061329923</v>
      </c>
      <c r="C217" s="10">
        <f t="shared" si="29"/>
        <v>696.36098510015927</v>
      </c>
      <c r="D217" s="10">
        <f t="shared" si="27"/>
        <v>924.52532103283306</v>
      </c>
      <c r="E217" s="10">
        <f t="shared" si="30"/>
        <v>0</v>
      </c>
      <c r="F217" s="10">
        <f t="shared" si="31"/>
        <v>184771.73737234299</v>
      </c>
    </row>
    <row r="218" spans="1:9" x14ac:dyDescent="0.25">
      <c r="A218">
        <v>212</v>
      </c>
      <c r="B218" s="10">
        <f t="shared" si="28"/>
        <v>1620.8863061329923</v>
      </c>
      <c r="C218" s="10">
        <f t="shared" si="29"/>
        <v>692.89401514628616</v>
      </c>
      <c r="D218" s="10">
        <f t="shared" si="27"/>
        <v>927.99229098670617</v>
      </c>
      <c r="E218" s="10">
        <f t="shared" si="30"/>
        <v>0</v>
      </c>
      <c r="F218" s="10">
        <f t="shared" si="31"/>
        <v>183843.74508135629</v>
      </c>
    </row>
    <row r="219" spans="1:9" x14ac:dyDescent="0.25">
      <c r="A219">
        <v>213</v>
      </c>
      <c r="B219" s="10">
        <f t="shared" si="28"/>
        <v>1620.8863061329923</v>
      </c>
      <c r="C219" s="10">
        <f t="shared" si="29"/>
        <v>689.41404405508604</v>
      </c>
      <c r="D219" s="10">
        <f t="shared" si="27"/>
        <v>931.47226207790629</v>
      </c>
      <c r="E219" s="10">
        <f t="shared" si="30"/>
        <v>0</v>
      </c>
      <c r="F219" s="10">
        <f t="shared" si="31"/>
        <v>182912.27281927838</v>
      </c>
    </row>
    <row r="220" spans="1:9" x14ac:dyDescent="0.25">
      <c r="A220">
        <v>214</v>
      </c>
      <c r="B220" s="10">
        <f t="shared" si="28"/>
        <v>1620.8863061329923</v>
      </c>
      <c r="C220" s="10">
        <f t="shared" si="29"/>
        <v>685.92102307229391</v>
      </c>
      <c r="D220" s="10">
        <f t="shared" si="27"/>
        <v>934.96528306069843</v>
      </c>
      <c r="E220" s="10">
        <f t="shared" si="30"/>
        <v>0</v>
      </c>
      <c r="F220" s="10">
        <f t="shared" si="31"/>
        <v>181977.30753621768</v>
      </c>
    </row>
    <row r="221" spans="1:9" x14ac:dyDescent="0.25">
      <c r="A221">
        <v>215</v>
      </c>
      <c r="B221" s="10">
        <f t="shared" si="28"/>
        <v>1620.8863061329923</v>
      </c>
      <c r="C221" s="10">
        <f t="shared" si="29"/>
        <v>682.41490326081623</v>
      </c>
      <c r="D221" s="10">
        <f t="shared" si="27"/>
        <v>938.4714028721761</v>
      </c>
      <c r="E221" s="10">
        <f t="shared" si="30"/>
        <v>0</v>
      </c>
      <c r="F221" s="10">
        <f t="shared" si="31"/>
        <v>181038.8361333455</v>
      </c>
    </row>
    <row r="222" spans="1:9" x14ac:dyDescent="0.25">
      <c r="A222">
        <v>216</v>
      </c>
      <c r="B222" s="10">
        <f t="shared" si="28"/>
        <v>1620.8863061329923</v>
      </c>
      <c r="C222" s="10">
        <f t="shared" si="29"/>
        <v>678.89563550004561</v>
      </c>
      <c r="D222" s="10">
        <f t="shared" si="27"/>
        <v>941.99067063294672</v>
      </c>
      <c r="E222" s="10">
        <f t="shared" si="30"/>
        <v>0</v>
      </c>
      <c r="F222" s="10">
        <f t="shared" si="31"/>
        <v>180096.84546271255</v>
      </c>
      <c r="H222" t="s">
        <v>54</v>
      </c>
      <c r="I222" s="10">
        <f t="shared" ref="I222" si="33">SUM(C211:C222)</f>
        <v>8376.1509193559996</v>
      </c>
    </row>
    <row r="223" spans="1:9" x14ac:dyDescent="0.25">
      <c r="A223">
        <v>217</v>
      </c>
      <c r="B223" s="10">
        <f t="shared" si="28"/>
        <v>1620.8863061329923</v>
      </c>
      <c r="C223" s="10">
        <f t="shared" si="29"/>
        <v>675.36317048517208</v>
      </c>
      <c r="D223" s="10">
        <f t="shared" si="27"/>
        <v>945.52313564782025</v>
      </c>
      <c r="E223" s="10">
        <f t="shared" si="30"/>
        <v>0</v>
      </c>
      <c r="F223" s="10">
        <f t="shared" si="31"/>
        <v>179151.32232706473</v>
      </c>
    </row>
    <row r="224" spans="1:9" x14ac:dyDescent="0.25">
      <c r="A224">
        <v>218</v>
      </c>
      <c r="B224" s="10">
        <f t="shared" si="28"/>
        <v>1620.8863061329923</v>
      </c>
      <c r="C224" s="10">
        <f t="shared" si="29"/>
        <v>671.81745872649276</v>
      </c>
      <c r="D224" s="10">
        <f t="shared" si="27"/>
        <v>949.06884740649957</v>
      </c>
      <c r="E224" s="10">
        <f t="shared" si="30"/>
        <v>0</v>
      </c>
      <c r="F224" s="10">
        <f t="shared" si="31"/>
        <v>178202.25347965822</v>
      </c>
    </row>
    <row r="225" spans="1:9" x14ac:dyDescent="0.25">
      <c r="A225">
        <v>219</v>
      </c>
      <c r="B225" s="10">
        <f t="shared" si="28"/>
        <v>1620.8863061329923</v>
      </c>
      <c r="C225" s="10">
        <f t="shared" si="29"/>
        <v>668.25845054871832</v>
      </c>
      <c r="D225" s="10">
        <f t="shared" si="27"/>
        <v>952.62785558427402</v>
      </c>
      <c r="E225" s="10">
        <f t="shared" si="30"/>
        <v>0</v>
      </c>
      <c r="F225" s="10">
        <f t="shared" si="31"/>
        <v>177249.62562407393</v>
      </c>
    </row>
    <row r="226" spans="1:9" x14ac:dyDescent="0.25">
      <c r="A226">
        <v>220</v>
      </c>
      <c r="B226" s="10">
        <f t="shared" si="28"/>
        <v>1620.8863061329923</v>
      </c>
      <c r="C226" s="10">
        <f t="shared" si="29"/>
        <v>664.68609609027726</v>
      </c>
      <c r="D226" s="10">
        <f t="shared" si="27"/>
        <v>956.20021004271507</v>
      </c>
      <c r="E226" s="10">
        <f t="shared" si="30"/>
        <v>0</v>
      </c>
      <c r="F226" s="10">
        <f t="shared" si="31"/>
        <v>176293.42541403123</v>
      </c>
    </row>
    <row r="227" spans="1:9" x14ac:dyDescent="0.25">
      <c r="A227">
        <v>221</v>
      </c>
      <c r="B227" s="10">
        <f t="shared" si="28"/>
        <v>1620.8863061329923</v>
      </c>
      <c r="C227" s="10">
        <f t="shared" si="29"/>
        <v>661.10034530261703</v>
      </c>
      <c r="D227" s="10">
        <f t="shared" si="27"/>
        <v>959.7859608303753</v>
      </c>
      <c r="E227" s="10">
        <f t="shared" si="30"/>
        <v>0</v>
      </c>
      <c r="F227" s="10">
        <f t="shared" si="31"/>
        <v>175333.63945320086</v>
      </c>
    </row>
    <row r="228" spans="1:9" x14ac:dyDescent="0.25">
      <c r="A228">
        <v>222</v>
      </c>
      <c r="B228" s="10">
        <f t="shared" si="28"/>
        <v>1620.8863061329923</v>
      </c>
      <c r="C228" s="10">
        <f t="shared" si="29"/>
        <v>657.50114794950321</v>
      </c>
      <c r="D228" s="10">
        <f t="shared" si="27"/>
        <v>963.38515818348912</v>
      </c>
      <c r="E228" s="10">
        <f t="shared" si="30"/>
        <v>0</v>
      </c>
      <c r="F228" s="10">
        <f t="shared" si="31"/>
        <v>174370.25429501737</v>
      </c>
    </row>
    <row r="229" spans="1:9" x14ac:dyDescent="0.25">
      <c r="A229">
        <v>223</v>
      </c>
      <c r="B229" s="10">
        <f t="shared" si="28"/>
        <v>1620.8863061329923</v>
      </c>
      <c r="C229" s="10">
        <f t="shared" si="29"/>
        <v>653.88845360631512</v>
      </c>
      <c r="D229" s="10">
        <f t="shared" si="27"/>
        <v>966.99785252667721</v>
      </c>
      <c r="E229" s="10">
        <f t="shared" si="30"/>
        <v>0</v>
      </c>
      <c r="F229" s="10">
        <f t="shared" si="31"/>
        <v>173403.2564424907</v>
      </c>
    </row>
    <row r="230" spans="1:9" x14ac:dyDescent="0.25">
      <c r="A230">
        <v>224</v>
      </c>
      <c r="B230" s="10">
        <f t="shared" si="28"/>
        <v>1620.8863061329923</v>
      </c>
      <c r="C230" s="10">
        <f t="shared" si="29"/>
        <v>650.2622116593401</v>
      </c>
      <c r="D230" s="10">
        <f t="shared" si="27"/>
        <v>970.62409447365224</v>
      </c>
      <c r="E230" s="10">
        <f t="shared" si="30"/>
        <v>0</v>
      </c>
      <c r="F230" s="10">
        <f t="shared" si="31"/>
        <v>172432.63234801704</v>
      </c>
    </row>
    <row r="231" spans="1:9" x14ac:dyDescent="0.25">
      <c r="A231">
        <v>225</v>
      </c>
      <c r="B231" s="10">
        <f t="shared" si="28"/>
        <v>1620.8863061329923</v>
      </c>
      <c r="C231" s="10">
        <f t="shared" si="29"/>
        <v>646.62237130506389</v>
      </c>
      <c r="D231" s="10">
        <f t="shared" si="27"/>
        <v>974.26393482792844</v>
      </c>
      <c r="E231" s="10">
        <f t="shared" si="30"/>
        <v>0</v>
      </c>
      <c r="F231" s="10">
        <f t="shared" si="31"/>
        <v>171458.36841318911</v>
      </c>
    </row>
    <row r="232" spans="1:9" x14ac:dyDescent="0.25">
      <c r="A232">
        <v>226</v>
      </c>
      <c r="B232" s="10">
        <f t="shared" si="28"/>
        <v>1620.8863061329923</v>
      </c>
      <c r="C232" s="10">
        <f t="shared" si="29"/>
        <v>642.96888154945907</v>
      </c>
      <c r="D232" s="10">
        <f t="shared" si="27"/>
        <v>977.91742458353326</v>
      </c>
      <c r="E232" s="10">
        <f t="shared" si="30"/>
        <v>0</v>
      </c>
      <c r="F232" s="10">
        <f t="shared" si="31"/>
        <v>170480.45098860556</v>
      </c>
    </row>
    <row r="233" spans="1:9" x14ac:dyDescent="0.25">
      <c r="A233">
        <v>227</v>
      </c>
      <c r="B233" s="10">
        <f t="shared" si="28"/>
        <v>1620.8863061329923</v>
      </c>
      <c r="C233" s="10">
        <f t="shared" si="29"/>
        <v>639.30169120727078</v>
      </c>
      <c r="D233" s="10">
        <f t="shared" si="27"/>
        <v>981.58461492572155</v>
      </c>
      <c r="E233" s="10">
        <f t="shared" si="30"/>
        <v>0</v>
      </c>
      <c r="F233" s="10">
        <f t="shared" si="31"/>
        <v>169498.86637367983</v>
      </c>
    </row>
    <row r="234" spans="1:9" x14ac:dyDescent="0.25">
      <c r="A234">
        <v>228</v>
      </c>
      <c r="B234" s="10">
        <f t="shared" si="28"/>
        <v>1620.8863061329923</v>
      </c>
      <c r="C234" s="10">
        <f t="shared" si="29"/>
        <v>635.62074890129941</v>
      </c>
      <c r="D234" s="10">
        <f t="shared" si="27"/>
        <v>985.26555723169292</v>
      </c>
      <c r="E234" s="10">
        <f t="shared" si="30"/>
        <v>0</v>
      </c>
      <c r="F234" s="10">
        <f t="shared" si="31"/>
        <v>168513.60081644813</v>
      </c>
      <c r="H234" t="s">
        <v>55</v>
      </c>
      <c r="I234" s="10">
        <f t="shared" ref="I234" si="34">SUM(C223:C234)</f>
        <v>7867.3910273315296</v>
      </c>
    </row>
    <row r="235" spans="1:9" x14ac:dyDescent="0.25">
      <c r="A235">
        <v>229</v>
      </c>
      <c r="B235" s="10">
        <f t="shared" si="28"/>
        <v>1620.8863061329923</v>
      </c>
      <c r="C235" s="10">
        <f t="shared" si="29"/>
        <v>631.92600306168049</v>
      </c>
      <c r="D235" s="10">
        <f t="shared" si="27"/>
        <v>988.96030307131184</v>
      </c>
      <c r="E235" s="10">
        <f t="shared" si="30"/>
        <v>0</v>
      </c>
      <c r="F235" s="10">
        <f t="shared" si="31"/>
        <v>167524.64051337683</v>
      </c>
    </row>
    <row r="236" spans="1:9" x14ac:dyDescent="0.25">
      <c r="A236">
        <v>230</v>
      </c>
      <c r="B236" s="10">
        <f t="shared" si="28"/>
        <v>1620.8863061329923</v>
      </c>
      <c r="C236" s="10">
        <f t="shared" si="29"/>
        <v>628.21740192516313</v>
      </c>
      <c r="D236" s="10">
        <f t="shared" si="27"/>
        <v>992.6689042078292</v>
      </c>
      <c r="E236" s="10">
        <f t="shared" si="30"/>
        <v>0</v>
      </c>
      <c r="F236" s="10">
        <f t="shared" si="31"/>
        <v>166531.97160916901</v>
      </c>
    </row>
    <row r="237" spans="1:9" x14ac:dyDescent="0.25">
      <c r="A237">
        <v>231</v>
      </c>
      <c r="B237" s="10">
        <f t="shared" si="28"/>
        <v>1620.8863061329923</v>
      </c>
      <c r="C237" s="10">
        <f t="shared" si="29"/>
        <v>624.49489353438378</v>
      </c>
      <c r="D237" s="10">
        <f t="shared" si="27"/>
        <v>996.39141259860855</v>
      </c>
      <c r="E237" s="10">
        <f t="shared" si="30"/>
        <v>0</v>
      </c>
      <c r="F237" s="10">
        <f t="shared" si="31"/>
        <v>165535.5801965704</v>
      </c>
    </row>
    <row r="238" spans="1:9" x14ac:dyDescent="0.25">
      <c r="A238">
        <v>232</v>
      </c>
      <c r="B238" s="10">
        <f t="shared" si="28"/>
        <v>1620.8863061329923</v>
      </c>
      <c r="C238" s="10">
        <f t="shared" si="29"/>
        <v>620.75842573713896</v>
      </c>
      <c r="D238" s="10">
        <f t="shared" si="27"/>
        <v>1000.1278803958534</v>
      </c>
      <c r="E238" s="10">
        <f t="shared" si="30"/>
        <v>0</v>
      </c>
      <c r="F238" s="10">
        <f t="shared" si="31"/>
        <v>164535.45231617455</v>
      </c>
    </row>
    <row r="239" spans="1:9" x14ac:dyDescent="0.25">
      <c r="A239">
        <v>233</v>
      </c>
      <c r="B239" s="10">
        <f t="shared" si="28"/>
        <v>1620.8863061329923</v>
      </c>
      <c r="C239" s="10">
        <f t="shared" si="29"/>
        <v>617.00794618565453</v>
      </c>
      <c r="D239" s="10">
        <f t="shared" si="27"/>
        <v>1003.8783599473378</v>
      </c>
      <c r="E239" s="10">
        <f t="shared" si="30"/>
        <v>0</v>
      </c>
      <c r="F239" s="10">
        <f t="shared" si="31"/>
        <v>163531.57395622722</v>
      </c>
    </row>
    <row r="240" spans="1:9" x14ac:dyDescent="0.25">
      <c r="A240">
        <v>234</v>
      </c>
      <c r="B240" s="10">
        <f t="shared" si="28"/>
        <v>1620.8863061329923</v>
      </c>
      <c r="C240" s="10">
        <f t="shared" si="29"/>
        <v>613.24340233585201</v>
      </c>
      <c r="D240" s="10">
        <f t="shared" si="27"/>
        <v>1007.6429037971403</v>
      </c>
      <c r="E240" s="10">
        <f t="shared" si="30"/>
        <v>0</v>
      </c>
      <c r="F240" s="10">
        <f t="shared" si="31"/>
        <v>162523.93105243007</v>
      </c>
    </row>
    <row r="241" spans="1:9" x14ac:dyDescent="0.25">
      <c r="A241">
        <v>235</v>
      </c>
      <c r="B241" s="10">
        <f t="shared" si="28"/>
        <v>1620.8863061329923</v>
      </c>
      <c r="C241" s="10">
        <f t="shared" si="29"/>
        <v>609.46474144661272</v>
      </c>
      <c r="D241" s="10">
        <f t="shared" si="27"/>
        <v>1011.4215646863796</v>
      </c>
      <c r="E241" s="10">
        <f t="shared" si="30"/>
        <v>0</v>
      </c>
      <c r="F241" s="10">
        <f t="shared" si="31"/>
        <v>161512.50948774369</v>
      </c>
    </row>
    <row r="242" spans="1:9" x14ac:dyDescent="0.25">
      <c r="A242">
        <v>236</v>
      </c>
      <c r="B242" s="10">
        <f t="shared" si="28"/>
        <v>1620.8863061329923</v>
      </c>
      <c r="C242" s="10">
        <f t="shared" si="29"/>
        <v>605.67191057903881</v>
      </c>
      <c r="D242" s="10">
        <f t="shared" si="27"/>
        <v>1015.2143955539535</v>
      </c>
      <c r="E242" s="10">
        <f t="shared" si="30"/>
        <v>0</v>
      </c>
      <c r="F242" s="10">
        <f t="shared" si="31"/>
        <v>160497.29509218974</v>
      </c>
    </row>
    <row r="243" spans="1:9" x14ac:dyDescent="0.25">
      <c r="A243">
        <v>237</v>
      </c>
      <c r="B243" s="10">
        <f t="shared" si="28"/>
        <v>1620.8863061329923</v>
      </c>
      <c r="C243" s="10">
        <f t="shared" si="29"/>
        <v>601.86485659571156</v>
      </c>
      <c r="D243" s="10">
        <f t="shared" si="27"/>
        <v>1019.0214495372808</v>
      </c>
      <c r="E243" s="10">
        <f t="shared" si="30"/>
        <v>0</v>
      </c>
      <c r="F243" s="10">
        <f t="shared" si="31"/>
        <v>159478.27364265246</v>
      </c>
    </row>
    <row r="244" spans="1:9" x14ac:dyDescent="0.25">
      <c r="A244">
        <v>238</v>
      </c>
      <c r="B244" s="10">
        <f t="shared" si="28"/>
        <v>1620.8863061329923</v>
      </c>
      <c r="C244" s="10">
        <f t="shared" si="29"/>
        <v>598.04352615994674</v>
      </c>
      <c r="D244" s="10">
        <f t="shared" si="27"/>
        <v>1022.8427799730456</v>
      </c>
      <c r="E244" s="10">
        <f t="shared" si="30"/>
        <v>0</v>
      </c>
      <c r="F244" s="10">
        <f t="shared" si="31"/>
        <v>158455.43086267941</v>
      </c>
    </row>
    <row r="245" spans="1:9" x14ac:dyDescent="0.25">
      <c r="A245">
        <v>239</v>
      </c>
      <c r="B245" s="10">
        <f t="shared" si="28"/>
        <v>1620.8863061329923</v>
      </c>
      <c r="C245" s="10">
        <f t="shared" si="29"/>
        <v>594.20786573504779</v>
      </c>
      <c r="D245" s="10">
        <f t="shared" si="27"/>
        <v>1026.6784403979445</v>
      </c>
      <c r="E245" s="10">
        <f t="shared" si="30"/>
        <v>0</v>
      </c>
      <c r="F245" s="10">
        <f t="shared" si="31"/>
        <v>157428.75242228145</v>
      </c>
    </row>
    <row r="246" spans="1:9" x14ac:dyDescent="0.25">
      <c r="A246">
        <v>240</v>
      </c>
      <c r="B246" s="10">
        <f t="shared" si="28"/>
        <v>1620.8863061329923</v>
      </c>
      <c r="C246" s="10">
        <f t="shared" si="29"/>
        <v>590.35782158355539</v>
      </c>
      <c r="D246" s="10">
        <f t="shared" si="27"/>
        <v>1030.5284845494371</v>
      </c>
      <c r="E246" s="10">
        <f t="shared" si="30"/>
        <v>0</v>
      </c>
      <c r="F246" s="10">
        <f t="shared" si="31"/>
        <v>156398.22393773202</v>
      </c>
      <c r="H246" t="s">
        <v>56</v>
      </c>
      <c r="I246" s="10">
        <f t="shared" ref="I246" si="35">SUM(C235:C246)</f>
        <v>7335.2587948797855</v>
      </c>
    </row>
    <row r="247" spans="1:9" x14ac:dyDescent="0.25">
      <c r="A247">
        <v>241</v>
      </c>
      <c r="B247" s="10">
        <f t="shared" si="28"/>
        <v>1620.8863061329923</v>
      </c>
      <c r="C247" s="10">
        <f t="shared" si="29"/>
        <v>586.49333976649507</v>
      </c>
      <c r="D247" s="10">
        <f t="shared" si="27"/>
        <v>1034.3929663664971</v>
      </c>
      <c r="E247" s="10">
        <f t="shared" si="30"/>
        <v>0</v>
      </c>
      <c r="F247" s="10">
        <f t="shared" si="31"/>
        <v>155363.83097136553</v>
      </c>
    </row>
    <row r="248" spans="1:9" x14ac:dyDescent="0.25">
      <c r="A248">
        <v>242</v>
      </c>
      <c r="B248" s="10">
        <f t="shared" si="28"/>
        <v>1620.8863061329923</v>
      </c>
      <c r="C248" s="10">
        <f t="shared" si="29"/>
        <v>582.61436614262072</v>
      </c>
      <c r="D248" s="10">
        <f t="shared" si="27"/>
        <v>1038.2719399903717</v>
      </c>
      <c r="E248" s="10">
        <f t="shared" si="30"/>
        <v>0</v>
      </c>
      <c r="F248" s="10">
        <f t="shared" si="31"/>
        <v>154325.55903137516</v>
      </c>
    </row>
    <row r="249" spans="1:9" x14ac:dyDescent="0.25">
      <c r="A249">
        <v>243</v>
      </c>
      <c r="B249" s="10">
        <f t="shared" si="28"/>
        <v>1620.8863061329923</v>
      </c>
      <c r="C249" s="10">
        <f t="shared" si="29"/>
        <v>578.7208463676568</v>
      </c>
      <c r="D249" s="10">
        <f t="shared" si="27"/>
        <v>1042.1654597653355</v>
      </c>
      <c r="E249" s="10">
        <f t="shared" si="30"/>
        <v>0</v>
      </c>
      <c r="F249" s="10">
        <f t="shared" si="31"/>
        <v>153283.39357160983</v>
      </c>
    </row>
    <row r="250" spans="1:9" x14ac:dyDescent="0.25">
      <c r="A250">
        <v>244</v>
      </c>
      <c r="B250" s="10">
        <f t="shared" si="28"/>
        <v>1620.8863061329923</v>
      </c>
      <c r="C250" s="10">
        <f t="shared" si="29"/>
        <v>574.81272589353682</v>
      </c>
      <c r="D250" s="10">
        <f t="shared" si="27"/>
        <v>1046.0735802394556</v>
      </c>
      <c r="E250" s="10">
        <f t="shared" si="30"/>
        <v>0</v>
      </c>
      <c r="F250" s="10">
        <f t="shared" si="31"/>
        <v>152237.31999137037</v>
      </c>
    </row>
    <row r="251" spans="1:9" x14ac:dyDescent="0.25">
      <c r="A251">
        <v>245</v>
      </c>
      <c r="B251" s="10">
        <f t="shared" si="28"/>
        <v>1620.8863061329923</v>
      </c>
      <c r="C251" s="10">
        <f t="shared" si="29"/>
        <v>570.88994996763893</v>
      </c>
      <c r="D251" s="10">
        <f t="shared" si="27"/>
        <v>1049.9963561653535</v>
      </c>
      <c r="E251" s="10">
        <f t="shared" si="30"/>
        <v>0</v>
      </c>
      <c r="F251" s="10">
        <f t="shared" si="31"/>
        <v>151187.32363520502</v>
      </c>
    </row>
    <row r="252" spans="1:9" x14ac:dyDescent="0.25">
      <c r="A252">
        <v>246</v>
      </c>
      <c r="B252" s="10">
        <f t="shared" si="28"/>
        <v>1620.8863061329923</v>
      </c>
      <c r="C252" s="10">
        <f t="shared" si="29"/>
        <v>566.95246363201875</v>
      </c>
      <c r="D252" s="10">
        <f t="shared" si="27"/>
        <v>1053.9338425009737</v>
      </c>
      <c r="E252" s="10">
        <f t="shared" si="30"/>
        <v>0</v>
      </c>
      <c r="F252" s="10">
        <f t="shared" si="31"/>
        <v>150133.38979270405</v>
      </c>
    </row>
    <row r="253" spans="1:9" x14ac:dyDescent="0.25">
      <c r="A253">
        <v>247</v>
      </c>
      <c r="B253" s="10">
        <f t="shared" si="28"/>
        <v>1620.8863061329923</v>
      </c>
      <c r="C253" s="10">
        <f t="shared" si="29"/>
        <v>563.00021172264019</v>
      </c>
      <c r="D253" s="10">
        <f t="shared" si="27"/>
        <v>1057.8860944103521</v>
      </c>
      <c r="E253" s="10">
        <f t="shared" si="30"/>
        <v>0</v>
      </c>
      <c r="F253" s="10">
        <f t="shared" si="31"/>
        <v>149075.5036982937</v>
      </c>
    </row>
    <row r="254" spans="1:9" x14ac:dyDescent="0.25">
      <c r="A254">
        <v>248</v>
      </c>
      <c r="B254" s="10">
        <f t="shared" si="28"/>
        <v>1620.8863061329923</v>
      </c>
      <c r="C254" s="10">
        <f t="shared" si="29"/>
        <v>559.03313886860133</v>
      </c>
      <c r="D254" s="10">
        <f t="shared" si="27"/>
        <v>1061.853167264391</v>
      </c>
      <c r="E254" s="10">
        <f t="shared" si="30"/>
        <v>0</v>
      </c>
      <c r="F254" s="10">
        <f t="shared" si="31"/>
        <v>148013.6505310293</v>
      </c>
    </row>
    <row r="255" spans="1:9" x14ac:dyDescent="0.25">
      <c r="A255">
        <v>249</v>
      </c>
      <c r="B255" s="10">
        <f t="shared" si="28"/>
        <v>1620.8863061329923</v>
      </c>
      <c r="C255" s="10">
        <f t="shared" si="29"/>
        <v>555.05118949135988</v>
      </c>
      <c r="D255" s="10">
        <f t="shared" si="27"/>
        <v>1065.8351166416323</v>
      </c>
      <c r="E255" s="10">
        <f t="shared" si="30"/>
        <v>0</v>
      </c>
      <c r="F255" s="10">
        <f t="shared" si="31"/>
        <v>146947.81541438767</v>
      </c>
    </row>
    <row r="256" spans="1:9" x14ac:dyDescent="0.25">
      <c r="A256">
        <v>250</v>
      </c>
      <c r="B256" s="10">
        <f t="shared" si="28"/>
        <v>1620.8863061329923</v>
      </c>
      <c r="C256" s="10">
        <f t="shared" si="29"/>
        <v>551.05430780395375</v>
      </c>
      <c r="D256" s="10">
        <f t="shared" si="27"/>
        <v>1069.8319983290385</v>
      </c>
      <c r="E256" s="10">
        <f t="shared" si="30"/>
        <v>0</v>
      </c>
      <c r="F256" s="10">
        <f t="shared" si="31"/>
        <v>145877.98341605865</v>
      </c>
    </row>
    <row r="257" spans="1:9" x14ac:dyDescent="0.25">
      <c r="A257">
        <v>251</v>
      </c>
      <c r="B257" s="10">
        <f t="shared" si="28"/>
        <v>1620.8863061329923</v>
      </c>
      <c r="C257" s="10">
        <f t="shared" si="29"/>
        <v>547.04243781021989</v>
      </c>
      <c r="D257" s="10">
        <f t="shared" si="27"/>
        <v>1073.8438683227723</v>
      </c>
      <c r="E257" s="10">
        <f t="shared" si="30"/>
        <v>0</v>
      </c>
      <c r="F257" s="10">
        <f t="shared" si="31"/>
        <v>144804.13954773586</v>
      </c>
    </row>
    <row r="258" spans="1:9" x14ac:dyDescent="0.25">
      <c r="A258">
        <v>252</v>
      </c>
      <c r="B258" s="10">
        <f t="shared" si="28"/>
        <v>1620.8863061329923</v>
      </c>
      <c r="C258" s="10">
        <f t="shared" si="29"/>
        <v>543.01552330400943</v>
      </c>
      <c r="D258" s="10">
        <f t="shared" si="27"/>
        <v>1077.870782828983</v>
      </c>
      <c r="E258" s="10">
        <f t="shared" si="30"/>
        <v>0</v>
      </c>
      <c r="F258" s="10">
        <f t="shared" si="31"/>
        <v>143726.26876490688</v>
      </c>
      <c r="H258" t="s">
        <v>53</v>
      </c>
      <c r="I258" s="10">
        <f t="shared" ref="I258" si="36">SUM(C247:C258)</f>
        <v>6778.6805007707517</v>
      </c>
    </row>
    <row r="259" spans="1:9" x14ac:dyDescent="0.25">
      <c r="A259">
        <v>253</v>
      </c>
      <c r="B259" s="10">
        <f t="shared" si="28"/>
        <v>1620.8863061329923</v>
      </c>
      <c r="C259" s="10">
        <f t="shared" si="29"/>
        <v>538.97350786840082</v>
      </c>
      <c r="D259" s="10">
        <f t="shared" si="27"/>
        <v>1081.9127982645914</v>
      </c>
      <c r="E259" s="10">
        <f t="shared" si="30"/>
        <v>0</v>
      </c>
      <c r="F259" s="10">
        <f t="shared" si="31"/>
        <v>142644.3559666423</v>
      </c>
    </row>
    <row r="260" spans="1:9" x14ac:dyDescent="0.25">
      <c r="A260">
        <v>254</v>
      </c>
      <c r="B260" s="10">
        <f t="shared" si="28"/>
        <v>1620.8863061329923</v>
      </c>
      <c r="C260" s="10">
        <f t="shared" si="29"/>
        <v>534.91633487490856</v>
      </c>
      <c r="D260" s="10">
        <f t="shared" si="27"/>
        <v>1085.9699712580837</v>
      </c>
      <c r="E260" s="10">
        <f t="shared" si="30"/>
        <v>0</v>
      </c>
      <c r="F260" s="10">
        <f t="shared" si="31"/>
        <v>141558.38599538422</v>
      </c>
    </row>
    <row r="261" spans="1:9" x14ac:dyDescent="0.25">
      <c r="A261">
        <v>255</v>
      </c>
      <c r="B261" s="10">
        <f t="shared" si="28"/>
        <v>1620.8863061329923</v>
      </c>
      <c r="C261" s="10">
        <f t="shared" si="29"/>
        <v>530.84394748269085</v>
      </c>
      <c r="D261" s="10">
        <f t="shared" si="27"/>
        <v>1090.0423586503016</v>
      </c>
      <c r="E261" s="10">
        <f t="shared" si="30"/>
        <v>0</v>
      </c>
      <c r="F261" s="10">
        <f t="shared" si="31"/>
        <v>140468.34363673392</v>
      </c>
    </row>
    <row r="262" spans="1:9" x14ac:dyDescent="0.25">
      <c r="A262">
        <v>256</v>
      </c>
      <c r="B262" s="10">
        <f t="shared" si="28"/>
        <v>1620.8863061329923</v>
      </c>
      <c r="C262" s="10">
        <f t="shared" si="29"/>
        <v>526.75628863775216</v>
      </c>
      <c r="D262" s="10">
        <f t="shared" si="27"/>
        <v>1094.1300174952403</v>
      </c>
      <c r="E262" s="10">
        <f t="shared" si="30"/>
        <v>0</v>
      </c>
      <c r="F262" s="10">
        <f t="shared" si="31"/>
        <v>139374.21361923867</v>
      </c>
    </row>
    <row r="263" spans="1:9" x14ac:dyDescent="0.25">
      <c r="A263">
        <v>257</v>
      </c>
      <c r="B263" s="10">
        <f t="shared" si="28"/>
        <v>1620.8863061329923</v>
      </c>
      <c r="C263" s="10">
        <f t="shared" si="29"/>
        <v>522.65330107214504</v>
      </c>
      <c r="D263" s="10">
        <f t="shared" ref="D263:D326" si="37">B263-C263</f>
        <v>1098.2330050608473</v>
      </c>
      <c r="E263" s="10">
        <f t="shared" si="30"/>
        <v>0</v>
      </c>
      <c r="F263" s="10">
        <f t="shared" si="31"/>
        <v>138275.98061417782</v>
      </c>
    </row>
    <row r="264" spans="1:9" x14ac:dyDescent="0.25">
      <c r="A264">
        <v>258</v>
      </c>
      <c r="B264" s="10">
        <f t="shared" ref="B264:B327" si="38">PMT($C$2/12,$C$3,-$C$1)</f>
        <v>1620.8863061329923</v>
      </c>
      <c r="C264" s="10">
        <f t="shared" ref="C264:C327" si="39">F263*($C$2/12)</f>
        <v>518.5349273031668</v>
      </c>
      <c r="D264" s="10">
        <f t="shared" si="37"/>
        <v>1102.3513788298255</v>
      </c>
      <c r="E264" s="10">
        <f t="shared" ref="E264:E327" si="40">$F$1</f>
        <v>0</v>
      </c>
      <c r="F264" s="10">
        <f t="shared" ref="F264:F327" si="41">F263-D264-E264</f>
        <v>137173.62923534799</v>
      </c>
    </row>
    <row r="265" spans="1:9" x14ac:dyDescent="0.25">
      <c r="A265">
        <v>259</v>
      </c>
      <c r="B265" s="10">
        <f t="shared" si="38"/>
        <v>1620.8863061329923</v>
      </c>
      <c r="C265" s="10">
        <f t="shared" si="39"/>
        <v>514.40110963255495</v>
      </c>
      <c r="D265" s="10">
        <f t="shared" si="37"/>
        <v>1106.4851965004373</v>
      </c>
      <c r="E265" s="10">
        <f t="shared" si="40"/>
        <v>0</v>
      </c>
      <c r="F265" s="10">
        <f t="shared" si="41"/>
        <v>136067.14403884756</v>
      </c>
    </row>
    <row r="266" spans="1:9" x14ac:dyDescent="0.25">
      <c r="A266">
        <v>260</v>
      </c>
      <c r="B266" s="10">
        <f t="shared" si="38"/>
        <v>1620.8863061329923</v>
      </c>
      <c r="C266" s="10">
        <f t="shared" si="39"/>
        <v>510.25179014567834</v>
      </c>
      <c r="D266" s="10">
        <f t="shared" si="37"/>
        <v>1110.634515987314</v>
      </c>
      <c r="E266" s="10">
        <f t="shared" si="40"/>
        <v>0</v>
      </c>
      <c r="F266" s="10">
        <f t="shared" si="41"/>
        <v>134956.50952286026</v>
      </c>
    </row>
    <row r="267" spans="1:9" x14ac:dyDescent="0.25">
      <c r="A267">
        <v>261</v>
      </c>
      <c r="B267" s="10">
        <f t="shared" si="38"/>
        <v>1620.8863061329923</v>
      </c>
      <c r="C267" s="10">
        <f t="shared" si="39"/>
        <v>506.08691071072593</v>
      </c>
      <c r="D267" s="10">
        <f t="shared" si="37"/>
        <v>1114.7993954222663</v>
      </c>
      <c r="E267" s="10">
        <f t="shared" si="40"/>
        <v>0</v>
      </c>
      <c r="F267" s="10">
        <f t="shared" si="41"/>
        <v>133841.71012743798</v>
      </c>
    </row>
    <row r="268" spans="1:9" x14ac:dyDescent="0.25">
      <c r="A268">
        <v>262</v>
      </c>
      <c r="B268" s="10">
        <f t="shared" si="38"/>
        <v>1620.8863061329923</v>
      </c>
      <c r="C268" s="10">
        <f t="shared" si="39"/>
        <v>501.90641297789239</v>
      </c>
      <c r="D268" s="10">
        <f t="shared" si="37"/>
        <v>1118.9798931550999</v>
      </c>
      <c r="E268" s="10">
        <f t="shared" si="40"/>
        <v>0</v>
      </c>
      <c r="F268" s="10">
        <f t="shared" si="41"/>
        <v>132722.73023428288</v>
      </c>
    </row>
    <row r="269" spans="1:9" x14ac:dyDescent="0.25">
      <c r="A269">
        <v>263</v>
      </c>
      <c r="B269" s="10">
        <f t="shared" si="38"/>
        <v>1620.8863061329923</v>
      </c>
      <c r="C269" s="10">
        <f t="shared" si="39"/>
        <v>497.71023837856075</v>
      </c>
      <c r="D269" s="10">
        <f t="shared" si="37"/>
        <v>1123.1760677544316</v>
      </c>
      <c r="E269" s="10">
        <f t="shared" si="40"/>
        <v>0</v>
      </c>
      <c r="F269" s="10">
        <f t="shared" si="41"/>
        <v>131599.55416652845</v>
      </c>
    </row>
    <row r="270" spans="1:9" x14ac:dyDescent="0.25">
      <c r="A270">
        <v>264</v>
      </c>
      <c r="B270" s="10">
        <f t="shared" si="38"/>
        <v>1620.8863061329923</v>
      </c>
      <c r="C270" s="10">
        <f t="shared" si="39"/>
        <v>493.4983281244817</v>
      </c>
      <c r="D270" s="10">
        <f t="shared" si="37"/>
        <v>1127.3879780085106</v>
      </c>
      <c r="E270" s="10">
        <f t="shared" si="40"/>
        <v>0</v>
      </c>
      <c r="F270" s="10">
        <f t="shared" si="41"/>
        <v>130472.16618851994</v>
      </c>
      <c r="H270" t="s">
        <v>54</v>
      </c>
      <c r="I270" s="10">
        <f t="shared" ref="I270" si="42">SUM(C259:C270)</f>
        <v>6196.5330972089578</v>
      </c>
    </row>
    <row r="271" spans="1:9" x14ac:dyDescent="0.25">
      <c r="A271">
        <v>265</v>
      </c>
      <c r="B271" s="10">
        <f t="shared" si="38"/>
        <v>1620.8863061329923</v>
      </c>
      <c r="C271" s="10">
        <f t="shared" si="39"/>
        <v>489.27062320694978</v>
      </c>
      <c r="D271" s="10">
        <f t="shared" si="37"/>
        <v>1131.6156829260426</v>
      </c>
      <c r="E271" s="10">
        <f t="shared" si="40"/>
        <v>0</v>
      </c>
      <c r="F271" s="10">
        <f t="shared" si="41"/>
        <v>129340.5505055939</v>
      </c>
    </row>
    <row r="272" spans="1:9" x14ac:dyDescent="0.25">
      <c r="A272">
        <v>266</v>
      </c>
      <c r="B272" s="10">
        <f t="shared" si="38"/>
        <v>1620.8863061329923</v>
      </c>
      <c r="C272" s="10">
        <f t="shared" si="39"/>
        <v>485.02706439597711</v>
      </c>
      <c r="D272" s="10">
        <f t="shared" si="37"/>
        <v>1135.8592417370153</v>
      </c>
      <c r="E272" s="10">
        <f t="shared" si="40"/>
        <v>0</v>
      </c>
      <c r="F272" s="10">
        <f t="shared" si="41"/>
        <v>128204.69126385689</v>
      </c>
    </row>
    <row r="273" spans="1:9" x14ac:dyDescent="0.25">
      <c r="A273">
        <v>267</v>
      </c>
      <c r="B273" s="10">
        <f t="shared" si="38"/>
        <v>1620.8863061329923</v>
      </c>
      <c r="C273" s="10">
        <f t="shared" si="39"/>
        <v>480.76759223946334</v>
      </c>
      <c r="D273" s="10">
        <f t="shared" si="37"/>
        <v>1140.118713893529</v>
      </c>
      <c r="E273" s="10">
        <f t="shared" si="40"/>
        <v>0</v>
      </c>
      <c r="F273" s="10">
        <f t="shared" si="41"/>
        <v>127064.57254996336</v>
      </c>
    </row>
    <row r="274" spans="1:9" x14ac:dyDescent="0.25">
      <c r="A274">
        <v>268</v>
      </c>
      <c r="B274" s="10">
        <f t="shared" si="38"/>
        <v>1620.8863061329923</v>
      </c>
      <c r="C274" s="10">
        <f t="shared" si="39"/>
        <v>476.49214706236256</v>
      </c>
      <c r="D274" s="10">
        <f t="shared" si="37"/>
        <v>1144.3941590706297</v>
      </c>
      <c r="E274" s="10">
        <f t="shared" si="40"/>
        <v>0</v>
      </c>
      <c r="F274" s="10">
        <f t="shared" si="41"/>
        <v>125920.17839089273</v>
      </c>
    </row>
    <row r="275" spans="1:9" x14ac:dyDescent="0.25">
      <c r="A275">
        <v>269</v>
      </c>
      <c r="B275" s="10">
        <f t="shared" si="38"/>
        <v>1620.8863061329923</v>
      </c>
      <c r="C275" s="10">
        <f t="shared" si="39"/>
        <v>472.20066896584774</v>
      </c>
      <c r="D275" s="10">
        <f t="shared" si="37"/>
        <v>1148.6856371671447</v>
      </c>
      <c r="E275" s="10">
        <f t="shared" si="40"/>
        <v>0</v>
      </c>
      <c r="F275" s="10">
        <f t="shared" si="41"/>
        <v>124771.49275372559</v>
      </c>
    </row>
    <row r="276" spans="1:9" x14ac:dyDescent="0.25">
      <c r="A276">
        <v>270</v>
      </c>
      <c r="B276" s="10">
        <f t="shared" si="38"/>
        <v>1620.8863061329923</v>
      </c>
      <c r="C276" s="10">
        <f t="shared" si="39"/>
        <v>467.89309782647092</v>
      </c>
      <c r="D276" s="10">
        <f t="shared" si="37"/>
        <v>1152.9932083065214</v>
      </c>
      <c r="E276" s="10">
        <f t="shared" si="40"/>
        <v>0</v>
      </c>
      <c r="F276" s="10">
        <f t="shared" si="41"/>
        <v>123618.49954541906</v>
      </c>
    </row>
    <row r="277" spans="1:9" x14ac:dyDescent="0.25">
      <c r="A277">
        <v>271</v>
      </c>
      <c r="B277" s="10">
        <f t="shared" si="38"/>
        <v>1620.8863061329923</v>
      </c>
      <c r="C277" s="10">
        <f t="shared" si="39"/>
        <v>463.5693732953215</v>
      </c>
      <c r="D277" s="10">
        <f t="shared" si="37"/>
        <v>1157.3169328376707</v>
      </c>
      <c r="E277" s="10">
        <f t="shared" si="40"/>
        <v>0</v>
      </c>
      <c r="F277" s="10">
        <f t="shared" si="41"/>
        <v>122461.1826125814</v>
      </c>
    </row>
    <row r="278" spans="1:9" x14ac:dyDescent="0.25">
      <c r="A278">
        <v>272</v>
      </c>
      <c r="B278" s="10">
        <f t="shared" si="38"/>
        <v>1620.8863061329923</v>
      </c>
      <c r="C278" s="10">
        <f t="shared" si="39"/>
        <v>459.2294347971802</v>
      </c>
      <c r="D278" s="10">
        <f t="shared" si="37"/>
        <v>1161.6568713358122</v>
      </c>
      <c r="E278" s="10">
        <f t="shared" si="40"/>
        <v>0</v>
      </c>
      <c r="F278" s="10">
        <f t="shared" si="41"/>
        <v>121299.52574124558</v>
      </c>
    </row>
    <row r="279" spans="1:9" x14ac:dyDescent="0.25">
      <c r="A279">
        <v>273</v>
      </c>
      <c r="B279" s="10">
        <f t="shared" si="38"/>
        <v>1620.8863061329923</v>
      </c>
      <c r="C279" s="10">
        <f t="shared" si="39"/>
        <v>454.8732215296709</v>
      </c>
      <c r="D279" s="10">
        <f t="shared" si="37"/>
        <v>1166.0130846033214</v>
      </c>
      <c r="E279" s="10">
        <f t="shared" si="40"/>
        <v>0</v>
      </c>
      <c r="F279" s="10">
        <f t="shared" si="41"/>
        <v>120133.51265664226</v>
      </c>
    </row>
    <row r="280" spans="1:9" x14ac:dyDescent="0.25">
      <c r="A280">
        <v>274</v>
      </c>
      <c r="B280" s="10">
        <f t="shared" si="38"/>
        <v>1620.8863061329923</v>
      </c>
      <c r="C280" s="10">
        <f t="shared" si="39"/>
        <v>450.50067246240843</v>
      </c>
      <c r="D280" s="10">
        <f t="shared" si="37"/>
        <v>1170.385633670584</v>
      </c>
      <c r="E280" s="10">
        <f t="shared" si="40"/>
        <v>0</v>
      </c>
      <c r="F280" s="10">
        <f t="shared" si="41"/>
        <v>118963.12702297168</v>
      </c>
    </row>
    <row r="281" spans="1:9" x14ac:dyDescent="0.25">
      <c r="A281">
        <v>275</v>
      </c>
      <c r="B281" s="10">
        <f t="shared" si="38"/>
        <v>1620.8863061329923</v>
      </c>
      <c r="C281" s="10">
        <f t="shared" si="39"/>
        <v>446.11172633614376</v>
      </c>
      <c r="D281" s="10">
        <f t="shared" si="37"/>
        <v>1174.7745797968487</v>
      </c>
      <c r="E281" s="10">
        <f t="shared" si="40"/>
        <v>0</v>
      </c>
      <c r="F281" s="10">
        <f t="shared" si="41"/>
        <v>117788.35244317482</v>
      </c>
    </row>
    <row r="282" spans="1:9" x14ac:dyDescent="0.25">
      <c r="A282">
        <v>276</v>
      </c>
      <c r="B282" s="10">
        <f t="shared" si="38"/>
        <v>1620.8863061329923</v>
      </c>
      <c r="C282" s="10">
        <f t="shared" si="39"/>
        <v>441.70632166190558</v>
      </c>
      <c r="D282" s="10">
        <f t="shared" si="37"/>
        <v>1179.1799844710868</v>
      </c>
      <c r="E282" s="10">
        <f t="shared" si="40"/>
        <v>0</v>
      </c>
      <c r="F282" s="10">
        <f t="shared" si="41"/>
        <v>116609.17245870373</v>
      </c>
      <c r="H282" t="s">
        <v>55</v>
      </c>
      <c r="I282" s="10">
        <f t="shared" ref="I282" si="43">SUM(C271:C282)</f>
        <v>5587.6419437797022</v>
      </c>
    </row>
    <row r="283" spans="1:9" x14ac:dyDescent="0.25">
      <c r="A283">
        <v>277</v>
      </c>
      <c r="B283" s="10">
        <f t="shared" si="38"/>
        <v>1620.8863061329923</v>
      </c>
      <c r="C283" s="10">
        <f t="shared" si="39"/>
        <v>437.284396720139</v>
      </c>
      <c r="D283" s="10">
        <f t="shared" si="37"/>
        <v>1183.6019094128533</v>
      </c>
      <c r="E283" s="10">
        <f t="shared" si="40"/>
        <v>0</v>
      </c>
      <c r="F283" s="10">
        <f t="shared" si="41"/>
        <v>115425.57054929087</v>
      </c>
    </row>
    <row r="284" spans="1:9" x14ac:dyDescent="0.25">
      <c r="A284">
        <v>278</v>
      </c>
      <c r="B284" s="10">
        <f t="shared" si="38"/>
        <v>1620.8863061329923</v>
      </c>
      <c r="C284" s="10">
        <f t="shared" si="39"/>
        <v>432.84588955984077</v>
      </c>
      <c r="D284" s="10">
        <f t="shared" si="37"/>
        <v>1188.0404165731516</v>
      </c>
      <c r="E284" s="10">
        <f t="shared" si="40"/>
        <v>0</v>
      </c>
      <c r="F284" s="10">
        <f t="shared" si="41"/>
        <v>114237.53013271773</v>
      </c>
    </row>
    <row r="285" spans="1:9" x14ac:dyDescent="0.25">
      <c r="A285">
        <v>279</v>
      </c>
      <c r="B285" s="10">
        <f t="shared" si="38"/>
        <v>1620.8863061329923</v>
      </c>
      <c r="C285" s="10">
        <f t="shared" si="39"/>
        <v>428.39073799769147</v>
      </c>
      <c r="D285" s="10">
        <f t="shared" si="37"/>
        <v>1192.4955681353008</v>
      </c>
      <c r="E285" s="10">
        <f t="shared" si="40"/>
        <v>0</v>
      </c>
      <c r="F285" s="10">
        <f t="shared" si="41"/>
        <v>113045.03456458243</v>
      </c>
    </row>
    <row r="286" spans="1:9" x14ac:dyDescent="0.25">
      <c r="A286">
        <v>280</v>
      </c>
      <c r="B286" s="10">
        <f t="shared" si="38"/>
        <v>1620.8863061329923</v>
      </c>
      <c r="C286" s="10">
        <f t="shared" si="39"/>
        <v>423.91887961718407</v>
      </c>
      <c r="D286" s="10">
        <f t="shared" si="37"/>
        <v>1196.9674265158083</v>
      </c>
      <c r="E286" s="10">
        <f t="shared" si="40"/>
        <v>0</v>
      </c>
      <c r="F286" s="10">
        <f t="shared" si="41"/>
        <v>111848.06713806662</v>
      </c>
    </row>
    <row r="287" spans="1:9" x14ac:dyDescent="0.25">
      <c r="A287">
        <v>281</v>
      </c>
      <c r="B287" s="10">
        <f t="shared" si="38"/>
        <v>1620.8863061329923</v>
      </c>
      <c r="C287" s="10">
        <f t="shared" si="39"/>
        <v>419.43025176774978</v>
      </c>
      <c r="D287" s="10">
        <f t="shared" si="37"/>
        <v>1201.4560543652426</v>
      </c>
      <c r="E287" s="10">
        <f t="shared" si="40"/>
        <v>0</v>
      </c>
      <c r="F287" s="10">
        <f t="shared" si="41"/>
        <v>110646.61108370137</v>
      </c>
    </row>
    <row r="288" spans="1:9" x14ac:dyDescent="0.25">
      <c r="A288">
        <v>282</v>
      </c>
      <c r="B288" s="10">
        <f t="shared" si="38"/>
        <v>1620.8863061329923</v>
      </c>
      <c r="C288" s="10">
        <f t="shared" si="39"/>
        <v>414.92479156388009</v>
      </c>
      <c r="D288" s="10">
        <f t="shared" si="37"/>
        <v>1205.9615145691123</v>
      </c>
      <c r="E288" s="10">
        <f t="shared" si="40"/>
        <v>0</v>
      </c>
      <c r="F288" s="10">
        <f t="shared" si="41"/>
        <v>109440.64956913226</v>
      </c>
    </row>
    <row r="289" spans="1:9" x14ac:dyDescent="0.25">
      <c r="A289">
        <v>283</v>
      </c>
      <c r="B289" s="10">
        <f t="shared" si="38"/>
        <v>1620.8863061329923</v>
      </c>
      <c r="C289" s="10">
        <f t="shared" si="39"/>
        <v>410.40243588424596</v>
      </c>
      <c r="D289" s="10">
        <f t="shared" si="37"/>
        <v>1210.4838702487464</v>
      </c>
      <c r="E289" s="10">
        <f t="shared" si="40"/>
        <v>0</v>
      </c>
      <c r="F289" s="10">
        <f t="shared" si="41"/>
        <v>108230.16569888352</v>
      </c>
    </row>
    <row r="290" spans="1:9" x14ac:dyDescent="0.25">
      <c r="A290">
        <v>284</v>
      </c>
      <c r="B290" s="10">
        <f t="shared" si="38"/>
        <v>1620.8863061329923</v>
      </c>
      <c r="C290" s="10">
        <f t="shared" si="39"/>
        <v>405.86312137081319</v>
      </c>
      <c r="D290" s="10">
        <f t="shared" si="37"/>
        <v>1215.0231847621792</v>
      </c>
      <c r="E290" s="10">
        <f t="shared" si="40"/>
        <v>0</v>
      </c>
      <c r="F290" s="10">
        <f t="shared" si="41"/>
        <v>107015.14251412134</v>
      </c>
    </row>
    <row r="291" spans="1:9" x14ac:dyDescent="0.25">
      <c r="A291">
        <v>285</v>
      </c>
      <c r="B291" s="10">
        <f t="shared" si="38"/>
        <v>1620.8863061329923</v>
      </c>
      <c r="C291" s="10">
        <f t="shared" si="39"/>
        <v>401.30678442795499</v>
      </c>
      <c r="D291" s="10">
        <f t="shared" si="37"/>
        <v>1219.5795217050372</v>
      </c>
      <c r="E291" s="10">
        <f t="shared" si="40"/>
        <v>0</v>
      </c>
      <c r="F291" s="10">
        <f t="shared" si="41"/>
        <v>105795.56299241631</v>
      </c>
    </row>
    <row r="292" spans="1:9" x14ac:dyDescent="0.25">
      <c r="A292">
        <v>286</v>
      </c>
      <c r="B292" s="10">
        <f t="shared" si="38"/>
        <v>1620.8863061329923</v>
      </c>
      <c r="C292" s="10">
        <f t="shared" si="39"/>
        <v>396.73336122156115</v>
      </c>
      <c r="D292" s="10">
        <f t="shared" si="37"/>
        <v>1224.1529449114312</v>
      </c>
      <c r="E292" s="10">
        <f t="shared" si="40"/>
        <v>0</v>
      </c>
      <c r="F292" s="10">
        <f t="shared" si="41"/>
        <v>104571.41004750488</v>
      </c>
    </row>
    <row r="293" spans="1:9" x14ac:dyDescent="0.25">
      <c r="A293">
        <v>287</v>
      </c>
      <c r="B293" s="10">
        <f t="shared" si="38"/>
        <v>1620.8863061329923</v>
      </c>
      <c r="C293" s="10">
        <f t="shared" si="39"/>
        <v>392.14278767814329</v>
      </c>
      <c r="D293" s="10">
        <f t="shared" si="37"/>
        <v>1228.743518454849</v>
      </c>
      <c r="E293" s="10">
        <f t="shared" si="40"/>
        <v>0</v>
      </c>
      <c r="F293" s="10">
        <f t="shared" si="41"/>
        <v>103342.66652905002</v>
      </c>
    </row>
    <row r="294" spans="1:9" x14ac:dyDescent="0.25">
      <c r="A294">
        <v>288</v>
      </c>
      <c r="B294" s="10">
        <f t="shared" si="38"/>
        <v>1620.8863061329923</v>
      </c>
      <c r="C294" s="10">
        <f t="shared" si="39"/>
        <v>387.53499948393755</v>
      </c>
      <c r="D294" s="10">
        <f t="shared" si="37"/>
        <v>1233.3513066490548</v>
      </c>
      <c r="E294" s="10">
        <f t="shared" si="40"/>
        <v>0</v>
      </c>
      <c r="F294" s="10">
        <f t="shared" si="41"/>
        <v>102109.31522240097</v>
      </c>
      <c r="H294" t="s">
        <v>56</v>
      </c>
      <c r="I294" s="10">
        <f t="shared" ref="I294" si="44">SUM(C283:C294)</f>
        <v>4950.7784372931419</v>
      </c>
    </row>
    <row r="295" spans="1:9" x14ac:dyDescent="0.25">
      <c r="A295">
        <v>289</v>
      </c>
      <c r="B295" s="10">
        <f t="shared" si="38"/>
        <v>1620.8863061329923</v>
      </c>
      <c r="C295" s="10">
        <f t="shared" si="39"/>
        <v>382.90993208400363</v>
      </c>
      <c r="D295" s="10">
        <f t="shared" si="37"/>
        <v>1237.9763740489886</v>
      </c>
      <c r="E295" s="10">
        <f t="shared" si="40"/>
        <v>0</v>
      </c>
      <c r="F295" s="10">
        <f t="shared" si="41"/>
        <v>100871.33884835198</v>
      </c>
    </row>
    <row r="296" spans="1:9" x14ac:dyDescent="0.25">
      <c r="A296">
        <v>290</v>
      </c>
      <c r="B296" s="10">
        <f t="shared" si="38"/>
        <v>1620.8863061329923</v>
      </c>
      <c r="C296" s="10">
        <f t="shared" si="39"/>
        <v>378.26752068131992</v>
      </c>
      <c r="D296" s="10">
        <f t="shared" si="37"/>
        <v>1242.6187854516725</v>
      </c>
      <c r="E296" s="10">
        <f t="shared" si="40"/>
        <v>0</v>
      </c>
      <c r="F296" s="10">
        <f t="shared" si="41"/>
        <v>99628.720062900305</v>
      </c>
    </row>
    <row r="297" spans="1:9" x14ac:dyDescent="0.25">
      <c r="A297">
        <v>291</v>
      </c>
      <c r="B297" s="10">
        <f t="shared" si="38"/>
        <v>1620.8863061329923</v>
      </c>
      <c r="C297" s="10">
        <f t="shared" si="39"/>
        <v>373.60770023587611</v>
      </c>
      <c r="D297" s="10">
        <f t="shared" si="37"/>
        <v>1247.2786058971162</v>
      </c>
      <c r="E297" s="10">
        <f t="shared" si="40"/>
        <v>0</v>
      </c>
      <c r="F297" s="10">
        <f t="shared" si="41"/>
        <v>98381.441457003195</v>
      </c>
    </row>
    <row r="298" spans="1:9" x14ac:dyDescent="0.25">
      <c r="A298">
        <v>292</v>
      </c>
      <c r="B298" s="10">
        <f t="shared" si="38"/>
        <v>1620.8863061329923</v>
      </c>
      <c r="C298" s="10">
        <f t="shared" si="39"/>
        <v>368.93040546376199</v>
      </c>
      <c r="D298" s="10">
        <f t="shared" si="37"/>
        <v>1251.9559006692302</v>
      </c>
      <c r="E298" s="10">
        <f t="shared" si="40"/>
        <v>0</v>
      </c>
      <c r="F298" s="10">
        <f t="shared" si="41"/>
        <v>97129.485556333966</v>
      </c>
    </row>
    <row r="299" spans="1:9" x14ac:dyDescent="0.25">
      <c r="A299">
        <v>293</v>
      </c>
      <c r="B299" s="10">
        <f t="shared" si="38"/>
        <v>1620.8863061329923</v>
      </c>
      <c r="C299" s="10">
        <f t="shared" si="39"/>
        <v>364.23557083625235</v>
      </c>
      <c r="D299" s="10">
        <f t="shared" si="37"/>
        <v>1256.6507352967401</v>
      </c>
      <c r="E299" s="10">
        <f t="shared" si="40"/>
        <v>0</v>
      </c>
      <c r="F299" s="10">
        <f t="shared" si="41"/>
        <v>95872.834821037221</v>
      </c>
    </row>
    <row r="300" spans="1:9" x14ac:dyDescent="0.25">
      <c r="A300">
        <v>294</v>
      </c>
      <c r="B300" s="10">
        <f t="shared" si="38"/>
        <v>1620.8863061329923</v>
      </c>
      <c r="C300" s="10">
        <f t="shared" si="39"/>
        <v>359.52313057888955</v>
      </c>
      <c r="D300" s="10">
        <f t="shared" si="37"/>
        <v>1261.3631755541028</v>
      </c>
      <c r="E300" s="10">
        <f t="shared" si="40"/>
        <v>0</v>
      </c>
      <c r="F300" s="10">
        <f t="shared" si="41"/>
        <v>94611.471645483121</v>
      </c>
    </row>
    <row r="301" spans="1:9" x14ac:dyDescent="0.25">
      <c r="A301">
        <v>295</v>
      </c>
      <c r="B301" s="10">
        <f t="shared" si="38"/>
        <v>1620.8863061329923</v>
      </c>
      <c r="C301" s="10">
        <f t="shared" si="39"/>
        <v>354.79301867056171</v>
      </c>
      <c r="D301" s="10">
        <f t="shared" si="37"/>
        <v>1266.0932874624307</v>
      </c>
      <c r="E301" s="10">
        <f t="shared" si="40"/>
        <v>0</v>
      </c>
      <c r="F301" s="10">
        <f t="shared" si="41"/>
        <v>93345.378358020695</v>
      </c>
    </row>
    <row r="302" spans="1:9" x14ac:dyDescent="0.25">
      <c r="A302">
        <v>296</v>
      </c>
      <c r="B302" s="10">
        <f t="shared" si="38"/>
        <v>1620.8863061329923</v>
      </c>
      <c r="C302" s="10">
        <f t="shared" si="39"/>
        <v>350.0451688425776</v>
      </c>
      <c r="D302" s="10">
        <f t="shared" si="37"/>
        <v>1270.8411372904147</v>
      </c>
      <c r="E302" s="10">
        <f t="shared" si="40"/>
        <v>0</v>
      </c>
      <c r="F302" s="10">
        <f t="shared" si="41"/>
        <v>92074.537220730286</v>
      </c>
    </row>
    <row r="303" spans="1:9" x14ac:dyDescent="0.25">
      <c r="A303">
        <v>297</v>
      </c>
      <c r="B303" s="10">
        <f t="shared" si="38"/>
        <v>1620.8863061329923</v>
      </c>
      <c r="C303" s="10">
        <f t="shared" si="39"/>
        <v>345.27951457773855</v>
      </c>
      <c r="D303" s="10">
        <f t="shared" si="37"/>
        <v>1275.6067915552537</v>
      </c>
      <c r="E303" s="10">
        <f t="shared" si="40"/>
        <v>0</v>
      </c>
      <c r="F303" s="10">
        <f t="shared" si="41"/>
        <v>90798.93042917503</v>
      </c>
    </row>
    <row r="304" spans="1:9" x14ac:dyDescent="0.25">
      <c r="A304">
        <v>298</v>
      </c>
      <c r="B304" s="10">
        <f t="shared" si="38"/>
        <v>1620.8863061329923</v>
      </c>
      <c r="C304" s="10">
        <f t="shared" si="39"/>
        <v>340.49598910940637</v>
      </c>
      <c r="D304" s="10">
        <f t="shared" si="37"/>
        <v>1280.390317023586</v>
      </c>
      <c r="E304" s="10">
        <f t="shared" si="40"/>
        <v>0</v>
      </c>
      <c r="F304" s="10">
        <f t="shared" si="41"/>
        <v>89518.540112151444</v>
      </c>
    </row>
    <row r="305" spans="1:9" x14ac:dyDescent="0.25">
      <c r="A305">
        <v>299</v>
      </c>
      <c r="B305" s="10">
        <f t="shared" si="38"/>
        <v>1620.8863061329923</v>
      </c>
      <c r="C305" s="10">
        <f t="shared" si="39"/>
        <v>335.69452542056791</v>
      </c>
      <c r="D305" s="10">
        <f t="shared" si="37"/>
        <v>1285.1917807124244</v>
      </c>
      <c r="E305" s="10">
        <f t="shared" si="40"/>
        <v>0</v>
      </c>
      <c r="F305" s="10">
        <f t="shared" si="41"/>
        <v>88233.348331439018</v>
      </c>
    </row>
    <row r="306" spans="1:9" x14ac:dyDescent="0.25">
      <c r="A306">
        <v>300</v>
      </c>
      <c r="B306" s="10">
        <f t="shared" si="38"/>
        <v>1620.8863061329923</v>
      </c>
      <c r="C306" s="10">
        <f t="shared" si="39"/>
        <v>330.87505624289628</v>
      </c>
      <c r="D306" s="10">
        <f t="shared" si="37"/>
        <v>1290.011249890096</v>
      </c>
      <c r="E306" s="10">
        <f t="shared" si="40"/>
        <v>0</v>
      </c>
      <c r="F306" s="10">
        <f t="shared" si="41"/>
        <v>86943.337081548918</v>
      </c>
      <c r="H306" t="s">
        <v>53</v>
      </c>
      <c r="I306" s="10">
        <f t="shared" ref="I306" si="45">SUM(C295:C306)</f>
        <v>4284.6575327438522</v>
      </c>
    </row>
    <row r="307" spans="1:9" x14ac:dyDescent="0.25">
      <c r="A307">
        <v>301</v>
      </c>
      <c r="B307" s="10">
        <f t="shared" si="38"/>
        <v>1620.8863061329923</v>
      </c>
      <c r="C307" s="10">
        <f t="shared" si="39"/>
        <v>326.03751405580846</v>
      </c>
      <c r="D307" s="10">
        <f t="shared" si="37"/>
        <v>1294.8487920771838</v>
      </c>
      <c r="E307" s="10">
        <f t="shared" si="40"/>
        <v>0</v>
      </c>
      <c r="F307" s="10">
        <f t="shared" si="41"/>
        <v>85648.48828947173</v>
      </c>
    </row>
    <row r="308" spans="1:9" x14ac:dyDescent="0.25">
      <c r="A308">
        <v>302</v>
      </c>
      <c r="B308" s="10">
        <f t="shared" si="38"/>
        <v>1620.8863061329923</v>
      </c>
      <c r="C308" s="10">
        <f t="shared" si="39"/>
        <v>321.18183108551898</v>
      </c>
      <c r="D308" s="10">
        <f t="shared" si="37"/>
        <v>1299.7044750474734</v>
      </c>
      <c r="E308" s="10">
        <f t="shared" si="40"/>
        <v>0</v>
      </c>
      <c r="F308" s="10">
        <f t="shared" si="41"/>
        <v>84348.783814424256</v>
      </c>
    </row>
    <row r="309" spans="1:9" x14ac:dyDescent="0.25">
      <c r="A309">
        <v>303</v>
      </c>
      <c r="B309" s="10">
        <f t="shared" si="38"/>
        <v>1620.8863061329923</v>
      </c>
      <c r="C309" s="10">
        <f t="shared" si="39"/>
        <v>316.30793930409095</v>
      </c>
      <c r="D309" s="10">
        <f t="shared" si="37"/>
        <v>1304.5783668289014</v>
      </c>
      <c r="E309" s="10">
        <f t="shared" si="40"/>
        <v>0</v>
      </c>
      <c r="F309" s="10">
        <f t="shared" si="41"/>
        <v>83044.205447595348</v>
      </c>
    </row>
    <row r="310" spans="1:9" x14ac:dyDescent="0.25">
      <c r="A310">
        <v>304</v>
      </c>
      <c r="B310" s="10">
        <f t="shared" si="38"/>
        <v>1620.8863061329923</v>
      </c>
      <c r="C310" s="10">
        <f t="shared" si="39"/>
        <v>311.41577042848252</v>
      </c>
      <c r="D310" s="10">
        <f t="shared" si="37"/>
        <v>1309.4705357045098</v>
      </c>
      <c r="E310" s="10">
        <f t="shared" si="40"/>
        <v>0</v>
      </c>
      <c r="F310" s="10">
        <f t="shared" si="41"/>
        <v>81734.734911890831</v>
      </c>
    </row>
    <row r="311" spans="1:9" x14ac:dyDescent="0.25">
      <c r="A311">
        <v>305</v>
      </c>
      <c r="B311" s="10">
        <f t="shared" si="38"/>
        <v>1620.8863061329923</v>
      </c>
      <c r="C311" s="10">
        <f t="shared" si="39"/>
        <v>306.50525591959058</v>
      </c>
      <c r="D311" s="10">
        <f t="shared" si="37"/>
        <v>1314.3810502134017</v>
      </c>
      <c r="E311" s="10">
        <f t="shared" si="40"/>
        <v>0</v>
      </c>
      <c r="F311" s="10">
        <f t="shared" si="41"/>
        <v>80420.353861677431</v>
      </c>
    </row>
    <row r="312" spans="1:9" x14ac:dyDescent="0.25">
      <c r="A312">
        <v>306</v>
      </c>
      <c r="B312" s="10">
        <f t="shared" si="38"/>
        <v>1620.8863061329923</v>
      </c>
      <c r="C312" s="10">
        <f t="shared" si="39"/>
        <v>301.57632698129038</v>
      </c>
      <c r="D312" s="10">
        <f t="shared" si="37"/>
        <v>1319.309979151702</v>
      </c>
      <c r="E312" s="10">
        <f t="shared" si="40"/>
        <v>0</v>
      </c>
      <c r="F312" s="10">
        <f t="shared" si="41"/>
        <v>79101.04388252573</v>
      </c>
    </row>
    <row r="313" spans="1:9" x14ac:dyDescent="0.25">
      <c r="A313">
        <v>307</v>
      </c>
      <c r="B313" s="10">
        <f t="shared" si="38"/>
        <v>1620.8863061329923</v>
      </c>
      <c r="C313" s="10">
        <f t="shared" si="39"/>
        <v>296.62891455947147</v>
      </c>
      <c r="D313" s="10">
        <f t="shared" si="37"/>
        <v>1324.2573915735209</v>
      </c>
      <c r="E313" s="10">
        <f t="shared" si="40"/>
        <v>0</v>
      </c>
      <c r="F313" s="10">
        <f t="shared" si="41"/>
        <v>77776.786490952203</v>
      </c>
    </row>
    <row r="314" spans="1:9" x14ac:dyDescent="0.25">
      <c r="A314">
        <v>308</v>
      </c>
      <c r="B314" s="10">
        <f t="shared" si="38"/>
        <v>1620.8863061329923</v>
      </c>
      <c r="C314" s="10">
        <f t="shared" si="39"/>
        <v>291.66294934107077</v>
      </c>
      <c r="D314" s="10">
        <f t="shared" si="37"/>
        <v>1329.2233567919216</v>
      </c>
      <c r="E314" s="10">
        <f t="shared" si="40"/>
        <v>0</v>
      </c>
      <c r="F314" s="10">
        <f t="shared" si="41"/>
        <v>76447.563134160286</v>
      </c>
    </row>
    <row r="315" spans="1:9" x14ac:dyDescent="0.25">
      <c r="A315">
        <v>309</v>
      </c>
      <c r="B315" s="10">
        <f t="shared" si="38"/>
        <v>1620.8863061329923</v>
      </c>
      <c r="C315" s="10">
        <f t="shared" si="39"/>
        <v>286.67836175310106</v>
      </c>
      <c r="D315" s="10">
        <f t="shared" si="37"/>
        <v>1334.2079443798912</v>
      </c>
      <c r="E315" s="10">
        <f t="shared" si="40"/>
        <v>0</v>
      </c>
      <c r="F315" s="10">
        <f t="shared" si="41"/>
        <v>75113.355189780399</v>
      </c>
    </row>
    <row r="316" spans="1:9" x14ac:dyDescent="0.25">
      <c r="A316">
        <v>310</v>
      </c>
      <c r="B316" s="10">
        <f t="shared" si="38"/>
        <v>1620.8863061329923</v>
      </c>
      <c r="C316" s="10">
        <f t="shared" si="39"/>
        <v>281.67508196167648</v>
      </c>
      <c r="D316" s="10">
        <f t="shared" si="37"/>
        <v>1339.2112241713157</v>
      </c>
      <c r="E316" s="10">
        <f t="shared" si="40"/>
        <v>0</v>
      </c>
      <c r="F316" s="10">
        <f t="shared" si="41"/>
        <v>73774.143965609081</v>
      </c>
    </row>
    <row r="317" spans="1:9" x14ac:dyDescent="0.25">
      <c r="A317">
        <v>311</v>
      </c>
      <c r="B317" s="10">
        <f t="shared" si="38"/>
        <v>1620.8863061329923</v>
      </c>
      <c r="C317" s="10">
        <f t="shared" si="39"/>
        <v>276.65303987103403</v>
      </c>
      <c r="D317" s="10">
        <f t="shared" si="37"/>
        <v>1344.2332662619583</v>
      </c>
      <c r="E317" s="10">
        <f t="shared" si="40"/>
        <v>0</v>
      </c>
      <c r="F317" s="10">
        <f t="shared" si="41"/>
        <v>72429.910699347121</v>
      </c>
    </row>
    <row r="318" spans="1:9" x14ac:dyDescent="0.25">
      <c r="A318">
        <v>312</v>
      </c>
      <c r="B318" s="10">
        <f t="shared" si="38"/>
        <v>1620.8863061329923</v>
      </c>
      <c r="C318" s="10">
        <f t="shared" si="39"/>
        <v>271.61216512255169</v>
      </c>
      <c r="D318" s="10">
        <f t="shared" si="37"/>
        <v>1349.2741410104406</v>
      </c>
      <c r="E318" s="10">
        <f t="shared" si="40"/>
        <v>0</v>
      </c>
      <c r="F318" s="10">
        <f t="shared" si="41"/>
        <v>71080.636558336686</v>
      </c>
      <c r="H318" t="s">
        <v>54</v>
      </c>
      <c r="I318" s="10">
        <f t="shared" ref="I318" si="46">SUM(C307:C318)</f>
        <v>3587.9351503836874</v>
      </c>
    </row>
    <row r="319" spans="1:9" x14ac:dyDescent="0.25">
      <c r="A319">
        <v>313</v>
      </c>
      <c r="B319" s="10">
        <f t="shared" si="38"/>
        <v>1620.8863061329923</v>
      </c>
      <c r="C319" s="10">
        <f t="shared" si="39"/>
        <v>266.55238709376255</v>
      </c>
      <c r="D319" s="10">
        <f t="shared" si="37"/>
        <v>1354.3339190392298</v>
      </c>
      <c r="E319" s="10">
        <f t="shared" si="40"/>
        <v>0</v>
      </c>
      <c r="F319" s="10">
        <f t="shared" si="41"/>
        <v>69726.302639297457</v>
      </c>
    </row>
    <row r="320" spans="1:9" x14ac:dyDescent="0.25">
      <c r="A320">
        <v>314</v>
      </c>
      <c r="B320" s="10">
        <f t="shared" si="38"/>
        <v>1620.8863061329923</v>
      </c>
      <c r="C320" s="10">
        <f t="shared" si="39"/>
        <v>261.47363489736546</v>
      </c>
      <c r="D320" s="10">
        <f t="shared" si="37"/>
        <v>1359.4126712356269</v>
      </c>
      <c r="E320" s="10">
        <f t="shared" si="40"/>
        <v>0</v>
      </c>
      <c r="F320" s="10">
        <f t="shared" si="41"/>
        <v>68366.889968061834</v>
      </c>
    </row>
    <row r="321" spans="1:9" x14ac:dyDescent="0.25">
      <c r="A321">
        <v>315</v>
      </c>
      <c r="B321" s="10">
        <f t="shared" si="38"/>
        <v>1620.8863061329923</v>
      </c>
      <c r="C321" s="10">
        <f t="shared" si="39"/>
        <v>256.37583738023187</v>
      </c>
      <c r="D321" s="10">
        <f t="shared" si="37"/>
        <v>1364.5104687527605</v>
      </c>
      <c r="E321" s="10">
        <f t="shared" si="40"/>
        <v>0</v>
      </c>
      <c r="F321" s="10">
        <f t="shared" si="41"/>
        <v>67002.379499309071</v>
      </c>
    </row>
    <row r="322" spans="1:9" x14ac:dyDescent="0.25">
      <c r="A322">
        <v>316</v>
      </c>
      <c r="B322" s="10">
        <f t="shared" si="38"/>
        <v>1620.8863061329923</v>
      </c>
      <c r="C322" s="10">
        <f t="shared" si="39"/>
        <v>251.25892312240902</v>
      </c>
      <c r="D322" s="10">
        <f t="shared" si="37"/>
        <v>1369.6273830105833</v>
      </c>
      <c r="E322" s="10">
        <f t="shared" si="40"/>
        <v>0</v>
      </c>
      <c r="F322" s="10">
        <f t="shared" si="41"/>
        <v>65632.752116298492</v>
      </c>
    </row>
    <row r="323" spans="1:9" x14ac:dyDescent="0.25">
      <c r="A323">
        <v>317</v>
      </c>
      <c r="B323" s="10">
        <f t="shared" si="38"/>
        <v>1620.8863061329923</v>
      </c>
      <c r="C323" s="10">
        <f t="shared" si="39"/>
        <v>246.12282043611933</v>
      </c>
      <c r="D323" s="10">
        <f t="shared" si="37"/>
        <v>1374.763485696873</v>
      </c>
      <c r="E323" s="10">
        <f t="shared" si="40"/>
        <v>0</v>
      </c>
      <c r="F323" s="10">
        <f t="shared" si="41"/>
        <v>64257.98863060162</v>
      </c>
    </row>
    <row r="324" spans="1:9" x14ac:dyDescent="0.25">
      <c r="A324">
        <v>318</v>
      </c>
      <c r="B324" s="10">
        <f t="shared" si="38"/>
        <v>1620.8863061329923</v>
      </c>
      <c r="C324" s="10">
        <f t="shared" si="39"/>
        <v>240.96745736475606</v>
      </c>
      <c r="D324" s="10">
        <f t="shared" si="37"/>
        <v>1379.9188487682363</v>
      </c>
      <c r="E324" s="10">
        <f t="shared" si="40"/>
        <v>0</v>
      </c>
      <c r="F324" s="10">
        <f t="shared" si="41"/>
        <v>62878.069781833387</v>
      </c>
    </row>
    <row r="325" spans="1:9" x14ac:dyDescent="0.25">
      <c r="A325">
        <v>319</v>
      </c>
      <c r="B325" s="10">
        <f t="shared" si="38"/>
        <v>1620.8863061329923</v>
      </c>
      <c r="C325" s="10">
        <f t="shared" si="39"/>
        <v>235.79276168187519</v>
      </c>
      <c r="D325" s="10">
        <f t="shared" si="37"/>
        <v>1385.0935444511172</v>
      </c>
      <c r="E325" s="10">
        <f t="shared" si="40"/>
        <v>0</v>
      </c>
      <c r="F325" s="10">
        <f t="shared" si="41"/>
        <v>61492.976237382267</v>
      </c>
    </row>
    <row r="326" spans="1:9" x14ac:dyDescent="0.25">
      <c r="A326">
        <v>320</v>
      </c>
      <c r="B326" s="10">
        <f t="shared" si="38"/>
        <v>1620.8863061329923</v>
      </c>
      <c r="C326" s="10">
        <f t="shared" si="39"/>
        <v>230.59866089018348</v>
      </c>
      <c r="D326" s="10">
        <f t="shared" si="37"/>
        <v>1390.2876452428088</v>
      </c>
      <c r="E326" s="10">
        <f t="shared" si="40"/>
        <v>0</v>
      </c>
      <c r="F326" s="10">
        <f t="shared" si="41"/>
        <v>60102.688592139457</v>
      </c>
    </row>
    <row r="327" spans="1:9" x14ac:dyDescent="0.25">
      <c r="A327">
        <v>321</v>
      </c>
      <c r="B327" s="10">
        <f t="shared" si="38"/>
        <v>1620.8863061329923</v>
      </c>
      <c r="C327" s="10">
        <f t="shared" si="39"/>
        <v>225.38508222052295</v>
      </c>
      <c r="D327" s="10">
        <f t="shared" ref="D327:D366" si="47">B327-C327</f>
        <v>1395.5012239124694</v>
      </c>
      <c r="E327" s="10">
        <f t="shared" si="40"/>
        <v>0</v>
      </c>
      <c r="F327" s="10">
        <f t="shared" si="41"/>
        <v>58707.187368226987</v>
      </c>
    </row>
    <row r="328" spans="1:9" x14ac:dyDescent="0.25">
      <c r="A328">
        <v>322</v>
      </c>
      <c r="B328" s="10">
        <f t="shared" ref="B328:B366" si="48">PMT($C$2/12,$C$3,-$C$1)</f>
        <v>1620.8863061329923</v>
      </c>
      <c r="C328" s="10">
        <f t="shared" ref="C328:C366" si="49">F327*($C$2/12)</f>
        <v>220.15195263085118</v>
      </c>
      <c r="D328" s="10">
        <f t="shared" si="47"/>
        <v>1400.7343535021412</v>
      </c>
      <c r="E328" s="10">
        <f t="shared" ref="E328:E366" si="50">$F$1</f>
        <v>0</v>
      </c>
      <c r="F328" s="10">
        <f t="shared" ref="F328:F366" si="51">F327-D328-E328</f>
        <v>57306.453014724844</v>
      </c>
    </row>
    <row r="329" spans="1:9" x14ac:dyDescent="0.25">
      <c r="A329">
        <v>323</v>
      </c>
      <c r="B329" s="10">
        <f t="shared" si="48"/>
        <v>1620.8863061329923</v>
      </c>
      <c r="C329" s="10">
        <f t="shared" si="49"/>
        <v>214.89919880521816</v>
      </c>
      <c r="D329" s="10">
        <f t="shared" si="47"/>
        <v>1405.9871073277741</v>
      </c>
      <c r="E329" s="10">
        <f t="shared" si="50"/>
        <v>0</v>
      </c>
      <c r="F329" s="10">
        <f t="shared" si="51"/>
        <v>55900.465907397069</v>
      </c>
    </row>
    <row r="330" spans="1:9" x14ac:dyDescent="0.25">
      <c r="A330">
        <v>324</v>
      </c>
      <c r="B330" s="10">
        <f t="shared" si="48"/>
        <v>1620.8863061329923</v>
      </c>
      <c r="C330" s="10">
        <f t="shared" si="49"/>
        <v>209.626747152739</v>
      </c>
      <c r="D330" s="10">
        <f t="shared" si="47"/>
        <v>1411.2595589802534</v>
      </c>
      <c r="E330" s="10">
        <f t="shared" si="50"/>
        <v>0</v>
      </c>
      <c r="F330" s="10">
        <f t="shared" si="51"/>
        <v>54489.206348416817</v>
      </c>
      <c r="H330" t="s">
        <v>55</v>
      </c>
      <c r="I330" s="10">
        <f t="shared" ref="I330" si="52">SUM(C319:C330)</f>
        <v>2859.205463676034</v>
      </c>
    </row>
    <row r="331" spans="1:9" x14ac:dyDescent="0.25">
      <c r="A331">
        <v>325</v>
      </c>
      <c r="B331" s="10">
        <f t="shared" si="48"/>
        <v>1620.8863061329923</v>
      </c>
      <c r="C331" s="10">
        <f t="shared" si="49"/>
        <v>204.33452380656306</v>
      </c>
      <c r="D331" s="10">
        <f t="shared" si="47"/>
        <v>1416.5517823264292</v>
      </c>
      <c r="E331" s="10">
        <f t="shared" si="50"/>
        <v>0</v>
      </c>
      <c r="F331" s="10">
        <f t="shared" si="51"/>
        <v>53072.654566090387</v>
      </c>
    </row>
    <row r="332" spans="1:9" x14ac:dyDescent="0.25">
      <c r="A332">
        <v>326</v>
      </c>
      <c r="B332" s="10">
        <f t="shared" si="48"/>
        <v>1620.8863061329923</v>
      </c>
      <c r="C332" s="10">
        <f t="shared" si="49"/>
        <v>199.02245462283895</v>
      </c>
      <c r="D332" s="10">
        <f t="shared" si="47"/>
        <v>1421.8638515101534</v>
      </c>
      <c r="E332" s="10">
        <f t="shared" si="50"/>
        <v>0</v>
      </c>
      <c r="F332" s="10">
        <f t="shared" si="51"/>
        <v>51650.790714580231</v>
      </c>
    </row>
    <row r="333" spans="1:9" x14ac:dyDescent="0.25">
      <c r="A333">
        <v>327</v>
      </c>
      <c r="B333" s="10">
        <f t="shared" si="48"/>
        <v>1620.8863061329923</v>
      </c>
      <c r="C333" s="10">
        <f t="shared" si="49"/>
        <v>193.69046517967587</v>
      </c>
      <c r="D333" s="10">
        <f t="shared" si="47"/>
        <v>1427.1958409533165</v>
      </c>
      <c r="E333" s="10">
        <f t="shared" si="50"/>
        <v>0</v>
      </c>
      <c r="F333" s="10">
        <f t="shared" si="51"/>
        <v>50223.594873626913</v>
      </c>
    </row>
    <row r="334" spans="1:9" x14ac:dyDescent="0.25">
      <c r="A334">
        <v>328</v>
      </c>
      <c r="B334" s="10">
        <f t="shared" si="48"/>
        <v>1620.8863061329923</v>
      </c>
      <c r="C334" s="10">
        <f t="shared" si="49"/>
        <v>188.33848077610091</v>
      </c>
      <c r="D334" s="10">
        <f t="shared" si="47"/>
        <v>1432.5478253568915</v>
      </c>
      <c r="E334" s="10">
        <f t="shared" si="50"/>
        <v>0</v>
      </c>
      <c r="F334" s="10">
        <f t="shared" si="51"/>
        <v>48791.047048270018</v>
      </c>
    </row>
    <row r="335" spans="1:9" x14ac:dyDescent="0.25">
      <c r="A335">
        <v>329</v>
      </c>
      <c r="B335" s="10">
        <f t="shared" si="48"/>
        <v>1620.8863061329923</v>
      </c>
      <c r="C335" s="10">
        <f t="shared" si="49"/>
        <v>182.96642643101256</v>
      </c>
      <c r="D335" s="10">
        <f t="shared" si="47"/>
        <v>1437.9198797019799</v>
      </c>
      <c r="E335" s="10">
        <f t="shared" si="50"/>
        <v>0</v>
      </c>
      <c r="F335" s="10">
        <f t="shared" si="51"/>
        <v>47353.12716856804</v>
      </c>
    </row>
    <row r="336" spans="1:9" x14ac:dyDescent="0.25">
      <c r="A336">
        <v>330</v>
      </c>
      <c r="B336" s="10">
        <f t="shared" si="48"/>
        <v>1620.8863061329923</v>
      </c>
      <c r="C336" s="10">
        <f t="shared" si="49"/>
        <v>177.57422688213015</v>
      </c>
      <c r="D336" s="10">
        <f t="shared" si="47"/>
        <v>1443.3120792508621</v>
      </c>
      <c r="E336" s="10">
        <f t="shared" si="50"/>
        <v>0</v>
      </c>
      <c r="F336" s="10">
        <f t="shared" si="51"/>
        <v>45909.815089317177</v>
      </c>
    </row>
    <row r="337" spans="1:9" x14ac:dyDescent="0.25">
      <c r="A337">
        <v>331</v>
      </c>
      <c r="B337" s="10">
        <f t="shared" si="48"/>
        <v>1620.8863061329923</v>
      </c>
      <c r="C337" s="10">
        <f t="shared" si="49"/>
        <v>172.1618065849394</v>
      </c>
      <c r="D337" s="10">
        <f t="shared" si="47"/>
        <v>1448.724499548053</v>
      </c>
      <c r="E337" s="10">
        <f t="shared" si="50"/>
        <v>0</v>
      </c>
      <c r="F337" s="10">
        <f t="shared" si="51"/>
        <v>44461.090589769126</v>
      </c>
    </row>
    <row r="338" spans="1:9" x14ac:dyDescent="0.25">
      <c r="A338">
        <v>332</v>
      </c>
      <c r="B338" s="10">
        <f t="shared" si="48"/>
        <v>1620.8863061329923</v>
      </c>
      <c r="C338" s="10">
        <f t="shared" si="49"/>
        <v>166.72908971163423</v>
      </c>
      <c r="D338" s="10">
        <f t="shared" si="47"/>
        <v>1454.157216421358</v>
      </c>
      <c r="E338" s="10">
        <f t="shared" si="50"/>
        <v>0</v>
      </c>
      <c r="F338" s="10">
        <f t="shared" si="51"/>
        <v>43006.933373347769</v>
      </c>
    </row>
    <row r="339" spans="1:9" x14ac:dyDescent="0.25">
      <c r="A339">
        <v>333</v>
      </c>
      <c r="B339" s="10">
        <f t="shared" si="48"/>
        <v>1620.8863061329923</v>
      </c>
      <c r="C339" s="10">
        <f t="shared" si="49"/>
        <v>161.27600015005413</v>
      </c>
      <c r="D339" s="10">
        <f t="shared" si="47"/>
        <v>1459.6103059829381</v>
      </c>
      <c r="E339" s="10">
        <f t="shared" si="50"/>
        <v>0</v>
      </c>
      <c r="F339" s="10">
        <f t="shared" si="51"/>
        <v>41547.323067364829</v>
      </c>
    </row>
    <row r="340" spans="1:9" x14ac:dyDescent="0.25">
      <c r="A340">
        <v>334</v>
      </c>
      <c r="B340" s="10">
        <f t="shared" si="48"/>
        <v>1620.8863061329923</v>
      </c>
      <c r="C340" s="10">
        <f t="shared" si="49"/>
        <v>155.80246150261812</v>
      </c>
      <c r="D340" s="10">
        <f t="shared" si="47"/>
        <v>1465.0838446303742</v>
      </c>
      <c r="E340" s="10">
        <f t="shared" si="50"/>
        <v>0</v>
      </c>
      <c r="F340" s="10">
        <f t="shared" si="51"/>
        <v>40082.239222734454</v>
      </c>
    </row>
    <row r="341" spans="1:9" x14ac:dyDescent="0.25">
      <c r="A341">
        <v>335</v>
      </c>
      <c r="B341" s="10">
        <f t="shared" si="48"/>
        <v>1620.8863061329923</v>
      </c>
      <c r="C341" s="10">
        <f t="shared" si="49"/>
        <v>150.3083970852542</v>
      </c>
      <c r="D341" s="10">
        <f t="shared" si="47"/>
        <v>1470.5779090477381</v>
      </c>
      <c r="E341" s="10">
        <f t="shared" si="50"/>
        <v>0</v>
      </c>
      <c r="F341" s="10">
        <f t="shared" si="51"/>
        <v>38611.661313686716</v>
      </c>
    </row>
    <row r="342" spans="1:9" x14ac:dyDescent="0.25">
      <c r="A342">
        <v>336</v>
      </c>
      <c r="B342" s="10">
        <f t="shared" si="48"/>
        <v>1620.8863061329923</v>
      </c>
      <c r="C342" s="10">
        <f t="shared" si="49"/>
        <v>144.79372992632517</v>
      </c>
      <c r="D342" s="10">
        <f t="shared" si="47"/>
        <v>1476.0925762066672</v>
      </c>
      <c r="E342" s="10">
        <f t="shared" si="50"/>
        <v>0</v>
      </c>
      <c r="F342" s="10">
        <f t="shared" si="51"/>
        <v>37135.568737480047</v>
      </c>
      <c r="H342" t="s">
        <v>56</v>
      </c>
      <c r="I342" s="10">
        <f t="shared" ref="I342" si="53">SUM(C331:C342)</f>
        <v>2096.9980626591469</v>
      </c>
    </row>
    <row r="343" spans="1:9" x14ac:dyDescent="0.25">
      <c r="A343">
        <v>337</v>
      </c>
      <c r="B343" s="10">
        <f t="shared" si="48"/>
        <v>1620.8863061329923</v>
      </c>
      <c r="C343" s="10">
        <f t="shared" si="49"/>
        <v>139.25838276555018</v>
      </c>
      <c r="D343" s="10">
        <f t="shared" si="47"/>
        <v>1481.6279233674422</v>
      </c>
      <c r="E343" s="10">
        <f t="shared" si="50"/>
        <v>0</v>
      </c>
      <c r="F343" s="10">
        <f t="shared" si="51"/>
        <v>35653.940814112604</v>
      </c>
    </row>
    <row r="344" spans="1:9" x14ac:dyDescent="0.25">
      <c r="A344">
        <v>338</v>
      </c>
      <c r="B344" s="10">
        <f t="shared" si="48"/>
        <v>1620.8863061329923</v>
      </c>
      <c r="C344" s="10">
        <f t="shared" si="49"/>
        <v>133.70227805292225</v>
      </c>
      <c r="D344" s="10">
        <f t="shared" si="47"/>
        <v>1487.18402808007</v>
      </c>
      <c r="E344" s="10">
        <f t="shared" si="50"/>
        <v>0</v>
      </c>
      <c r="F344" s="10">
        <f t="shared" si="51"/>
        <v>34166.756786032536</v>
      </c>
    </row>
    <row r="345" spans="1:9" x14ac:dyDescent="0.25">
      <c r="A345">
        <v>339</v>
      </c>
      <c r="B345" s="10">
        <f t="shared" si="48"/>
        <v>1620.8863061329923</v>
      </c>
      <c r="C345" s="10">
        <f t="shared" si="49"/>
        <v>128.125337947622</v>
      </c>
      <c r="D345" s="10">
        <f t="shared" si="47"/>
        <v>1492.7609681853703</v>
      </c>
      <c r="E345" s="10">
        <f t="shared" si="50"/>
        <v>0</v>
      </c>
      <c r="F345" s="10">
        <f t="shared" si="51"/>
        <v>32673.995817847164</v>
      </c>
    </row>
    <row r="346" spans="1:9" x14ac:dyDescent="0.25">
      <c r="A346">
        <v>340</v>
      </c>
      <c r="B346" s="10">
        <f t="shared" si="48"/>
        <v>1620.8863061329923</v>
      </c>
      <c r="C346" s="10">
        <f t="shared" si="49"/>
        <v>122.52748431692686</v>
      </c>
      <c r="D346" s="10">
        <f t="shared" si="47"/>
        <v>1498.3588218160655</v>
      </c>
      <c r="E346" s="10">
        <f t="shared" si="50"/>
        <v>0</v>
      </c>
      <c r="F346" s="10">
        <f t="shared" si="51"/>
        <v>31175.636996031099</v>
      </c>
    </row>
    <row r="347" spans="1:9" x14ac:dyDescent="0.25">
      <c r="A347">
        <v>341</v>
      </c>
      <c r="B347" s="10">
        <f t="shared" si="48"/>
        <v>1620.8863061329923</v>
      </c>
      <c r="C347" s="10">
        <f t="shared" si="49"/>
        <v>116.90863873511661</v>
      </c>
      <c r="D347" s="10">
        <f t="shared" si="47"/>
        <v>1503.9776673978756</v>
      </c>
      <c r="E347" s="10">
        <f t="shared" si="50"/>
        <v>0</v>
      </c>
      <c r="F347" s="10">
        <f t="shared" si="51"/>
        <v>29671.659328633225</v>
      </c>
    </row>
    <row r="348" spans="1:9" x14ac:dyDescent="0.25">
      <c r="A348">
        <v>342</v>
      </c>
      <c r="B348" s="10">
        <f t="shared" si="48"/>
        <v>1620.8863061329923</v>
      </c>
      <c r="C348" s="10">
        <f t="shared" si="49"/>
        <v>111.26872248237459</v>
      </c>
      <c r="D348" s="10">
        <f t="shared" si="47"/>
        <v>1509.6175836506177</v>
      </c>
      <c r="E348" s="10">
        <f t="shared" si="50"/>
        <v>0</v>
      </c>
      <c r="F348" s="10">
        <f t="shared" si="51"/>
        <v>28162.041744982605</v>
      </c>
    </row>
    <row r="349" spans="1:9" x14ac:dyDescent="0.25">
      <c r="A349">
        <v>343</v>
      </c>
      <c r="B349" s="10">
        <f t="shared" si="48"/>
        <v>1620.8863061329923</v>
      </c>
      <c r="C349" s="10">
        <f t="shared" si="49"/>
        <v>105.60765654368477</v>
      </c>
      <c r="D349" s="10">
        <f t="shared" si="47"/>
        <v>1515.2786495893076</v>
      </c>
      <c r="E349" s="10">
        <f t="shared" si="50"/>
        <v>0</v>
      </c>
      <c r="F349" s="10">
        <f t="shared" si="51"/>
        <v>26646.763095393297</v>
      </c>
    </row>
    <row r="350" spans="1:9" x14ac:dyDescent="0.25">
      <c r="A350">
        <v>344</v>
      </c>
      <c r="B350" s="10">
        <f t="shared" si="48"/>
        <v>1620.8863061329923</v>
      </c>
      <c r="C350" s="10">
        <f t="shared" si="49"/>
        <v>99.925361607724852</v>
      </c>
      <c r="D350" s="10">
        <f t="shared" si="47"/>
        <v>1520.9609445252675</v>
      </c>
      <c r="E350" s="10">
        <f t="shared" si="50"/>
        <v>0</v>
      </c>
      <c r="F350" s="10">
        <f t="shared" si="51"/>
        <v>25125.802150868029</v>
      </c>
    </row>
    <row r="351" spans="1:9" x14ac:dyDescent="0.25">
      <c r="A351">
        <v>345</v>
      </c>
      <c r="B351" s="10">
        <f t="shared" si="48"/>
        <v>1620.8863061329923</v>
      </c>
      <c r="C351" s="10">
        <f t="shared" si="49"/>
        <v>94.221758065755097</v>
      </c>
      <c r="D351" s="10">
        <f t="shared" si="47"/>
        <v>1526.6645480672373</v>
      </c>
      <c r="E351" s="10">
        <f t="shared" si="50"/>
        <v>0</v>
      </c>
      <c r="F351" s="10">
        <f t="shared" si="51"/>
        <v>23599.137602800791</v>
      </c>
    </row>
    <row r="352" spans="1:9" x14ac:dyDescent="0.25">
      <c r="A352">
        <v>346</v>
      </c>
      <c r="B352" s="10">
        <f t="shared" si="48"/>
        <v>1620.8863061329923</v>
      </c>
      <c r="C352" s="10">
        <f t="shared" si="49"/>
        <v>88.496766010502967</v>
      </c>
      <c r="D352" s="10">
        <f t="shared" si="47"/>
        <v>1532.3895401224893</v>
      </c>
      <c r="E352" s="10">
        <f t="shared" si="50"/>
        <v>0</v>
      </c>
      <c r="F352" s="10">
        <f t="shared" si="51"/>
        <v>22066.7480626783</v>
      </c>
    </row>
    <row r="353" spans="1:9" x14ac:dyDescent="0.25">
      <c r="A353">
        <v>347</v>
      </c>
      <c r="B353" s="10">
        <f t="shared" si="48"/>
        <v>1620.8863061329923</v>
      </c>
      <c r="C353" s="10">
        <f t="shared" si="49"/>
        <v>82.750305235043626</v>
      </c>
      <c r="D353" s="10">
        <f t="shared" si="47"/>
        <v>1538.1360008979486</v>
      </c>
      <c r="E353" s="10">
        <f t="shared" si="50"/>
        <v>0</v>
      </c>
      <c r="F353" s="10">
        <f t="shared" si="51"/>
        <v>20528.61206178035</v>
      </c>
    </row>
    <row r="354" spans="1:9" x14ac:dyDescent="0.25">
      <c r="A354">
        <v>348</v>
      </c>
      <c r="B354" s="10">
        <f t="shared" si="48"/>
        <v>1620.8863061329923</v>
      </c>
      <c r="C354" s="10">
        <f t="shared" si="49"/>
        <v>76.982295231676304</v>
      </c>
      <c r="D354" s="10">
        <f t="shared" si="47"/>
        <v>1543.904010901316</v>
      </c>
      <c r="E354" s="10">
        <f t="shared" si="50"/>
        <v>0</v>
      </c>
      <c r="F354" s="10">
        <f t="shared" si="51"/>
        <v>18984.708050879035</v>
      </c>
      <c r="H354" t="s">
        <v>53</v>
      </c>
      <c r="I354" s="10">
        <f t="shared" ref="I354" si="54">SUM(C343:C354)</f>
        <v>1299.7749869949002</v>
      </c>
    </row>
    <row r="355" spans="1:9" x14ac:dyDescent="0.25">
      <c r="A355">
        <v>349</v>
      </c>
      <c r="B355" s="10">
        <f t="shared" si="48"/>
        <v>1620.8863061329923</v>
      </c>
      <c r="C355" s="10">
        <f t="shared" si="49"/>
        <v>71.192655190796373</v>
      </c>
      <c r="D355" s="10">
        <f t="shared" si="47"/>
        <v>1549.693650942196</v>
      </c>
      <c r="E355" s="10">
        <f t="shared" si="50"/>
        <v>0</v>
      </c>
      <c r="F355" s="10">
        <f t="shared" si="51"/>
        <v>17435.014399936837</v>
      </c>
    </row>
    <row r="356" spans="1:9" x14ac:dyDescent="0.25">
      <c r="A356">
        <v>350</v>
      </c>
      <c r="B356" s="10">
        <f t="shared" si="48"/>
        <v>1620.8863061329923</v>
      </c>
      <c r="C356" s="10">
        <f t="shared" si="49"/>
        <v>65.381303999763134</v>
      </c>
      <c r="D356" s="10">
        <f t="shared" si="47"/>
        <v>1555.5050021332293</v>
      </c>
      <c r="E356" s="10">
        <f t="shared" si="50"/>
        <v>0</v>
      </c>
      <c r="F356" s="10">
        <f t="shared" si="51"/>
        <v>15879.509397803607</v>
      </c>
    </row>
    <row r="357" spans="1:9" x14ac:dyDescent="0.25">
      <c r="A357">
        <v>351</v>
      </c>
      <c r="B357" s="10">
        <f t="shared" si="48"/>
        <v>1620.8863061329923</v>
      </c>
      <c r="C357" s="10">
        <f t="shared" si="49"/>
        <v>59.548160241763526</v>
      </c>
      <c r="D357" s="10">
        <f t="shared" si="47"/>
        <v>1561.3381458912288</v>
      </c>
      <c r="E357" s="10">
        <f t="shared" si="50"/>
        <v>0</v>
      </c>
      <c r="F357" s="10">
        <f t="shared" si="51"/>
        <v>14318.171251912379</v>
      </c>
    </row>
    <row r="358" spans="1:9" x14ac:dyDescent="0.25">
      <c r="A358">
        <v>352</v>
      </c>
      <c r="B358" s="10">
        <f t="shared" si="48"/>
        <v>1620.8863061329923</v>
      </c>
      <c r="C358" s="10">
        <f t="shared" si="49"/>
        <v>53.693142194671424</v>
      </c>
      <c r="D358" s="10">
        <f t="shared" si="47"/>
        <v>1567.1931639383208</v>
      </c>
      <c r="E358" s="10">
        <f t="shared" si="50"/>
        <v>0</v>
      </c>
      <c r="F358" s="10">
        <f t="shared" si="51"/>
        <v>12750.978087974059</v>
      </c>
    </row>
    <row r="359" spans="1:9" x14ac:dyDescent="0.25">
      <c r="A359">
        <v>353</v>
      </c>
      <c r="B359" s="10">
        <f t="shared" si="48"/>
        <v>1620.8863061329923</v>
      </c>
      <c r="C359" s="10">
        <f t="shared" si="49"/>
        <v>47.816167829902717</v>
      </c>
      <c r="D359" s="10">
        <f t="shared" si="47"/>
        <v>1573.0701383030896</v>
      </c>
      <c r="E359" s="10">
        <f t="shared" si="50"/>
        <v>0</v>
      </c>
      <c r="F359" s="10">
        <f t="shared" si="51"/>
        <v>11177.907949670969</v>
      </c>
    </row>
    <row r="360" spans="1:9" x14ac:dyDescent="0.25">
      <c r="A360">
        <v>354</v>
      </c>
      <c r="B360" s="10">
        <f t="shared" si="48"/>
        <v>1620.8863061329923</v>
      </c>
      <c r="C360" s="10">
        <f t="shared" si="49"/>
        <v>41.91715481126613</v>
      </c>
      <c r="D360" s="10">
        <f t="shared" si="47"/>
        <v>1578.9691513217263</v>
      </c>
      <c r="E360" s="10">
        <f t="shared" si="50"/>
        <v>0</v>
      </c>
      <c r="F360" s="10">
        <f t="shared" si="51"/>
        <v>9598.9387983492434</v>
      </c>
    </row>
    <row r="361" spans="1:9" x14ac:dyDescent="0.25">
      <c r="A361">
        <v>355</v>
      </c>
      <c r="B361" s="10">
        <f t="shared" si="48"/>
        <v>1620.8863061329923</v>
      </c>
      <c r="C361" s="10">
        <f t="shared" si="49"/>
        <v>35.99602049380966</v>
      </c>
      <c r="D361" s="10">
        <f t="shared" si="47"/>
        <v>1584.8902856391826</v>
      </c>
      <c r="E361" s="10">
        <f t="shared" si="50"/>
        <v>0</v>
      </c>
      <c r="F361" s="10">
        <f t="shared" si="51"/>
        <v>8014.048512710061</v>
      </c>
    </row>
    <row r="362" spans="1:9" x14ac:dyDescent="0.25">
      <c r="A362">
        <v>356</v>
      </c>
      <c r="B362" s="10">
        <f t="shared" si="48"/>
        <v>1620.8863061329923</v>
      </c>
      <c r="C362" s="10">
        <f t="shared" si="49"/>
        <v>30.052681922662728</v>
      </c>
      <c r="D362" s="10">
        <f t="shared" si="47"/>
        <v>1590.8336242103296</v>
      </c>
      <c r="E362" s="10">
        <f t="shared" si="50"/>
        <v>0</v>
      </c>
      <c r="F362" s="10">
        <f t="shared" si="51"/>
        <v>6423.2148884997314</v>
      </c>
    </row>
    <row r="363" spans="1:9" x14ac:dyDescent="0.25">
      <c r="A363">
        <v>357</v>
      </c>
      <c r="B363" s="10">
        <f t="shared" si="48"/>
        <v>1620.8863061329923</v>
      </c>
      <c r="C363" s="10">
        <f t="shared" si="49"/>
        <v>24.087055831873993</v>
      </c>
      <c r="D363" s="10">
        <f t="shared" si="47"/>
        <v>1596.7992503011183</v>
      </c>
      <c r="E363" s="10">
        <f t="shared" si="50"/>
        <v>0</v>
      </c>
      <c r="F363" s="10">
        <f t="shared" si="51"/>
        <v>4826.4156381986131</v>
      </c>
    </row>
    <row r="364" spans="1:9" x14ac:dyDescent="0.25">
      <c r="A364">
        <v>358</v>
      </c>
      <c r="B364" s="10">
        <f t="shared" si="48"/>
        <v>1620.8863061329923</v>
      </c>
      <c r="C364" s="10">
        <f t="shared" si="49"/>
        <v>18.099058643244799</v>
      </c>
      <c r="D364" s="10">
        <f t="shared" si="47"/>
        <v>1602.7872474897476</v>
      </c>
      <c r="E364" s="10">
        <f t="shared" si="50"/>
        <v>0</v>
      </c>
      <c r="F364" s="10">
        <f t="shared" si="51"/>
        <v>3223.6283907088655</v>
      </c>
    </row>
    <row r="365" spans="1:9" x14ac:dyDescent="0.25">
      <c r="A365">
        <v>359</v>
      </c>
      <c r="B365" s="10">
        <f t="shared" si="48"/>
        <v>1620.8863061329923</v>
      </c>
      <c r="C365" s="10">
        <f t="shared" si="49"/>
        <v>12.088606465158245</v>
      </c>
      <c r="D365" s="10">
        <f t="shared" si="47"/>
        <v>1608.7976996678342</v>
      </c>
      <c r="E365" s="10">
        <f t="shared" si="50"/>
        <v>0</v>
      </c>
      <c r="F365" s="10">
        <f t="shared" si="51"/>
        <v>1614.8306910410313</v>
      </c>
    </row>
    <row r="366" spans="1:9" x14ac:dyDescent="0.25">
      <c r="A366">
        <v>360</v>
      </c>
      <c r="B366" s="10">
        <f t="shared" si="48"/>
        <v>1620.8863061329923</v>
      </c>
      <c r="C366" s="10">
        <f t="shared" si="49"/>
        <v>6.0556150914038671</v>
      </c>
      <c r="D366" s="10">
        <f t="shared" si="47"/>
        <v>1614.8306910415884</v>
      </c>
      <c r="E366" s="10">
        <f t="shared" si="50"/>
        <v>0</v>
      </c>
      <c r="F366" s="10">
        <f t="shared" si="51"/>
        <v>-5.5706550483591855E-10</v>
      </c>
      <c r="H366" t="s">
        <v>54</v>
      </c>
      <c r="I366" s="10">
        <f t="shared" ref="I366" si="55">SUM(C355:C366)</f>
        <v>465.92762271631659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workbookViewId="0">
      <selection activeCell="E4" sqref="E4"/>
    </sheetView>
  </sheetViews>
  <sheetFormatPr defaultColWidth="8.85546875" defaultRowHeight="15" x14ac:dyDescent="0.25"/>
  <cols>
    <col min="1" max="1" width="20.28515625" customWidth="1"/>
    <col min="2" max="2" width="17.7109375" customWidth="1"/>
    <col min="3" max="3" width="16.42578125" customWidth="1"/>
    <col min="4" max="5" width="18.7109375" customWidth="1"/>
    <col min="6" max="6" width="15.85546875" customWidth="1"/>
    <col min="7" max="7" width="14.42578125" customWidth="1"/>
    <col min="8" max="8" width="14" customWidth="1"/>
    <col min="9" max="9" width="14.85546875" customWidth="1"/>
    <col min="10" max="10" width="11.85546875" customWidth="1"/>
    <col min="11" max="11" width="12" customWidth="1"/>
    <col min="12" max="12" width="13" customWidth="1"/>
    <col min="13" max="13" width="14" customWidth="1"/>
    <col min="14" max="14" width="13.28515625" customWidth="1"/>
    <col min="15" max="15" width="13.5703125" customWidth="1"/>
  </cols>
  <sheetData>
    <row r="2" spans="1:18" x14ac:dyDescent="0.25">
      <c r="P2" s="20"/>
      <c r="R2" s="43">
        <f>Forecast!C98</f>
        <v>0.11231197833944417</v>
      </c>
    </row>
    <row r="3" spans="1:18" x14ac:dyDescent="0.25">
      <c r="D3">
        <v>0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 t="s">
        <v>105</v>
      </c>
    </row>
    <row r="4" spans="1:18" x14ac:dyDescent="0.25">
      <c r="A4" t="s">
        <v>106</v>
      </c>
      <c r="D4" s="18">
        <f>Forecast!C94</f>
        <v>-669000</v>
      </c>
      <c r="E4" s="15">
        <f>Forecast!D94</f>
        <v>-8804.1691065122868</v>
      </c>
      <c r="F4" s="15">
        <f>Forecast!E94</f>
        <v>125578.44381208753</v>
      </c>
      <c r="G4" s="15">
        <f>Forecast!F94</f>
        <v>124855.56561389306</v>
      </c>
      <c r="H4" s="15">
        <f>Forecast!G94</f>
        <v>124386.61955755393</v>
      </c>
      <c r="I4" s="15">
        <f>Forecast!H94</f>
        <v>124155.24828992924</v>
      </c>
      <c r="J4" s="15">
        <f>Forecast!I94</f>
        <v>124146.48330151306</v>
      </c>
      <c r="K4" s="15">
        <f>Forecast!J94</f>
        <v>124346.6354649353</v>
      </c>
      <c r="L4" s="15">
        <f>Forecast!K94</f>
        <v>124743.19436498094</v>
      </c>
      <c r="M4" s="15">
        <f>Forecast!L94</f>
        <v>125324.73571756229</v>
      </c>
      <c r="N4" s="15">
        <f>Forecast!M94</f>
        <v>385108.36711343215</v>
      </c>
      <c r="O4" s="20"/>
      <c r="P4" s="20"/>
    </row>
    <row r="5" spans="1:18" x14ac:dyDescent="0.2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x14ac:dyDescent="0.25">
      <c r="D6" s="20"/>
      <c r="E6" s="20"/>
      <c r="F6" s="20"/>
      <c r="G6" s="20"/>
      <c r="H6" s="20"/>
      <c r="I6" s="20">
        <v>-500000</v>
      </c>
      <c r="J6" s="20"/>
      <c r="K6" s="20"/>
      <c r="L6" s="20"/>
      <c r="M6" s="20"/>
      <c r="N6" s="20"/>
    </row>
    <row r="7" spans="1:18" x14ac:dyDescent="0.25">
      <c r="A7" t="s">
        <v>107</v>
      </c>
      <c r="D7" s="20"/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180000</v>
      </c>
      <c r="K7" s="20">
        <v>180000</v>
      </c>
      <c r="L7" s="20">
        <v>180000</v>
      </c>
      <c r="M7" s="20">
        <f>L7+50000</f>
        <v>230000</v>
      </c>
      <c r="N7" s="20">
        <f>M7</f>
        <v>230000</v>
      </c>
      <c r="O7" s="20">
        <f>NPV(R2,E7:N7)</f>
        <v>424882.77148681512</v>
      </c>
      <c r="P7" s="20"/>
    </row>
    <row r="9" spans="1:18" x14ac:dyDescent="0.25">
      <c r="B9" t="s">
        <v>108</v>
      </c>
      <c r="C9" s="19">
        <v>0.8</v>
      </c>
      <c r="D9" s="20">
        <f>D4</f>
        <v>-669000</v>
      </c>
      <c r="E9" s="20">
        <f>E4</f>
        <v>-8804.1691065122868</v>
      </c>
      <c r="F9" s="20">
        <f>F4</f>
        <v>125578.44381208753</v>
      </c>
      <c r="G9" s="20">
        <f>G4</f>
        <v>124855.56561389306</v>
      </c>
      <c r="H9" s="20">
        <f>H4</f>
        <v>124386.61955755393</v>
      </c>
      <c r="I9" s="20">
        <f>I6+I4</f>
        <v>-375844.75171007076</v>
      </c>
      <c r="J9" s="20">
        <f>J4+J7</f>
        <v>304146.48330151307</v>
      </c>
      <c r="K9" s="20">
        <f t="shared" ref="K9:N9" si="0">K4+K7</f>
        <v>304346.63546493533</v>
      </c>
      <c r="L9" s="20">
        <f t="shared" si="0"/>
        <v>304743.19436498091</v>
      </c>
      <c r="M9" s="20">
        <f t="shared" si="0"/>
        <v>355324.73571756226</v>
      </c>
      <c r="N9" s="20">
        <f t="shared" si="0"/>
        <v>615108.36711343215</v>
      </c>
      <c r="O9" s="20">
        <f>NPV(R2,E9:N9)</f>
        <v>828445.55353997578</v>
      </c>
      <c r="P9" s="20"/>
      <c r="Q9" t="s">
        <v>109</v>
      </c>
    </row>
    <row r="12" spans="1:18" x14ac:dyDescent="0.25">
      <c r="B12" t="s">
        <v>110</v>
      </c>
      <c r="C12" s="19">
        <v>0.1</v>
      </c>
      <c r="D12" s="20">
        <f>D4</f>
        <v>-669000</v>
      </c>
      <c r="E12" s="20">
        <f>E4</f>
        <v>-8804.1691065122868</v>
      </c>
      <c r="F12" s="20">
        <f>F4</f>
        <v>125578.44381208753</v>
      </c>
      <c r="G12" s="20">
        <f>G4</f>
        <v>124855.56561389306</v>
      </c>
      <c r="H12" s="20">
        <f>H4</f>
        <v>124386.61955755393</v>
      </c>
      <c r="I12" s="20">
        <f>I4+I6</f>
        <v>-375844.75171007076</v>
      </c>
      <c r="J12" s="20">
        <f>J7+J4</f>
        <v>304146.48330151307</v>
      </c>
      <c r="K12" s="20">
        <f>K7+K4</f>
        <v>304346.63546493533</v>
      </c>
      <c r="L12" s="20">
        <f>L4+(L7/2)</f>
        <v>214743.19436498094</v>
      </c>
      <c r="M12" s="20">
        <f>M4+(M7)</f>
        <v>355324.73571756226</v>
      </c>
      <c r="N12" s="20">
        <f>N4+(N7)</f>
        <v>615108.36711343215</v>
      </c>
      <c r="O12" s="20">
        <f>NPV(R2,E12:N12)</f>
        <v>790036.85455497971</v>
      </c>
    </row>
    <row r="13" spans="1:18" x14ac:dyDescent="0.25">
      <c r="B13" t="s">
        <v>74</v>
      </c>
      <c r="C13" s="19">
        <f>IRR(D12:O12)</f>
        <v>0.17542891996640364</v>
      </c>
    </row>
    <row r="15" spans="1:18" x14ac:dyDescent="0.25">
      <c r="B15" t="s">
        <v>111</v>
      </c>
      <c r="C15" s="19">
        <v>0.1</v>
      </c>
      <c r="D15" s="20">
        <f>D4</f>
        <v>-669000</v>
      </c>
      <c r="E15" s="20">
        <f>E4</f>
        <v>-8804.1691065122868</v>
      </c>
      <c r="F15" s="20">
        <f t="shared" ref="F15:N15" si="1">F4</f>
        <v>125578.44381208753</v>
      </c>
      <c r="G15" s="20">
        <f t="shared" si="1"/>
        <v>124855.56561389306</v>
      </c>
      <c r="H15" s="20">
        <f t="shared" si="1"/>
        <v>124386.61955755393</v>
      </c>
      <c r="I15" s="20">
        <f t="shared" si="1"/>
        <v>124155.24828992924</v>
      </c>
      <c r="J15" s="20">
        <f t="shared" si="1"/>
        <v>124146.48330151306</v>
      </c>
      <c r="K15" s="20">
        <f t="shared" si="1"/>
        <v>124346.6354649353</v>
      </c>
      <c r="L15" s="20">
        <f t="shared" si="1"/>
        <v>124743.19436498094</v>
      </c>
      <c r="M15" s="20">
        <f t="shared" si="1"/>
        <v>125324.73571756229</v>
      </c>
      <c r="N15" s="20">
        <f t="shared" si="1"/>
        <v>385108.36711343215</v>
      </c>
      <c r="O15" s="20">
        <f>NPV(R2,E15:N15)</f>
        <v>697217.46690948715</v>
      </c>
      <c r="Q15" t="s">
        <v>112</v>
      </c>
    </row>
    <row r="17" spans="1:15" x14ac:dyDescent="0.25">
      <c r="O17" s="20" t="s">
        <v>113</v>
      </c>
    </row>
    <row r="18" spans="1:15" x14ac:dyDescent="0.25">
      <c r="C18" s="22" t="s">
        <v>114</v>
      </c>
      <c r="D18" s="24" t="s">
        <v>115</v>
      </c>
      <c r="E18" s="24" t="s">
        <v>116</v>
      </c>
      <c r="F18" s="24" t="s">
        <v>117</v>
      </c>
      <c r="G18" s="24" t="s">
        <v>118</v>
      </c>
      <c r="H18" s="25" t="s">
        <v>119</v>
      </c>
    </row>
    <row r="19" spans="1:15" x14ac:dyDescent="0.25">
      <c r="C19" s="44">
        <f>O7</f>
        <v>424882.77148681512</v>
      </c>
      <c r="D19" s="45">
        <f>-I6</f>
        <v>500000</v>
      </c>
      <c r="E19" s="46">
        <v>5</v>
      </c>
      <c r="F19" s="46">
        <v>0.2</v>
      </c>
      <c r="G19" s="47">
        <f>C13</f>
        <v>0.17542891996640364</v>
      </c>
      <c r="H19" s="48">
        <f>(C19*(NORMSDIST((LN(C19/PV(G19,E19,,-D19))+(G19+((F19^2)/2)*E19))/(F19*SQRT(E19)))))-((NORMSDIST(((LN(C19/PV(G19,E19,,-D19))+(G19+((F19^2)/2)*E19))/(F19*SQRT(E19)))-(F19*SQRT(E19))))*PV(G19,E19,,-D19))</f>
        <v>205577.98424277981</v>
      </c>
    </row>
    <row r="22" spans="1:15" x14ac:dyDescent="0.25">
      <c r="A22" t="s">
        <v>120</v>
      </c>
      <c r="B22" s="20">
        <f>NPV(R2,E4:H4)</f>
        <v>265567.25617092208</v>
      </c>
    </row>
    <row r="23" spans="1:15" x14ac:dyDescent="0.25">
      <c r="A23" t="s">
        <v>121</v>
      </c>
      <c r="B23" s="15">
        <f>H19</f>
        <v>205577.98424277981</v>
      </c>
    </row>
    <row r="24" spans="1:15" x14ac:dyDescent="0.25">
      <c r="A24" t="s">
        <v>122</v>
      </c>
      <c r="B24" s="20">
        <f>B22+B23</f>
        <v>471145.24041370186</v>
      </c>
      <c r="C24" t="str">
        <f>IF(B24&gt;0,"Do It", "Don't Do It")</f>
        <v>Do It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A35" workbookViewId="0">
      <selection activeCell="D55" sqref="D55"/>
    </sheetView>
  </sheetViews>
  <sheetFormatPr defaultRowHeight="15" x14ac:dyDescent="0.25"/>
  <cols>
    <col min="3" max="3" width="22.28515625" customWidth="1"/>
    <col min="4" max="4" width="21.28515625" customWidth="1"/>
    <col min="5" max="5" width="16.5703125" customWidth="1"/>
    <col min="6" max="6" width="18.7109375" customWidth="1"/>
    <col min="7" max="7" width="20.7109375" customWidth="1"/>
    <col min="8" max="8" width="16.42578125" customWidth="1"/>
    <col min="9" max="9" width="16.85546875" customWidth="1"/>
    <col min="10" max="10" width="14.7109375" customWidth="1"/>
    <col min="11" max="11" width="16.28515625" customWidth="1"/>
    <col min="12" max="12" width="17.28515625" customWidth="1"/>
    <col min="13" max="13" width="15.42578125" customWidth="1"/>
    <col min="15" max="15" width="23.85546875" customWidth="1"/>
    <col min="17" max="17" width="14.5703125" customWidth="1"/>
    <col min="18" max="18" width="14.85546875" customWidth="1"/>
    <col min="20" max="20" width="13.28515625" customWidth="1"/>
    <col min="21" max="21" width="16.28515625" customWidth="1"/>
  </cols>
  <sheetData>
    <row r="1" spans="1:14" ht="15.75" x14ac:dyDescent="0.25">
      <c r="A1" s="55" t="s">
        <v>94</v>
      </c>
      <c r="B1" s="56"/>
      <c r="C1" s="56"/>
      <c r="D1" s="56"/>
      <c r="E1" s="56"/>
      <c r="F1" s="56"/>
      <c r="G1" s="56"/>
      <c r="H1" s="56"/>
    </row>
    <row r="2" spans="1:14" ht="15.75" x14ac:dyDescent="0.25">
      <c r="A2" s="56"/>
      <c r="B2" s="56"/>
      <c r="C2" s="56"/>
      <c r="D2" s="56">
        <v>1</v>
      </c>
      <c r="E2" s="56">
        <v>2</v>
      </c>
      <c r="F2" s="56">
        <v>3</v>
      </c>
      <c r="G2" s="56">
        <v>4</v>
      </c>
      <c r="H2" s="56">
        <v>5</v>
      </c>
      <c r="I2" s="56">
        <v>6</v>
      </c>
      <c r="J2" s="56">
        <v>7</v>
      </c>
      <c r="K2" s="56">
        <v>8</v>
      </c>
      <c r="L2" s="56">
        <v>9</v>
      </c>
      <c r="M2" s="56">
        <v>10</v>
      </c>
    </row>
    <row r="3" spans="1:14" ht="15.75" x14ac:dyDescent="0.25">
      <c r="A3" s="56"/>
      <c r="B3" s="56"/>
      <c r="C3" s="56"/>
      <c r="D3" s="56"/>
      <c r="E3" s="56"/>
      <c r="F3" s="56"/>
      <c r="G3" s="56"/>
      <c r="H3" s="56"/>
    </row>
    <row r="4" spans="1:14" ht="15.75" x14ac:dyDescent="0.25">
      <c r="A4" s="56" t="s">
        <v>138</v>
      </c>
      <c r="B4" s="56"/>
      <c r="C4" s="56"/>
      <c r="D4" s="57">
        <v>69.5</v>
      </c>
      <c r="E4" s="57">
        <f>D4*0.75</f>
        <v>52.125</v>
      </c>
      <c r="F4" s="57">
        <f t="shared" ref="F4:M5" si="0">E4*0.75</f>
        <v>39.09375</v>
      </c>
      <c r="G4" s="57">
        <f t="shared" si="0"/>
        <v>29.3203125</v>
      </c>
      <c r="H4" s="57">
        <f t="shared" si="0"/>
        <v>21.990234375</v>
      </c>
      <c r="I4" s="57">
        <f t="shared" si="0"/>
        <v>16.49267578125</v>
      </c>
      <c r="J4" s="57">
        <f t="shared" si="0"/>
        <v>12.3695068359375</v>
      </c>
      <c r="K4" s="57">
        <f t="shared" si="0"/>
        <v>9.277130126953125</v>
      </c>
      <c r="L4" s="57">
        <f t="shared" si="0"/>
        <v>6.9578475952148437</v>
      </c>
      <c r="M4" s="57">
        <f t="shared" si="0"/>
        <v>5.2183856964111328</v>
      </c>
    </row>
    <row r="5" spans="1:14" ht="15.75" x14ac:dyDescent="0.25">
      <c r="A5" s="56" t="s">
        <v>139</v>
      </c>
      <c r="B5" s="56"/>
      <c r="C5" s="56"/>
      <c r="D5" s="57">
        <v>91.88</v>
      </c>
      <c r="E5" s="57">
        <f>D5*0.75</f>
        <v>68.91</v>
      </c>
      <c r="F5" s="57">
        <f t="shared" si="0"/>
        <v>51.682499999999997</v>
      </c>
      <c r="G5" s="57">
        <f t="shared" si="0"/>
        <v>38.761874999999996</v>
      </c>
      <c r="H5" s="57">
        <f t="shared" si="0"/>
        <v>29.071406249999995</v>
      </c>
      <c r="I5" s="57">
        <f t="shared" si="0"/>
        <v>21.803554687499997</v>
      </c>
      <c r="J5" s="57">
        <f t="shared" si="0"/>
        <v>16.352666015624997</v>
      </c>
      <c r="K5" s="57">
        <f t="shared" si="0"/>
        <v>12.264499511718748</v>
      </c>
      <c r="L5" s="57">
        <f t="shared" si="0"/>
        <v>9.1983746337890615</v>
      </c>
      <c r="M5" s="57">
        <f t="shared" si="0"/>
        <v>6.8987809753417961</v>
      </c>
    </row>
    <row r="6" spans="1:14" ht="15.75" x14ac:dyDescent="0.25">
      <c r="A6" s="56" t="s">
        <v>97</v>
      </c>
      <c r="B6" s="56"/>
      <c r="C6" s="56"/>
      <c r="D6" s="56">
        <v>14044</v>
      </c>
      <c r="E6" s="58">
        <f>D6*0.85</f>
        <v>11937.4</v>
      </c>
      <c r="F6" s="58">
        <f t="shared" ref="F6:M6" si="1">E6*0.85</f>
        <v>10146.789999999999</v>
      </c>
      <c r="G6" s="58">
        <f t="shared" si="1"/>
        <v>8624.7714999999989</v>
      </c>
      <c r="H6" s="58">
        <f t="shared" si="1"/>
        <v>7331.0557749999989</v>
      </c>
      <c r="I6" s="58">
        <f t="shared" si="1"/>
        <v>6231.3974087499992</v>
      </c>
      <c r="J6" s="58">
        <f t="shared" si="1"/>
        <v>5296.6877974374993</v>
      </c>
      <c r="K6" s="58">
        <f t="shared" si="1"/>
        <v>4502.1846278218745</v>
      </c>
      <c r="L6" s="58">
        <f t="shared" si="1"/>
        <v>3826.8569336485934</v>
      </c>
      <c r="M6" s="58">
        <f t="shared" si="1"/>
        <v>3252.8283936013045</v>
      </c>
    </row>
    <row r="7" spans="1:14" ht="15.75" x14ac:dyDescent="0.25">
      <c r="A7" s="56" t="s">
        <v>98</v>
      </c>
      <c r="B7" s="56"/>
      <c r="C7" s="56"/>
      <c r="D7" s="56">
        <v>3945</v>
      </c>
      <c r="E7" s="59">
        <f>D7*0.75</f>
        <v>2958.75</v>
      </c>
      <c r="F7" s="59">
        <f t="shared" ref="F7:M7" si="2">E7*0.75</f>
        <v>2219.0625</v>
      </c>
      <c r="G7" s="59">
        <f t="shared" si="2"/>
        <v>1664.296875</v>
      </c>
      <c r="H7" s="59">
        <f t="shared" si="2"/>
        <v>1248.22265625</v>
      </c>
      <c r="I7" s="59">
        <f t="shared" si="2"/>
        <v>936.1669921875</v>
      </c>
      <c r="J7" s="59">
        <f t="shared" si="2"/>
        <v>702.125244140625</v>
      </c>
      <c r="K7" s="59">
        <f t="shared" si="2"/>
        <v>526.59393310546875</v>
      </c>
      <c r="L7" s="59">
        <f t="shared" si="2"/>
        <v>394.94544982910156</v>
      </c>
      <c r="M7" s="59">
        <f t="shared" si="2"/>
        <v>296.20908737182617</v>
      </c>
    </row>
    <row r="8" spans="1:14" ht="15.75" x14ac:dyDescent="0.25">
      <c r="A8" s="56"/>
      <c r="B8" s="56"/>
      <c r="C8" s="56"/>
      <c r="D8" s="56"/>
      <c r="E8" s="56"/>
      <c r="F8" s="56"/>
      <c r="G8" s="56"/>
      <c r="H8" s="56"/>
    </row>
    <row r="9" spans="1:14" ht="15.75" x14ac:dyDescent="0.25">
      <c r="A9" s="56" t="s">
        <v>140</v>
      </c>
      <c r="B9" s="56"/>
      <c r="C9" s="56"/>
      <c r="D9" s="60">
        <f>D4*0.6</f>
        <v>41.699999999999996</v>
      </c>
      <c r="E9" s="60">
        <f>E4*1.7</f>
        <v>88.612499999999997</v>
      </c>
      <c r="F9" s="60">
        <f>F4*1.7</f>
        <v>66.459374999999994</v>
      </c>
      <c r="G9" s="60">
        <f>G4*1.7</f>
        <v>49.844531249999996</v>
      </c>
      <c r="H9" s="60">
        <f t="shared" ref="H9:M9" si="3">H4*0.6</f>
        <v>13.194140624999999</v>
      </c>
      <c r="I9" s="60">
        <f t="shared" si="3"/>
        <v>9.8956054687500004</v>
      </c>
      <c r="J9" s="60">
        <f t="shared" si="3"/>
        <v>7.4217041015624998</v>
      </c>
      <c r="K9" s="60">
        <f t="shared" si="3"/>
        <v>5.5662780761718746</v>
      </c>
      <c r="L9" s="60">
        <f t="shared" si="3"/>
        <v>4.1747085571289064</v>
      </c>
      <c r="M9" s="60">
        <f t="shared" si="3"/>
        <v>3.1310314178466796</v>
      </c>
    </row>
    <row r="10" spans="1:14" ht="15.75" x14ac:dyDescent="0.25">
      <c r="A10" s="56" t="s">
        <v>141</v>
      </c>
      <c r="B10" s="56"/>
      <c r="C10" s="56"/>
      <c r="D10" s="57">
        <f>0.6*D5</f>
        <v>55.127999999999993</v>
      </c>
      <c r="E10" s="57">
        <f t="shared" ref="E10:M10" si="4">0.6*E5</f>
        <v>41.345999999999997</v>
      </c>
      <c r="F10" s="57">
        <f t="shared" si="4"/>
        <v>31.009499999999996</v>
      </c>
      <c r="G10" s="57">
        <f t="shared" si="4"/>
        <v>23.257124999999998</v>
      </c>
      <c r="H10" s="57">
        <f t="shared" si="4"/>
        <v>17.442843749999998</v>
      </c>
      <c r="I10" s="57">
        <f t="shared" si="4"/>
        <v>13.082132812499998</v>
      </c>
      <c r="J10" s="57">
        <f t="shared" si="4"/>
        <v>9.8115996093749978</v>
      </c>
      <c r="K10" s="57">
        <f t="shared" si="4"/>
        <v>7.3586997070312483</v>
      </c>
      <c r="L10" s="57">
        <f t="shared" si="4"/>
        <v>5.5190247802734369</v>
      </c>
      <c r="M10" s="57">
        <f t="shared" si="4"/>
        <v>4.1392685852050777</v>
      </c>
    </row>
    <row r="11" spans="1:14" ht="15.75" x14ac:dyDescent="0.25">
      <c r="A11" s="56"/>
      <c r="B11" s="56"/>
      <c r="C11" s="56"/>
      <c r="D11" s="56"/>
      <c r="E11" s="56"/>
      <c r="F11" s="56"/>
      <c r="G11" s="56"/>
      <c r="H11" s="56"/>
    </row>
    <row r="12" spans="1:14" ht="15.75" x14ac:dyDescent="0.25">
      <c r="A12" s="56" t="s">
        <v>142</v>
      </c>
      <c r="B12" s="56"/>
      <c r="C12" s="56"/>
      <c r="D12" s="60">
        <v>30</v>
      </c>
      <c r="E12" s="60">
        <v>30</v>
      </c>
      <c r="F12" s="60">
        <v>30</v>
      </c>
      <c r="G12" s="60">
        <v>30</v>
      </c>
      <c r="H12" s="60">
        <v>30</v>
      </c>
      <c r="I12" s="60">
        <v>30</v>
      </c>
      <c r="J12" s="60">
        <v>30</v>
      </c>
      <c r="K12" s="60">
        <v>30</v>
      </c>
      <c r="L12" s="60">
        <v>30</v>
      </c>
      <c r="M12" s="60">
        <v>30</v>
      </c>
      <c r="N12">
        <v>30</v>
      </c>
    </row>
    <row r="13" spans="1:14" ht="15.75" x14ac:dyDescent="0.25">
      <c r="A13" s="56"/>
      <c r="B13" s="56"/>
      <c r="C13" s="56"/>
      <c r="D13" s="60"/>
      <c r="E13" s="60"/>
      <c r="F13" s="60"/>
      <c r="G13" s="60"/>
      <c r="H13" s="60"/>
    </row>
    <row r="14" spans="1:14" ht="15.75" x14ac:dyDescent="0.25">
      <c r="A14" s="56" t="s">
        <v>101</v>
      </c>
      <c r="B14" s="56"/>
      <c r="C14" s="56"/>
      <c r="D14" s="60">
        <v>60</v>
      </c>
      <c r="E14" s="60">
        <v>60</v>
      </c>
      <c r="F14" s="60">
        <v>60</v>
      </c>
      <c r="G14" s="60">
        <v>60</v>
      </c>
      <c r="H14" s="60">
        <v>60</v>
      </c>
      <c r="I14" s="60">
        <v>60</v>
      </c>
      <c r="J14" s="60">
        <v>60</v>
      </c>
      <c r="K14" s="60">
        <v>60</v>
      </c>
      <c r="L14" s="60">
        <v>60</v>
      </c>
      <c r="M14" s="60">
        <v>60</v>
      </c>
    </row>
    <row r="15" spans="1:14" ht="15.75" x14ac:dyDescent="0.25">
      <c r="A15" s="56"/>
      <c r="B15" s="56"/>
      <c r="C15" s="56"/>
      <c r="D15" s="56"/>
      <c r="E15" s="56"/>
      <c r="F15" s="56"/>
      <c r="G15" s="56"/>
      <c r="H15" s="56"/>
    </row>
    <row r="16" spans="1:14" ht="15.75" x14ac:dyDescent="0.25">
      <c r="A16" s="56" t="s">
        <v>143</v>
      </c>
      <c r="B16" s="56"/>
      <c r="C16" s="56"/>
      <c r="D16" s="56"/>
      <c r="E16" s="56"/>
      <c r="F16" s="56"/>
      <c r="G16" s="56"/>
      <c r="H16" s="56"/>
    </row>
    <row r="17" spans="1:14" ht="15.75" x14ac:dyDescent="0.25">
      <c r="A17" s="56"/>
      <c r="B17" s="56" t="s">
        <v>103</v>
      </c>
      <c r="C17" s="56"/>
      <c r="D17" s="60">
        <v>30</v>
      </c>
      <c r="E17" s="60">
        <v>30</v>
      </c>
      <c r="F17" s="60">
        <v>30</v>
      </c>
      <c r="G17" s="60">
        <v>30</v>
      </c>
      <c r="H17" s="60">
        <v>30</v>
      </c>
      <c r="I17" s="60">
        <v>30</v>
      </c>
      <c r="J17" s="60">
        <v>30</v>
      </c>
      <c r="K17" s="60">
        <v>30</v>
      </c>
      <c r="L17" s="60">
        <v>30</v>
      </c>
      <c r="M17" s="60">
        <v>30</v>
      </c>
    </row>
    <row r="18" spans="1:14" ht="15.75" x14ac:dyDescent="0.25">
      <c r="A18" s="56"/>
      <c r="B18" s="56"/>
      <c r="C18" s="56"/>
      <c r="D18" s="56"/>
      <c r="E18" s="56"/>
      <c r="F18" s="56"/>
      <c r="G18" s="56"/>
      <c r="H18" s="56"/>
    </row>
    <row r="19" spans="1:14" ht="15.75" x14ac:dyDescent="0.25">
      <c r="A19" s="55" t="s">
        <v>4</v>
      </c>
      <c r="B19" s="56"/>
      <c r="C19" s="56"/>
      <c r="D19" s="56"/>
      <c r="E19" s="56"/>
      <c r="F19" s="56"/>
      <c r="G19" s="56"/>
      <c r="H19" s="56"/>
    </row>
    <row r="20" spans="1:14" ht="15.75" x14ac:dyDescent="0.25">
      <c r="A20" s="56" t="s">
        <v>138</v>
      </c>
      <c r="B20" s="56"/>
      <c r="C20" s="56"/>
      <c r="D20" s="61">
        <f>D4*D6</f>
        <v>976058</v>
      </c>
      <c r="E20" s="61">
        <f t="shared" ref="E20:M21" si="5">E4*E6</f>
        <v>622236.97499999998</v>
      </c>
      <c r="F20" s="61">
        <f t="shared" si="5"/>
        <v>396676.07156249997</v>
      </c>
      <c r="G20" s="61">
        <f t="shared" si="5"/>
        <v>252880.99562109372</v>
      </c>
      <c r="H20" s="61">
        <f t="shared" si="5"/>
        <v>161211.63470844724</v>
      </c>
      <c r="I20" s="61">
        <f t="shared" si="5"/>
        <v>102772.41712663512</v>
      </c>
      <c r="J20" s="61">
        <f t="shared" si="5"/>
        <v>65517.41591822989</v>
      </c>
      <c r="K20" s="61">
        <f t="shared" si="5"/>
        <v>41767.352647871558</v>
      </c>
      <c r="L20" s="61">
        <f t="shared" si="5"/>
        <v>26626.687313018116</v>
      </c>
      <c r="M20" s="61">
        <f t="shared" si="5"/>
        <v>16974.51316204905</v>
      </c>
    </row>
    <row r="21" spans="1:14" ht="15.75" x14ac:dyDescent="0.25">
      <c r="A21" s="56" t="s">
        <v>144</v>
      </c>
      <c r="B21" s="56"/>
      <c r="C21" s="56"/>
      <c r="D21" s="61">
        <f>D5*D7</f>
        <v>362466.6</v>
      </c>
      <c r="E21" s="61">
        <f t="shared" si="5"/>
        <v>203887.46249999999</v>
      </c>
      <c r="F21" s="61">
        <f t="shared" si="5"/>
        <v>114686.69765624999</v>
      </c>
      <c r="G21" s="61">
        <f t="shared" si="5"/>
        <v>64511.267431640619</v>
      </c>
      <c r="H21" s="61">
        <f t="shared" si="5"/>
        <v>36287.587930297843</v>
      </c>
      <c r="I21" s="61">
        <f t="shared" si="5"/>
        <v>20411.768210792539</v>
      </c>
      <c r="J21" s="61">
        <f t="shared" si="5"/>
        <v>11481.619618570803</v>
      </c>
      <c r="K21" s="61">
        <f t="shared" si="5"/>
        <v>6458.4110354460763</v>
      </c>
      <c r="L21" s="61">
        <f t="shared" si="5"/>
        <v>3632.8562074384181</v>
      </c>
      <c r="M21" s="61">
        <f t="shared" si="5"/>
        <v>2043.4816166841103</v>
      </c>
    </row>
    <row r="22" spans="1:14" ht="15.75" x14ac:dyDescent="0.25">
      <c r="A22" s="56"/>
      <c r="B22" s="56"/>
      <c r="C22" s="56"/>
      <c r="D22" s="61"/>
      <c r="E22" s="61"/>
      <c r="F22" s="61"/>
      <c r="G22" s="61"/>
      <c r="H22" s="61"/>
    </row>
    <row r="23" spans="1:14" ht="15.75" x14ac:dyDescent="0.25">
      <c r="A23" s="56" t="s">
        <v>145</v>
      </c>
      <c r="B23" s="56"/>
      <c r="C23" s="56"/>
      <c r="D23" s="61">
        <f t="shared" ref="D23:M23" si="6">D10*D7</f>
        <v>217479.95999999996</v>
      </c>
      <c r="E23" s="61">
        <f t="shared" si="6"/>
        <v>122332.47749999999</v>
      </c>
      <c r="F23" s="61">
        <f t="shared" si="6"/>
        <v>68812.018593749992</v>
      </c>
      <c r="G23" s="61">
        <f t="shared" si="6"/>
        <v>38706.760458984376</v>
      </c>
      <c r="H23" s="61">
        <f t="shared" si="6"/>
        <v>21772.55275817871</v>
      </c>
      <c r="I23" s="61">
        <f t="shared" si="6"/>
        <v>12247.060926475522</v>
      </c>
      <c r="J23" s="61">
        <f t="shared" si="6"/>
        <v>6888.971771142481</v>
      </c>
      <c r="K23" s="61">
        <f t="shared" si="6"/>
        <v>3875.0466212676456</v>
      </c>
      <c r="L23" s="61">
        <f t="shared" si="6"/>
        <v>2179.7137244630508</v>
      </c>
      <c r="M23" s="61">
        <f t="shared" si="6"/>
        <v>1226.0889700104663</v>
      </c>
    </row>
    <row r="24" spans="1:14" ht="15.75" x14ac:dyDescent="0.25">
      <c r="A24" s="56" t="s">
        <v>5</v>
      </c>
      <c r="B24" s="56"/>
      <c r="C24" s="56"/>
      <c r="D24" s="61"/>
      <c r="E24" s="61"/>
      <c r="F24" s="61"/>
      <c r="G24" s="61"/>
      <c r="H24" s="61"/>
    </row>
    <row r="25" spans="1:14" ht="15.75" x14ac:dyDescent="0.25">
      <c r="A25" s="56"/>
      <c r="B25" s="56" t="s">
        <v>146</v>
      </c>
      <c r="C25" s="56"/>
      <c r="D25" s="61">
        <f>(D20*0.05)+(D9*D6)</f>
        <v>634437.69999999995</v>
      </c>
      <c r="E25" s="61">
        <f t="shared" ref="E25:M25" si="7">(E20*0.05)+(E9*E6)</f>
        <v>1088914.7062499998</v>
      </c>
      <c r="F25" s="61">
        <f t="shared" si="7"/>
        <v>694183.12523437489</v>
      </c>
      <c r="G25" s="61">
        <f t="shared" si="7"/>
        <v>442541.74233691394</v>
      </c>
      <c r="H25" s="61">
        <f t="shared" si="7"/>
        <v>104787.56256049071</v>
      </c>
      <c r="I25" s="61">
        <f t="shared" si="7"/>
        <v>66802.07113231282</v>
      </c>
      <c r="J25" s="61">
        <f t="shared" si="7"/>
        <v>42586.320346849432</v>
      </c>
      <c r="K25" s="61">
        <f t="shared" si="7"/>
        <v>27148.779221116507</v>
      </c>
      <c r="L25" s="61">
        <f t="shared" si="7"/>
        <v>17307.346753461778</v>
      </c>
      <c r="M25" s="61">
        <f t="shared" si="7"/>
        <v>11033.433555331882</v>
      </c>
    </row>
    <row r="26" spans="1:14" ht="15.75" x14ac:dyDescent="0.25">
      <c r="A26" s="56"/>
      <c r="B26" s="56" t="s">
        <v>147</v>
      </c>
      <c r="C26" s="56"/>
      <c r="D26" s="61">
        <f t="shared" ref="D26:M26" si="8">0.05*D21</f>
        <v>18123.329999999998</v>
      </c>
      <c r="E26" s="61">
        <f t="shared" si="8"/>
        <v>10194.373125</v>
      </c>
      <c r="F26" s="61">
        <f t="shared" si="8"/>
        <v>5734.3348828124999</v>
      </c>
      <c r="G26" s="61">
        <f t="shared" si="8"/>
        <v>3225.5633715820313</v>
      </c>
      <c r="H26" s="61">
        <f t="shared" si="8"/>
        <v>1814.3793965148923</v>
      </c>
      <c r="I26" s="61">
        <f t="shared" si="8"/>
        <v>1020.588410539627</v>
      </c>
      <c r="J26" s="61">
        <f t="shared" si="8"/>
        <v>574.08098092854016</v>
      </c>
      <c r="K26" s="61">
        <f t="shared" si="8"/>
        <v>322.92055177230384</v>
      </c>
      <c r="L26" s="61">
        <f t="shared" si="8"/>
        <v>181.64281037192092</v>
      </c>
      <c r="M26" s="61">
        <f t="shared" si="8"/>
        <v>102.17408083420553</v>
      </c>
    </row>
    <row r="27" spans="1:14" ht="15.75" x14ac:dyDescent="0.25">
      <c r="A27" s="56"/>
      <c r="B27" s="56" t="s">
        <v>148</v>
      </c>
      <c r="C27" s="56"/>
      <c r="D27" s="57">
        <f t="shared" ref="D27:M27" si="9">0.1*(D20+D21)</f>
        <v>133852.46000000002</v>
      </c>
      <c r="E27" s="57">
        <f t="shared" si="9"/>
        <v>82612.443750000006</v>
      </c>
      <c r="F27" s="57">
        <f t="shared" si="9"/>
        <v>51136.276921874996</v>
      </c>
      <c r="G27" s="57">
        <f t="shared" si="9"/>
        <v>31739.226305273434</v>
      </c>
      <c r="H27" s="57">
        <f t="shared" si="9"/>
        <v>19749.922263874512</v>
      </c>
      <c r="I27" s="57">
        <f t="shared" si="9"/>
        <v>12318.418533742766</v>
      </c>
      <c r="J27" s="57">
        <f t="shared" si="9"/>
        <v>7699.9035536800693</v>
      </c>
      <c r="K27" s="57">
        <f t="shared" si="9"/>
        <v>4822.5763683317637</v>
      </c>
      <c r="L27" s="57">
        <f t="shared" si="9"/>
        <v>3025.9543520456536</v>
      </c>
      <c r="M27" s="57">
        <f t="shared" si="9"/>
        <v>1901.7994778733164</v>
      </c>
    </row>
    <row r="28" spans="1:14" ht="15.75" x14ac:dyDescent="0.25">
      <c r="A28" s="56"/>
      <c r="B28" s="56" t="s">
        <v>149</v>
      </c>
      <c r="C28" s="56"/>
      <c r="D28" s="62">
        <f t="shared" ref="D28:M28" si="10">0.08*(D21+D20)</f>
        <v>107081.96800000001</v>
      </c>
      <c r="E28" s="62">
        <f t="shared" si="10"/>
        <v>66089.955000000002</v>
      </c>
      <c r="F28" s="62">
        <f t="shared" si="10"/>
        <v>40909.021537499997</v>
      </c>
      <c r="G28" s="62">
        <f t="shared" si="10"/>
        <v>25391.381044218746</v>
      </c>
      <c r="H28" s="62">
        <f t="shared" si="10"/>
        <v>15799.937811099608</v>
      </c>
      <c r="I28" s="62">
        <f t="shared" si="10"/>
        <v>9854.7348269942122</v>
      </c>
      <c r="J28" s="62">
        <f t="shared" si="10"/>
        <v>6159.9228429440554</v>
      </c>
      <c r="K28" s="62">
        <f t="shared" si="10"/>
        <v>3858.061094665411</v>
      </c>
      <c r="L28" s="62">
        <f t="shared" si="10"/>
        <v>2420.7634816365226</v>
      </c>
      <c r="M28" s="62">
        <f t="shared" si="10"/>
        <v>1521.439582298653</v>
      </c>
    </row>
    <row r="29" spans="1:14" ht="15.75" x14ac:dyDescent="0.25">
      <c r="A29" s="56"/>
      <c r="B29" s="56"/>
      <c r="C29" s="56"/>
      <c r="D29" s="61"/>
      <c r="E29" s="61"/>
      <c r="F29" s="61"/>
      <c r="G29" s="61"/>
      <c r="H29" s="61"/>
    </row>
    <row r="30" spans="1:14" ht="15.75" x14ac:dyDescent="0.25">
      <c r="A30" s="56"/>
      <c r="B30" s="56"/>
      <c r="C30" s="56"/>
      <c r="D30" s="61"/>
      <c r="E30" s="61"/>
      <c r="F30" s="61"/>
      <c r="G30" s="61"/>
      <c r="H30" s="61"/>
    </row>
    <row r="31" spans="1:14" ht="15.75" x14ac:dyDescent="0.25">
      <c r="A31" s="56" t="s">
        <v>150</v>
      </c>
      <c r="B31" s="56"/>
      <c r="C31" s="56"/>
      <c r="D31" s="57">
        <f>D48/$N$31</f>
        <v>10296.666666666666</v>
      </c>
      <c r="E31" s="57">
        <f t="shared" ref="E31:M31" si="11">E48/$N$31</f>
        <v>10296.666666666666</v>
      </c>
      <c r="F31" s="57">
        <f t="shared" si="11"/>
        <v>10296.666666666666</v>
      </c>
      <c r="G31" s="57">
        <f t="shared" si="11"/>
        <v>10296.666666666666</v>
      </c>
      <c r="H31" s="57">
        <f t="shared" si="11"/>
        <v>10296.666666666666</v>
      </c>
      <c r="I31" s="57">
        <f t="shared" si="11"/>
        <v>10296.666666666666</v>
      </c>
      <c r="J31" s="57">
        <f t="shared" si="11"/>
        <v>10296.666666666666</v>
      </c>
      <c r="K31" s="57">
        <f t="shared" si="11"/>
        <v>10296.666666666666</v>
      </c>
      <c r="L31" s="57">
        <f t="shared" si="11"/>
        <v>10296.666666666666</v>
      </c>
      <c r="M31" s="57">
        <f t="shared" si="11"/>
        <v>10296.666666666666</v>
      </c>
      <c r="N31">
        <v>30</v>
      </c>
    </row>
    <row r="32" spans="1:14" ht="15.75" x14ac:dyDescent="0.25">
      <c r="A32" s="56"/>
      <c r="B32" s="56"/>
      <c r="C32" s="56"/>
      <c r="D32" s="61"/>
      <c r="E32" s="61"/>
      <c r="F32" s="61"/>
      <c r="G32" s="61"/>
      <c r="H32" s="61"/>
    </row>
    <row r="33" spans="1:22" ht="15.75" x14ac:dyDescent="0.25">
      <c r="A33" s="56" t="s">
        <v>7</v>
      </c>
      <c r="B33" s="56"/>
      <c r="C33" s="56"/>
      <c r="D33" s="10">
        <v>0</v>
      </c>
      <c r="E33" s="61">
        <f>[1]Mortgage!F19</f>
        <v>14289.923486897158</v>
      </c>
      <c r="F33" s="61">
        <f>[1]Mortgage!F31</f>
        <v>14052.841271955373</v>
      </c>
      <c r="G33" s="61">
        <f>[1]Mortgage!F43</f>
        <v>13804.867541538926</v>
      </c>
      <c r="H33" s="61">
        <f>[1]Mortgage!F55</f>
        <v>13545.501941332488</v>
      </c>
      <c r="I33" s="61">
        <f>[1]Mortgage!F67</f>
        <v>13274.221130831018</v>
      </c>
      <c r="J33" s="61">
        <f>[1]Mortgage!F79</f>
        <v>12990.477727358237</v>
      </c>
      <c r="K33" s="61">
        <f>[1]Mortgage!F91</f>
        <v>12693.699201573498</v>
      </c>
      <c r="L33" s="61">
        <f>[1]Mortgage!F103</f>
        <v>12383.286722238399</v>
      </c>
      <c r="M33" s="61">
        <f>[1]Mortgage!F115</f>
        <v>12058.613947912236</v>
      </c>
      <c r="N33" s="61"/>
    </row>
    <row r="34" spans="1:22" ht="15.75" x14ac:dyDescent="0.25">
      <c r="A34" s="56" t="s">
        <v>151</v>
      </c>
      <c r="B34" s="56"/>
      <c r="C34" s="56"/>
      <c r="D34" s="61">
        <f>$N$34*D58</f>
        <v>3149.1013625198711</v>
      </c>
      <c r="E34" s="61">
        <f t="shared" ref="E34:M34" si="12">$N$34*E58</f>
        <v>119387.91022826676</v>
      </c>
      <c r="F34" s="61">
        <f t="shared" si="12"/>
        <v>195983.84042446851</v>
      </c>
      <c r="G34" s="61">
        <f t="shared" si="12"/>
        <v>267546.39794776525</v>
      </c>
      <c r="H34" s="61">
        <f t="shared" si="12"/>
        <v>305908.14472902316</v>
      </c>
      <c r="I34" s="61">
        <f t="shared" si="12"/>
        <v>358184.58080806822</v>
      </c>
      <c r="J34" s="61">
        <f t="shared" si="12"/>
        <v>421626.1949692269</v>
      </c>
      <c r="K34" s="61">
        <f t="shared" si="12"/>
        <v>497476.40333904052</v>
      </c>
      <c r="L34" s="61">
        <f t="shared" si="12"/>
        <v>587472.37023855047</v>
      </c>
      <c r="M34" s="61">
        <f t="shared" si="12"/>
        <v>693827.98691903835</v>
      </c>
      <c r="N34" s="19">
        <v>0.15</v>
      </c>
    </row>
    <row r="35" spans="1:22" ht="15.75" x14ac:dyDescent="0.25">
      <c r="A35" s="56"/>
      <c r="B35" s="56"/>
      <c r="C35" s="56"/>
      <c r="D35" s="61"/>
      <c r="E35" s="61"/>
      <c r="F35" s="61"/>
      <c r="G35" s="61"/>
      <c r="H35" s="61"/>
    </row>
    <row r="36" spans="1:22" ht="15.75" x14ac:dyDescent="0.25">
      <c r="A36" s="56" t="s">
        <v>152</v>
      </c>
      <c r="B36" s="56"/>
      <c r="C36" s="56"/>
      <c r="D36" s="61">
        <f t="shared" ref="D36:M36" si="13">D20+D21-SUM(D23:D34)</f>
        <v>214103.41397081339</v>
      </c>
      <c r="E36" s="61">
        <f t="shared" si="13"/>
        <v>-687994.01850683079</v>
      </c>
      <c r="F36" s="61">
        <f t="shared" si="13"/>
        <v>-569745.35631465295</v>
      </c>
      <c r="G36" s="61">
        <f t="shared" si="13"/>
        <v>-515860.34262020886</v>
      </c>
      <c r="H36" s="61">
        <f t="shared" si="13"/>
        <v>-296175.44548843562</v>
      </c>
      <c r="I36" s="61">
        <f t="shared" si="13"/>
        <v>-360814.1570982032</v>
      </c>
      <c r="J36" s="61">
        <f t="shared" si="13"/>
        <v>-431823.50332199567</v>
      </c>
      <c r="K36" s="61">
        <f t="shared" si="13"/>
        <v>-512268.38938111666</v>
      </c>
      <c r="L36" s="61">
        <f t="shared" si="13"/>
        <v>-605008.201228978</v>
      </c>
      <c r="M36" s="61">
        <f t="shared" si="13"/>
        <v>-712950.20842123264</v>
      </c>
      <c r="O36" s="63" t="s">
        <v>93</v>
      </c>
      <c r="P36" s="64">
        <v>0.42</v>
      </c>
      <c r="Q36" s="65"/>
      <c r="R36" s="65"/>
      <c r="S36" s="65"/>
      <c r="T36" s="65"/>
      <c r="U36" s="65"/>
      <c r="V36" s="65"/>
    </row>
    <row r="37" spans="1:22" ht="15.75" x14ac:dyDescent="0.25">
      <c r="A37" s="56" t="s">
        <v>10</v>
      </c>
      <c r="B37" s="56"/>
      <c r="C37" s="56"/>
      <c r="D37" s="57">
        <f>IF(D36&lt;0,0,D36*$N$37)</f>
        <v>89923.433867741624</v>
      </c>
      <c r="E37" s="57">
        <f t="shared" ref="E37:M37" si="14">IF(E36&lt;0,0,E36*$N$37)</f>
        <v>0</v>
      </c>
      <c r="F37" s="57">
        <f t="shared" si="14"/>
        <v>0</v>
      </c>
      <c r="G37" s="57">
        <f t="shared" si="14"/>
        <v>0</v>
      </c>
      <c r="H37" s="57">
        <f t="shared" si="14"/>
        <v>0</v>
      </c>
      <c r="I37" s="57">
        <f t="shared" si="14"/>
        <v>0</v>
      </c>
      <c r="J37" s="57">
        <f t="shared" si="14"/>
        <v>0</v>
      </c>
      <c r="K37" s="57">
        <f t="shared" si="14"/>
        <v>0</v>
      </c>
      <c r="L37" s="57">
        <f t="shared" si="14"/>
        <v>0</v>
      </c>
      <c r="M37" s="57">
        <f t="shared" si="14"/>
        <v>0</v>
      </c>
      <c r="N37" s="19">
        <v>0.42</v>
      </c>
      <c r="O37" s="66"/>
      <c r="P37" s="51"/>
      <c r="Q37" s="51"/>
      <c r="R37" s="51"/>
      <c r="S37" s="51"/>
      <c r="T37" s="51"/>
      <c r="U37" s="51"/>
      <c r="V37" s="51"/>
    </row>
    <row r="38" spans="1:22" ht="15.75" x14ac:dyDescent="0.25">
      <c r="A38" s="55" t="s">
        <v>11</v>
      </c>
      <c r="B38" s="56"/>
      <c r="C38" s="56"/>
      <c r="D38" s="61">
        <f>D36-D37</f>
        <v>124179.98010307176</v>
      </c>
      <c r="E38" s="61">
        <f t="shared" ref="E38:M38" si="15">E36-E37</f>
        <v>-687994.01850683079</v>
      </c>
      <c r="F38" s="61">
        <f t="shared" si="15"/>
        <v>-569745.35631465295</v>
      </c>
      <c r="G38" s="61">
        <f t="shared" si="15"/>
        <v>-515860.34262020886</v>
      </c>
      <c r="H38" s="61">
        <f t="shared" si="15"/>
        <v>-296175.44548843562</v>
      </c>
      <c r="I38" s="61">
        <f t="shared" si="15"/>
        <v>-360814.1570982032</v>
      </c>
      <c r="J38" s="61">
        <f t="shared" si="15"/>
        <v>-431823.50332199567</v>
      </c>
      <c r="K38" s="61">
        <f t="shared" si="15"/>
        <v>-512268.38938111666</v>
      </c>
      <c r="L38" s="61">
        <f t="shared" si="15"/>
        <v>-605008.201228978</v>
      </c>
      <c r="M38" s="61">
        <f t="shared" si="15"/>
        <v>-712950.20842123264</v>
      </c>
      <c r="O38" s="66" t="s">
        <v>153</v>
      </c>
      <c r="P38" s="67">
        <v>0</v>
      </c>
      <c r="Q38" s="51"/>
      <c r="R38" s="51"/>
      <c r="S38" s="51"/>
      <c r="T38" s="51"/>
      <c r="U38" s="51"/>
      <c r="V38" s="51"/>
    </row>
    <row r="39" spans="1:22" ht="15.75" x14ac:dyDescent="0.25">
      <c r="A39" s="56"/>
      <c r="B39" s="56"/>
      <c r="C39" s="56"/>
      <c r="D39" s="61"/>
      <c r="E39" s="61"/>
      <c r="F39" s="61"/>
      <c r="G39" s="61"/>
      <c r="H39" s="61"/>
      <c r="O39" s="66" t="s">
        <v>82</v>
      </c>
      <c r="P39" s="67">
        <v>0</v>
      </c>
      <c r="Q39" s="51"/>
      <c r="R39" s="51"/>
      <c r="S39" s="51"/>
      <c r="T39" s="51"/>
      <c r="U39" s="51"/>
      <c r="V39" s="51"/>
    </row>
    <row r="40" spans="1:22" ht="15.75" x14ac:dyDescent="0.25">
      <c r="A40" s="55" t="s">
        <v>12</v>
      </c>
      <c r="B40" s="56"/>
      <c r="C40" s="56"/>
      <c r="D40" s="61"/>
      <c r="E40" s="61"/>
      <c r="F40" s="61"/>
      <c r="G40" s="61"/>
      <c r="H40" s="61"/>
      <c r="O40" s="66"/>
      <c r="P40" s="51"/>
      <c r="Q40" s="51"/>
      <c r="R40" s="51"/>
      <c r="S40" s="51"/>
      <c r="T40" s="51"/>
      <c r="U40" s="51"/>
      <c r="V40" s="51"/>
    </row>
    <row r="41" spans="1:22" ht="15.75" x14ac:dyDescent="0.25">
      <c r="A41" s="55" t="s">
        <v>13</v>
      </c>
      <c r="B41" s="56"/>
      <c r="C41" s="56"/>
      <c r="D41" s="61"/>
      <c r="E41" s="61"/>
      <c r="F41" s="61"/>
      <c r="G41" s="61"/>
      <c r="H41" s="61"/>
      <c r="O41" s="66" t="s">
        <v>154</v>
      </c>
      <c r="P41" s="68">
        <v>1.2</v>
      </c>
      <c r="Q41" s="51"/>
      <c r="R41" s="51"/>
      <c r="S41" s="51"/>
      <c r="T41" s="51"/>
      <c r="U41" s="51"/>
      <c r="V41" s="51"/>
    </row>
    <row r="42" spans="1:22" ht="15.75" x14ac:dyDescent="0.25">
      <c r="A42" s="56" t="s">
        <v>14</v>
      </c>
      <c r="B42" s="56"/>
      <c r="C42" s="56"/>
      <c r="D42" s="61">
        <v>5000</v>
      </c>
      <c r="E42" s="61">
        <v>5000</v>
      </c>
      <c r="F42" s="61">
        <v>5000</v>
      </c>
      <c r="G42" s="61">
        <v>5000</v>
      </c>
      <c r="H42" s="61">
        <v>5000</v>
      </c>
      <c r="I42" s="61">
        <v>5000</v>
      </c>
      <c r="J42" s="61">
        <v>5000</v>
      </c>
      <c r="K42" s="61">
        <v>5000</v>
      </c>
      <c r="L42" s="61">
        <v>5000</v>
      </c>
      <c r="M42" s="61">
        <v>5000</v>
      </c>
      <c r="O42" s="66" t="s">
        <v>155</v>
      </c>
      <c r="P42" s="69">
        <f>P55+P56</f>
        <v>6.4874173181444705</v>
      </c>
      <c r="Q42" s="69">
        <f>P42+P43</f>
        <v>1</v>
      </c>
      <c r="R42" s="51"/>
      <c r="S42" s="51"/>
      <c r="T42" s="51"/>
      <c r="U42" s="51"/>
      <c r="V42" s="51"/>
    </row>
    <row r="43" spans="1:22" ht="15.75" x14ac:dyDescent="0.25">
      <c r="A43" s="56" t="s">
        <v>15</v>
      </c>
      <c r="B43" s="56"/>
      <c r="C43" s="56"/>
      <c r="D43" s="61">
        <v>0</v>
      </c>
      <c r="E43" s="70">
        <v>0</v>
      </c>
      <c r="F43" s="70"/>
      <c r="G43" s="70"/>
      <c r="H43" s="70"/>
      <c r="I43" s="70"/>
      <c r="J43" s="70"/>
      <c r="K43" s="70"/>
      <c r="L43" s="70"/>
      <c r="M43" s="70"/>
      <c r="O43" s="66" t="s">
        <v>156</v>
      </c>
      <c r="P43" s="69">
        <f>P58+P59</f>
        <v>-5.4874173181444705</v>
      </c>
      <c r="Q43" s="51"/>
      <c r="R43" s="51"/>
      <c r="S43" s="51"/>
      <c r="T43" s="51"/>
      <c r="U43" s="51"/>
      <c r="V43" s="51"/>
    </row>
    <row r="44" spans="1:22" ht="15.75" x14ac:dyDescent="0.25">
      <c r="A44" s="56" t="s">
        <v>16</v>
      </c>
      <c r="B44" s="56"/>
      <c r="C44" s="56"/>
      <c r="D44" s="57">
        <f t="shared" ref="D44:M44" si="16">$N$12*(D20/365)</f>
        <v>80223.945205479453</v>
      </c>
      <c r="E44" s="57">
        <f t="shared" si="16"/>
        <v>51142.76506849315</v>
      </c>
      <c r="F44" s="57">
        <f t="shared" si="16"/>
        <v>32603.512731164377</v>
      </c>
      <c r="G44" s="57">
        <f t="shared" si="16"/>
        <v>20784.739366117294</v>
      </c>
      <c r="H44" s="57">
        <f t="shared" si="16"/>
        <v>13250.271345899773</v>
      </c>
      <c r="I44" s="57">
        <f t="shared" si="16"/>
        <v>8447.0479830111053</v>
      </c>
      <c r="J44" s="57">
        <f t="shared" si="16"/>
        <v>5384.9930891695803</v>
      </c>
      <c r="K44" s="57">
        <f t="shared" si="16"/>
        <v>3432.9330943456075</v>
      </c>
      <c r="L44" s="57">
        <f t="shared" si="16"/>
        <v>2188.4948476453246</v>
      </c>
      <c r="M44" s="57">
        <f t="shared" si="16"/>
        <v>1395.1654653738944</v>
      </c>
      <c r="O44" s="66" t="s">
        <v>157</v>
      </c>
      <c r="P44" s="51">
        <f>P41/(1+(1-P36)*(P42/P43))</f>
        <v>3.8179639749752723</v>
      </c>
      <c r="Q44" s="51"/>
      <c r="R44" s="51"/>
      <c r="S44" s="51"/>
      <c r="T44" s="51"/>
      <c r="U44" s="51"/>
      <c r="V44" s="51"/>
    </row>
    <row r="45" spans="1:22" ht="15.75" x14ac:dyDescent="0.25">
      <c r="A45" s="56" t="s">
        <v>67</v>
      </c>
      <c r="B45" s="56"/>
      <c r="C45" s="56"/>
      <c r="D45" s="61">
        <f>$D$14*((D23)/365)</f>
        <v>35750.130410958896</v>
      </c>
      <c r="E45" s="61">
        <f t="shared" ref="E45:M45" si="17">$D$14*((E23)/365)</f>
        <v>20109.448356164383</v>
      </c>
      <c r="F45" s="61">
        <f t="shared" si="17"/>
        <v>11311.564700342464</v>
      </c>
      <c r="G45" s="61">
        <f t="shared" si="17"/>
        <v>6362.755143942637</v>
      </c>
      <c r="H45" s="61">
        <f t="shared" si="17"/>
        <v>3579.0497684677334</v>
      </c>
      <c r="I45" s="61">
        <f t="shared" si="17"/>
        <v>2013.2154947630995</v>
      </c>
      <c r="J45" s="61">
        <f t="shared" si="17"/>
        <v>1132.4337158042435</v>
      </c>
      <c r="K45" s="61">
        <f t="shared" si="17"/>
        <v>636.993965139887</v>
      </c>
      <c r="L45" s="61">
        <f t="shared" si="17"/>
        <v>358.30910539118645</v>
      </c>
      <c r="M45" s="61">
        <f t="shared" si="17"/>
        <v>201.54887178254239</v>
      </c>
      <c r="O45" s="66"/>
      <c r="P45" s="51"/>
      <c r="Q45" s="51"/>
      <c r="R45" s="51"/>
      <c r="S45" s="51"/>
      <c r="T45" s="51"/>
      <c r="U45" s="51"/>
      <c r="V45" s="51"/>
    </row>
    <row r="46" spans="1:22" ht="15.75" x14ac:dyDescent="0.25">
      <c r="A46" s="56"/>
      <c r="B46" s="56"/>
      <c r="C46" s="56"/>
      <c r="D46" s="61"/>
      <c r="E46" s="61"/>
      <c r="F46" s="61"/>
      <c r="G46" s="61"/>
      <c r="H46" s="61"/>
      <c r="O46" s="66" t="s">
        <v>78</v>
      </c>
      <c r="P46" s="69">
        <f>U55+U56</f>
        <v>0.8</v>
      </c>
      <c r="Q46" s="69">
        <f>P46+P48</f>
        <v>1</v>
      </c>
      <c r="R46" s="51"/>
      <c r="S46" s="51"/>
      <c r="T46" s="51"/>
      <c r="U46" s="51"/>
      <c r="V46" s="51"/>
    </row>
    <row r="47" spans="1:22" ht="15.75" x14ac:dyDescent="0.25">
      <c r="A47" s="56" t="s">
        <v>18</v>
      </c>
      <c r="B47" s="56"/>
      <c r="C47" s="56"/>
      <c r="D47" s="61">
        <v>100000</v>
      </c>
      <c r="E47" s="61">
        <v>100000</v>
      </c>
      <c r="F47" s="61">
        <v>100000</v>
      </c>
      <c r="G47" s="61">
        <v>100000</v>
      </c>
      <c r="H47" s="61">
        <v>100000</v>
      </c>
      <c r="I47" s="61">
        <v>100000</v>
      </c>
      <c r="J47" s="61">
        <v>100000</v>
      </c>
      <c r="K47" s="61">
        <v>100000</v>
      </c>
      <c r="L47" s="61">
        <v>100000</v>
      </c>
      <c r="M47" s="61">
        <v>100000</v>
      </c>
      <c r="O47" s="66"/>
      <c r="P47" s="69"/>
      <c r="Q47" s="69"/>
      <c r="R47" s="51"/>
      <c r="S47" s="51"/>
      <c r="T47" s="51"/>
      <c r="U47" s="51"/>
      <c r="V47" s="51"/>
    </row>
    <row r="48" spans="1:22" ht="15.75" x14ac:dyDescent="0.25">
      <c r="A48" s="56" t="s">
        <v>19</v>
      </c>
      <c r="B48" s="56"/>
      <c r="C48" s="56"/>
      <c r="D48" s="61">
        <v>308900</v>
      </c>
      <c r="E48" s="61">
        <v>308900</v>
      </c>
      <c r="F48" s="61">
        <v>308900</v>
      </c>
      <c r="G48" s="61">
        <v>308900</v>
      </c>
      <c r="H48" s="61">
        <v>308900</v>
      </c>
      <c r="I48" s="61">
        <v>308900</v>
      </c>
      <c r="J48" s="61">
        <v>308900</v>
      </c>
      <c r="K48" s="61">
        <v>308900</v>
      </c>
      <c r="L48" s="61">
        <v>308900</v>
      </c>
      <c r="M48" s="61">
        <v>308900</v>
      </c>
      <c r="O48" s="66" t="s">
        <v>79</v>
      </c>
      <c r="P48" s="69">
        <f>U58</f>
        <v>0.2</v>
      </c>
      <c r="Q48" s="51"/>
      <c r="R48" s="51"/>
      <c r="S48" s="51"/>
      <c r="T48" s="51"/>
      <c r="U48" s="51"/>
      <c r="V48" s="51"/>
    </row>
    <row r="49" spans="1:22" ht="15.75" x14ac:dyDescent="0.25">
      <c r="A49" s="56" t="s">
        <v>158</v>
      </c>
      <c r="B49" s="56"/>
      <c r="C49" s="56"/>
      <c r="D49" s="61">
        <f>D31</f>
        <v>10296.666666666666</v>
      </c>
      <c r="E49" s="61">
        <f>D49+E31</f>
        <v>20593.333333333332</v>
      </c>
      <c r="F49" s="61">
        <f t="shared" ref="F49:M49" si="18">E49+F31</f>
        <v>30890</v>
      </c>
      <c r="G49" s="61">
        <f t="shared" si="18"/>
        <v>41186.666666666664</v>
      </c>
      <c r="H49" s="61">
        <f t="shared" si="18"/>
        <v>51483.333333333328</v>
      </c>
      <c r="I49" s="61">
        <f t="shared" si="18"/>
        <v>61779.999999999993</v>
      </c>
      <c r="J49" s="61">
        <f t="shared" si="18"/>
        <v>72076.666666666657</v>
      </c>
      <c r="K49" s="61">
        <f t="shared" si="18"/>
        <v>82373.333333333328</v>
      </c>
      <c r="L49" s="61">
        <f t="shared" si="18"/>
        <v>92670</v>
      </c>
      <c r="M49" s="61">
        <f t="shared" si="18"/>
        <v>102966.66666666667</v>
      </c>
      <c r="O49" s="66" t="s">
        <v>80</v>
      </c>
      <c r="P49" s="51">
        <f>P44*(1+(1-P36)*(P46/P48))</f>
        <v>12.675640396917904</v>
      </c>
      <c r="Q49" s="51"/>
      <c r="R49" s="51"/>
      <c r="S49" s="51"/>
      <c r="T49" s="51"/>
      <c r="U49" s="51"/>
      <c r="V49" s="51"/>
    </row>
    <row r="50" spans="1:22" ht="15.75" x14ac:dyDescent="0.25">
      <c r="A50" s="56"/>
      <c r="B50" s="56"/>
      <c r="C50" s="56"/>
      <c r="D50" s="61"/>
      <c r="E50" s="61"/>
      <c r="F50" s="61"/>
      <c r="G50" s="61"/>
      <c r="H50" s="61"/>
      <c r="O50" s="66"/>
      <c r="P50" s="51"/>
      <c r="Q50" s="51"/>
      <c r="R50" s="51"/>
      <c r="S50" s="51"/>
      <c r="T50" s="51"/>
      <c r="U50" s="51"/>
      <c r="V50" s="51"/>
    </row>
    <row r="51" spans="1:22" ht="15.75" x14ac:dyDescent="0.25">
      <c r="A51" s="55" t="s">
        <v>21</v>
      </c>
      <c r="B51" s="56"/>
      <c r="C51" s="56"/>
      <c r="D51" s="61">
        <f>SUM(D42:D48)-D49</f>
        <v>519577.40894977172</v>
      </c>
      <c r="E51" s="61">
        <f t="shared" ref="E51:M51" si="19">SUM(E42:E48)-E49</f>
        <v>464558.88009132422</v>
      </c>
      <c r="F51" s="61">
        <f t="shared" si="19"/>
        <v>426925.07743150683</v>
      </c>
      <c r="G51" s="61">
        <f t="shared" si="19"/>
        <v>399860.82784339326</v>
      </c>
      <c r="H51" s="61">
        <f t="shared" si="19"/>
        <v>379245.9877810342</v>
      </c>
      <c r="I51" s="61">
        <f t="shared" si="19"/>
        <v>362580.26347777422</v>
      </c>
      <c r="J51" s="61">
        <f t="shared" si="19"/>
        <v>348340.76013830723</v>
      </c>
      <c r="K51" s="61">
        <f t="shared" si="19"/>
        <v>335596.59372615215</v>
      </c>
      <c r="L51" s="61">
        <f t="shared" si="19"/>
        <v>323776.80395303649</v>
      </c>
      <c r="M51" s="61">
        <f t="shared" si="19"/>
        <v>312530.04767048976</v>
      </c>
      <c r="O51" s="66" t="s">
        <v>159</v>
      </c>
      <c r="P51" s="71">
        <f>P38+P41*(P39-P38)</f>
        <v>0</v>
      </c>
      <c r="Q51" s="51"/>
      <c r="R51" s="51"/>
      <c r="S51" s="51"/>
      <c r="T51" s="51"/>
      <c r="U51" s="51"/>
      <c r="V51" s="51"/>
    </row>
    <row r="52" spans="1:22" ht="15.75" x14ac:dyDescent="0.25">
      <c r="A52" s="56"/>
      <c r="B52" s="56"/>
      <c r="C52" s="56"/>
      <c r="D52" s="61"/>
      <c r="E52" s="61"/>
      <c r="F52" s="61"/>
      <c r="G52" s="61"/>
      <c r="H52" s="61"/>
      <c r="O52" s="66" t="s">
        <v>160</v>
      </c>
      <c r="P52" s="72">
        <f>P38+P49*(P39-P38)</f>
        <v>0</v>
      </c>
      <c r="Q52" s="51"/>
      <c r="R52" s="51"/>
      <c r="S52" s="51"/>
      <c r="T52" s="51"/>
      <c r="U52" s="51"/>
      <c r="V52" s="51"/>
    </row>
    <row r="53" spans="1:22" ht="15.75" x14ac:dyDescent="0.25">
      <c r="A53" s="55" t="s">
        <v>22</v>
      </c>
      <c r="B53" s="56"/>
      <c r="C53" s="56"/>
      <c r="D53" s="61"/>
      <c r="E53" s="61"/>
      <c r="F53" s="61"/>
      <c r="G53" s="61"/>
      <c r="H53" s="61"/>
      <c r="O53" s="66"/>
      <c r="P53" s="51"/>
      <c r="Q53" s="51"/>
      <c r="R53" s="51"/>
      <c r="S53" s="51"/>
      <c r="T53" s="51"/>
      <c r="U53" s="51"/>
      <c r="V53" s="51"/>
    </row>
    <row r="54" spans="1:22" ht="15.75" x14ac:dyDescent="0.25">
      <c r="A54" s="56" t="s">
        <v>161</v>
      </c>
      <c r="B54" s="56"/>
      <c r="C54" s="56"/>
      <c r="D54" s="61">
        <f>D37</f>
        <v>89923.433867741624</v>
      </c>
      <c r="E54" s="61">
        <f t="shared" ref="E54:M54" si="20">E37</f>
        <v>0</v>
      </c>
      <c r="F54" s="61">
        <f t="shared" si="20"/>
        <v>0</v>
      </c>
      <c r="G54" s="61">
        <f t="shared" si="20"/>
        <v>0</v>
      </c>
      <c r="H54" s="61">
        <f t="shared" si="20"/>
        <v>0</v>
      </c>
      <c r="I54" s="61">
        <f t="shared" si="20"/>
        <v>0</v>
      </c>
      <c r="J54" s="61">
        <f t="shared" si="20"/>
        <v>0</v>
      </c>
      <c r="K54" s="61">
        <f t="shared" si="20"/>
        <v>0</v>
      </c>
      <c r="L54" s="61">
        <f t="shared" si="20"/>
        <v>0</v>
      </c>
      <c r="M54" s="61">
        <f t="shared" si="20"/>
        <v>0</v>
      </c>
      <c r="O54" s="66" t="s">
        <v>84</v>
      </c>
      <c r="P54" s="51" t="s">
        <v>135</v>
      </c>
      <c r="Q54" s="51" t="s">
        <v>86</v>
      </c>
      <c r="R54" s="51" t="s">
        <v>162</v>
      </c>
      <c r="S54" s="51" t="s">
        <v>88</v>
      </c>
      <c r="T54" s="51"/>
      <c r="U54" s="51" t="s">
        <v>163</v>
      </c>
      <c r="V54" s="51" t="s">
        <v>164</v>
      </c>
    </row>
    <row r="55" spans="1:22" ht="15.75" x14ac:dyDescent="0.25">
      <c r="A55" s="56" t="s">
        <v>71</v>
      </c>
      <c r="B55" s="56"/>
      <c r="C55" s="56"/>
      <c r="D55" s="57">
        <f>30*((+D23)/365)</f>
        <v>17875.065205479448</v>
      </c>
      <c r="E55" s="57">
        <f t="shared" ref="E55:M55" si="21">30*((+E23)/365)</f>
        <v>10054.724178082191</v>
      </c>
      <c r="F55" s="57">
        <f t="shared" si="21"/>
        <v>5655.7823501712319</v>
      </c>
      <c r="G55" s="57">
        <f t="shared" si="21"/>
        <v>3181.3775719713185</v>
      </c>
      <c r="H55" s="57">
        <f t="shared" si="21"/>
        <v>1789.5248842338667</v>
      </c>
      <c r="I55" s="57">
        <f t="shared" si="21"/>
        <v>1006.6077473815498</v>
      </c>
      <c r="J55" s="57">
        <f t="shared" si="21"/>
        <v>566.21685790212177</v>
      </c>
      <c r="K55" s="57">
        <f t="shared" si="21"/>
        <v>318.4969825699435</v>
      </c>
      <c r="L55" s="57">
        <f t="shared" si="21"/>
        <v>179.15455269559322</v>
      </c>
      <c r="M55" s="57">
        <f t="shared" si="21"/>
        <v>100.7744358912712</v>
      </c>
      <c r="O55" s="73">
        <f>AVERAGE(D57:M57)</f>
        <v>287220.5924244182</v>
      </c>
      <c r="P55" s="74">
        <f>O55/O61</f>
        <v>0.72009692858711183</v>
      </c>
      <c r="Q55" s="67">
        <v>4.4999999999999998E-2</v>
      </c>
      <c r="R55" s="71">
        <f>Q55*(1-$K$56)</f>
        <v>4.4999999999999998E-2</v>
      </c>
      <c r="S55" s="69">
        <f>R55*P55</f>
        <v>3.2404361786420033E-2</v>
      </c>
      <c r="T55" s="51"/>
      <c r="U55" s="67">
        <v>0.65</v>
      </c>
      <c r="V55" s="67">
        <v>4.4999999999999998E-2</v>
      </c>
    </row>
    <row r="56" spans="1:22" ht="15.75" x14ac:dyDescent="0.25">
      <c r="A56" s="56"/>
      <c r="B56" s="56"/>
      <c r="C56" s="56"/>
      <c r="D56" s="61"/>
      <c r="E56" s="61"/>
      <c r="F56" s="61"/>
      <c r="G56" s="61"/>
      <c r="H56" s="61"/>
      <c r="O56" s="73">
        <f>AVERAGE(D58:M58)</f>
        <v>2300375.2873106454</v>
      </c>
      <c r="P56" s="74">
        <f>O56/O61</f>
        <v>5.7673203895573586</v>
      </c>
      <c r="Q56" s="67">
        <v>0.1</v>
      </c>
      <c r="R56" s="71">
        <f>Q56*(1-$K$56)</f>
        <v>0.1</v>
      </c>
      <c r="S56" s="69">
        <f>R56*P56</f>
        <v>0.57673203895573588</v>
      </c>
      <c r="T56" s="51"/>
      <c r="U56" s="67">
        <v>0.15</v>
      </c>
      <c r="V56" s="67">
        <v>0.1</v>
      </c>
    </row>
    <row r="57" spans="1:22" ht="15.75" x14ac:dyDescent="0.25">
      <c r="A57" s="56" t="s">
        <v>25</v>
      </c>
      <c r="B57" s="56"/>
      <c r="C57" s="56"/>
      <c r="D57" s="61">
        <f>[1]Mortgage!E19</f>
        <v>314739.28781330126</v>
      </c>
      <c r="E57" s="61">
        <f>[1]Mortgage!E31</f>
        <v>309341.49341166072</v>
      </c>
      <c r="F57" s="61">
        <f>[1]Mortgage!E43</f>
        <v>303695.72527960374</v>
      </c>
      <c r="G57" s="61">
        <f>[1]Mortgage!E55</f>
        <v>297790.59154734033</v>
      </c>
      <c r="H57" s="61">
        <f>[1]Mortgage!E67</f>
        <v>291614.17700457538</v>
      </c>
      <c r="I57" s="20">
        <f>[1]Mortgage!E79</f>
        <v>285154.01905833773</v>
      </c>
      <c r="J57" s="20">
        <f>[1]Mortgage!E91</f>
        <v>278397.08258631523</v>
      </c>
      <c r="K57" s="20">
        <f>[1]Mortgage!E103</f>
        <v>271329.73363495775</v>
      </c>
      <c r="L57" s="20">
        <f>[1]Mortgage!E115</f>
        <v>263937.7119092741</v>
      </c>
      <c r="M57" s="20">
        <f>[1]Mortgage!E127</f>
        <v>256206.10199881624</v>
      </c>
      <c r="O57" s="66"/>
      <c r="P57" s="74"/>
      <c r="Q57" s="51"/>
      <c r="R57" s="51"/>
      <c r="S57" s="69">
        <f t="shared" ref="S57:S58" si="22">R57*P57</f>
        <v>0</v>
      </c>
      <c r="T57" s="51"/>
      <c r="U57" s="68"/>
      <c r="V57" s="51"/>
    </row>
    <row r="58" spans="1:22" ht="15.75" x14ac:dyDescent="0.25">
      <c r="A58" s="56" t="s">
        <v>26</v>
      </c>
      <c r="B58" s="56"/>
      <c r="C58" s="56"/>
      <c r="D58" s="57">
        <v>20994.009083465808</v>
      </c>
      <c r="E58" s="57">
        <v>795919.40152177843</v>
      </c>
      <c r="F58" s="57">
        <v>1306558.9361631235</v>
      </c>
      <c r="G58" s="57">
        <v>1783642.6529851018</v>
      </c>
      <c r="H58" s="57">
        <v>2039387.6315268213</v>
      </c>
      <c r="I58" s="10">
        <v>2387897.2053871215</v>
      </c>
      <c r="J58" s="10">
        <v>2810841.2997948462</v>
      </c>
      <c r="K58" s="10">
        <v>3316509.3555936036</v>
      </c>
      <c r="L58" s="10">
        <v>3916482.4682570035</v>
      </c>
      <c r="M58" s="10">
        <v>4625519.9127935888</v>
      </c>
      <c r="O58" s="73">
        <f>AVERAGE(D60:M60)</f>
        <v>0</v>
      </c>
      <c r="P58" s="74">
        <f>O58/O61</f>
        <v>0</v>
      </c>
      <c r="Q58" s="72">
        <f>P51</f>
        <v>0</v>
      </c>
      <c r="R58" s="72">
        <f>Q58</f>
        <v>0</v>
      </c>
      <c r="S58" s="69">
        <f t="shared" si="22"/>
        <v>0</v>
      </c>
      <c r="T58" s="51"/>
      <c r="U58" s="67">
        <v>0.2</v>
      </c>
      <c r="V58" s="69">
        <f>P52</f>
        <v>0</v>
      </c>
    </row>
    <row r="59" spans="1:22" ht="15.75" x14ac:dyDescent="0.25">
      <c r="A59" s="56"/>
      <c r="B59" s="56"/>
      <c r="C59" s="56"/>
      <c r="D59" s="61"/>
      <c r="E59" s="61"/>
      <c r="F59" s="61"/>
      <c r="G59" s="61"/>
      <c r="H59" s="61"/>
      <c r="O59" s="73">
        <f>AVERAGE(D61:M61)</f>
        <v>-2188732.0865121596</v>
      </c>
      <c r="P59" s="74">
        <f>O59/O61</f>
        <v>-5.4874173181444705</v>
      </c>
      <c r="Q59" s="51"/>
      <c r="R59" s="51"/>
      <c r="S59" s="69">
        <f>R59*P59</f>
        <v>0</v>
      </c>
      <c r="T59" s="51"/>
      <c r="U59" s="51"/>
      <c r="V59" s="51"/>
    </row>
    <row r="60" spans="1:22" ht="15.75" x14ac:dyDescent="0.25">
      <c r="A60" s="56" t="s">
        <v>27</v>
      </c>
      <c r="B60" s="56"/>
      <c r="C60" s="56"/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O60" s="66"/>
      <c r="P60" s="74"/>
      <c r="Q60" s="51"/>
      <c r="R60" s="51"/>
      <c r="S60" s="69">
        <f>R60*P60</f>
        <v>0</v>
      </c>
      <c r="T60" s="51"/>
      <c r="U60" s="51"/>
      <c r="V60" s="51"/>
    </row>
    <row r="61" spans="1:22" ht="15.75" x14ac:dyDescent="0.25">
      <c r="A61" s="56" t="s">
        <v>28</v>
      </c>
      <c r="B61" s="56"/>
      <c r="C61" s="56"/>
      <c r="D61" s="61">
        <f>C61+D38</f>
        <v>124179.98010307176</v>
      </c>
      <c r="E61" s="61">
        <f t="shared" ref="E61:M61" si="23">D61+E38</f>
        <v>-563814.03840375901</v>
      </c>
      <c r="F61" s="61">
        <f t="shared" si="23"/>
        <v>-1133559.3947184118</v>
      </c>
      <c r="G61" s="61">
        <f t="shared" si="23"/>
        <v>-1649419.7373386207</v>
      </c>
      <c r="H61" s="61">
        <f t="shared" si="23"/>
        <v>-1945595.1828270564</v>
      </c>
      <c r="I61" s="61">
        <f t="shared" si="23"/>
        <v>-2306409.3399252594</v>
      </c>
      <c r="J61" s="61">
        <f t="shared" si="23"/>
        <v>-2738232.8432472548</v>
      </c>
      <c r="K61" s="61">
        <f t="shared" si="23"/>
        <v>-3250501.2326283716</v>
      </c>
      <c r="L61" s="61">
        <f t="shared" si="23"/>
        <v>-3855509.4338573497</v>
      </c>
      <c r="M61" s="61">
        <f t="shared" si="23"/>
        <v>-4568459.6422785819</v>
      </c>
      <c r="O61" s="75">
        <f>SUM(O55:O59)</f>
        <v>398863.79322290421</v>
      </c>
      <c r="P61" s="76">
        <f>SUM(P55:P59)</f>
        <v>1</v>
      </c>
      <c r="Q61" s="77"/>
      <c r="R61" s="77" t="s">
        <v>89</v>
      </c>
      <c r="S61" s="78">
        <f>SUM(S55:S60)</f>
        <v>0.60913640074215591</v>
      </c>
      <c r="T61" s="77"/>
      <c r="U61" s="78">
        <f>SUM(U55:U60)</f>
        <v>1</v>
      </c>
      <c r="V61" s="77"/>
    </row>
    <row r="62" spans="1:22" ht="15.75" x14ac:dyDescent="0.25">
      <c r="A62" s="56"/>
      <c r="B62" s="56"/>
      <c r="C62" s="56"/>
      <c r="D62" s="61"/>
      <c r="E62" s="61"/>
      <c r="F62" s="61"/>
      <c r="G62" s="61"/>
      <c r="H62" s="61"/>
    </row>
    <row r="63" spans="1:22" ht="15.75" x14ac:dyDescent="0.25">
      <c r="A63" s="55" t="s">
        <v>29</v>
      </c>
      <c r="B63" s="56"/>
      <c r="C63" s="56"/>
      <c r="D63" s="61">
        <f>SUM(D54:D61)</f>
        <v>567711.77607305988</v>
      </c>
      <c r="E63" s="61">
        <f t="shared" ref="E63:M63" si="24">SUM(E54:E61)</f>
        <v>551501.58070776239</v>
      </c>
      <c r="F63" s="61">
        <f t="shared" si="24"/>
        <v>482351.0490744866</v>
      </c>
      <c r="G63" s="61">
        <f t="shared" si="24"/>
        <v>435194.88476579264</v>
      </c>
      <c r="H63" s="61">
        <f t="shared" si="24"/>
        <v>387196.15058857435</v>
      </c>
      <c r="I63" s="61">
        <f t="shared" si="24"/>
        <v>367648.49226758163</v>
      </c>
      <c r="J63" s="61">
        <f t="shared" si="24"/>
        <v>351571.7559918086</v>
      </c>
      <c r="K63" s="61">
        <f t="shared" si="24"/>
        <v>337656.35358275985</v>
      </c>
      <c r="L63" s="61">
        <f t="shared" si="24"/>
        <v>325089.9008616237</v>
      </c>
      <c r="M63" s="61">
        <f t="shared" si="24"/>
        <v>313367.14694971405</v>
      </c>
    </row>
    <row r="64" spans="1:22" ht="15.75" x14ac:dyDescent="0.25">
      <c r="A64" s="56"/>
      <c r="B64" s="56"/>
      <c r="C64" s="56"/>
      <c r="D64" s="61"/>
      <c r="E64" s="61"/>
      <c r="F64" s="61"/>
      <c r="G64" s="61"/>
      <c r="H64" s="61"/>
    </row>
    <row r="65" spans="1:22" ht="15.75" x14ac:dyDescent="0.25">
      <c r="A65" s="79" t="s">
        <v>30</v>
      </c>
      <c r="B65" s="79"/>
      <c r="C65" s="79"/>
      <c r="D65" s="80">
        <f>D51-D63</f>
        <v>-48134.367123288161</v>
      </c>
      <c r="E65" s="80">
        <f t="shared" ref="E65:M65" si="25">E51-E63</f>
        <v>-86942.700616438175</v>
      </c>
      <c r="F65" s="80">
        <f t="shared" si="25"/>
        <v>-55425.97164297977</v>
      </c>
      <c r="G65" s="80">
        <f t="shared" si="25"/>
        <v>-35334.056922399381</v>
      </c>
      <c r="H65" s="80">
        <f t="shared" si="25"/>
        <v>-7950.1628075401532</v>
      </c>
      <c r="I65" s="80">
        <f t="shared" si="25"/>
        <v>-5068.2287898074137</v>
      </c>
      <c r="J65" s="80">
        <f t="shared" si="25"/>
        <v>-3230.995853501372</v>
      </c>
      <c r="K65" s="80">
        <f t="shared" si="25"/>
        <v>-2059.7598566077068</v>
      </c>
      <c r="L65" s="80">
        <f t="shared" si="25"/>
        <v>-1313.0969085872057</v>
      </c>
      <c r="M65" s="80">
        <f t="shared" si="25"/>
        <v>-837.09927922429051</v>
      </c>
      <c r="N65" s="46"/>
      <c r="O65" s="46"/>
      <c r="P65" s="46"/>
      <c r="Q65" s="46"/>
      <c r="R65" s="46"/>
      <c r="S65" s="46"/>
      <c r="T65" s="46"/>
      <c r="U65" s="46"/>
      <c r="V65" s="46"/>
    </row>
    <row r="66" spans="1:22" x14ac:dyDescent="0.25">
      <c r="A66" s="14" t="s">
        <v>57</v>
      </c>
    </row>
    <row r="67" spans="1:22" x14ac:dyDescent="0.25">
      <c r="A67" t="s">
        <v>58</v>
      </c>
    </row>
    <row r="68" spans="1:22" x14ac:dyDescent="0.25">
      <c r="B68" t="s">
        <v>59</v>
      </c>
      <c r="D68" s="10">
        <f t="shared" ref="D68:M68" si="26">(D20+D21)-SUM(D23:D28)</f>
        <v>227549.18200000003</v>
      </c>
      <c r="E68" s="10">
        <f t="shared" si="26"/>
        <v>-544019.51812499994</v>
      </c>
      <c r="F68" s="10">
        <f t="shared" si="26"/>
        <v>-349412.00795156229</v>
      </c>
      <c r="G68" s="10">
        <f t="shared" si="26"/>
        <v>-224212.41046423814</v>
      </c>
      <c r="H68" s="10">
        <f t="shared" si="26"/>
        <v>33574.867848586669</v>
      </c>
      <c r="I68" s="10">
        <f t="shared" si="26"/>
        <v>20941.311507362712</v>
      </c>
      <c r="J68" s="10">
        <f t="shared" si="26"/>
        <v>13089.836041256101</v>
      </c>
      <c r="K68" s="10">
        <f t="shared" si="26"/>
        <v>8198.379826164004</v>
      </c>
      <c r="L68" s="10">
        <f t="shared" si="26"/>
        <v>5144.1223984776043</v>
      </c>
      <c r="M68" s="10">
        <f t="shared" si="26"/>
        <v>3233.059112384637</v>
      </c>
      <c r="N68" s="15"/>
      <c r="P68" t="s">
        <v>123</v>
      </c>
      <c r="Q68" t="s">
        <v>124</v>
      </c>
      <c r="R68" t="s">
        <v>125</v>
      </c>
    </row>
    <row r="69" spans="1:22" x14ac:dyDescent="0.25">
      <c r="B69" t="s">
        <v>60</v>
      </c>
      <c r="D69" s="11">
        <f>D31</f>
        <v>10296.666666666666</v>
      </c>
      <c r="E69" s="11">
        <f t="shared" ref="E69:M69" si="27">E31</f>
        <v>10296.666666666666</v>
      </c>
      <c r="F69" s="11">
        <f t="shared" si="27"/>
        <v>10296.666666666666</v>
      </c>
      <c r="G69" s="11">
        <f t="shared" si="27"/>
        <v>10296.666666666666</v>
      </c>
      <c r="H69" s="11">
        <f t="shared" si="27"/>
        <v>10296.666666666666</v>
      </c>
      <c r="I69" s="11">
        <f t="shared" si="27"/>
        <v>10296.666666666666</v>
      </c>
      <c r="J69" s="11">
        <f t="shared" si="27"/>
        <v>10296.666666666666</v>
      </c>
      <c r="K69" s="11">
        <f t="shared" si="27"/>
        <v>10296.666666666666</v>
      </c>
      <c r="L69" s="11">
        <f t="shared" si="27"/>
        <v>10296.666666666666</v>
      </c>
      <c r="M69" s="11">
        <f t="shared" si="27"/>
        <v>10296.666666666666</v>
      </c>
      <c r="O69" t="s">
        <v>126</v>
      </c>
      <c r="P69" s="21">
        <v>1</v>
      </c>
      <c r="R69" s="49">
        <f>P69*M42</f>
        <v>5000</v>
      </c>
    </row>
    <row r="70" spans="1:22" x14ac:dyDescent="0.25">
      <c r="B70" t="s">
        <v>61</v>
      </c>
      <c r="D70" s="11">
        <f>D68-D69</f>
        <v>217252.51533333337</v>
      </c>
      <c r="E70" s="11">
        <f t="shared" ref="E70:M70" si="28">E68-E69</f>
        <v>-554316.18479166657</v>
      </c>
      <c r="F70" s="11">
        <f t="shared" si="28"/>
        <v>-359708.67461822898</v>
      </c>
      <c r="G70" s="11">
        <f t="shared" si="28"/>
        <v>-234509.0771309048</v>
      </c>
      <c r="H70" s="11">
        <f t="shared" si="28"/>
        <v>23278.201181920005</v>
      </c>
      <c r="I70" s="11">
        <f t="shared" si="28"/>
        <v>10644.644840696046</v>
      </c>
      <c r="J70" s="11">
        <f t="shared" si="28"/>
        <v>2793.1693745894354</v>
      </c>
      <c r="K70" s="11">
        <f t="shared" si="28"/>
        <v>-2098.286840502662</v>
      </c>
      <c r="L70" s="11">
        <f t="shared" si="28"/>
        <v>-5152.5442681890618</v>
      </c>
      <c r="M70" s="11">
        <f t="shared" si="28"/>
        <v>-7063.607554282029</v>
      </c>
      <c r="P70" s="21"/>
    </row>
    <row r="71" spans="1:22" x14ac:dyDescent="0.25">
      <c r="B71" t="s">
        <v>62</v>
      </c>
      <c r="D71" s="16">
        <f>$N$37*D70</f>
        <v>91246.056440000015</v>
      </c>
      <c r="E71" s="16">
        <f t="shared" ref="E71:M71" si="29">$N$37*E70</f>
        <v>-232812.79761249994</v>
      </c>
      <c r="F71" s="16">
        <f t="shared" si="29"/>
        <v>-151077.64333965618</v>
      </c>
      <c r="G71" s="16">
        <f t="shared" si="29"/>
        <v>-98493.812394980007</v>
      </c>
      <c r="H71" s="16">
        <f t="shared" si="29"/>
        <v>9776.844496406402</v>
      </c>
      <c r="I71" s="16">
        <f t="shared" si="29"/>
        <v>4470.7508330923392</v>
      </c>
      <c r="J71" s="16">
        <f t="shared" si="29"/>
        <v>1173.1311373275628</v>
      </c>
      <c r="K71" s="16">
        <f t="shared" si="29"/>
        <v>-881.28047301111803</v>
      </c>
      <c r="L71" s="16">
        <f t="shared" si="29"/>
        <v>-2164.0685926394058</v>
      </c>
      <c r="M71" s="16">
        <f t="shared" si="29"/>
        <v>-2966.7151727984519</v>
      </c>
      <c r="O71" t="s">
        <v>127</v>
      </c>
      <c r="P71" s="21">
        <v>0.5</v>
      </c>
      <c r="R71" s="11">
        <f>P71*M44</f>
        <v>697.58273268694722</v>
      </c>
    </row>
    <row r="72" spans="1:22" x14ac:dyDescent="0.25">
      <c r="B72" t="s">
        <v>63</v>
      </c>
      <c r="D72" s="11">
        <f t="shared" ref="D72:L72" si="30">D68-D71</f>
        <v>136303.12556000001</v>
      </c>
      <c r="E72" s="11">
        <f t="shared" si="30"/>
        <v>-311206.72051250003</v>
      </c>
      <c r="F72" s="11">
        <f t="shared" si="30"/>
        <v>-198334.36461190612</v>
      </c>
      <c r="G72" s="11">
        <f t="shared" si="30"/>
        <v>-125718.59806925814</v>
      </c>
      <c r="H72" s="11">
        <f t="shared" si="30"/>
        <v>23798.023352180266</v>
      </c>
      <c r="I72" s="11">
        <f t="shared" si="30"/>
        <v>16470.560674270375</v>
      </c>
      <c r="J72" s="11">
        <f t="shared" si="30"/>
        <v>11916.704903928539</v>
      </c>
      <c r="K72" s="11">
        <f t="shared" si="30"/>
        <v>9079.6602991751224</v>
      </c>
      <c r="L72" s="11">
        <f t="shared" si="30"/>
        <v>7308.1909911170096</v>
      </c>
      <c r="M72" s="11">
        <f>M68-M71</f>
        <v>6199.774285183089</v>
      </c>
      <c r="O72" t="s">
        <v>128</v>
      </c>
      <c r="P72" s="21">
        <v>0.5</v>
      </c>
      <c r="R72" s="11">
        <f>P72*M45</f>
        <v>100.7744358912712</v>
      </c>
    </row>
    <row r="73" spans="1:22" x14ac:dyDescent="0.25">
      <c r="P73" s="21"/>
    </row>
    <row r="74" spans="1:22" x14ac:dyDescent="0.25">
      <c r="A74" t="s">
        <v>64</v>
      </c>
      <c r="O74" t="s">
        <v>18</v>
      </c>
      <c r="P74" s="21">
        <v>0.6</v>
      </c>
      <c r="Q74" s="49">
        <f>P74*M47</f>
        <v>60000</v>
      </c>
    </row>
    <row r="75" spans="1:22" x14ac:dyDescent="0.25">
      <c r="B75" t="s">
        <v>66</v>
      </c>
      <c r="D75" s="10">
        <f>-(E42-D42)</f>
        <v>0</v>
      </c>
      <c r="E75" s="10">
        <f t="shared" ref="E75:M75" si="31">-(F42-E42)</f>
        <v>0</v>
      </c>
      <c r="F75" s="10">
        <f t="shared" si="31"/>
        <v>0</v>
      </c>
      <c r="G75" s="10">
        <f t="shared" si="31"/>
        <v>0</v>
      </c>
      <c r="H75" s="10">
        <f t="shared" si="31"/>
        <v>0</v>
      </c>
      <c r="I75" s="10">
        <f t="shared" si="31"/>
        <v>0</v>
      </c>
      <c r="J75" s="10">
        <f t="shared" si="31"/>
        <v>0</v>
      </c>
      <c r="K75" s="10">
        <f t="shared" si="31"/>
        <v>0</v>
      </c>
      <c r="L75" s="10">
        <f t="shared" si="31"/>
        <v>0</v>
      </c>
      <c r="M75" s="10">
        <f t="shared" si="31"/>
        <v>5000</v>
      </c>
      <c r="O75" t="s">
        <v>129</v>
      </c>
      <c r="P75" s="21">
        <v>0.6</v>
      </c>
      <c r="Q75" s="49">
        <f>P75*M48</f>
        <v>185340</v>
      </c>
    </row>
    <row r="76" spans="1:22" x14ac:dyDescent="0.25">
      <c r="B76" t="s">
        <v>16</v>
      </c>
      <c r="D76" s="10">
        <f>-(E44-D44)</f>
        <v>29081.180136986302</v>
      </c>
      <c r="E76" s="10">
        <f t="shared" ref="E76:M77" si="32">-(F44-E44)</f>
        <v>18539.252337328773</v>
      </c>
      <c r="F76" s="10">
        <f t="shared" si="32"/>
        <v>11818.773365047084</v>
      </c>
      <c r="G76" s="10">
        <f t="shared" si="32"/>
        <v>7534.4680202175205</v>
      </c>
      <c r="H76" s="10">
        <f t="shared" si="32"/>
        <v>4803.2233628886679</v>
      </c>
      <c r="I76" s="10">
        <f t="shared" si="32"/>
        <v>3062.054893841525</v>
      </c>
      <c r="J76" s="10">
        <f t="shared" si="32"/>
        <v>1952.0599948239728</v>
      </c>
      <c r="K76" s="10">
        <f t="shared" si="32"/>
        <v>1244.4382467002829</v>
      </c>
      <c r="L76" s="10">
        <f t="shared" si="32"/>
        <v>793.32938227143018</v>
      </c>
      <c r="M76" s="10">
        <f t="shared" si="32"/>
        <v>1395.1654653738944</v>
      </c>
      <c r="P76" s="21"/>
    </row>
    <row r="77" spans="1:22" x14ac:dyDescent="0.25">
      <c r="B77" t="s">
        <v>67</v>
      </c>
      <c r="D77" s="15">
        <f>-(E45-D45)</f>
        <v>15640.682054794514</v>
      </c>
      <c r="E77" s="15">
        <f t="shared" si="32"/>
        <v>8797.8836558219191</v>
      </c>
      <c r="F77" s="15">
        <f t="shared" si="32"/>
        <v>4948.8095563998268</v>
      </c>
      <c r="G77" s="15">
        <f t="shared" si="32"/>
        <v>2783.7053754749036</v>
      </c>
      <c r="H77" s="15">
        <f t="shared" si="32"/>
        <v>1565.8342737046339</v>
      </c>
      <c r="I77" s="15">
        <f t="shared" si="32"/>
        <v>880.78177895885597</v>
      </c>
      <c r="J77" s="15">
        <f t="shared" si="32"/>
        <v>495.43975066435655</v>
      </c>
      <c r="K77" s="15">
        <f t="shared" si="32"/>
        <v>278.68485974870055</v>
      </c>
      <c r="L77" s="15">
        <f t="shared" si="32"/>
        <v>156.76023360864406</v>
      </c>
      <c r="M77" s="15">
        <f t="shared" si="32"/>
        <v>201.54887178254239</v>
      </c>
      <c r="O77" t="s">
        <v>130</v>
      </c>
      <c r="P77" s="21">
        <v>-1</v>
      </c>
      <c r="R77" s="11">
        <f>P77*M55</f>
        <v>-100.7744358912712</v>
      </c>
    </row>
    <row r="78" spans="1:22" x14ac:dyDescent="0.25">
      <c r="Q78" s="46"/>
      <c r="R78" s="46"/>
    </row>
    <row r="79" spans="1:22" x14ac:dyDescent="0.25">
      <c r="B79" t="s">
        <v>18</v>
      </c>
      <c r="D79" s="10">
        <f>-(E47-D47)</f>
        <v>0</v>
      </c>
      <c r="E79" s="10">
        <f t="shared" ref="E79:M79" si="33">-(F47-E47)</f>
        <v>0</v>
      </c>
      <c r="F79" s="10">
        <f t="shared" si="33"/>
        <v>0</v>
      </c>
      <c r="G79" s="10">
        <f t="shared" si="33"/>
        <v>0</v>
      </c>
      <c r="H79" s="10">
        <f t="shared" si="33"/>
        <v>0</v>
      </c>
      <c r="I79" s="10">
        <f t="shared" si="33"/>
        <v>0</v>
      </c>
      <c r="J79" s="10">
        <f t="shared" si="33"/>
        <v>0</v>
      </c>
      <c r="K79" s="10">
        <f t="shared" si="33"/>
        <v>0</v>
      </c>
      <c r="L79" s="10">
        <f t="shared" si="33"/>
        <v>0</v>
      </c>
      <c r="M79" s="10">
        <f t="shared" si="33"/>
        <v>100000</v>
      </c>
      <c r="O79" t="s">
        <v>131</v>
      </c>
      <c r="Q79" s="10">
        <f>SUM(Q69:Q78)</f>
        <v>245340</v>
      </c>
      <c r="R79" s="10">
        <f>SUM(R69:R78)</f>
        <v>5697.5827326869476</v>
      </c>
    </row>
    <row r="80" spans="1:22" x14ac:dyDescent="0.25">
      <c r="B80" t="s">
        <v>68</v>
      </c>
      <c r="M80" s="11">
        <f>M79*0.04</f>
        <v>4000</v>
      </c>
      <c r="O80" t="s">
        <v>132</v>
      </c>
      <c r="R80">
        <v>0</v>
      </c>
    </row>
    <row r="81" spans="1:22" x14ac:dyDescent="0.25">
      <c r="B81" t="s">
        <v>69</v>
      </c>
      <c r="M81" s="11">
        <f>0.42*-(SUM(M79:M80))</f>
        <v>-43680</v>
      </c>
      <c r="O81" t="s">
        <v>133</v>
      </c>
      <c r="R81">
        <v>2000</v>
      </c>
    </row>
    <row r="82" spans="1:22" x14ac:dyDescent="0.25">
      <c r="O82" t="s">
        <v>131</v>
      </c>
      <c r="R82" s="11">
        <f>R79-R80-R81</f>
        <v>3697.5827326869476</v>
      </c>
    </row>
    <row r="83" spans="1:22" x14ac:dyDescent="0.25">
      <c r="B83" t="s">
        <v>19</v>
      </c>
      <c r="D83" s="16">
        <f>-(E48-D48)</f>
        <v>0</v>
      </c>
      <c r="E83" s="16">
        <f t="shared" ref="E83:M83" si="34">-(F48-E48)</f>
        <v>0</v>
      </c>
      <c r="F83" s="16">
        <f t="shared" si="34"/>
        <v>0</v>
      </c>
      <c r="G83" s="16">
        <f t="shared" si="34"/>
        <v>0</v>
      </c>
      <c r="H83" s="16">
        <f t="shared" si="34"/>
        <v>0</v>
      </c>
      <c r="I83" s="16">
        <f t="shared" si="34"/>
        <v>0</v>
      </c>
      <c r="J83" s="16">
        <f t="shared" si="34"/>
        <v>0</v>
      </c>
      <c r="K83" s="16">
        <f t="shared" si="34"/>
        <v>0</v>
      </c>
      <c r="L83" s="16">
        <f t="shared" si="34"/>
        <v>0</v>
      </c>
      <c r="M83" s="16">
        <f t="shared" si="34"/>
        <v>308900</v>
      </c>
    </row>
    <row r="84" spans="1:22" x14ac:dyDescent="0.25">
      <c r="B84" t="s">
        <v>68</v>
      </c>
      <c r="M84" s="81">
        <f>-0.5*M83</f>
        <v>-154450</v>
      </c>
      <c r="Q84" s="50" t="s">
        <v>124</v>
      </c>
      <c r="R84" s="50" t="s">
        <v>134</v>
      </c>
      <c r="S84" s="51" t="s">
        <v>135</v>
      </c>
      <c r="T84" s="51" t="s">
        <v>125</v>
      </c>
      <c r="U84" s="51" t="s">
        <v>136</v>
      </c>
      <c r="V84" s="51" t="s">
        <v>137</v>
      </c>
    </row>
    <row r="85" spans="1:22" x14ac:dyDescent="0.25">
      <c r="B85" t="s">
        <v>69</v>
      </c>
      <c r="M85" s="81">
        <f>N37*-(M83+M84)</f>
        <v>-64869</v>
      </c>
      <c r="Q85" s="11">
        <f>Q79</f>
        <v>245340</v>
      </c>
      <c r="R85" s="11">
        <f>+M57-Q85</f>
        <v>10866.101998816244</v>
      </c>
      <c r="S85" s="52">
        <f>R85/R87</f>
        <v>2.3436577463886547E-3</v>
      </c>
      <c r="T85" s="11">
        <f>R82*S85</f>
        <v>8.6658684143746942</v>
      </c>
      <c r="U85" s="11">
        <f>Q85+T85</f>
        <v>245348.66586841436</v>
      </c>
      <c r="V85" s="10">
        <f>U85/M57</f>
        <v>0.9576222578396979</v>
      </c>
    </row>
    <row r="86" spans="1:22" x14ac:dyDescent="0.25">
      <c r="R86" s="53">
        <f>M58-Q86</f>
        <v>4625519.9127935888</v>
      </c>
      <c r="S86" s="52">
        <f>R86/R87</f>
        <v>0.99765634225361133</v>
      </c>
      <c r="T86" s="11">
        <f>R82*S86</f>
        <v>3688.9168642725726</v>
      </c>
      <c r="U86" s="11">
        <f>Q86+T86</f>
        <v>3688.9168642725726</v>
      </c>
      <c r="V86" s="54">
        <f>U86/M58</f>
        <v>7.9751399492833364E-4</v>
      </c>
    </row>
    <row r="87" spans="1:22" x14ac:dyDescent="0.25">
      <c r="B87" t="s">
        <v>71</v>
      </c>
      <c r="D87" s="11">
        <f>E55-D55</f>
        <v>-7820.3410273972568</v>
      </c>
      <c r="E87" s="11">
        <f t="shared" ref="E87:M87" si="35">F55-E55</f>
        <v>-4398.9418279109595</v>
      </c>
      <c r="F87" s="11">
        <f t="shared" si="35"/>
        <v>-2474.4047781999134</v>
      </c>
      <c r="G87" s="11">
        <f t="shared" si="35"/>
        <v>-1391.8526877374518</v>
      </c>
      <c r="H87" s="11">
        <f t="shared" si="35"/>
        <v>-782.91713685231696</v>
      </c>
      <c r="I87" s="11">
        <f t="shared" si="35"/>
        <v>-440.39088947942798</v>
      </c>
      <c r="J87" s="11">
        <f t="shared" si="35"/>
        <v>-247.71987533217828</v>
      </c>
      <c r="K87" s="11">
        <f t="shared" si="35"/>
        <v>-139.34242987435027</v>
      </c>
      <c r="L87" s="11">
        <f t="shared" si="35"/>
        <v>-78.380116804322029</v>
      </c>
      <c r="M87" s="11">
        <f t="shared" si="35"/>
        <v>-100.7744358912712</v>
      </c>
      <c r="R87" s="11">
        <f>SUM(R85:R86)</f>
        <v>4636386.0147924051</v>
      </c>
    </row>
    <row r="88" spans="1:22" x14ac:dyDescent="0.25">
      <c r="B88" t="s">
        <v>161</v>
      </c>
      <c r="D88" s="16">
        <f>E54-D54</f>
        <v>-89923.433867741624</v>
      </c>
      <c r="E88" s="16">
        <f t="shared" ref="E88:M88" si="36">F54-E54</f>
        <v>0</v>
      </c>
      <c r="F88" s="16">
        <f t="shared" si="36"/>
        <v>0</v>
      </c>
      <c r="G88" s="16">
        <f t="shared" si="36"/>
        <v>0</v>
      </c>
      <c r="H88" s="16">
        <f t="shared" si="36"/>
        <v>0</v>
      </c>
      <c r="I88" s="16">
        <f t="shared" si="36"/>
        <v>0</v>
      </c>
      <c r="J88" s="16">
        <f t="shared" si="36"/>
        <v>0</v>
      </c>
      <c r="K88" s="16">
        <f t="shared" si="36"/>
        <v>0</v>
      </c>
      <c r="L88" s="16">
        <f t="shared" si="36"/>
        <v>0</v>
      </c>
      <c r="M88" s="16">
        <f t="shared" si="36"/>
        <v>0</v>
      </c>
    </row>
    <row r="90" spans="1:22" x14ac:dyDescent="0.25">
      <c r="A90" s="14" t="s">
        <v>73</v>
      </c>
      <c r="C90" s="10">
        <v>-319900</v>
      </c>
      <c r="D90" s="11">
        <f>SUM(D72:D88)</f>
        <v>83281.212856641956</v>
      </c>
      <c r="E90" s="11">
        <f t="shared" ref="E90:M90" si="37">SUM(E72:E88)</f>
        <v>-288268.52634726028</v>
      </c>
      <c r="F90" s="11">
        <f t="shared" si="37"/>
        <v>-184041.18646865911</v>
      </c>
      <c r="G90" s="11">
        <f t="shared" si="37"/>
        <v>-116792.27736130316</v>
      </c>
      <c r="H90" s="11">
        <f t="shared" si="37"/>
        <v>29384.16385192125</v>
      </c>
      <c r="I90" s="11">
        <f t="shared" si="37"/>
        <v>19973.006457591324</v>
      </c>
      <c r="J90" s="11">
        <f t="shared" si="37"/>
        <v>14116.484774084689</v>
      </c>
      <c r="K90" s="11">
        <f t="shared" si="37"/>
        <v>10463.440975749756</v>
      </c>
      <c r="L90" s="11">
        <f t="shared" si="37"/>
        <v>8179.9004901927628</v>
      </c>
      <c r="M90" s="11">
        <f t="shared" si="37"/>
        <v>162596.71418644828</v>
      </c>
      <c r="N90" s="11"/>
    </row>
    <row r="91" spans="1:22" x14ac:dyDescent="0.25">
      <c r="A91" s="14" t="s">
        <v>74</v>
      </c>
      <c r="C91" s="19">
        <f>IRR(C90:M90)</f>
        <v>-0.15882282061474662</v>
      </c>
    </row>
    <row r="92" spans="1:22" x14ac:dyDescent="0.25">
      <c r="A92" s="14"/>
    </row>
    <row r="93" spans="1:22" x14ac:dyDescent="0.25">
      <c r="A93" s="14" t="s">
        <v>75</v>
      </c>
      <c r="C93" s="43">
        <f>X61</f>
        <v>0</v>
      </c>
    </row>
    <row r="94" spans="1:22" x14ac:dyDescent="0.25">
      <c r="A94" s="14" t="s">
        <v>76</v>
      </c>
      <c r="C94" s="20">
        <f>NPV(C93,C90:M90)</f>
        <v>-581007.06658459257</v>
      </c>
    </row>
    <row r="95" spans="1:22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x14ac:dyDescent="0.25">
      <c r="D96" t="s">
        <v>0</v>
      </c>
      <c r="E96" t="s">
        <v>165</v>
      </c>
      <c r="F96" t="s">
        <v>2</v>
      </c>
      <c r="G96" t="s">
        <v>3</v>
      </c>
      <c r="H96" t="s">
        <v>35</v>
      </c>
      <c r="I96" t="s">
        <v>36</v>
      </c>
      <c r="J96" t="s">
        <v>37</v>
      </c>
      <c r="K96" t="s">
        <v>38</v>
      </c>
      <c r="L96" t="s">
        <v>39</v>
      </c>
      <c r="M96" t="s">
        <v>40</v>
      </c>
    </row>
    <row r="97" spans="1:14" x14ac:dyDescent="0.25">
      <c r="A97" s="37" t="s">
        <v>166</v>
      </c>
      <c r="B97" s="37"/>
    </row>
    <row r="98" spans="1:14" x14ac:dyDescent="0.25">
      <c r="A98" s="37" t="s">
        <v>65</v>
      </c>
      <c r="B98" s="37" t="s">
        <v>167</v>
      </c>
      <c r="C98" s="16">
        <f>-(D57-C57)</f>
        <v>-314739.28781330126</v>
      </c>
      <c r="D98" s="16">
        <f t="shared" ref="D98:L98" si="38">-(E57-D57)</f>
        <v>5397.7944016405381</v>
      </c>
      <c r="E98" s="16">
        <f t="shared" si="38"/>
        <v>5645.7681320569827</v>
      </c>
      <c r="F98" s="16">
        <f t="shared" si="38"/>
        <v>5905.1337322634063</v>
      </c>
      <c r="G98" s="16">
        <f t="shared" si="38"/>
        <v>6176.4145427649491</v>
      </c>
      <c r="H98" s="16">
        <f t="shared" si="38"/>
        <v>6460.157946237654</v>
      </c>
      <c r="I98" s="16">
        <f t="shared" si="38"/>
        <v>6756.9364720224985</v>
      </c>
      <c r="J98" s="16">
        <f t="shared" si="38"/>
        <v>7067.348951357475</v>
      </c>
      <c r="K98" s="16">
        <f t="shared" si="38"/>
        <v>7392.0217256836477</v>
      </c>
      <c r="L98" s="16">
        <f t="shared" si="38"/>
        <v>7731.6099104578607</v>
      </c>
    </row>
    <row r="99" spans="1:14" x14ac:dyDescent="0.25">
      <c r="A99" s="37" t="s">
        <v>70</v>
      </c>
      <c r="B99" s="37" t="s">
        <v>168</v>
      </c>
    </row>
    <row r="100" spans="1:14" x14ac:dyDescent="0.25">
      <c r="A100" s="37" t="s">
        <v>70</v>
      </c>
      <c r="B100" s="37" t="s">
        <v>169</v>
      </c>
      <c r="D100" s="11">
        <f>D33</f>
        <v>0</v>
      </c>
      <c r="E100" s="16">
        <f>E33</f>
        <v>14289.923486897158</v>
      </c>
      <c r="F100" s="11">
        <f t="shared" ref="F100:L100" si="39">F33</f>
        <v>14052.841271955373</v>
      </c>
      <c r="G100" s="16">
        <f t="shared" si="39"/>
        <v>13804.867541538926</v>
      </c>
      <c r="H100" s="11">
        <f t="shared" si="39"/>
        <v>13545.501941332488</v>
      </c>
      <c r="I100" s="16">
        <f t="shared" si="39"/>
        <v>13274.221130831018</v>
      </c>
      <c r="J100" s="11">
        <f t="shared" si="39"/>
        <v>12990.477727358237</v>
      </c>
      <c r="K100" s="16">
        <f t="shared" si="39"/>
        <v>12693.699201573498</v>
      </c>
      <c r="L100" s="11">
        <f t="shared" si="39"/>
        <v>12383.286722238399</v>
      </c>
      <c r="M100" s="11">
        <f>M33</f>
        <v>12058.613947912236</v>
      </c>
    </row>
    <row r="101" spans="1:14" x14ac:dyDescent="0.25">
      <c r="A101" s="37" t="s">
        <v>170</v>
      </c>
      <c r="B101" s="37"/>
      <c r="C101" s="16">
        <f>SUM(C98:C100)</f>
        <v>-314739.28781330126</v>
      </c>
      <c r="D101" s="16">
        <f t="shared" ref="D101:K101" si="40">SUM(D98:D100)</f>
        <v>5397.7944016405381</v>
      </c>
      <c r="E101" s="16">
        <f t="shared" si="40"/>
        <v>19935.691618954141</v>
      </c>
      <c r="F101" s="16">
        <f t="shared" si="40"/>
        <v>19957.975004218781</v>
      </c>
      <c r="G101" s="16">
        <f t="shared" si="40"/>
        <v>19981.282084303875</v>
      </c>
      <c r="H101" s="16">
        <f t="shared" si="40"/>
        <v>20005.659887570142</v>
      </c>
      <c r="I101" s="16">
        <f t="shared" si="40"/>
        <v>20031.157602853516</v>
      </c>
      <c r="J101" s="16">
        <f t="shared" si="40"/>
        <v>20057.826678715712</v>
      </c>
      <c r="K101" s="16">
        <f t="shared" si="40"/>
        <v>20085.720927257145</v>
      </c>
      <c r="L101" s="16">
        <f>SUM(L98:L100)</f>
        <v>20114.896632696262</v>
      </c>
      <c r="M101" s="16">
        <f>SUM(M98:M100)</f>
        <v>12058.613947912236</v>
      </c>
      <c r="N101" t="s">
        <v>171</v>
      </c>
    </row>
    <row r="102" spans="1:14" x14ac:dyDescent="0.25">
      <c r="A102" s="37" t="s">
        <v>74</v>
      </c>
      <c r="B102" s="37"/>
      <c r="D102" s="19">
        <f>IRR(C101:M101)</f>
        <v>-9.1049204763048008E-2</v>
      </c>
      <c r="N102" s="19">
        <v>0.05</v>
      </c>
    </row>
    <row r="103" spans="1:14" x14ac:dyDescent="0.25">
      <c r="A103" s="37" t="s">
        <v>172</v>
      </c>
      <c r="B103" s="37"/>
      <c r="N103" s="19">
        <v>0.95</v>
      </c>
    </row>
    <row r="104" spans="1:14" x14ac:dyDescent="0.25">
      <c r="A104" s="37" t="s">
        <v>173</v>
      </c>
      <c r="B104" s="37"/>
      <c r="D104" s="43">
        <f>D102*N102+D103*N103</f>
        <v>-4.5524602381524009E-3</v>
      </c>
    </row>
    <row r="105" spans="1:14" x14ac:dyDescent="0.25">
      <c r="A105" s="37"/>
      <c r="B105" s="37"/>
    </row>
    <row r="106" spans="1:14" x14ac:dyDescent="0.25">
      <c r="A106" s="37" t="s">
        <v>174</v>
      </c>
      <c r="B106" s="37"/>
      <c r="C106" t="s">
        <v>176</v>
      </c>
    </row>
    <row r="107" spans="1:14" x14ac:dyDescent="0.25">
      <c r="A107" s="37" t="s">
        <v>65</v>
      </c>
      <c r="B107" s="37" t="s">
        <v>167</v>
      </c>
      <c r="C107" s="82">
        <f>-(D34-C34)</f>
        <v>-3149.1013625198711</v>
      </c>
      <c r="D107" s="82">
        <f>-(E34-D34)</f>
        <v>-116238.80886574689</v>
      </c>
      <c r="E107" s="82">
        <f t="shared" ref="E107:L107" si="41">-(F34-E34)</f>
        <v>-76595.930196201749</v>
      </c>
      <c r="F107" s="82">
        <f t="shared" si="41"/>
        <v>-71562.557523296739</v>
      </c>
      <c r="G107" s="82">
        <f t="shared" si="41"/>
        <v>-38361.746781257913</v>
      </c>
      <c r="H107" s="82">
        <f t="shared" si="41"/>
        <v>-52276.436079045059</v>
      </c>
      <c r="I107" s="82">
        <f t="shared" si="41"/>
        <v>-63441.614161158679</v>
      </c>
      <c r="J107" s="82">
        <f t="shared" si="41"/>
        <v>-75850.208369813627</v>
      </c>
      <c r="K107" s="82">
        <f t="shared" si="41"/>
        <v>-89995.966899509949</v>
      </c>
      <c r="L107" s="82">
        <f t="shared" si="41"/>
        <v>-106355.61668048787</v>
      </c>
    </row>
    <row r="108" spans="1:14" x14ac:dyDescent="0.25">
      <c r="A108" s="37" t="s">
        <v>70</v>
      </c>
      <c r="B108" s="37" t="s">
        <v>168</v>
      </c>
      <c r="D108" s="82"/>
      <c r="E108" s="82"/>
      <c r="F108" s="82"/>
      <c r="G108" s="82"/>
    </row>
    <row r="109" spans="1:14" x14ac:dyDescent="0.25">
      <c r="A109" s="37" t="s">
        <v>70</v>
      </c>
      <c r="B109" s="37" t="s">
        <v>169</v>
      </c>
      <c r="D109" s="82">
        <f>D34</f>
        <v>3149.1013625198711</v>
      </c>
      <c r="E109" s="82">
        <f t="shared" ref="E109:M109" si="42">E34</f>
        <v>119387.91022826676</v>
      </c>
      <c r="F109" s="82">
        <f t="shared" si="42"/>
        <v>195983.84042446851</v>
      </c>
      <c r="G109" s="82">
        <f t="shared" si="42"/>
        <v>267546.39794776525</v>
      </c>
      <c r="H109" s="82">
        <f t="shared" si="42"/>
        <v>305908.14472902316</v>
      </c>
      <c r="I109" s="82">
        <f t="shared" si="42"/>
        <v>358184.58080806822</v>
      </c>
      <c r="J109" s="82">
        <f t="shared" si="42"/>
        <v>421626.1949692269</v>
      </c>
      <c r="K109" s="82">
        <f t="shared" si="42"/>
        <v>497476.40333904052</v>
      </c>
      <c r="L109" s="82">
        <f t="shared" si="42"/>
        <v>587472.37023855047</v>
      </c>
      <c r="M109" s="82">
        <f t="shared" si="42"/>
        <v>693827.98691903835</v>
      </c>
    </row>
    <row r="110" spans="1:14" x14ac:dyDescent="0.25">
      <c r="A110" s="37" t="s">
        <v>170</v>
      </c>
      <c r="B110" s="37"/>
      <c r="C110" s="49">
        <f>SUM(C107:C109)</f>
        <v>-3149.1013625198711</v>
      </c>
      <c r="D110" s="49">
        <f>SUM(D107:D109)</f>
        <v>-113089.70750322702</v>
      </c>
      <c r="E110" s="49">
        <f t="shared" ref="E110:M110" si="43">SUM(E107:E109)</f>
        <v>42791.98003206501</v>
      </c>
      <c r="F110" s="49">
        <f t="shared" si="43"/>
        <v>124421.28290117177</v>
      </c>
      <c r="G110" s="49">
        <f t="shared" si="43"/>
        <v>229184.65116650733</v>
      </c>
      <c r="H110" s="49">
        <f t="shared" si="43"/>
        <v>253631.7086499781</v>
      </c>
      <c r="I110" s="49">
        <f t="shared" si="43"/>
        <v>294742.96664690954</v>
      </c>
      <c r="J110" s="49">
        <f t="shared" si="43"/>
        <v>345775.98659941327</v>
      </c>
      <c r="K110" s="49">
        <f t="shared" si="43"/>
        <v>407480.43643953057</v>
      </c>
      <c r="L110" s="49">
        <f t="shared" si="43"/>
        <v>481116.7535580626</v>
      </c>
      <c r="M110" s="49">
        <f t="shared" si="43"/>
        <v>693827.98691903835</v>
      </c>
      <c r="N110" t="s">
        <v>171</v>
      </c>
    </row>
    <row r="111" spans="1:14" x14ac:dyDescent="0.25">
      <c r="A111" s="37" t="s">
        <v>74</v>
      </c>
      <c r="B111" s="37"/>
      <c r="D111" s="83">
        <f>IRR(C110:G110)</f>
        <v>0.67688621694934503</v>
      </c>
      <c r="E111" s="19"/>
      <c r="N111" s="19">
        <v>0.05</v>
      </c>
    </row>
    <row r="112" spans="1:14" x14ac:dyDescent="0.25">
      <c r="A112" s="37" t="s">
        <v>172</v>
      </c>
      <c r="B112" s="37"/>
      <c r="E112" s="19"/>
      <c r="N112" s="84">
        <v>0.95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Option</vt:lpstr>
      <vt:lpstr>Bankruptcy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2019-08-22T21:22:39Z</dcterms:created>
  <dcterms:modified xsi:type="dcterms:W3CDTF">2019-08-22T21:22:51Z</dcterms:modified>
</cp:coreProperties>
</file>