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60" windowWidth="16380" windowHeight="8130"/>
  </bookViews>
  <sheets>
    <sheet name="Orginal" sheetId="1" r:id="rId1"/>
    <sheet name="Bankruptcy" sheetId="2" r:id="rId2"/>
    <sheet name="Option" sheetId="3" r:id="rId3"/>
  </sheets>
  <externalReferences>
    <externalReference r:id="rId4"/>
  </externalReferences>
  <calcPr calcId="152511" iterateDelta="1E-4"/>
</workbook>
</file>

<file path=xl/calcChain.xml><?xml version="1.0" encoding="utf-8"?>
<calcChain xmlns="http://schemas.openxmlformats.org/spreadsheetml/2006/main">
  <c r="M95" i="1" l="1"/>
  <c r="N96" i="1"/>
  <c r="N95" i="1"/>
  <c r="M94" i="1"/>
  <c r="N94" i="1"/>
  <c r="L55" i="1"/>
  <c r="M55" i="1"/>
  <c r="K55" i="1"/>
  <c r="M91" i="1"/>
  <c r="M90" i="1"/>
  <c r="C93" i="3" l="1"/>
  <c r="S65" i="2"/>
  <c r="S47" i="2"/>
  <c r="D115" i="3" l="1"/>
  <c r="D124" i="3"/>
  <c r="E128" i="3"/>
  <c r="E120" i="3"/>
  <c r="E112" i="3"/>
  <c r="F115" i="3"/>
  <c r="F109" i="3"/>
  <c r="E109" i="3"/>
  <c r="F126" i="3"/>
  <c r="G126" i="3"/>
  <c r="H126" i="3"/>
  <c r="I126" i="3"/>
  <c r="J126" i="3"/>
  <c r="K126" i="3"/>
  <c r="L126" i="3"/>
  <c r="M126" i="3"/>
  <c r="N126" i="3"/>
  <c r="O126" i="3"/>
  <c r="E126" i="3"/>
  <c r="F118" i="3"/>
  <c r="G118" i="3"/>
  <c r="H116" i="3"/>
  <c r="H118" i="3"/>
  <c r="I116" i="3"/>
  <c r="I118" i="3"/>
  <c r="J116" i="3"/>
  <c r="J118" i="3"/>
  <c r="K116" i="3"/>
  <c r="K118" i="3"/>
  <c r="L116" i="3"/>
  <c r="L118" i="3"/>
  <c r="M116" i="3"/>
  <c r="M118" i="3"/>
  <c r="N116" i="3"/>
  <c r="N118" i="3"/>
  <c r="O118" i="3"/>
  <c r="E118" i="3"/>
  <c r="F124" i="3"/>
  <c r="G124" i="3"/>
  <c r="H124" i="3"/>
  <c r="I124" i="3"/>
  <c r="J124" i="3"/>
  <c r="K124" i="3"/>
  <c r="L124" i="3"/>
  <c r="M124" i="3"/>
  <c r="N124" i="3"/>
  <c r="O124" i="3"/>
  <c r="E124" i="3"/>
  <c r="G115" i="3"/>
  <c r="H115" i="3"/>
  <c r="I115" i="3"/>
  <c r="J115" i="3"/>
  <c r="K115" i="3"/>
  <c r="L115" i="3"/>
  <c r="M115" i="3"/>
  <c r="N115" i="3"/>
  <c r="O115" i="3"/>
  <c r="O116" i="3"/>
  <c r="E115" i="3"/>
  <c r="F111" i="3"/>
  <c r="G109" i="3"/>
  <c r="G110" i="3"/>
  <c r="G111" i="3"/>
  <c r="H109" i="3"/>
  <c r="H110" i="3"/>
  <c r="H111" i="3"/>
  <c r="I109" i="3"/>
  <c r="I110" i="3"/>
  <c r="I111" i="3"/>
  <c r="J109" i="3"/>
  <c r="J110" i="3"/>
  <c r="J111" i="3"/>
  <c r="K109" i="3"/>
  <c r="K110" i="3"/>
  <c r="K111" i="3"/>
  <c r="L109" i="3"/>
  <c r="L110" i="3"/>
  <c r="L111" i="3"/>
  <c r="M109" i="3"/>
  <c r="M110" i="3"/>
  <c r="M111" i="3"/>
  <c r="N109" i="3"/>
  <c r="N110" i="3"/>
  <c r="N111" i="3"/>
  <c r="O109" i="3"/>
  <c r="O110" i="3"/>
  <c r="O111" i="3"/>
  <c r="E111" i="3"/>
  <c r="S49" i="3"/>
  <c r="T55" i="3"/>
  <c r="X57" i="3"/>
  <c r="X58" i="3"/>
  <c r="X61" i="3"/>
  <c r="X62" i="3"/>
  <c r="S57" i="3"/>
  <c r="T57" i="3"/>
  <c r="T56" i="3"/>
  <c r="S58" i="3"/>
  <c r="T58" i="3"/>
  <c r="S61" i="3"/>
  <c r="S62" i="3"/>
  <c r="S63" i="3"/>
  <c r="S69" i="3"/>
  <c r="T61" i="3"/>
  <c r="S72" i="3"/>
  <c r="C103" i="3"/>
  <c r="D18" i="3"/>
  <c r="D19" i="3"/>
  <c r="D21" i="3"/>
  <c r="D8" i="3"/>
  <c r="D23" i="3"/>
  <c r="D26" i="3"/>
  <c r="D28" i="3"/>
  <c r="D15" i="3"/>
  <c r="D31" i="3"/>
  <c r="D35" i="3"/>
  <c r="D78" i="3"/>
  <c r="D37" i="3"/>
  <c r="D79" i="3"/>
  <c r="D80" i="3"/>
  <c r="D81" i="3"/>
  <c r="D82" i="3"/>
  <c r="E12" i="3"/>
  <c r="E4" i="3"/>
  <c r="E6" i="3"/>
  <c r="E8" i="3"/>
  <c r="E23" i="3"/>
  <c r="E26" i="3"/>
  <c r="E61" i="3"/>
  <c r="E18" i="3"/>
  <c r="E5" i="3"/>
  <c r="E7" i="3"/>
  <c r="E19" i="3"/>
  <c r="E21" i="3"/>
  <c r="E13" i="3"/>
  <c r="E15" i="3"/>
  <c r="E31" i="3"/>
  <c r="E54" i="3"/>
  <c r="E37" i="3"/>
  <c r="C64" i="3"/>
  <c r="D64" i="3"/>
  <c r="E38" i="3"/>
  <c r="E39" i="3"/>
  <c r="E41" i="3"/>
  <c r="E42" i="3"/>
  <c r="E62" i="3"/>
  <c r="E47" i="3"/>
  <c r="D61" i="3"/>
  <c r="D38" i="3"/>
  <c r="D39" i="3"/>
  <c r="D41" i="3"/>
  <c r="D42" i="3"/>
  <c r="D62" i="3"/>
  <c r="D47" i="3"/>
  <c r="D85" i="3"/>
  <c r="E10" i="3"/>
  <c r="E49" i="3"/>
  <c r="D49" i="3"/>
  <c r="D86" i="3"/>
  <c r="E11" i="3"/>
  <c r="E50" i="3"/>
  <c r="D50" i="3"/>
  <c r="D87" i="3"/>
  <c r="E53" i="3"/>
  <c r="D89" i="3"/>
  <c r="D93" i="3"/>
  <c r="D97" i="3"/>
  <c r="D98" i="3"/>
  <c r="D100" i="3"/>
  <c r="E28" i="3"/>
  <c r="E32" i="3"/>
  <c r="E33" i="3"/>
  <c r="E35" i="3"/>
  <c r="E78" i="3"/>
  <c r="E79" i="3"/>
  <c r="E80" i="3"/>
  <c r="E81" i="3"/>
  <c r="E82" i="3"/>
  <c r="F12" i="3"/>
  <c r="F4" i="3"/>
  <c r="F6" i="3"/>
  <c r="F8" i="3"/>
  <c r="F23" i="3"/>
  <c r="F26" i="3"/>
  <c r="F61" i="3"/>
  <c r="F18" i="3"/>
  <c r="F5" i="3"/>
  <c r="F7" i="3"/>
  <c r="F19" i="3"/>
  <c r="F21" i="3"/>
  <c r="F13" i="3"/>
  <c r="F15" i="3"/>
  <c r="F31" i="3"/>
  <c r="F54" i="3"/>
  <c r="F37" i="3"/>
  <c r="E64" i="3"/>
  <c r="F38" i="3"/>
  <c r="F39" i="3"/>
  <c r="F41" i="3"/>
  <c r="F42" i="3"/>
  <c r="F62" i="3"/>
  <c r="F47" i="3"/>
  <c r="E85" i="3"/>
  <c r="F10" i="3"/>
  <c r="F49" i="3"/>
  <c r="E86" i="3"/>
  <c r="F11" i="3"/>
  <c r="F50" i="3"/>
  <c r="E87" i="3"/>
  <c r="F53" i="3"/>
  <c r="E89" i="3"/>
  <c r="E93" i="3"/>
  <c r="E97" i="3"/>
  <c r="E98" i="3"/>
  <c r="E100" i="3"/>
  <c r="F28" i="3"/>
  <c r="F32" i="3"/>
  <c r="F33" i="3"/>
  <c r="F35" i="3"/>
  <c r="F78" i="3"/>
  <c r="F79" i="3"/>
  <c r="F80" i="3"/>
  <c r="F81" i="3"/>
  <c r="F82" i="3"/>
  <c r="G12" i="3"/>
  <c r="G4" i="3"/>
  <c r="G6" i="3"/>
  <c r="G8" i="3"/>
  <c r="G23" i="3"/>
  <c r="G26" i="3"/>
  <c r="G61" i="3"/>
  <c r="G18" i="3"/>
  <c r="G5" i="3"/>
  <c r="G7" i="3"/>
  <c r="G19" i="3"/>
  <c r="G21" i="3"/>
  <c r="G13" i="3"/>
  <c r="G15" i="3"/>
  <c r="G31" i="3"/>
  <c r="G54" i="3"/>
  <c r="G37" i="3"/>
  <c r="F64" i="3"/>
  <c r="G38" i="3"/>
  <c r="G39" i="3"/>
  <c r="G41" i="3"/>
  <c r="G42" i="3"/>
  <c r="G62" i="3"/>
  <c r="G47" i="3"/>
  <c r="F85" i="3"/>
  <c r="G10" i="3"/>
  <c r="G49" i="3"/>
  <c r="F86" i="3"/>
  <c r="G11" i="3"/>
  <c r="G50" i="3"/>
  <c r="F87" i="3"/>
  <c r="G53" i="3"/>
  <c r="F89" i="3"/>
  <c r="F93" i="3"/>
  <c r="F97" i="3"/>
  <c r="F98" i="3"/>
  <c r="F100" i="3"/>
  <c r="G28" i="3"/>
  <c r="G32" i="3"/>
  <c r="G33" i="3"/>
  <c r="G35" i="3"/>
  <c r="G78" i="3"/>
  <c r="G79" i="3"/>
  <c r="G80" i="3"/>
  <c r="G81" i="3"/>
  <c r="G82" i="3"/>
  <c r="H12" i="3"/>
  <c r="H4" i="3"/>
  <c r="H6" i="3"/>
  <c r="H8" i="3"/>
  <c r="H23" i="3"/>
  <c r="H26" i="3"/>
  <c r="H61" i="3"/>
  <c r="H18" i="3"/>
  <c r="H5" i="3"/>
  <c r="H7" i="3"/>
  <c r="H19" i="3"/>
  <c r="H21" i="3"/>
  <c r="H13" i="3"/>
  <c r="H15" i="3"/>
  <c r="H31" i="3"/>
  <c r="H54" i="3"/>
  <c r="H37" i="3"/>
  <c r="G64" i="3"/>
  <c r="H38" i="3"/>
  <c r="H39" i="3"/>
  <c r="H41" i="3"/>
  <c r="H42" i="3"/>
  <c r="H62" i="3"/>
  <c r="H47" i="3"/>
  <c r="G85" i="3"/>
  <c r="H10" i="3"/>
  <c r="H49" i="3"/>
  <c r="G86" i="3"/>
  <c r="H11" i="3"/>
  <c r="H50" i="3"/>
  <c r="G87" i="3"/>
  <c r="H53" i="3"/>
  <c r="G89" i="3"/>
  <c r="G93" i="3"/>
  <c r="G97" i="3"/>
  <c r="G98" i="3"/>
  <c r="G100" i="3"/>
  <c r="H28" i="3"/>
  <c r="H32" i="3"/>
  <c r="H33" i="3"/>
  <c r="H35" i="3"/>
  <c r="H78" i="3"/>
  <c r="H79" i="3"/>
  <c r="H80" i="3"/>
  <c r="H81" i="3"/>
  <c r="H82" i="3"/>
  <c r="I12" i="3"/>
  <c r="I4" i="3"/>
  <c r="I6" i="3"/>
  <c r="I8" i="3"/>
  <c r="I23" i="3"/>
  <c r="I26" i="3"/>
  <c r="I61" i="3"/>
  <c r="I18" i="3"/>
  <c r="I5" i="3"/>
  <c r="I7" i="3"/>
  <c r="I19" i="3"/>
  <c r="I21" i="3"/>
  <c r="I13" i="3"/>
  <c r="I15" i="3"/>
  <c r="I31" i="3"/>
  <c r="I54" i="3"/>
  <c r="I37" i="3"/>
  <c r="H64" i="3"/>
  <c r="I38" i="3"/>
  <c r="I39" i="3"/>
  <c r="I41" i="3"/>
  <c r="I42" i="3"/>
  <c r="I62" i="3"/>
  <c r="I47" i="3"/>
  <c r="H85" i="3"/>
  <c r="I10" i="3"/>
  <c r="I49" i="3"/>
  <c r="H86" i="3"/>
  <c r="I11" i="3"/>
  <c r="I50" i="3"/>
  <c r="H87" i="3"/>
  <c r="I53" i="3"/>
  <c r="H89" i="3"/>
  <c r="H93" i="3"/>
  <c r="H97" i="3"/>
  <c r="H98" i="3"/>
  <c r="H100" i="3"/>
  <c r="I28" i="3"/>
  <c r="I32" i="3"/>
  <c r="I33" i="3"/>
  <c r="I35" i="3"/>
  <c r="I78" i="3"/>
  <c r="I79" i="3"/>
  <c r="I80" i="3"/>
  <c r="I81" i="3"/>
  <c r="I82" i="3"/>
  <c r="J12" i="3"/>
  <c r="J4" i="3"/>
  <c r="J6" i="3"/>
  <c r="J8" i="3"/>
  <c r="J23" i="3"/>
  <c r="J26" i="3"/>
  <c r="J61" i="3"/>
  <c r="J18" i="3"/>
  <c r="J5" i="3"/>
  <c r="J7" i="3"/>
  <c r="J19" i="3"/>
  <c r="J21" i="3"/>
  <c r="J13" i="3"/>
  <c r="J15" i="3"/>
  <c r="J31" i="3"/>
  <c r="J54" i="3"/>
  <c r="J37" i="3"/>
  <c r="I64" i="3"/>
  <c r="J38" i="3"/>
  <c r="J39" i="3"/>
  <c r="J41" i="3"/>
  <c r="J42" i="3"/>
  <c r="J62" i="3"/>
  <c r="J47" i="3"/>
  <c r="I85" i="3"/>
  <c r="J10" i="3"/>
  <c r="J49" i="3"/>
  <c r="I86" i="3"/>
  <c r="J11" i="3"/>
  <c r="J50" i="3"/>
  <c r="I87" i="3"/>
  <c r="J53" i="3"/>
  <c r="I89" i="3"/>
  <c r="I93" i="3"/>
  <c r="I97" i="3"/>
  <c r="I98" i="3"/>
  <c r="I100" i="3"/>
  <c r="J28" i="3"/>
  <c r="J32" i="3"/>
  <c r="J33" i="3"/>
  <c r="J35" i="3"/>
  <c r="J78" i="3"/>
  <c r="J79" i="3"/>
  <c r="J80" i="3"/>
  <c r="J81" i="3"/>
  <c r="J82" i="3"/>
  <c r="K12" i="3"/>
  <c r="K4" i="3"/>
  <c r="K6" i="3"/>
  <c r="K8" i="3"/>
  <c r="K23" i="3"/>
  <c r="K26" i="3"/>
  <c r="K61" i="3"/>
  <c r="K18" i="3"/>
  <c r="K5" i="3"/>
  <c r="K7" i="3"/>
  <c r="K19" i="3"/>
  <c r="K21" i="3"/>
  <c r="K13" i="3"/>
  <c r="K15" i="3"/>
  <c r="K31" i="3"/>
  <c r="K54" i="3"/>
  <c r="K37" i="3"/>
  <c r="J64" i="3"/>
  <c r="K38" i="3"/>
  <c r="K39" i="3"/>
  <c r="K41" i="3"/>
  <c r="K42" i="3"/>
  <c r="K62" i="3"/>
  <c r="K47" i="3"/>
  <c r="J85" i="3"/>
  <c r="K10" i="3"/>
  <c r="K49" i="3"/>
  <c r="J86" i="3"/>
  <c r="K11" i="3"/>
  <c r="K50" i="3"/>
  <c r="J87" i="3"/>
  <c r="K53" i="3"/>
  <c r="J89" i="3"/>
  <c r="J93" i="3"/>
  <c r="J97" i="3"/>
  <c r="J98" i="3"/>
  <c r="J100" i="3"/>
  <c r="K28" i="3"/>
  <c r="K32" i="3"/>
  <c r="K33" i="3"/>
  <c r="K35" i="3"/>
  <c r="K78" i="3"/>
  <c r="K79" i="3"/>
  <c r="K80" i="3"/>
  <c r="K81" i="3"/>
  <c r="K82" i="3"/>
  <c r="L12" i="3"/>
  <c r="L4" i="3"/>
  <c r="L6" i="3"/>
  <c r="L8" i="3"/>
  <c r="L23" i="3"/>
  <c r="L26" i="3"/>
  <c r="L61" i="3"/>
  <c r="L18" i="3"/>
  <c r="L5" i="3"/>
  <c r="L7" i="3"/>
  <c r="L19" i="3"/>
  <c r="L21" i="3"/>
  <c r="L13" i="3"/>
  <c r="L15" i="3"/>
  <c r="L31" i="3"/>
  <c r="L54" i="3"/>
  <c r="L37" i="3"/>
  <c r="K64" i="3"/>
  <c r="L38" i="3"/>
  <c r="L39" i="3"/>
  <c r="L41" i="3"/>
  <c r="L42" i="3"/>
  <c r="L62" i="3"/>
  <c r="L47" i="3"/>
  <c r="K85" i="3"/>
  <c r="L10" i="3"/>
  <c r="L49" i="3"/>
  <c r="K86" i="3"/>
  <c r="L11" i="3"/>
  <c r="L50" i="3"/>
  <c r="K87" i="3"/>
  <c r="L53" i="3"/>
  <c r="K89" i="3"/>
  <c r="K93" i="3"/>
  <c r="K97" i="3"/>
  <c r="K98" i="3"/>
  <c r="K100" i="3"/>
  <c r="L28" i="3"/>
  <c r="L32" i="3"/>
  <c r="L33" i="3"/>
  <c r="L35" i="3"/>
  <c r="L78" i="3"/>
  <c r="L79" i="3"/>
  <c r="L80" i="3"/>
  <c r="L81" i="3"/>
  <c r="L82" i="3"/>
  <c r="M12" i="3"/>
  <c r="M4" i="3"/>
  <c r="M6" i="3"/>
  <c r="M8" i="3"/>
  <c r="M23" i="3"/>
  <c r="M26" i="3"/>
  <c r="M61" i="3"/>
  <c r="M18" i="3"/>
  <c r="M5" i="3"/>
  <c r="M7" i="3"/>
  <c r="M19" i="3"/>
  <c r="M21" i="3"/>
  <c r="M13" i="3"/>
  <c r="M15" i="3"/>
  <c r="M31" i="3"/>
  <c r="M54" i="3"/>
  <c r="M37" i="3"/>
  <c r="L64" i="3"/>
  <c r="M38" i="3"/>
  <c r="M39" i="3"/>
  <c r="M41" i="3"/>
  <c r="M42" i="3"/>
  <c r="M62" i="3"/>
  <c r="M47" i="3"/>
  <c r="L85" i="3"/>
  <c r="M10" i="3"/>
  <c r="M49" i="3"/>
  <c r="L86" i="3"/>
  <c r="M11" i="3"/>
  <c r="M50" i="3"/>
  <c r="L87" i="3"/>
  <c r="M53" i="3"/>
  <c r="L89" i="3"/>
  <c r="L93" i="3"/>
  <c r="L97" i="3"/>
  <c r="L98" i="3"/>
  <c r="L100" i="3"/>
  <c r="M28" i="3"/>
  <c r="M32" i="3"/>
  <c r="M33" i="3"/>
  <c r="M35" i="3"/>
  <c r="M78" i="3"/>
  <c r="M79" i="3"/>
  <c r="M80" i="3"/>
  <c r="M81" i="3"/>
  <c r="M82" i="3"/>
  <c r="M85" i="3"/>
  <c r="M86" i="3"/>
  <c r="M87" i="3"/>
  <c r="M89" i="3"/>
  <c r="M90" i="3"/>
  <c r="N91" i="3"/>
  <c r="N92" i="3"/>
  <c r="M91" i="3"/>
  <c r="M93" i="3"/>
  <c r="M94" i="3"/>
  <c r="M97" i="3"/>
  <c r="M98" i="3"/>
  <c r="M100" i="3"/>
  <c r="C104" i="3"/>
  <c r="C85" i="3"/>
  <c r="C86" i="3"/>
  <c r="C87" i="3"/>
  <c r="C89" i="3"/>
  <c r="C97" i="3"/>
  <c r="C98" i="3"/>
  <c r="C100" i="3"/>
  <c r="C101" i="3"/>
  <c r="N95" i="3"/>
  <c r="N96" i="3"/>
  <c r="V55" i="3"/>
  <c r="V57" i="3"/>
  <c r="V56" i="3"/>
  <c r="V58" i="3"/>
  <c r="U63" i="3"/>
  <c r="S59" i="3"/>
  <c r="S66" i="3"/>
  <c r="U59" i="3"/>
  <c r="S67" i="3"/>
  <c r="S70" i="3"/>
  <c r="V61" i="3"/>
  <c r="S73" i="3"/>
  <c r="M9" i="3"/>
  <c r="M24" i="3"/>
  <c r="M51" i="3"/>
  <c r="M55" i="3"/>
  <c r="M58" i="3"/>
  <c r="M64" i="3"/>
  <c r="D67" i="3"/>
  <c r="E67" i="3"/>
  <c r="F67" i="3"/>
  <c r="G67" i="3"/>
  <c r="H67" i="3"/>
  <c r="I67" i="3"/>
  <c r="J67" i="3"/>
  <c r="K67" i="3"/>
  <c r="L67" i="3"/>
  <c r="M67" i="3"/>
  <c r="D43" i="3"/>
  <c r="D68" i="3"/>
  <c r="E43" i="3"/>
  <c r="E68" i="3"/>
  <c r="F43" i="3"/>
  <c r="F68" i="3"/>
  <c r="G43" i="3"/>
  <c r="G68" i="3"/>
  <c r="H43" i="3"/>
  <c r="H68" i="3"/>
  <c r="I43" i="3"/>
  <c r="I68" i="3"/>
  <c r="J43" i="3"/>
  <c r="J68" i="3"/>
  <c r="K43" i="3"/>
  <c r="K68" i="3"/>
  <c r="L43" i="3"/>
  <c r="L68" i="3"/>
  <c r="M43" i="3"/>
  <c r="M68" i="3"/>
  <c r="M70" i="3"/>
  <c r="M72" i="3"/>
  <c r="L9" i="3"/>
  <c r="L24" i="3"/>
  <c r="L51" i="3"/>
  <c r="L55" i="3"/>
  <c r="L58" i="3"/>
  <c r="L70" i="3"/>
  <c r="L72" i="3"/>
  <c r="K9" i="3"/>
  <c r="K24" i="3"/>
  <c r="K51" i="3"/>
  <c r="D55" i="3"/>
  <c r="E55" i="3"/>
  <c r="F55" i="3"/>
  <c r="G55" i="3"/>
  <c r="H55" i="3"/>
  <c r="I55" i="3"/>
  <c r="J55" i="3"/>
  <c r="K55" i="3"/>
  <c r="K58" i="3"/>
  <c r="K70" i="3"/>
  <c r="K72" i="3"/>
  <c r="J9" i="3"/>
  <c r="J24" i="3"/>
  <c r="J51" i="3"/>
  <c r="J58" i="3"/>
  <c r="J70" i="3"/>
  <c r="J72" i="3"/>
  <c r="I9" i="3"/>
  <c r="I24" i="3"/>
  <c r="I51" i="3"/>
  <c r="I58" i="3"/>
  <c r="I70" i="3"/>
  <c r="I72" i="3"/>
  <c r="H9" i="3"/>
  <c r="H24" i="3"/>
  <c r="H51" i="3"/>
  <c r="H58" i="3"/>
  <c r="H70" i="3"/>
  <c r="H72" i="3"/>
  <c r="G9" i="3"/>
  <c r="G24" i="3"/>
  <c r="G51" i="3"/>
  <c r="G58" i="3"/>
  <c r="G70" i="3"/>
  <c r="G72" i="3"/>
  <c r="F9" i="3"/>
  <c r="F24" i="3"/>
  <c r="F51" i="3"/>
  <c r="F58" i="3"/>
  <c r="F70" i="3"/>
  <c r="F72" i="3"/>
  <c r="E9" i="3"/>
  <c r="E24" i="3"/>
  <c r="E51" i="3"/>
  <c r="E58" i="3"/>
  <c r="E70" i="3"/>
  <c r="E72" i="3"/>
  <c r="D9" i="3"/>
  <c r="D24" i="3"/>
  <c r="D51" i="3"/>
  <c r="D58" i="3"/>
  <c r="D70" i="3"/>
  <c r="D72" i="3"/>
  <c r="O31" i="3"/>
  <c r="D100" i="1"/>
  <c r="E100" i="1"/>
  <c r="F100" i="1"/>
  <c r="G100" i="1"/>
  <c r="H100" i="1"/>
  <c r="I100" i="1"/>
  <c r="J100" i="1"/>
  <c r="C100" i="1"/>
  <c r="N91" i="1"/>
  <c r="N92" i="1"/>
  <c r="D18" i="1"/>
  <c r="D19" i="1"/>
  <c r="D21" i="1"/>
  <c r="D8" i="1"/>
  <c r="D23" i="1"/>
  <c r="D26" i="1"/>
  <c r="D28" i="1"/>
  <c r="D15" i="1"/>
  <c r="D31" i="1"/>
  <c r="D35" i="1"/>
  <c r="D78" i="1"/>
  <c r="D61" i="1"/>
  <c r="D37" i="1"/>
  <c r="C64" i="1"/>
  <c r="D38" i="1"/>
  <c r="D39" i="1"/>
  <c r="D41" i="1"/>
  <c r="D42" i="1"/>
  <c r="D62" i="1"/>
  <c r="D47" i="1"/>
  <c r="C85" i="1"/>
  <c r="E12" i="1"/>
  <c r="F12" i="1"/>
  <c r="G12" i="1"/>
  <c r="H12" i="1"/>
  <c r="I12" i="1"/>
  <c r="J12" i="1"/>
  <c r="K12" i="1"/>
  <c r="L12" i="1"/>
  <c r="M12" i="1"/>
  <c r="E4" i="1"/>
  <c r="F4" i="1"/>
  <c r="G4" i="1"/>
  <c r="H4" i="1"/>
  <c r="I4" i="1"/>
  <c r="J4" i="1"/>
  <c r="K4" i="1"/>
  <c r="L4" i="1"/>
  <c r="M4" i="1"/>
  <c r="E6" i="1"/>
  <c r="F6" i="1"/>
  <c r="G6" i="1"/>
  <c r="H6" i="1"/>
  <c r="I6" i="1"/>
  <c r="J6" i="1"/>
  <c r="K6" i="1"/>
  <c r="L6" i="1"/>
  <c r="M6" i="1"/>
  <c r="M8" i="1"/>
  <c r="M23" i="1"/>
  <c r="M26" i="1"/>
  <c r="M61" i="1"/>
  <c r="M97" i="1"/>
  <c r="M18" i="1"/>
  <c r="E5" i="1"/>
  <c r="F5" i="1"/>
  <c r="G5" i="1"/>
  <c r="H5" i="1"/>
  <c r="I5" i="1"/>
  <c r="J5" i="1"/>
  <c r="K5" i="1"/>
  <c r="L5" i="1"/>
  <c r="M5" i="1"/>
  <c r="E7" i="1"/>
  <c r="F7" i="1"/>
  <c r="G7" i="1"/>
  <c r="H7" i="1"/>
  <c r="I7" i="1"/>
  <c r="J7" i="1"/>
  <c r="K7" i="1"/>
  <c r="L7" i="1"/>
  <c r="M7" i="1"/>
  <c r="M19" i="1"/>
  <c r="M21" i="1"/>
  <c r="E13" i="1"/>
  <c r="F13" i="1"/>
  <c r="G13" i="1"/>
  <c r="H13" i="1"/>
  <c r="I13" i="1"/>
  <c r="J13" i="1"/>
  <c r="K13" i="1"/>
  <c r="L13" i="1"/>
  <c r="M13" i="1"/>
  <c r="M15" i="1"/>
  <c r="M31" i="1"/>
  <c r="E54" i="1"/>
  <c r="F54" i="1"/>
  <c r="G54" i="1"/>
  <c r="H54" i="1"/>
  <c r="I54" i="1"/>
  <c r="J54" i="1"/>
  <c r="K54" i="1"/>
  <c r="L54" i="1"/>
  <c r="M54" i="1"/>
  <c r="M37" i="1"/>
  <c r="D64" i="1"/>
  <c r="E64" i="1"/>
  <c r="F64" i="1"/>
  <c r="G64" i="1"/>
  <c r="H64" i="1"/>
  <c r="I64" i="1"/>
  <c r="J64" i="1"/>
  <c r="K64" i="1"/>
  <c r="L64" i="1"/>
  <c r="M38" i="1"/>
  <c r="M39" i="1"/>
  <c r="M41" i="1" s="1"/>
  <c r="E10" i="1"/>
  <c r="F10" i="1"/>
  <c r="G10" i="1"/>
  <c r="H10" i="1"/>
  <c r="I10" i="1"/>
  <c r="J10" i="1"/>
  <c r="K10" i="1"/>
  <c r="L10" i="1"/>
  <c r="M10" i="1"/>
  <c r="M49" i="1"/>
  <c r="M86" i="1"/>
  <c r="E11" i="1"/>
  <c r="F11" i="1"/>
  <c r="G11" i="1"/>
  <c r="H11" i="1"/>
  <c r="I11" i="1"/>
  <c r="J11" i="1"/>
  <c r="K11" i="1"/>
  <c r="L11" i="1"/>
  <c r="M11" i="1"/>
  <c r="M50" i="1"/>
  <c r="M87" i="1"/>
  <c r="E53" i="1"/>
  <c r="F53" i="1"/>
  <c r="G53" i="1"/>
  <c r="H53" i="1"/>
  <c r="I53" i="1"/>
  <c r="J53" i="1"/>
  <c r="K53" i="1"/>
  <c r="L53" i="1"/>
  <c r="M53" i="1"/>
  <c r="M89" i="1"/>
  <c r="M93" i="1"/>
  <c r="W86" i="2"/>
  <c r="U67" i="2"/>
  <c r="X82" i="2"/>
  <c r="X83" i="2"/>
  <c r="R88" i="2"/>
  <c r="S62" i="2"/>
  <c r="S64" i="2"/>
  <c r="R64" i="2"/>
  <c r="T68" i="2"/>
  <c r="U68" i="2"/>
  <c r="V68" i="2"/>
  <c r="V67" i="2"/>
  <c r="T89" i="2"/>
  <c r="U89" i="2"/>
  <c r="V89" i="2"/>
  <c r="W89" i="2"/>
  <c r="X88" i="2"/>
  <c r="X89" i="2"/>
  <c r="T90" i="2"/>
  <c r="V87" i="2"/>
  <c r="W87" i="2"/>
  <c r="X87" i="2"/>
  <c r="U87" i="2"/>
  <c r="U86" i="2"/>
  <c r="V86" i="2"/>
  <c r="T86" i="2"/>
  <c r="R87" i="2"/>
  <c r="T83" i="2"/>
  <c r="U83" i="2"/>
  <c r="V83" i="2"/>
  <c r="W83" i="2"/>
  <c r="T84" i="2"/>
  <c r="V81" i="2"/>
  <c r="W81" i="2"/>
  <c r="X81" i="2"/>
  <c r="U81" i="2"/>
  <c r="V80" i="2"/>
  <c r="W80" i="2"/>
  <c r="U80" i="2"/>
  <c r="T80" i="2"/>
  <c r="R69" i="2"/>
  <c r="S67" i="2"/>
  <c r="T67" i="2"/>
  <c r="R68" i="2"/>
  <c r="Q67" i="2"/>
  <c r="Q51" i="2"/>
  <c r="Q50" i="2"/>
  <c r="S49" i="2"/>
  <c r="S50" i="2"/>
  <c r="S51" i="2"/>
  <c r="R62" i="2"/>
  <c r="R54" i="2"/>
  <c r="F53" i="2"/>
  <c r="G53" i="2"/>
  <c r="R53" i="2"/>
  <c r="G23" i="2"/>
  <c r="G26" i="2"/>
  <c r="G61" i="2"/>
  <c r="S61" i="2"/>
  <c r="G24" i="2"/>
  <c r="G51" i="2"/>
  <c r="G50" i="2"/>
  <c r="G18" i="2"/>
  <c r="G49" i="2"/>
  <c r="G19" i="2"/>
  <c r="G21" i="2"/>
  <c r="G41" i="2"/>
  <c r="G42" i="2"/>
  <c r="G62" i="2"/>
  <c r="G47" i="2"/>
  <c r="F18" i="2"/>
  <c r="F19" i="2"/>
  <c r="F21" i="2"/>
  <c r="F23" i="2"/>
  <c r="F26" i="2"/>
  <c r="F41" i="2"/>
  <c r="F42" i="2"/>
  <c r="F62" i="2"/>
  <c r="S68" i="2"/>
  <c r="E18" i="2"/>
  <c r="E19" i="2"/>
  <c r="E21" i="2"/>
  <c r="E23" i="2"/>
  <c r="E26" i="2"/>
  <c r="E41" i="2"/>
  <c r="E42" i="2"/>
  <c r="E62" i="2"/>
  <c r="E12" i="2"/>
  <c r="F12" i="2"/>
  <c r="G12" i="2"/>
  <c r="H12" i="2"/>
  <c r="I12" i="2"/>
  <c r="J12" i="2"/>
  <c r="K12" i="2"/>
  <c r="L12" i="2"/>
  <c r="M12" i="2"/>
  <c r="E4" i="2"/>
  <c r="F4" i="2"/>
  <c r="G4" i="2"/>
  <c r="H4" i="2"/>
  <c r="I4" i="2"/>
  <c r="J4" i="2"/>
  <c r="K4" i="2"/>
  <c r="L4" i="2"/>
  <c r="M4" i="2"/>
  <c r="E6" i="2"/>
  <c r="F6" i="2"/>
  <c r="G6" i="2"/>
  <c r="H6" i="2"/>
  <c r="I6" i="2"/>
  <c r="J6" i="2"/>
  <c r="K6" i="2"/>
  <c r="L6" i="2"/>
  <c r="M6" i="2"/>
  <c r="M8" i="2"/>
  <c r="M23" i="2"/>
  <c r="M26" i="2"/>
  <c r="M61" i="2"/>
  <c r="M18" i="2"/>
  <c r="E5" i="2"/>
  <c r="F5" i="2"/>
  <c r="G5" i="2"/>
  <c r="H5" i="2"/>
  <c r="I5" i="2"/>
  <c r="J5" i="2"/>
  <c r="K5" i="2"/>
  <c r="L5" i="2"/>
  <c r="M5" i="2"/>
  <c r="E7" i="2"/>
  <c r="F7" i="2"/>
  <c r="G7" i="2"/>
  <c r="H7" i="2"/>
  <c r="I7" i="2"/>
  <c r="J7" i="2"/>
  <c r="K7" i="2"/>
  <c r="L7" i="2"/>
  <c r="M7" i="2"/>
  <c r="M19" i="2"/>
  <c r="M21" i="2"/>
  <c r="E13" i="2"/>
  <c r="F13" i="2"/>
  <c r="G13" i="2"/>
  <c r="H13" i="2"/>
  <c r="I13" i="2"/>
  <c r="J13" i="2"/>
  <c r="K13" i="2"/>
  <c r="L13" i="2"/>
  <c r="M13" i="2"/>
  <c r="M15" i="2"/>
  <c r="M31" i="2"/>
  <c r="E54" i="2"/>
  <c r="F54" i="2"/>
  <c r="G54" i="2"/>
  <c r="H54" i="2"/>
  <c r="I54" i="2"/>
  <c r="J54" i="2"/>
  <c r="K54" i="2"/>
  <c r="L54" i="2"/>
  <c r="M54" i="2"/>
  <c r="M37" i="2"/>
  <c r="C67" i="2"/>
  <c r="D67" i="2"/>
  <c r="E67" i="2"/>
  <c r="F67" i="2"/>
  <c r="G67" i="2"/>
  <c r="H67" i="2"/>
  <c r="I67" i="2"/>
  <c r="J67" i="2"/>
  <c r="K67" i="2"/>
  <c r="L67" i="2"/>
  <c r="M38" i="2"/>
  <c r="M39" i="2"/>
  <c r="M41" i="2"/>
  <c r="M42" i="2"/>
  <c r="M62" i="2"/>
  <c r="M47" i="2"/>
  <c r="E10" i="2"/>
  <c r="F10" i="2"/>
  <c r="G10" i="2"/>
  <c r="H10" i="2"/>
  <c r="I10" i="2"/>
  <c r="J10" i="2"/>
  <c r="K10" i="2"/>
  <c r="L10" i="2"/>
  <c r="M10" i="2"/>
  <c r="M49" i="2"/>
  <c r="E11" i="2"/>
  <c r="F11" i="2"/>
  <c r="G11" i="2"/>
  <c r="H11" i="2"/>
  <c r="I11" i="2"/>
  <c r="J11" i="2"/>
  <c r="K11" i="2"/>
  <c r="L11" i="2"/>
  <c r="M11" i="2"/>
  <c r="M50" i="2"/>
  <c r="M9" i="2"/>
  <c r="M24" i="2"/>
  <c r="M51" i="2"/>
  <c r="E53" i="2"/>
  <c r="H53" i="2"/>
  <c r="I53" i="2"/>
  <c r="J53" i="2"/>
  <c r="K53" i="2"/>
  <c r="L53" i="2"/>
  <c r="M53" i="2"/>
  <c r="M55" i="2"/>
  <c r="M58" i="2"/>
  <c r="M67" i="2"/>
  <c r="D70" i="2"/>
  <c r="E70" i="2"/>
  <c r="F70" i="2"/>
  <c r="G70" i="2"/>
  <c r="H70" i="2"/>
  <c r="I70" i="2"/>
  <c r="J70" i="2"/>
  <c r="K70" i="2"/>
  <c r="L70" i="2"/>
  <c r="M70" i="2"/>
  <c r="D18" i="2"/>
  <c r="D19" i="2"/>
  <c r="D21" i="2"/>
  <c r="D8" i="2"/>
  <c r="D23" i="2"/>
  <c r="D26" i="2"/>
  <c r="D28" i="2"/>
  <c r="D15" i="2"/>
  <c r="D31" i="2"/>
  <c r="D35" i="2"/>
  <c r="D37" i="2"/>
  <c r="D38" i="2"/>
  <c r="D39" i="2"/>
  <c r="D41" i="2"/>
  <c r="D42" i="2"/>
  <c r="D43" i="2"/>
  <c r="D71" i="2"/>
  <c r="E8" i="2"/>
  <c r="E15" i="2"/>
  <c r="E31" i="2"/>
  <c r="E37" i="2"/>
  <c r="E38" i="2"/>
  <c r="E39" i="2"/>
  <c r="E43" i="2"/>
  <c r="E71" i="2"/>
  <c r="F8" i="2"/>
  <c r="F15" i="2"/>
  <c r="F31" i="2"/>
  <c r="F37" i="2"/>
  <c r="F38" i="2"/>
  <c r="F39" i="2"/>
  <c r="F43" i="2"/>
  <c r="F71" i="2"/>
  <c r="G8" i="2"/>
  <c r="G15" i="2"/>
  <c r="G31" i="2"/>
  <c r="G37" i="2"/>
  <c r="G38" i="2"/>
  <c r="G39" i="2"/>
  <c r="G43" i="2"/>
  <c r="G71" i="2"/>
  <c r="H18" i="2"/>
  <c r="H19" i="2"/>
  <c r="H21" i="2"/>
  <c r="H8" i="2"/>
  <c r="H23" i="2"/>
  <c r="H26" i="2"/>
  <c r="H15" i="2"/>
  <c r="H31" i="2"/>
  <c r="H37" i="2"/>
  <c r="H38" i="2"/>
  <c r="H39" i="2"/>
  <c r="H41" i="2"/>
  <c r="H42" i="2"/>
  <c r="H43" i="2"/>
  <c r="H71" i="2"/>
  <c r="I18" i="2"/>
  <c r="I19" i="2"/>
  <c r="I21" i="2"/>
  <c r="I8" i="2"/>
  <c r="I23" i="2"/>
  <c r="I26" i="2"/>
  <c r="I15" i="2"/>
  <c r="I31" i="2"/>
  <c r="I37" i="2"/>
  <c r="I38" i="2"/>
  <c r="I39" i="2"/>
  <c r="I41" i="2"/>
  <c r="I42" i="2"/>
  <c r="I43" i="2"/>
  <c r="I71" i="2"/>
  <c r="J18" i="2"/>
  <c r="J19" i="2"/>
  <c r="J21" i="2"/>
  <c r="J8" i="2"/>
  <c r="J23" i="2"/>
  <c r="J26" i="2"/>
  <c r="J15" i="2"/>
  <c r="J31" i="2"/>
  <c r="J37" i="2"/>
  <c r="J38" i="2"/>
  <c r="J39" i="2"/>
  <c r="J41" i="2"/>
  <c r="J42" i="2"/>
  <c r="J43" i="2"/>
  <c r="J71" i="2"/>
  <c r="K18" i="2"/>
  <c r="K19" i="2"/>
  <c r="K21" i="2"/>
  <c r="K8" i="2"/>
  <c r="K23" i="2"/>
  <c r="K26" i="2"/>
  <c r="K15" i="2"/>
  <c r="K31" i="2"/>
  <c r="K37" i="2"/>
  <c r="K38" i="2"/>
  <c r="K39" i="2"/>
  <c r="K41" i="2"/>
  <c r="K42" i="2"/>
  <c r="K43" i="2"/>
  <c r="K71" i="2"/>
  <c r="L18" i="2"/>
  <c r="L19" i="2"/>
  <c r="L21" i="2"/>
  <c r="L8" i="2"/>
  <c r="L23" i="2"/>
  <c r="L26" i="2"/>
  <c r="L15" i="2"/>
  <c r="L31" i="2"/>
  <c r="L37" i="2"/>
  <c r="L38" i="2"/>
  <c r="L39" i="2"/>
  <c r="L41" i="2"/>
  <c r="L42" i="2"/>
  <c r="L43" i="2"/>
  <c r="L71" i="2"/>
  <c r="M43" i="2"/>
  <c r="M71" i="2"/>
  <c r="M73" i="2"/>
  <c r="M75" i="2"/>
  <c r="L61" i="2"/>
  <c r="L62" i="2"/>
  <c r="L47" i="2"/>
  <c r="L49" i="2"/>
  <c r="L50" i="2"/>
  <c r="L9" i="2"/>
  <c r="L24" i="2"/>
  <c r="L51" i="2"/>
  <c r="L55" i="2"/>
  <c r="L58" i="2"/>
  <c r="L73" i="2"/>
  <c r="L75" i="2"/>
  <c r="K61" i="2"/>
  <c r="K62" i="2"/>
  <c r="K47" i="2"/>
  <c r="K49" i="2"/>
  <c r="K50" i="2"/>
  <c r="K9" i="2"/>
  <c r="K24" i="2"/>
  <c r="K51" i="2"/>
  <c r="D55" i="2"/>
  <c r="E55" i="2"/>
  <c r="F55" i="2"/>
  <c r="G55" i="2"/>
  <c r="H55" i="2"/>
  <c r="I55" i="2"/>
  <c r="J55" i="2"/>
  <c r="K55" i="2"/>
  <c r="K58" i="2"/>
  <c r="K73" i="2"/>
  <c r="K75" i="2"/>
  <c r="J61" i="2"/>
  <c r="J62" i="2"/>
  <c r="J47" i="2"/>
  <c r="J49" i="2"/>
  <c r="J50" i="2"/>
  <c r="J9" i="2"/>
  <c r="J24" i="2"/>
  <c r="J51" i="2"/>
  <c r="J58" i="2"/>
  <c r="J73" i="2"/>
  <c r="J75" i="2"/>
  <c r="I61" i="2"/>
  <c r="I62" i="2"/>
  <c r="I47" i="2"/>
  <c r="I49" i="2"/>
  <c r="I50" i="2"/>
  <c r="I9" i="2"/>
  <c r="I24" i="2"/>
  <c r="I51" i="2"/>
  <c r="I58" i="2"/>
  <c r="I73" i="2"/>
  <c r="I75" i="2"/>
  <c r="H61" i="2"/>
  <c r="H62" i="2"/>
  <c r="H47" i="2"/>
  <c r="H49" i="2"/>
  <c r="H50" i="2"/>
  <c r="H9" i="2"/>
  <c r="H24" i="2"/>
  <c r="H51" i="2"/>
  <c r="H58" i="2"/>
  <c r="H73" i="2"/>
  <c r="H75" i="2"/>
  <c r="G9" i="2"/>
  <c r="G58" i="2"/>
  <c r="G73" i="2"/>
  <c r="G75" i="2"/>
  <c r="F61" i="2"/>
  <c r="F47" i="2"/>
  <c r="F49" i="2"/>
  <c r="F50" i="2"/>
  <c r="F9" i="2"/>
  <c r="F24" i="2"/>
  <c r="F51" i="2"/>
  <c r="F58" i="2"/>
  <c r="F73" i="2"/>
  <c r="F75" i="2"/>
  <c r="E61" i="2"/>
  <c r="E47" i="2"/>
  <c r="E49" i="2"/>
  <c r="E50" i="2"/>
  <c r="E9" i="2"/>
  <c r="E24" i="2"/>
  <c r="E51" i="2"/>
  <c r="E58" i="2"/>
  <c r="E73" i="2"/>
  <c r="E75" i="2"/>
  <c r="D61" i="2"/>
  <c r="D62" i="2"/>
  <c r="D47" i="2"/>
  <c r="D49" i="2"/>
  <c r="D50" i="2"/>
  <c r="D9" i="2"/>
  <c r="D24" i="2"/>
  <c r="D51" i="2"/>
  <c r="D58" i="2"/>
  <c r="D73" i="2"/>
  <c r="D75" i="2"/>
  <c r="E32" i="2"/>
  <c r="F32" i="2"/>
  <c r="G32" i="2"/>
  <c r="H32" i="2"/>
  <c r="I32" i="2"/>
  <c r="J32" i="2"/>
  <c r="K32" i="2"/>
  <c r="L32" i="2"/>
  <c r="M32" i="2"/>
  <c r="E33" i="2"/>
  <c r="F33" i="2"/>
  <c r="G33" i="2"/>
  <c r="H33" i="2"/>
  <c r="I33" i="2"/>
  <c r="J33" i="2"/>
  <c r="K33" i="2"/>
  <c r="L33" i="2"/>
  <c r="M33" i="2"/>
  <c r="M35" i="2"/>
  <c r="L35" i="2"/>
  <c r="K35" i="2"/>
  <c r="J35" i="2"/>
  <c r="I35" i="2"/>
  <c r="H35" i="2"/>
  <c r="G35" i="2"/>
  <c r="F35" i="2"/>
  <c r="E35" i="2"/>
  <c r="O31" i="2"/>
  <c r="M28" i="2"/>
  <c r="L28" i="2"/>
  <c r="K28" i="2"/>
  <c r="J28" i="2"/>
  <c r="I28" i="2"/>
  <c r="H28" i="2"/>
  <c r="G28" i="2"/>
  <c r="F28" i="2"/>
  <c r="E28" i="2"/>
  <c r="E18" i="1"/>
  <c r="E19" i="1"/>
  <c r="E21" i="1"/>
  <c r="E8" i="1"/>
  <c r="E23" i="1"/>
  <c r="E26" i="1"/>
  <c r="E28" i="1"/>
  <c r="E15" i="1"/>
  <c r="E31" i="1"/>
  <c r="E32" i="1"/>
  <c r="E33" i="1"/>
  <c r="E35" i="1"/>
  <c r="E78" i="1"/>
  <c r="E37" i="1"/>
  <c r="E79" i="1"/>
  <c r="E80" i="1"/>
  <c r="E81" i="1"/>
  <c r="E82" i="1"/>
  <c r="D79" i="1"/>
  <c r="D80" i="1"/>
  <c r="D81" i="1"/>
  <c r="D82" i="1"/>
  <c r="E61" i="1"/>
  <c r="E38" i="1"/>
  <c r="E39" i="1"/>
  <c r="E41" i="1"/>
  <c r="E42" i="1"/>
  <c r="E62" i="1"/>
  <c r="E47" i="1"/>
  <c r="D85" i="1"/>
  <c r="E49" i="1"/>
  <c r="D49" i="1"/>
  <c r="D86" i="1"/>
  <c r="E50" i="1"/>
  <c r="D50" i="1"/>
  <c r="D87" i="1"/>
  <c r="D89" i="1"/>
  <c r="D93" i="1"/>
  <c r="D97" i="1"/>
  <c r="D98" i="1"/>
  <c r="F18" i="1"/>
  <c r="F19" i="1"/>
  <c r="F21" i="1"/>
  <c r="F8" i="1"/>
  <c r="F23" i="1"/>
  <c r="F26" i="1"/>
  <c r="F28" i="1"/>
  <c r="F15" i="1"/>
  <c r="F31" i="1"/>
  <c r="F32" i="1"/>
  <c r="F33" i="1"/>
  <c r="F35" i="1"/>
  <c r="F78" i="1"/>
  <c r="F37" i="1"/>
  <c r="F79" i="1"/>
  <c r="F80" i="1"/>
  <c r="F81" i="1"/>
  <c r="F82" i="1"/>
  <c r="F61" i="1"/>
  <c r="F38" i="1"/>
  <c r="F39" i="1"/>
  <c r="F41" i="1"/>
  <c r="F42" i="1"/>
  <c r="F62" i="1"/>
  <c r="F47" i="1"/>
  <c r="E85" i="1"/>
  <c r="F49" i="1"/>
  <c r="E86" i="1"/>
  <c r="F50" i="1"/>
  <c r="E87" i="1"/>
  <c r="E89" i="1"/>
  <c r="E93" i="1"/>
  <c r="E97" i="1"/>
  <c r="E98" i="1"/>
  <c r="G18" i="1"/>
  <c r="G19" i="1"/>
  <c r="G21" i="1"/>
  <c r="G8" i="1"/>
  <c r="G23" i="1"/>
  <c r="G26" i="1"/>
  <c r="G28" i="1"/>
  <c r="G15" i="1"/>
  <c r="G31" i="1"/>
  <c r="G32" i="1"/>
  <c r="G33" i="1"/>
  <c r="G35" i="1"/>
  <c r="G78" i="1"/>
  <c r="G37" i="1"/>
  <c r="G79" i="1"/>
  <c r="G80" i="1"/>
  <c r="G81" i="1"/>
  <c r="G82" i="1"/>
  <c r="G61" i="1"/>
  <c r="G38" i="1"/>
  <c r="G39" i="1"/>
  <c r="G41" i="1"/>
  <c r="G42" i="1"/>
  <c r="G62" i="1"/>
  <c r="G47" i="1"/>
  <c r="F85" i="1"/>
  <c r="G49" i="1"/>
  <c r="F86" i="1"/>
  <c r="G50" i="1"/>
  <c r="F87" i="1"/>
  <c r="F89" i="1"/>
  <c r="F93" i="1"/>
  <c r="F97" i="1"/>
  <c r="F98" i="1"/>
  <c r="H18" i="1"/>
  <c r="H19" i="1"/>
  <c r="H21" i="1"/>
  <c r="H8" i="1"/>
  <c r="H23" i="1"/>
  <c r="H26" i="1"/>
  <c r="H28" i="1"/>
  <c r="H15" i="1"/>
  <c r="H31" i="1"/>
  <c r="H32" i="1"/>
  <c r="H33" i="1"/>
  <c r="H35" i="1"/>
  <c r="H78" i="1"/>
  <c r="H37" i="1"/>
  <c r="H79" i="1"/>
  <c r="H80" i="1"/>
  <c r="H81" i="1"/>
  <c r="H82" i="1"/>
  <c r="H61" i="1"/>
  <c r="H38" i="1"/>
  <c r="H39" i="1"/>
  <c r="H41" i="1"/>
  <c r="H42" i="1"/>
  <c r="H62" i="1"/>
  <c r="H47" i="1"/>
  <c r="G85" i="1"/>
  <c r="H49" i="1"/>
  <c r="G86" i="1"/>
  <c r="H50" i="1"/>
  <c r="G87" i="1"/>
  <c r="G89" i="1"/>
  <c r="G93" i="1"/>
  <c r="G97" i="1"/>
  <c r="G98" i="1"/>
  <c r="I18" i="1"/>
  <c r="I19" i="1"/>
  <c r="I21" i="1"/>
  <c r="I8" i="1"/>
  <c r="I23" i="1"/>
  <c r="I26" i="1"/>
  <c r="I28" i="1"/>
  <c r="I15" i="1"/>
  <c r="I31" i="1"/>
  <c r="I32" i="1"/>
  <c r="I33" i="1"/>
  <c r="I35" i="1"/>
  <c r="I78" i="1"/>
  <c r="I37" i="1"/>
  <c r="I79" i="1"/>
  <c r="I80" i="1"/>
  <c r="I81" i="1"/>
  <c r="I82" i="1"/>
  <c r="I61" i="1"/>
  <c r="I38" i="1"/>
  <c r="I39" i="1"/>
  <c r="I41" i="1"/>
  <c r="I42" i="1"/>
  <c r="I62" i="1"/>
  <c r="I47" i="1"/>
  <c r="H85" i="1"/>
  <c r="I49" i="1"/>
  <c r="H86" i="1"/>
  <c r="I50" i="1"/>
  <c r="H87" i="1"/>
  <c r="H89" i="1"/>
  <c r="H93" i="1"/>
  <c r="H97" i="1"/>
  <c r="H98" i="1"/>
  <c r="J18" i="1"/>
  <c r="J19" i="1"/>
  <c r="J21" i="1"/>
  <c r="J8" i="1"/>
  <c r="J23" i="1"/>
  <c r="J26" i="1"/>
  <c r="J28" i="1"/>
  <c r="J15" i="1"/>
  <c r="J31" i="1"/>
  <c r="J32" i="1"/>
  <c r="J33" i="1"/>
  <c r="J35" i="1"/>
  <c r="J78" i="1"/>
  <c r="J37" i="1"/>
  <c r="J79" i="1"/>
  <c r="J80" i="1"/>
  <c r="J81" i="1"/>
  <c r="J82" i="1"/>
  <c r="J61" i="1"/>
  <c r="J38" i="1"/>
  <c r="J39" i="1"/>
  <c r="J41" i="1"/>
  <c r="J42" i="1"/>
  <c r="J62" i="1"/>
  <c r="J47" i="1"/>
  <c r="I85" i="1"/>
  <c r="J49" i="1"/>
  <c r="I86" i="1"/>
  <c r="J50" i="1"/>
  <c r="I87" i="1"/>
  <c r="I89" i="1"/>
  <c r="I93" i="1"/>
  <c r="I97" i="1"/>
  <c r="I98" i="1"/>
  <c r="K18" i="1"/>
  <c r="K19" i="1"/>
  <c r="K21" i="1"/>
  <c r="K8" i="1"/>
  <c r="K23" i="1"/>
  <c r="K26" i="1"/>
  <c r="K28" i="1"/>
  <c r="K15" i="1"/>
  <c r="K31" i="1"/>
  <c r="K32" i="1"/>
  <c r="K33" i="1"/>
  <c r="K35" i="1"/>
  <c r="K78" i="1"/>
  <c r="K37" i="1"/>
  <c r="K79" i="1"/>
  <c r="K80" i="1"/>
  <c r="K81" i="1"/>
  <c r="K82" i="1"/>
  <c r="K61" i="1"/>
  <c r="K38" i="1"/>
  <c r="K39" i="1"/>
  <c r="K41" i="1"/>
  <c r="K42" i="1"/>
  <c r="K62" i="1"/>
  <c r="K47" i="1"/>
  <c r="J85" i="1"/>
  <c r="K49" i="1"/>
  <c r="J86" i="1"/>
  <c r="K50" i="1"/>
  <c r="J87" i="1"/>
  <c r="J89" i="1"/>
  <c r="J93" i="1"/>
  <c r="J97" i="1"/>
  <c r="J98" i="1"/>
  <c r="L18" i="1"/>
  <c r="L19" i="1"/>
  <c r="L21" i="1"/>
  <c r="L8" i="1"/>
  <c r="L23" i="1"/>
  <c r="L26" i="1"/>
  <c r="L28" i="1"/>
  <c r="L15" i="1"/>
  <c r="L31" i="1"/>
  <c r="L32" i="1"/>
  <c r="L33" i="1"/>
  <c r="L35" i="1"/>
  <c r="L78" i="1"/>
  <c r="L37" i="1"/>
  <c r="L79" i="1"/>
  <c r="L80" i="1"/>
  <c r="L81" i="1"/>
  <c r="L82" i="1"/>
  <c r="L61" i="1"/>
  <c r="L38" i="1"/>
  <c r="L39" i="1"/>
  <c r="L41" i="1" s="1"/>
  <c r="L42" i="1" s="1"/>
  <c r="L49" i="1"/>
  <c r="K86" i="1"/>
  <c r="L50" i="1"/>
  <c r="K87" i="1"/>
  <c r="K89" i="1"/>
  <c r="K93" i="1"/>
  <c r="K97" i="1"/>
  <c r="M28" i="1"/>
  <c r="M32" i="1"/>
  <c r="M33" i="1"/>
  <c r="M35" i="1"/>
  <c r="M78" i="1"/>
  <c r="M79" i="1"/>
  <c r="M80" i="1"/>
  <c r="M81" i="1"/>
  <c r="M82" i="1"/>
  <c r="L86" i="1"/>
  <c r="L87" i="1"/>
  <c r="L89" i="1"/>
  <c r="L93" i="1"/>
  <c r="L97" i="1"/>
  <c r="S49" i="1"/>
  <c r="T55" i="1"/>
  <c r="X57" i="1"/>
  <c r="X58" i="1"/>
  <c r="S57" i="1" s="1"/>
  <c r="X61" i="1"/>
  <c r="X62" i="1"/>
  <c r="T56" i="1"/>
  <c r="S58" i="1"/>
  <c r="T58" i="1" s="1"/>
  <c r="S61" i="1"/>
  <c r="S69" i="1"/>
  <c r="D55" i="1"/>
  <c r="E55" i="1"/>
  <c r="E9" i="1"/>
  <c r="E24" i="1"/>
  <c r="E51" i="1"/>
  <c r="E58" i="1"/>
  <c r="D9" i="1"/>
  <c r="D24" i="1"/>
  <c r="D51" i="1"/>
  <c r="D58" i="1"/>
  <c r="F9" i="1"/>
  <c r="F24" i="1"/>
  <c r="F51" i="1"/>
  <c r="G9" i="1"/>
  <c r="G24" i="1"/>
  <c r="G51" i="1"/>
  <c r="H9" i="1"/>
  <c r="H24" i="1"/>
  <c r="H51" i="1"/>
  <c r="I9" i="1"/>
  <c r="I24" i="1"/>
  <c r="I51" i="1"/>
  <c r="J9" i="1"/>
  <c r="J24" i="1"/>
  <c r="J51" i="1"/>
  <c r="K9" i="1"/>
  <c r="K24" i="1"/>
  <c r="K51" i="1"/>
  <c r="L9" i="1"/>
  <c r="L24" i="1"/>
  <c r="L51" i="1"/>
  <c r="M9" i="1"/>
  <c r="M24" i="1"/>
  <c r="M51" i="1"/>
  <c r="F55" i="1"/>
  <c r="F58" i="1"/>
  <c r="G55" i="1"/>
  <c r="G58" i="1"/>
  <c r="H55" i="1"/>
  <c r="H58" i="1"/>
  <c r="I55" i="1"/>
  <c r="I58" i="1"/>
  <c r="J55" i="1"/>
  <c r="J58" i="1"/>
  <c r="K58" i="1"/>
  <c r="C93" i="1"/>
  <c r="C89" i="1"/>
  <c r="U63" i="1"/>
  <c r="U59" i="1"/>
  <c r="V56" i="1"/>
  <c r="V58" i="1"/>
  <c r="V55" i="1"/>
  <c r="V57" i="1"/>
  <c r="D67" i="1"/>
  <c r="M64" i="1"/>
  <c r="E67" i="1"/>
  <c r="F67" i="1"/>
  <c r="G67" i="1"/>
  <c r="H67" i="1"/>
  <c r="I67" i="1"/>
  <c r="J67" i="1"/>
  <c r="K67" i="1"/>
  <c r="L67" i="1"/>
  <c r="M67" i="1"/>
  <c r="O31" i="1"/>
  <c r="C87" i="1"/>
  <c r="C86" i="1"/>
  <c r="C97" i="1"/>
  <c r="C98" i="1"/>
  <c r="D43" i="1"/>
  <c r="D68" i="1"/>
  <c r="D70" i="1"/>
  <c r="D72" i="1"/>
  <c r="H43" i="1"/>
  <c r="F43" i="1"/>
  <c r="E43" i="1"/>
  <c r="G43" i="1"/>
  <c r="I43" i="1"/>
  <c r="E68" i="1"/>
  <c r="E70" i="1"/>
  <c r="E72" i="1"/>
  <c r="J43" i="1"/>
  <c r="F68" i="1"/>
  <c r="F70" i="1"/>
  <c r="F72" i="1"/>
  <c r="K43" i="1"/>
  <c r="G68" i="1"/>
  <c r="H68" i="1"/>
  <c r="I68" i="1"/>
  <c r="H70" i="1"/>
  <c r="H72" i="1"/>
  <c r="G70" i="1"/>
  <c r="G72" i="1"/>
  <c r="I70" i="1"/>
  <c r="I72" i="1"/>
  <c r="J68" i="1"/>
  <c r="K68" i="1"/>
  <c r="J70" i="1"/>
  <c r="J72" i="1"/>
  <c r="K70" i="1"/>
  <c r="K72" i="1"/>
  <c r="S59" i="1" l="1"/>
  <c r="T57" i="1"/>
  <c r="S72" i="1" s="1"/>
  <c r="C103" i="1" s="1"/>
  <c r="S62" i="1"/>
  <c r="S63" i="1" s="1"/>
  <c r="T61" i="1" s="1"/>
  <c r="M42" i="1"/>
  <c r="M62" i="1" s="1"/>
  <c r="M43" i="1"/>
  <c r="L62" i="1"/>
  <c r="L43" i="1"/>
  <c r="L68" i="1" s="1"/>
  <c r="M68" i="1" s="1"/>
  <c r="M70" i="1" s="1"/>
  <c r="S66" i="1" l="1"/>
  <c r="S67" i="1" s="1"/>
  <c r="S70" i="1" s="1"/>
  <c r="V61" i="1" s="1"/>
  <c r="S73" i="1" s="1"/>
  <c r="M47" i="1"/>
  <c r="M98" i="1"/>
  <c r="L47" i="1"/>
  <c r="L70" i="1"/>
  <c r="K98" i="1"/>
  <c r="L98" i="1"/>
  <c r="M58" i="1" l="1"/>
  <c r="M72" i="1" s="1"/>
  <c r="M85" i="1"/>
  <c r="M100" i="1" s="1"/>
  <c r="L58" i="1"/>
  <c r="L72" i="1" s="1"/>
  <c r="K85" i="1"/>
  <c r="K100" i="1" s="1"/>
  <c r="L85" i="1"/>
  <c r="L100" i="1" s="1"/>
  <c r="C104" i="1" l="1"/>
  <c r="C101" i="1"/>
</calcChain>
</file>

<file path=xl/sharedStrings.xml><?xml version="1.0" encoding="utf-8"?>
<sst xmlns="http://schemas.openxmlformats.org/spreadsheetml/2006/main" count="333" uniqueCount="129">
  <si>
    <t>FORECAST</t>
  </si>
  <si>
    <t>INCOME STATEMENT</t>
  </si>
  <si>
    <t>Operating Expenses</t>
  </si>
  <si>
    <t>Depreciation</t>
  </si>
  <si>
    <t>Profit Before Taxes</t>
  </si>
  <si>
    <t>Taxes</t>
  </si>
  <si>
    <t>BALANCE SHEET</t>
  </si>
  <si>
    <t>Assets</t>
  </si>
  <si>
    <t>Accounts Receivable</t>
  </si>
  <si>
    <t>Buildings</t>
  </si>
  <si>
    <t>Less:  Accumulated Depreciation</t>
  </si>
  <si>
    <t>Total Assets</t>
  </si>
  <si>
    <t>Liabilities and Equity</t>
  </si>
  <si>
    <t>Income Tax Payable</t>
  </si>
  <si>
    <t>Retained Earnings</t>
  </si>
  <si>
    <t>Total Liabilities and Equity</t>
  </si>
  <si>
    <t>Furniture Cost of Goods Sold</t>
  </si>
  <si>
    <t>Extra Bank Loan Interest Expense</t>
  </si>
  <si>
    <t>Net Income</t>
  </si>
  <si>
    <t>Extra Cash</t>
  </si>
  <si>
    <t>Land</t>
  </si>
  <si>
    <t>Extra Bank Loan</t>
  </si>
  <si>
    <t>Common Stock</t>
  </si>
  <si>
    <t>Total Accounts Payable</t>
  </si>
  <si>
    <t>Assumptions</t>
  </si>
  <si>
    <t>Total Revenue</t>
  </si>
  <si>
    <t>Total Cost of Goods</t>
  </si>
  <si>
    <t>Days Payable</t>
  </si>
  <si>
    <t>years</t>
  </si>
  <si>
    <t>DFN</t>
  </si>
  <si>
    <t>Cottage Costal Store</t>
  </si>
  <si>
    <t>Décor</t>
  </si>
  <si>
    <t>Accessories</t>
  </si>
  <si>
    <t>Décor Price</t>
  </si>
  <si>
    <t>Accessories Price</t>
  </si>
  <si>
    <t>Décor Item Cost</t>
  </si>
  <si>
    <t>Accessories Item Cost</t>
  </si>
  <si>
    <t>Days in Receivables</t>
  </si>
  <si>
    <t>Inventory</t>
  </si>
  <si>
    <t>Decor Sales Revenue</t>
  </si>
  <si>
    <t>Accessories Sales Revenue</t>
  </si>
  <si>
    <t>Accessories Cost of Goods</t>
  </si>
  <si>
    <t>Rent Expense</t>
  </si>
  <si>
    <t>Utilities Expense</t>
  </si>
  <si>
    <t>Number of Workers</t>
  </si>
  <si>
    <t>Hourly Wage</t>
  </si>
  <si>
    <t>Number of hours per year</t>
  </si>
  <si>
    <t>Loan</t>
  </si>
  <si>
    <t xml:space="preserve">Equity Beta </t>
  </si>
  <si>
    <t xml:space="preserve">Tax Rate </t>
  </si>
  <si>
    <t xml:space="preserve">T-Bill </t>
  </si>
  <si>
    <t>S&amp;P 500</t>
  </si>
  <si>
    <t>Original</t>
  </si>
  <si>
    <t>After Tax</t>
  </si>
  <si>
    <t>New</t>
  </si>
  <si>
    <t>Interest Rate 1</t>
  </si>
  <si>
    <t>Interest Rate 2</t>
  </si>
  <si>
    <t xml:space="preserve">Weighted </t>
  </si>
  <si>
    <t>Debt 1</t>
  </si>
  <si>
    <t>Debt 2</t>
  </si>
  <si>
    <t>Total Debt</t>
  </si>
  <si>
    <t xml:space="preserve">Equity Inputs </t>
  </si>
  <si>
    <t>Equity 1</t>
  </si>
  <si>
    <t>Equity 2</t>
  </si>
  <si>
    <t>Total Equity</t>
  </si>
  <si>
    <t xml:space="preserve">Unlevered </t>
  </si>
  <si>
    <t xml:space="preserve">Relevered </t>
  </si>
  <si>
    <t>CAPM (As is)</t>
  </si>
  <si>
    <t>CAPM (New %)</t>
  </si>
  <si>
    <t xml:space="preserve">Original WACC </t>
  </si>
  <si>
    <t>Relevered WACC</t>
  </si>
  <si>
    <t>FREE CASH FLOWS</t>
  </si>
  <si>
    <t>Cash from Operations</t>
  </si>
  <si>
    <t>Operating Profit</t>
  </si>
  <si>
    <t>Less: Depreciation</t>
  </si>
  <si>
    <t>Taxable Operating Profit</t>
  </si>
  <si>
    <t>Taxes on Operations (=Taxes Payable)</t>
  </si>
  <si>
    <t>Net Cash from Operations</t>
  </si>
  <si>
    <t>Cash in/out from Changes in Balance Sheet</t>
  </si>
  <si>
    <t>(-)</t>
  </si>
  <si>
    <t>Minimum Cash Balance</t>
  </si>
  <si>
    <t>Adjustment for Resale</t>
  </si>
  <si>
    <t>Taxes on Resale</t>
  </si>
  <si>
    <t>(+)</t>
  </si>
  <si>
    <t>Accounts Payable</t>
  </si>
  <si>
    <t>Taxes Payable (=Taxes on Operations)</t>
  </si>
  <si>
    <t>TOTAL FREE CASH FLOWS</t>
  </si>
  <si>
    <t>IRR</t>
  </si>
  <si>
    <t>WACC COMPUTED FROM FORECAST</t>
  </si>
  <si>
    <t>NPV USING COMPUTED WACC</t>
  </si>
  <si>
    <t>Minimum Cash</t>
  </si>
  <si>
    <t>Décor Inventory</t>
  </si>
  <si>
    <t>Accessories Inventory</t>
  </si>
  <si>
    <t>Building</t>
  </si>
  <si>
    <t>Mortgage Interest Expense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</si>
  <si>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</si>
  <si>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</si>
  <si>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</si>
  <si>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</si>
  <si>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</si>
  <si>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</si>
  <si>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</si>
  <si>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</si>
  <si>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</si>
  <si>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</si>
  <si>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</si>
  <si>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Gross Income</t>
  </si>
  <si>
    <t>Salaries</t>
  </si>
  <si>
    <t>Total Operating Expenses</t>
  </si>
  <si>
    <t>Mortgage Loan</t>
  </si>
  <si>
    <t>% Sales</t>
  </si>
  <si>
    <t>Secured</t>
  </si>
  <si>
    <t>Unsecured</t>
  </si>
  <si>
    <t>Remaining</t>
  </si>
  <si>
    <t>Prop</t>
  </si>
  <si>
    <t>Total</t>
  </si>
  <si>
    <t>Interest</t>
  </si>
  <si>
    <t>Adim</t>
  </si>
  <si>
    <t>Totals</t>
  </si>
  <si>
    <t>On the Dollar</t>
  </si>
  <si>
    <t>Mortgage</t>
  </si>
  <si>
    <t>Paid in Bankruptcy</t>
  </si>
  <si>
    <t>Strong Market Total Free Cash Flows</t>
  </si>
  <si>
    <t>Total Free Cash Flows from Operations</t>
  </si>
  <si>
    <t>Buy a Store in New York</t>
  </si>
  <si>
    <t>NPV</t>
  </si>
  <si>
    <t>Existing Market Total Free Cash Flows</t>
  </si>
  <si>
    <t>Total Free Cash Flows</t>
  </si>
  <si>
    <t>Bad Market Total Free Cash 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</si>
</sst>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\$* #,##0.00_);_(\$* \(#,##0.00\);_(\$* \-??_);_(@_)"/>
    <numFmt numFmtId="165" formatCode="_(\$* #,##0_);_(\$* \(#,##0\);_(\$* \-??_);_(@_)"/>
    <numFmt numFmtId="166" formatCode="_(* #,##0_);_(* \(#,##0\);_(* &quot;-&quot;??_);_(@_)"/>
  </numFmts>
  <fonts count="1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name val="Arial"/>
      <family val="2"/>
    </font>
    <font>
      <sz val="11"/>
      <color indexed="8"/>
      <name val="Calibri"/>
      <family val="2"/>
    </font>
    <font>
      <u/>
      <sz val="11"/>
      <color indexed="8"/>
      <name val="Calibri"/>
      <family val="2"/>
      <charset val="1"/>
    </font>
    <font>
      <sz val="10"/>
      <name val="Arial"/>
      <family val="2"/>
    </font>
    <font>
      <sz val="10"/>
      <color rgb="FF1F497D"/>
      <name val="Lucida Grande"/>
    </font>
    <font>
      <sz val="10"/>
      <color rgb="FF0000FF"/>
      <name val="Arial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FE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FE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164" fontId="1" fillId="0" borderId="0"/>
    <xf numFmtId="0" fontId="1" fillId="0" borderId="0"/>
    <xf numFmtId="9" fontId="1" fillId="0" borderId="0"/>
    <xf numFmtId="43" fontId="6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2"/>
    <xf numFmtId="0" fontId="2" fillId="0" borderId="1" xfId="2" applyFont="1" applyBorder="1"/>
    <xf numFmtId="0" fontId="1" fillId="0" borderId="1" xfId="2" applyBorder="1"/>
    <xf numFmtId="0" fontId="2" fillId="0" borderId="0" xfId="2" applyFont="1"/>
    <xf numFmtId="165" fontId="1" fillId="0" borderId="0" xfId="1" applyNumberFormat="1" applyFont="1" applyFill="1" applyBorder="1" applyAlignment="1" applyProtection="1"/>
    <xf numFmtId="0" fontId="3" fillId="0" borderId="0" xfId="0" applyFont="1"/>
    <xf numFmtId="0" fontId="5" fillId="0" borderId="2" xfId="2" applyFont="1" applyBorder="1"/>
    <xf numFmtId="9" fontId="1" fillId="0" borderId="0" xfId="2" applyNumberFormat="1"/>
    <xf numFmtId="0" fontId="2" fillId="0" borderId="0" xfId="2" applyFont="1" applyFill="1"/>
    <xf numFmtId="0" fontId="1" fillId="0" borderId="0" xfId="2" applyFill="1"/>
    <xf numFmtId="0" fontId="4" fillId="0" borderId="0" xfId="2" applyFont="1" applyFill="1"/>
    <xf numFmtId="0" fontId="1" fillId="0" borderId="0" xfId="2" applyFont="1" applyFill="1"/>
    <xf numFmtId="9" fontId="1" fillId="0" borderId="0" xfId="3"/>
    <xf numFmtId="0" fontId="1" fillId="0" borderId="0" xfId="1" applyNumberFormat="1" applyFont="1" applyFill="1" applyBorder="1" applyAlignment="1" applyProtection="1"/>
    <xf numFmtId="165" fontId="1" fillId="0" borderId="0" xfId="1" applyNumberFormat="1"/>
    <xf numFmtId="0" fontId="1" fillId="0" borderId="0" xfId="2" applyBorder="1"/>
    <xf numFmtId="0" fontId="0" fillId="3" borderId="4" xfId="0" applyFill="1" applyBorder="1"/>
    <xf numFmtId="9" fontId="8" fillId="4" borderId="5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3" borderId="0" xfId="0" applyFill="1" applyAlignment="1">
      <alignment horizontal="center"/>
    </xf>
    <xf numFmtId="0" fontId="0" fillId="5" borderId="4" xfId="0" applyFill="1" applyBorder="1"/>
    <xf numFmtId="9" fontId="8" fillId="6" borderId="8" xfId="0" applyNumberFormat="1" applyFont="1" applyFill="1" applyBorder="1" applyAlignment="1">
      <alignment horizontal="center"/>
    </xf>
    <xf numFmtId="10" fontId="1" fillId="0" borderId="5" xfId="3" applyNumberFormat="1" applyBorder="1" applyAlignment="1">
      <alignment horizontal="center"/>
    </xf>
    <xf numFmtId="9" fontId="8" fillId="4" borderId="9" xfId="0" applyNumberFormat="1" applyFont="1" applyFill="1" applyBorder="1" applyAlignment="1">
      <alignment horizontal="center"/>
    </xf>
    <xf numFmtId="0" fontId="0" fillId="7" borderId="7" xfId="0" applyFill="1" applyBorder="1"/>
    <xf numFmtId="9" fontId="8" fillId="4" borderId="8" xfId="0" applyNumberFormat="1" applyFont="1" applyFill="1" applyBorder="1" applyAlignment="1">
      <alignment horizontal="center"/>
    </xf>
    <xf numFmtId="9" fontId="1" fillId="0" borderId="5" xfId="3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9" fontId="1" fillId="0" borderId="4" xfId="3" applyBorder="1" applyAlignment="1">
      <alignment horizontal="center"/>
    </xf>
    <xf numFmtId="0" fontId="0" fillId="7" borderId="5" xfId="0" applyFill="1" applyBorder="1" applyAlignment="1">
      <alignment horizontal="center"/>
    </xf>
    <xf numFmtId="9" fontId="1" fillId="3" borderId="11" xfId="3" applyFill="1" applyBorder="1" applyAlignment="1">
      <alignment horizontal="center"/>
    </xf>
    <xf numFmtId="9" fontId="1" fillId="3" borderId="0" xfId="3" applyFill="1" applyAlignment="1">
      <alignment horizontal="center"/>
    </xf>
    <xf numFmtId="0" fontId="0" fillId="9" borderId="4" xfId="0" applyFill="1" applyBorder="1"/>
    <xf numFmtId="0" fontId="0" fillId="9" borderId="5" xfId="0" applyFill="1" applyBorder="1" applyAlignment="1">
      <alignment horizontal="center"/>
    </xf>
    <xf numFmtId="0" fontId="0" fillId="9" borderId="7" xfId="0" applyFill="1" applyBorder="1"/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43" fontId="8" fillId="4" borderId="5" xfId="4" applyFont="1" applyFill="1" applyBorder="1" applyAlignment="1">
      <alignment horizontal="center"/>
    </xf>
    <xf numFmtId="10" fontId="8" fillId="4" borderId="5" xfId="0" applyNumberFormat="1" applyFont="1" applyFill="1" applyBorder="1" applyAlignment="1">
      <alignment horizontal="center"/>
    </xf>
    <xf numFmtId="165" fontId="1" fillId="0" borderId="0" xfId="2" applyNumberFormat="1" applyBorder="1"/>
    <xf numFmtId="165" fontId="1" fillId="0" borderId="0" xfId="2" applyNumberFormat="1"/>
    <xf numFmtId="10" fontId="1" fillId="0" borderId="0" xfId="2" applyNumberFormat="1"/>
    <xf numFmtId="8" fontId="1" fillId="0" borderId="0" xfId="2" applyNumberFormat="1"/>
    <xf numFmtId="0" fontId="1" fillId="0" borderId="0" xfId="2" applyFill="1" applyBorder="1"/>
    <xf numFmtId="9" fontId="1" fillId="0" borderId="0" xfId="2" applyNumberFormat="1" applyFill="1"/>
    <xf numFmtId="164" fontId="1" fillId="0" borderId="0" xfId="1" applyFill="1" applyBorder="1"/>
    <xf numFmtId="0" fontId="1" fillId="0" borderId="0" xfId="1" applyNumberFormat="1" applyFill="1" applyBorder="1"/>
    <xf numFmtId="1" fontId="1" fillId="0" borderId="0" xfId="1" applyNumberFormat="1" applyFill="1" applyBorder="1"/>
    <xf numFmtId="164" fontId="1" fillId="0" borderId="0" xfId="1" applyFill="1"/>
    <xf numFmtId="9" fontId="1" fillId="0" borderId="0" xfId="3" applyFill="1"/>
    <xf numFmtId="165" fontId="1" fillId="0" borderId="0" xfId="1" applyNumberFormat="1" applyFill="1" applyBorder="1"/>
    <xf numFmtId="166" fontId="1" fillId="0" borderId="0" xfId="1" applyNumberFormat="1" applyFont="1" applyFill="1" applyBorder="1" applyAlignment="1" applyProtection="1"/>
    <xf numFmtId="165" fontId="1" fillId="0" borderId="0" xfId="2" applyNumberFormat="1" applyFill="1" applyBorder="1"/>
    <xf numFmtId="166" fontId="1" fillId="0" borderId="0" xfId="1" applyNumberFormat="1" applyFill="1" applyBorder="1"/>
    <xf numFmtId="43" fontId="1" fillId="0" borderId="0" xfId="1" applyNumberFormat="1" applyFont="1" applyFill="1" applyBorder="1" applyAlignment="1" applyProtection="1"/>
    <xf numFmtId="0" fontId="5" fillId="0" borderId="0" xfId="2" applyFont="1" applyFill="1" applyBorder="1"/>
    <xf numFmtId="166" fontId="1" fillId="0" borderId="0" xfId="4" applyNumberFormat="1" applyFont="1" applyFill="1" applyBorder="1"/>
    <xf numFmtId="0" fontId="0" fillId="3" borderId="3" xfId="0" applyFill="1" applyBorder="1"/>
    <xf numFmtId="0" fontId="5" fillId="0" borderId="0" xfId="2" applyFont="1" applyBorder="1"/>
    <xf numFmtId="0" fontId="1" fillId="0" borderId="0" xfId="2" applyAlignment="1">
      <alignment horizontal="center"/>
    </xf>
    <xf numFmtId="0" fontId="1" fillId="0" borderId="0" xfId="2" applyBorder="1" applyAlignment="1">
      <alignment horizontal="center"/>
    </xf>
    <xf numFmtId="9" fontId="1" fillId="0" borderId="0" xfId="2" applyNumberFormat="1" applyBorder="1"/>
    <xf numFmtId="6" fontId="1" fillId="0" borderId="0" xfId="2" applyNumberFormat="1"/>
    <xf numFmtId="0" fontId="2" fillId="0" borderId="12" xfId="2" applyFont="1" applyBorder="1"/>
    <xf numFmtId="0" fontId="1" fillId="0" borderId="13" xfId="2" applyBorder="1"/>
    <xf numFmtId="0" fontId="1" fillId="2" borderId="14" xfId="2" applyFill="1" applyBorder="1"/>
    <xf numFmtId="0" fontId="1" fillId="0" borderId="15" xfId="2" applyBorder="1"/>
    <xf numFmtId="0" fontId="1" fillId="2" borderId="13" xfId="2" applyFill="1" applyBorder="1" applyAlignment="1">
      <alignment horizontal="center"/>
    </xf>
    <xf numFmtId="9" fontId="0" fillId="0" borderId="0" xfId="0" applyNumberFormat="1"/>
    <xf numFmtId="165" fontId="0" fillId="0" borderId="0" xfId="0" applyNumberFormat="1"/>
    <xf numFmtId="6" fontId="0" fillId="0" borderId="0" xfId="0" applyNumberFormat="1"/>
    <xf numFmtId="9" fontId="0" fillId="0" borderId="0" xfId="3" applyFont="1"/>
    <xf numFmtId="165" fontId="0" fillId="0" borderId="2" xfId="0" applyNumberFormat="1" applyBorder="1"/>
    <xf numFmtId="0" fontId="0" fillId="0" borderId="0" xfId="0" applyBorder="1"/>
    <xf numFmtId="9" fontId="0" fillId="0" borderId="2" xfId="0" applyNumberFormat="1" applyBorder="1"/>
    <xf numFmtId="0" fontId="0" fillId="0" borderId="2" xfId="0" applyBorder="1"/>
    <xf numFmtId="164" fontId="0" fillId="0" borderId="0" xfId="0" applyNumberFormat="1"/>
    <xf numFmtId="0" fontId="1" fillId="0" borderId="10" xfId="2" applyBorder="1"/>
    <xf numFmtId="0" fontId="1" fillId="2" borderId="10" xfId="2" applyFill="1" applyBorder="1" applyAlignment="1">
      <alignment horizontal="center"/>
    </xf>
    <xf numFmtId="0" fontId="1" fillId="2" borderId="9" xfId="2" applyFill="1" applyBorder="1" applyAlignment="1">
      <alignment horizontal="center"/>
    </xf>
    <xf numFmtId="0" fontId="1" fillId="0" borderId="8" xfId="2" applyBorder="1"/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/>
    </xf>
    <xf numFmtId="9" fontId="2" fillId="0" borderId="0" xfId="2" applyNumberFormat="1" applyFont="1"/>
    <xf numFmtId="0" fontId="1" fillId="0" borderId="0" xfId="2" applyAlignment="1">
      <alignment horizontal="left" indent="2"/>
    </xf>
    <xf numFmtId="0" fontId="9" fillId="0" borderId="0" xfId="1" applyNumberFormat="1" applyFont="1" applyFill="1" applyBorder="1" applyAlignment="1">
      <alignment horizontal="center"/>
    </xf>
    <xf numFmtId="165" fontId="10" fillId="0" borderId="0" xfId="1" applyNumberFormat="1" applyFont="1"/>
    <xf numFmtId="166" fontId="1" fillId="0" borderId="0" xfId="1" applyNumberFormat="1"/>
    <xf numFmtId="0" fontId="0" fillId="8" borderId="8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0" fontId="1" fillId="0" borderId="4" xfId="3" applyNumberFormat="1" applyBorder="1" applyAlignment="1">
      <alignment horizontal="center" vertical="center"/>
    </xf>
    <xf numFmtId="10" fontId="1" fillId="0" borderId="7" xfId="3" applyNumberFormat="1" applyBorder="1" applyAlignment="1">
      <alignment horizontal="center" vertical="center"/>
    </xf>
    <xf numFmtId="9" fontId="8" fillId="4" borderId="4" xfId="0" applyNumberFormat="1" applyFont="1" applyFill="1" applyBorder="1" applyAlignment="1">
      <alignment horizontal="center" vertical="center"/>
    </xf>
    <xf numFmtId="9" fontId="8" fillId="4" borderId="7" xfId="0" applyNumberFormat="1" applyFont="1" applyFill="1" applyBorder="1" applyAlignment="1">
      <alignment horizontal="center" vertical="center"/>
    </xf>
  </cellXfs>
  <cellStyles count="5">
    <cellStyle name="Comma" xfId="4" builtinId="3"/>
    <cellStyle name="Currency" xfId="1" builtinId="4"/>
    <cellStyle name="Excel Built-in Normal" xfId="2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342900</xdr:colOff>
          <xdr:row>47</xdr:row>
          <xdr:rowOff>28575</xdr:rowOff>
        </xdr:from>
        <xdr:to>
          <xdr:col>22</xdr:col>
          <xdr:colOff>0</xdr:colOff>
          <xdr:row>48</xdr:row>
          <xdr:rowOff>66675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1F497D"/>
                  </a:solidFill>
                  <a:latin typeface="Lucida Grande"/>
                </a:rPr>
                <a:t>Clear Inputs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342900</xdr:colOff>
          <xdr:row>47</xdr:row>
          <xdr:rowOff>28575</xdr:rowOff>
        </xdr:from>
        <xdr:to>
          <xdr:col>22</xdr:col>
          <xdr:colOff>0</xdr:colOff>
          <xdr:row>48</xdr:row>
          <xdr:rowOff>66675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1F497D"/>
                  </a:solidFill>
                  <a:latin typeface="Lucida Grande"/>
                </a:rPr>
                <a:t>Clear Inputs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vin%20Keeler/SafeSync/2014%20Winter/B%20401/WAC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WACC.xlsm"/>
      <sheetName val="WACC"/>
    </sheetNames>
    <definedNames>
      <definedName name="ClearInputs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04"/>
  <sheetViews>
    <sheetView tabSelected="1" topLeftCell="A86" zoomScale="90" zoomScaleNormal="90" workbookViewId="0">
      <selection activeCell="H106" sqref="H106"/>
    </sheetView>
  </sheetViews>
  <sheetFormatPr defaultColWidth="9.42578125" defaultRowHeight="15"/>
  <cols>
    <col min="1" max="1" width="5.7109375" style="1" customWidth="1"/>
    <col min="2" max="2" width="34.85546875" style="1" customWidth="1"/>
    <col min="3" max="3" width="12.7109375" style="1" bestFit="1" customWidth="1"/>
    <col min="4" max="13" width="14.5703125" style="16" customWidth="1"/>
    <col min="14" max="14" width="13.28515625" style="1" bestFit="1" customWidth="1"/>
    <col min="15" max="15" width="10.5703125" style="1" bestFit="1" customWidth="1"/>
    <col min="16" max="16" width="5.85546875" style="1" bestFit="1" customWidth="1"/>
    <col min="17" max="17" width="9.42578125" style="1"/>
    <col min="18" max="18" width="16.42578125" style="1" bestFit="1" customWidth="1"/>
    <col min="19" max="26" width="9.42578125" style="1"/>
    <col min="27" max="28" width="14" style="1" bestFit="1" customWidth="1"/>
    <col min="29" max="34" width="13.28515625" style="1" bestFit="1" customWidth="1"/>
    <col min="35" max="16384" width="9.42578125" style="1"/>
  </cols>
  <sheetData>
    <row r="1" spans="1:34" s="3" customFormat="1">
      <c r="A1" s="2" t="s">
        <v>30</v>
      </c>
      <c r="B1" s="85"/>
      <c r="C1" s="82"/>
      <c r="D1" s="83">
        <v>2015</v>
      </c>
      <c r="E1" s="83">
        <v>2016</v>
      </c>
      <c r="F1" s="83">
        <v>2017</v>
      </c>
      <c r="G1" s="83">
        <v>2018</v>
      </c>
      <c r="H1" s="83">
        <v>2019</v>
      </c>
      <c r="I1" s="83">
        <v>2020</v>
      </c>
      <c r="J1" s="83">
        <v>2021</v>
      </c>
      <c r="K1" s="83">
        <v>2022</v>
      </c>
      <c r="L1" s="83">
        <v>2023</v>
      </c>
      <c r="M1" s="84">
        <v>2024</v>
      </c>
      <c r="N1" s="48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>
      <c r="A2" s="9" t="s">
        <v>0</v>
      </c>
      <c r="B2" s="10"/>
      <c r="C2" s="10"/>
      <c r="D2" s="48"/>
      <c r="E2" s="48"/>
      <c r="F2" s="48"/>
      <c r="G2" s="48"/>
      <c r="H2" s="48"/>
      <c r="I2" s="48"/>
      <c r="J2" s="48"/>
      <c r="K2" s="48"/>
      <c r="L2" s="48"/>
      <c r="M2" s="48"/>
      <c r="N2" s="10"/>
      <c r="O2" s="10"/>
    </row>
    <row r="3" spans="1:34">
      <c r="A3" s="9" t="s">
        <v>24</v>
      </c>
      <c r="B3" s="10"/>
      <c r="C3" s="10"/>
      <c r="D3" s="48"/>
      <c r="E3" s="48"/>
      <c r="F3" s="48"/>
      <c r="G3" s="48"/>
      <c r="H3" s="48"/>
      <c r="I3" s="48"/>
      <c r="J3" s="48"/>
      <c r="K3" s="48"/>
      <c r="L3" s="48"/>
      <c r="M3" s="48"/>
      <c r="N3" s="10"/>
      <c r="O3" s="10"/>
    </row>
    <row r="4" spans="1:34">
      <c r="A4" s="11" t="s">
        <v>31</v>
      </c>
      <c r="B4" s="11"/>
      <c r="C4" s="10"/>
      <c r="D4" s="61">
        <v>3000</v>
      </c>
      <c r="E4" s="61">
        <f>(1+$O$4)*D4</f>
        <v>3300.0000000000005</v>
      </c>
      <c r="F4" s="61">
        <f t="shared" ref="F4:M4" si="0">(1+$O$4)*E4</f>
        <v>3630.0000000000009</v>
      </c>
      <c r="G4" s="61">
        <f t="shared" si="0"/>
        <v>3993.0000000000014</v>
      </c>
      <c r="H4" s="61">
        <f t="shared" si="0"/>
        <v>4392.300000000002</v>
      </c>
      <c r="I4" s="61">
        <f t="shared" si="0"/>
        <v>4831.5300000000025</v>
      </c>
      <c r="J4" s="61">
        <f t="shared" si="0"/>
        <v>5314.6830000000027</v>
      </c>
      <c r="K4" s="61">
        <f t="shared" si="0"/>
        <v>5846.1513000000032</v>
      </c>
      <c r="L4" s="61">
        <f t="shared" si="0"/>
        <v>6430.7664300000042</v>
      </c>
      <c r="M4" s="61">
        <f t="shared" si="0"/>
        <v>7073.8430730000055</v>
      </c>
      <c r="N4" s="48"/>
      <c r="O4" s="49">
        <v>0.1</v>
      </c>
    </row>
    <row r="5" spans="1:34">
      <c r="A5" s="11" t="s">
        <v>32</v>
      </c>
      <c r="B5" s="11"/>
      <c r="C5" s="10"/>
      <c r="D5" s="61">
        <v>2000</v>
      </c>
      <c r="E5" s="61">
        <f t="shared" ref="E5:M5" si="1">(1+$O$5)*D5</f>
        <v>2200</v>
      </c>
      <c r="F5" s="61">
        <f t="shared" si="1"/>
        <v>2420</v>
      </c>
      <c r="G5" s="61">
        <f t="shared" si="1"/>
        <v>2662</v>
      </c>
      <c r="H5" s="61">
        <f t="shared" si="1"/>
        <v>2928.2000000000003</v>
      </c>
      <c r="I5" s="61">
        <f t="shared" si="1"/>
        <v>3221.0200000000004</v>
      </c>
      <c r="J5" s="61">
        <f t="shared" si="1"/>
        <v>3543.1220000000008</v>
      </c>
      <c r="K5" s="61">
        <f t="shared" si="1"/>
        <v>3897.4342000000011</v>
      </c>
      <c r="L5" s="61">
        <f t="shared" si="1"/>
        <v>4287.1776200000013</v>
      </c>
      <c r="M5" s="61">
        <f t="shared" si="1"/>
        <v>4715.8953820000015</v>
      </c>
      <c r="N5" s="48"/>
      <c r="O5" s="49">
        <v>0.1</v>
      </c>
    </row>
    <row r="6" spans="1:34">
      <c r="A6" s="11" t="s">
        <v>33</v>
      </c>
      <c r="B6" s="11"/>
      <c r="C6" s="10"/>
      <c r="D6" s="50">
        <v>20</v>
      </c>
      <c r="E6" s="50">
        <f t="shared" ref="E6:M6" si="2">(1+$O$6)*D6</f>
        <v>19</v>
      </c>
      <c r="F6" s="50">
        <f t="shared" si="2"/>
        <v>18.05</v>
      </c>
      <c r="G6" s="50">
        <f t="shared" si="2"/>
        <v>17.147500000000001</v>
      </c>
      <c r="H6" s="50">
        <f t="shared" si="2"/>
        <v>16.290125</v>
      </c>
      <c r="I6" s="50">
        <f t="shared" si="2"/>
        <v>15.475618749999999</v>
      </c>
      <c r="J6" s="50">
        <f t="shared" si="2"/>
        <v>14.701837812499999</v>
      </c>
      <c r="K6" s="50">
        <f t="shared" si="2"/>
        <v>13.966745921874999</v>
      </c>
      <c r="L6" s="50">
        <f t="shared" si="2"/>
        <v>13.268408625781248</v>
      </c>
      <c r="M6" s="50">
        <f t="shared" si="2"/>
        <v>12.604988194492185</v>
      </c>
      <c r="N6" s="50"/>
      <c r="O6" s="49">
        <v>-0.05</v>
      </c>
    </row>
    <row r="7" spans="1:34">
      <c r="A7" s="11" t="s">
        <v>34</v>
      </c>
      <c r="B7" s="11"/>
      <c r="C7" s="10"/>
      <c r="D7" s="50">
        <v>15</v>
      </c>
      <c r="E7" s="50">
        <f t="shared" ref="E7:M7" si="3">(1+$O$7)*D7</f>
        <v>15.450000000000001</v>
      </c>
      <c r="F7" s="50">
        <f t="shared" si="3"/>
        <v>15.913500000000001</v>
      </c>
      <c r="G7" s="50">
        <f t="shared" si="3"/>
        <v>16.390905</v>
      </c>
      <c r="H7" s="50">
        <f t="shared" si="3"/>
        <v>16.882632149999999</v>
      </c>
      <c r="I7" s="50">
        <f t="shared" si="3"/>
        <v>17.3891111145</v>
      </c>
      <c r="J7" s="50">
        <f t="shared" si="3"/>
        <v>17.910784447935001</v>
      </c>
      <c r="K7" s="50">
        <f t="shared" si="3"/>
        <v>18.448107981373052</v>
      </c>
      <c r="L7" s="50">
        <f t="shared" si="3"/>
        <v>19.001551220814246</v>
      </c>
      <c r="M7" s="50">
        <f t="shared" si="3"/>
        <v>19.571597757438674</v>
      </c>
      <c r="N7" s="50"/>
      <c r="O7" s="49">
        <v>0.03</v>
      </c>
    </row>
    <row r="8" spans="1:34">
      <c r="A8" s="11" t="s">
        <v>35</v>
      </c>
      <c r="B8" s="11"/>
      <c r="C8" s="10"/>
      <c r="D8" s="50">
        <f t="shared" ref="D8:M8" si="4">D6*$O$8</f>
        <v>10</v>
      </c>
      <c r="E8" s="50">
        <f t="shared" si="4"/>
        <v>9.5</v>
      </c>
      <c r="F8" s="50">
        <f t="shared" si="4"/>
        <v>9.0250000000000004</v>
      </c>
      <c r="G8" s="50">
        <f t="shared" si="4"/>
        <v>8.5737500000000004</v>
      </c>
      <c r="H8" s="50">
        <f t="shared" si="4"/>
        <v>8.1450624999999999</v>
      </c>
      <c r="I8" s="50">
        <f t="shared" si="4"/>
        <v>7.7378093749999994</v>
      </c>
      <c r="J8" s="50">
        <f t="shared" si="4"/>
        <v>7.3509189062499996</v>
      </c>
      <c r="K8" s="50">
        <f t="shared" si="4"/>
        <v>6.9833729609374995</v>
      </c>
      <c r="L8" s="50">
        <f t="shared" si="4"/>
        <v>6.6342043128906241</v>
      </c>
      <c r="M8" s="50">
        <f t="shared" si="4"/>
        <v>6.3024940972460923</v>
      </c>
      <c r="N8" s="50"/>
      <c r="O8" s="49">
        <v>0.5</v>
      </c>
    </row>
    <row r="9" spans="1:34">
      <c r="A9" s="11" t="s">
        <v>36</v>
      </c>
      <c r="B9" s="11"/>
      <c r="C9" s="10"/>
      <c r="D9" s="50">
        <f>D7*$O$8</f>
        <v>7.5</v>
      </c>
      <c r="E9" s="50">
        <f t="shared" ref="E9:M9" si="5">E7*$O$9</f>
        <v>7.7250000000000005</v>
      </c>
      <c r="F9" s="50">
        <f t="shared" si="5"/>
        <v>7.9567500000000004</v>
      </c>
      <c r="G9" s="50">
        <f t="shared" si="5"/>
        <v>8.1954525</v>
      </c>
      <c r="H9" s="50">
        <f t="shared" si="5"/>
        <v>8.4413160749999996</v>
      </c>
      <c r="I9" s="50">
        <f t="shared" si="5"/>
        <v>8.6945555572500002</v>
      </c>
      <c r="J9" s="50">
        <f t="shared" si="5"/>
        <v>8.9553922239675003</v>
      </c>
      <c r="K9" s="50">
        <f t="shared" si="5"/>
        <v>9.2240539906865262</v>
      </c>
      <c r="L9" s="50">
        <f t="shared" si="5"/>
        <v>9.500775610407123</v>
      </c>
      <c r="M9" s="50">
        <f t="shared" si="5"/>
        <v>9.7857988787193371</v>
      </c>
      <c r="N9" s="50"/>
      <c r="O9" s="49">
        <v>0.5</v>
      </c>
    </row>
    <row r="10" spans="1:34">
      <c r="A10" s="11" t="s">
        <v>37</v>
      </c>
      <c r="B10" s="11"/>
      <c r="C10" s="10"/>
      <c r="D10" s="51">
        <v>3</v>
      </c>
      <c r="E10" s="52">
        <f t="shared" ref="E10:M10" si="6">(1+$O$10)*D10</f>
        <v>2.5499999999999998</v>
      </c>
      <c r="F10" s="52">
        <f t="shared" si="6"/>
        <v>2.1675</v>
      </c>
      <c r="G10" s="52">
        <f t="shared" si="6"/>
        <v>1.8423749999999999</v>
      </c>
      <c r="H10" s="52">
        <f t="shared" si="6"/>
        <v>1.5660187499999998</v>
      </c>
      <c r="I10" s="52">
        <f t="shared" si="6"/>
        <v>1.3311159374999997</v>
      </c>
      <c r="J10" s="52">
        <f t="shared" si="6"/>
        <v>1.1314485468749997</v>
      </c>
      <c r="K10" s="52">
        <f t="shared" si="6"/>
        <v>0.96173126484374971</v>
      </c>
      <c r="L10" s="52">
        <f t="shared" si="6"/>
        <v>0.81747157511718727</v>
      </c>
      <c r="M10" s="52">
        <f t="shared" si="6"/>
        <v>0.69485083884960919</v>
      </c>
      <c r="N10" s="52"/>
      <c r="O10" s="49">
        <v>-0.15</v>
      </c>
      <c r="P10" s="1">
        <v>365</v>
      </c>
    </row>
    <row r="11" spans="1:34">
      <c r="A11" s="11" t="s">
        <v>38</v>
      </c>
      <c r="B11" s="11"/>
      <c r="C11" s="10"/>
      <c r="D11" s="51">
        <v>180</v>
      </c>
      <c r="E11" s="52">
        <f t="shared" ref="E11:M11" si="7">(1+$O$11)*D11</f>
        <v>198.00000000000003</v>
      </c>
      <c r="F11" s="52">
        <f t="shared" si="7"/>
        <v>217.80000000000004</v>
      </c>
      <c r="G11" s="52">
        <f t="shared" si="7"/>
        <v>239.58000000000007</v>
      </c>
      <c r="H11" s="52">
        <f t="shared" si="7"/>
        <v>263.53800000000012</v>
      </c>
      <c r="I11" s="52">
        <f t="shared" si="7"/>
        <v>289.89180000000016</v>
      </c>
      <c r="J11" s="52">
        <f t="shared" si="7"/>
        <v>318.88098000000019</v>
      </c>
      <c r="K11" s="52">
        <f t="shared" si="7"/>
        <v>350.76907800000026</v>
      </c>
      <c r="L11" s="52">
        <f t="shared" si="7"/>
        <v>385.84598580000034</v>
      </c>
      <c r="M11" s="52">
        <f t="shared" si="7"/>
        <v>424.43058438000043</v>
      </c>
      <c r="N11" s="52"/>
      <c r="O11" s="49">
        <v>0.1</v>
      </c>
    </row>
    <row r="12" spans="1:34">
      <c r="A12" s="11" t="s">
        <v>27</v>
      </c>
      <c r="B12" s="11"/>
      <c r="C12" s="10"/>
      <c r="D12" s="51">
        <v>30</v>
      </c>
      <c r="E12" s="52">
        <f t="shared" ref="E12:M12" si="8">(1+$O$12)*D12</f>
        <v>30</v>
      </c>
      <c r="F12" s="52">
        <f t="shared" si="8"/>
        <v>30</v>
      </c>
      <c r="G12" s="52">
        <f t="shared" si="8"/>
        <v>30</v>
      </c>
      <c r="H12" s="52">
        <f t="shared" si="8"/>
        <v>30</v>
      </c>
      <c r="I12" s="52">
        <f t="shared" si="8"/>
        <v>30</v>
      </c>
      <c r="J12" s="52">
        <f t="shared" si="8"/>
        <v>30</v>
      </c>
      <c r="K12" s="52">
        <f t="shared" si="8"/>
        <v>30</v>
      </c>
      <c r="L12" s="52">
        <f t="shared" si="8"/>
        <v>30</v>
      </c>
      <c r="M12" s="52">
        <f t="shared" si="8"/>
        <v>30</v>
      </c>
      <c r="N12" s="52"/>
      <c r="O12" s="49">
        <v>0</v>
      </c>
    </row>
    <row r="13" spans="1:34">
      <c r="A13" s="11" t="s">
        <v>44</v>
      </c>
      <c r="B13" s="11"/>
      <c r="C13" s="10"/>
      <c r="D13" s="51">
        <v>3</v>
      </c>
      <c r="E13" s="51">
        <f>D13</f>
        <v>3</v>
      </c>
      <c r="F13" s="51">
        <f t="shared" ref="F13:I13" si="9">E13</f>
        <v>3</v>
      </c>
      <c r="G13" s="51">
        <f t="shared" si="9"/>
        <v>3</v>
      </c>
      <c r="H13" s="51">
        <f t="shared" si="9"/>
        <v>3</v>
      </c>
      <c r="I13" s="51">
        <f t="shared" si="9"/>
        <v>3</v>
      </c>
      <c r="J13" s="51">
        <f t="shared" ref="J13" si="10">I13</f>
        <v>3</v>
      </c>
      <c r="K13" s="51">
        <f t="shared" ref="K13" si="11">J13</f>
        <v>3</v>
      </c>
      <c r="L13" s="51">
        <f t="shared" ref="L13" si="12">K13</f>
        <v>3</v>
      </c>
      <c r="M13" s="51">
        <f t="shared" ref="M13" si="13">L13</f>
        <v>3</v>
      </c>
      <c r="N13" s="51"/>
      <c r="O13" s="49"/>
    </row>
    <row r="14" spans="1:34">
      <c r="A14" s="11" t="s">
        <v>45</v>
      </c>
      <c r="B14" s="11"/>
      <c r="C14" s="10"/>
      <c r="D14" s="50">
        <v>8</v>
      </c>
      <c r="E14" s="50">
        <v>9</v>
      </c>
      <c r="F14" s="50">
        <v>10</v>
      </c>
      <c r="G14" s="50">
        <v>10</v>
      </c>
      <c r="H14" s="50">
        <v>10</v>
      </c>
      <c r="I14" s="50">
        <v>10</v>
      </c>
      <c r="J14" s="50">
        <v>11</v>
      </c>
      <c r="K14" s="50">
        <v>12</v>
      </c>
      <c r="L14" s="50">
        <v>13</v>
      </c>
      <c r="M14" s="50">
        <v>14</v>
      </c>
      <c r="N14" s="53"/>
      <c r="O14" s="49"/>
    </row>
    <row r="15" spans="1:34">
      <c r="A15" s="11" t="s">
        <v>46</v>
      </c>
      <c r="B15" s="11"/>
      <c r="C15" s="10"/>
      <c r="D15" s="61">
        <f>40*50</f>
        <v>2000</v>
      </c>
      <c r="E15" s="61">
        <f t="shared" ref="E15:M15" si="14">40*50</f>
        <v>2000</v>
      </c>
      <c r="F15" s="61">
        <f t="shared" si="14"/>
        <v>2000</v>
      </c>
      <c r="G15" s="61">
        <f t="shared" si="14"/>
        <v>2000</v>
      </c>
      <c r="H15" s="61">
        <f t="shared" si="14"/>
        <v>2000</v>
      </c>
      <c r="I15" s="61">
        <f t="shared" si="14"/>
        <v>2000</v>
      </c>
      <c r="J15" s="61">
        <f t="shared" si="14"/>
        <v>2000</v>
      </c>
      <c r="K15" s="61">
        <f t="shared" si="14"/>
        <v>2000</v>
      </c>
      <c r="L15" s="61">
        <f t="shared" si="14"/>
        <v>2000</v>
      </c>
      <c r="M15" s="61">
        <f t="shared" si="14"/>
        <v>2000</v>
      </c>
      <c r="N15" s="51"/>
      <c r="O15" s="49"/>
    </row>
    <row r="16" spans="1:34">
      <c r="A16" s="11"/>
      <c r="B16" s="11"/>
      <c r="C16" s="1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49"/>
    </row>
    <row r="17" spans="1:15">
      <c r="A17" s="9" t="s">
        <v>1</v>
      </c>
      <c r="B17" s="10"/>
      <c r="C17" s="10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10"/>
    </row>
    <row r="18" spans="1:15">
      <c r="A18" s="12" t="s">
        <v>39</v>
      </c>
      <c r="B18" s="10"/>
      <c r="C18" s="15"/>
      <c r="D18" s="15">
        <f>D4*D6</f>
        <v>60000</v>
      </c>
      <c r="E18" s="15">
        <f t="shared" ref="E18:I18" si="15">E4*E6</f>
        <v>62700.000000000007</v>
      </c>
      <c r="F18" s="15">
        <f t="shared" si="15"/>
        <v>65521.500000000022</v>
      </c>
      <c r="G18" s="15">
        <f t="shared" si="15"/>
        <v>68469.967500000028</v>
      </c>
      <c r="H18" s="15">
        <f t="shared" si="15"/>
        <v>71551.116037500033</v>
      </c>
      <c r="I18" s="15">
        <f t="shared" si="15"/>
        <v>74770.916259187536</v>
      </c>
      <c r="J18" s="15">
        <f t="shared" ref="J18:M18" si="16">J4*J6</f>
        <v>78135.607490850976</v>
      </c>
      <c r="K18" s="15">
        <f t="shared" si="16"/>
        <v>81651.709827939267</v>
      </c>
      <c r="L18" s="15">
        <f t="shared" si="16"/>
        <v>85326.036770196544</v>
      </c>
      <c r="M18" s="15">
        <f t="shared" si="16"/>
        <v>89165.708424855387</v>
      </c>
      <c r="N18" s="5"/>
      <c r="O18" s="10"/>
    </row>
    <row r="19" spans="1:15">
      <c r="A19" s="12" t="s">
        <v>40</v>
      </c>
      <c r="B19" s="10"/>
      <c r="C19" s="15"/>
      <c r="D19" s="15">
        <f>D5*D7</f>
        <v>30000</v>
      </c>
      <c r="E19" s="15">
        <f t="shared" ref="E19:I19" si="17">E5*E7</f>
        <v>33990</v>
      </c>
      <c r="F19" s="15">
        <f t="shared" si="17"/>
        <v>38510.670000000006</v>
      </c>
      <c r="G19" s="15">
        <f t="shared" si="17"/>
        <v>43632.589110000001</v>
      </c>
      <c r="H19" s="15">
        <f t="shared" si="17"/>
        <v>49435.723461630005</v>
      </c>
      <c r="I19" s="15">
        <f t="shared" si="17"/>
        <v>56010.674682026802</v>
      </c>
      <c r="J19" s="15">
        <f t="shared" ref="J19:M19" si="18">J5*J7</f>
        <v>63460.09441473637</v>
      </c>
      <c r="K19" s="15">
        <f t="shared" si="18"/>
        <v>71900.286971896319</v>
      </c>
      <c r="L19" s="15">
        <f t="shared" si="18"/>
        <v>81463.025139158533</v>
      </c>
      <c r="M19" s="15">
        <f t="shared" si="18"/>
        <v>92297.60748266663</v>
      </c>
      <c r="N19" s="5"/>
      <c r="O19" s="10"/>
    </row>
    <row r="20" spans="1:15">
      <c r="A20" s="1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5"/>
      <c r="O20" s="10"/>
    </row>
    <row r="21" spans="1:15">
      <c r="A21" s="12" t="s">
        <v>25</v>
      </c>
      <c r="B21" s="10"/>
      <c r="C21" s="15"/>
      <c r="D21" s="15">
        <f>SUM(D18:D19)</f>
        <v>90000</v>
      </c>
      <c r="E21" s="15">
        <f t="shared" ref="E21:I21" si="19">SUM(E18:E19)</f>
        <v>96690</v>
      </c>
      <c r="F21" s="15">
        <f t="shared" si="19"/>
        <v>104032.17000000003</v>
      </c>
      <c r="G21" s="15">
        <f t="shared" si="19"/>
        <v>112102.55661000003</v>
      </c>
      <c r="H21" s="15">
        <f t="shared" si="19"/>
        <v>120986.83949913003</v>
      </c>
      <c r="I21" s="15">
        <f t="shared" si="19"/>
        <v>130781.59094121434</v>
      </c>
      <c r="J21" s="15">
        <f t="shared" ref="J21:M21" si="20">SUM(J18:J19)</f>
        <v>141595.70190558734</v>
      </c>
      <c r="K21" s="15">
        <f t="shared" si="20"/>
        <v>153551.99679983559</v>
      </c>
      <c r="L21" s="15">
        <f t="shared" si="20"/>
        <v>166789.06190935508</v>
      </c>
      <c r="M21" s="15">
        <f t="shared" si="20"/>
        <v>181463.31590752202</v>
      </c>
      <c r="N21" s="5"/>
      <c r="O21" s="10"/>
    </row>
    <row r="22" spans="1:15">
      <c r="A22" s="1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5"/>
      <c r="O22" s="10"/>
    </row>
    <row r="23" spans="1:15">
      <c r="A23" s="10" t="s">
        <v>16</v>
      </c>
      <c r="B23" s="10"/>
      <c r="C23" s="15"/>
      <c r="D23" s="15">
        <f>D4*D8</f>
        <v>30000</v>
      </c>
      <c r="E23" s="15">
        <f t="shared" ref="E23:I23" si="21">E4*E8</f>
        <v>31350.000000000004</v>
      </c>
      <c r="F23" s="15">
        <f t="shared" si="21"/>
        <v>32760.750000000011</v>
      </c>
      <c r="G23" s="15">
        <f t="shared" si="21"/>
        <v>34234.983750000014</v>
      </c>
      <c r="H23" s="15">
        <f t="shared" si="21"/>
        <v>35775.558018750016</v>
      </c>
      <c r="I23" s="15">
        <f t="shared" si="21"/>
        <v>37385.458129593768</v>
      </c>
      <c r="J23" s="15">
        <f t="shared" ref="J23:M23" si="22">J4*J8</f>
        <v>39067.803745425488</v>
      </c>
      <c r="K23" s="15">
        <f t="shared" si="22"/>
        <v>40825.854913969633</v>
      </c>
      <c r="L23" s="15">
        <f t="shared" si="22"/>
        <v>42663.018385098272</v>
      </c>
      <c r="M23" s="15">
        <f t="shared" si="22"/>
        <v>44582.854212427694</v>
      </c>
      <c r="N23" s="5"/>
      <c r="O23" s="10"/>
    </row>
    <row r="24" spans="1:15">
      <c r="A24" s="10" t="s">
        <v>41</v>
      </c>
      <c r="B24" s="10"/>
      <c r="C24" s="15"/>
      <c r="D24" s="15">
        <f>D5*D9</f>
        <v>15000</v>
      </c>
      <c r="E24" s="15">
        <f t="shared" ref="E24:I24" si="23">E5*E9</f>
        <v>16995</v>
      </c>
      <c r="F24" s="15">
        <f t="shared" si="23"/>
        <v>19255.335000000003</v>
      </c>
      <c r="G24" s="15">
        <f t="shared" si="23"/>
        <v>21816.294555</v>
      </c>
      <c r="H24" s="15">
        <f t="shared" si="23"/>
        <v>24717.861730815002</v>
      </c>
      <c r="I24" s="15">
        <f t="shared" si="23"/>
        <v>28005.337341013401</v>
      </c>
      <c r="J24" s="15">
        <f t="shared" ref="J24:M24" si="24">J5*J9</f>
        <v>31730.047207368185</v>
      </c>
      <c r="K24" s="15">
        <f t="shared" si="24"/>
        <v>35950.14348594816</v>
      </c>
      <c r="L24" s="15">
        <f t="shared" si="24"/>
        <v>40731.512569579267</v>
      </c>
      <c r="M24" s="15">
        <f t="shared" si="24"/>
        <v>46148.803741333315</v>
      </c>
      <c r="N24" s="5"/>
      <c r="O24" s="10"/>
    </row>
    <row r="25" spans="1:15">
      <c r="A25" s="1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5"/>
      <c r="O25" s="10"/>
    </row>
    <row r="26" spans="1:15">
      <c r="A26" s="12" t="s">
        <v>26</v>
      </c>
      <c r="B26" s="10"/>
      <c r="C26" s="15"/>
      <c r="D26" s="15">
        <f>SUM(D23:D23)</f>
        <v>30000</v>
      </c>
      <c r="E26" s="15">
        <f>SUM(E23:E23)</f>
        <v>31350.000000000004</v>
      </c>
      <c r="F26" s="15">
        <f>SUM(F23:F23)</f>
        <v>32760.750000000011</v>
      </c>
      <c r="G26" s="15">
        <f>SUM(G23:G23)</f>
        <v>34234.983750000014</v>
      </c>
      <c r="H26" s="15">
        <f t="shared" ref="H26:I26" si="25">SUM(H23:H23)</f>
        <v>35775.558018750016</v>
      </c>
      <c r="I26" s="15">
        <f t="shared" si="25"/>
        <v>37385.458129593768</v>
      </c>
      <c r="J26" s="15">
        <f t="shared" ref="J26:M26" si="26">SUM(J23:J23)</f>
        <v>39067.803745425488</v>
      </c>
      <c r="K26" s="15">
        <f t="shared" si="26"/>
        <v>40825.854913969633</v>
      </c>
      <c r="L26" s="15">
        <f t="shared" si="26"/>
        <v>42663.018385098272</v>
      </c>
      <c r="M26" s="15">
        <f t="shared" si="26"/>
        <v>44582.854212427694</v>
      </c>
      <c r="N26" s="5"/>
      <c r="O26" s="10"/>
    </row>
    <row r="27" spans="1:15">
      <c r="A27" s="1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5"/>
      <c r="O27" s="10"/>
    </row>
    <row r="28" spans="1:15">
      <c r="A28" s="12" t="s">
        <v>106</v>
      </c>
      <c r="B28" s="10"/>
      <c r="C28" s="15"/>
      <c r="D28" s="15">
        <f>D21-D26</f>
        <v>60000</v>
      </c>
      <c r="E28" s="15">
        <f t="shared" ref="E28:I28" si="27">E21-E26</f>
        <v>65340</v>
      </c>
      <c r="F28" s="15">
        <f t="shared" si="27"/>
        <v>71271.420000000013</v>
      </c>
      <c r="G28" s="15">
        <f t="shared" si="27"/>
        <v>77867.572860000015</v>
      </c>
      <c r="H28" s="15">
        <f t="shared" si="27"/>
        <v>85211.281480380014</v>
      </c>
      <c r="I28" s="15">
        <f t="shared" si="27"/>
        <v>93396.13281162057</v>
      </c>
      <c r="J28" s="15">
        <f t="shared" ref="J28:M28" si="28">J21-J26</f>
        <v>102527.89816016186</v>
      </c>
      <c r="K28" s="15">
        <f t="shared" si="28"/>
        <v>112726.14188586595</v>
      </c>
      <c r="L28" s="15">
        <f t="shared" si="28"/>
        <v>124126.04352425681</v>
      </c>
      <c r="M28" s="15">
        <f t="shared" si="28"/>
        <v>136880.46169509433</v>
      </c>
      <c r="N28" s="5"/>
      <c r="O28" s="10"/>
    </row>
    <row r="29" spans="1:15">
      <c r="A29" s="1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5"/>
      <c r="O29" s="10"/>
    </row>
    <row r="30" spans="1:15">
      <c r="A30" s="10" t="s">
        <v>2</v>
      </c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5"/>
      <c r="O30" s="10"/>
    </row>
    <row r="31" spans="1:15">
      <c r="A31" s="10"/>
      <c r="B31" s="10" t="s">
        <v>107</v>
      </c>
      <c r="C31" s="15"/>
      <c r="D31" s="15">
        <f>D13*D14*D15</f>
        <v>48000</v>
      </c>
      <c r="E31" s="15">
        <f t="shared" ref="E31:I31" si="29">E13*E14*E15</f>
        <v>54000</v>
      </c>
      <c r="F31" s="15">
        <f t="shared" si="29"/>
        <v>60000</v>
      </c>
      <c r="G31" s="15">
        <f t="shared" si="29"/>
        <v>60000</v>
      </c>
      <c r="H31" s="15">
        <f t="shared" si="29"/>
        <v>60000</v>
      </c>
      <c r="I31" s="15">
        <f t="shared" si="29"/>
        <v>60000</v>
      </c>
      <c r="J31" s="15">
        <f t="shared" ref="J31:M31" si="30">J13*J14*J15</f>
        <v>66000</v>
      </c>
      <c r="K31" s="15">
        <f t="shared" si="30"/>
        <v>72000</v>
      </c>
      <c r="L31" s="15">
        <f t="shared" si="30"/>
        <v>78000</v>
      </c>
      <c r="M31" s="15">
        <f t="shared" si="30"/>
        <v>84000</v>
      </c>
      <c r="N31" s="5"/>
      <c r="O31" s="54">
        <f>D31/SUM(D18:D19)</f>
        <v>0.53333333333333333</v>
      </c>
    </row>
    <row r="32" spans="1:15">
      <c r="A32" s="10"/>
      <c r="B32" s="10" t="s">
        <v>43</v>
      </c>
      <c r="C32" s="15"/>
      <c r="D32" s="15">
        <v>1500</v>
      </c>
      <c r="E32" s="15">
        <f>(1+$O$32)*D32</f>
        <v>1545</v>
      </c>
      <c r="F32" s="15">
        <f>(1+$O$32)*E32</f>
        <v>1591.3500000000001</v>
      </c>
      <c r="G32" s="15">
        <f>(1+$O$32)*F32</f>
        <v>1639.0905000000002</v>
      </c>
      <c r="H32" s="15">
        <f>(1+$O$32)*G32</f>
        <v>1688.2632150000004</v>
      </c>
      <c r="I32" s="15">
        <f>(1+$O$32)*H32</f>
        <v>1738.9111114500004</v>
      </c>
      <c r="J32" s="15">
        <f t="shared" ref="J32" si="31">(1+$O$32)*I32</f>
        <v>1791.0784447935005</v>
      </c>
      <c r="K32" s="15">
        <f t="shared" ref="K32" si="32">(1+$O$32)*J32</f>
        <v>1844.8107981373055</v>
      </c>
      <c r="L32" s="15">
        <f t="shared" ref="L32" si="33">(1+$O$32)*K32</f>
        <v>1900.1551220814247</v>
      </c>
      <c r="M32" s="15">
        <f t="shared" ref="M32" si="34">(1+$O$32)*L32</f>
        <v>1957.1597757438674</v>
      </c>
      <c r="N32" s="5"/>
      <c r="O32" s="49">
        <v>0.03</v>
      </c>
    </row>
    <row r="33" spans="1:34">
      <c r="A33" s="10"/>
      <c r="B33" s="10" t="s">
        <v>42</v>
      </c>
      <c r="C33" s="15"/>
      <c r="D33" s="15">
        <v>2000</v>
      </c>
      <c r="E33" s="15">
        <f>(1+$O$33)*D33</f>
        <v>2060</v>
      </c>
      <c r="F33" s="15">
        <f>(1+$O$33)*E33</f>
        <v>2121.8000000000002</v>
      </c>
      <c r="G33" s="15">
        <f>(1+$O$33)*F33</f>
        <v>2185.4540000000002</v>
      </c>
      <c r="H33" s="15">
        <f>(1+$O$33)*G33</f>
        <v>2251.0176200000001</v>
      </c>
      <c r="I33" s="15">
        <f>(1+$O$33)*H33</f>
        <v>2318.5481486000003</v>
      </c>
      <c r="J33" s="15">
        <f t="shared" ref="J33" si="35">(1+$O$33)*I33</f>
        <v>2388.1045930580003</v>
      </c>
      <c r="K33" s="15">
        <f t="shared" ref="K33" si="36">(1+$O$33)*J33</f>
        <v>2459.7477308497405</v>
      </c>
      <c r="L33" s="15">
        <f t="shared" ref="L33" si="37">(1+$O$33)*K33</f>
        <v>2533.5401627752326</v>
      </c>
      <c r="M33" s="15">
        <f t="shared" ref="M33" si="38">(1+$O$33)*L33</f>
        <v>2609.5463676584895</v>
      </c>
      <c r="N33" s="5"/>
      <c r="O33" s="49">
        <v>0.03</v>
      </c>
    </row>
    <row r="34" spans="1:34">
      <c r="A34" s="10"/>
      <c r="B34" s="10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5"/>
      <c r="O34" s="49"/>
    </row>
    <row r="35" spans="1:34">
      <c r="A35" s="10" t="s">
        <v>108</v>
      </c>
      <c r="B35" s="10"/>
      <c r="C35" s="15"/>
      <c r="D35" s="15">
        <f>SUM(D31:D33)</f>
        <v>51500</v>
      </c>
      <c r="E35" s="15">
        <f t="shared" ref="E35:I35" si="39">SUM(E31:E33)</f>
        <v>57605</v>
      </c>
      <c r="F35" s="15">
        <f t="shared" si="39"/>
        <v>63713.15</v>
      </c>
      <c r="G35" s="15">
        <f t="shared" si="39"/>
        <v>63824.544499999996</v>
      </c>
      <c r="H35" s="15">
        <f t="shared" si="39"/>
        <v>63939.280834999998</v>
      </c>
      <c r="I35" s="15">
        <f t="shared" si="39"/>
        <v>64057.459260049996</v>
      </c>
      <c r="J35" s="15">
        <f t="shared" ref="J35:M35" si="40">SUM(J31:J33)</f>
        <v>70179.183037851501</v>
      </c>
      <c r="K35" s="15">
        <f t="shared" si="40"/>
        <v>76304.558528987051</v>
      </c>
      <c r="L35" s="15">
        <f t="shared" si="40"/>
        <v>82433.695284856658</v>
      </c>
      <c r="M35" s="15">
        <f t="shared" si="40"/>
        <v>88566.706143402364</v>
      </c>
      <c r="N35" s="5"/>
      <c r="O35" s="5"/>
    </row>
    <row r="36" spans="1:34">
      <c r="A36" s="10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5"/>
      <c r="O36" s="5"/>
    </row>
    <row r="37" spans="1:34">
      <c r="A37" s="10" t="s">
        <v>3</v>
      </c>
      <c r="B37" s="10"/>
      <c r="C37" s="15"/>
      <c r="D37" s="15">
        <f>D54/$O$54</f>
        <v>6666.666666666667</v>
      </c>
      <c r="E37" s="15">
        <f t="shared" ref="E37:M37" si="41">E54/$O$54</f>
        <v>6666.666666666667</v>
      </c>
      <c r="F37" s="15">
        <f t="shared" si="41"/>
        <v>6666.666666666667</v>
      </c>
      <c r="G37" s="15">
        <f t="shared" si="41"/>
        <v>6666.666666666667</v>
      </c>
      <c r="H37" s="15">
        <f t="shared" si="41"/>
        <v>6666.666666666667</v>
      </c>
      <c r="I37" s="15">
        <f t="shared" si="41"/>
        <v>6666.666666666667</v>
      </c>
      <c r="J37" s="15">
        <f t="shared" si="41"/>
        <v>6666.666666666667</v>
      </c>
      <c r="K37" s="15">
        <f t="shared" si="41"/>
        <v>6666.666666666667</v>
      </c>
      <c r="L37" s="15">
        <f t="shared" si="41"/>
        <v>6666.666666666667</v>
      </c>
      <c r="M37" s="15">
        <f t="shared" si="41"/>
        <v>6666.666666666667</v>
      </c>
      <c r="N37" s="55"/>
      <c r="O37" s="5"/>
    </row>
    <row r="38" spans="1:34">
      <c r="A38" s="10" t="s">
        <v>94</v>
      </c>
      <c r="B38" s="10"/>
      <c r="C38" s="15"/>
      <c r="D38" s="15">
        <f>-CUMIPMT($O$64/12,$P$64*12,C64,1,12,0)</f>
        <v>12946.152091052893</v>
      </c>
      <c r="E38" s="15">
        <f t="shared" ref="E38:M38" si="42">-CUMIPMT($O$64/12,$P$64*12,D64,1,12,0)</f>
        <v>12397.019384759124</v>
      </c>
      <c r="F38" s="15">
        <f t="shared" si="42"/>
        <v>11814.017374717927</v>
      </c>
      <c r="G38" s="15">
        <f t="shared" si="42"/>
        <v>11195.057076384779</v>
      </c>
      <c r="H38" s="15">
        <f t="shared" si="42"/>
        <v>10537.92066121945</v>
      </c>
      <c r="I38" s="15">
        <f t="shared" si="42"/>
        <v>9880.7842460541196</v>
      </c>
      <c r="J38" s="15">
        <f t="shared" si="42"/>
        <v>9223.6478308887854</v>
      </c>
      <c r="K38" s="15">
        <f t="shared" si="42"/>
        <v>8566.5114157234566</v>
      </c>
      <c r="L38" s="15">
        <f t="shared" si="42"/>
        <v>7909.3750005581269</v>
      </c>
      <c r="M38" s="15">
        <f t="shared" si="42"/>
        <v>7252.2385853927963</v>
      </c>
      <c r="N38" s="5"/>
      <c r="O38" s="5"/>
    </row>
    <row r="39" spans="1:34">
      <c r="A39" s="10" t="s">
        <v>17</v>
      </c>
      <c r="B39" s="10"/>
      <c r="C39" s="15"/>
      <c r="D39" s="15">
        <f>$O$39*D65</f>
        <v>4904.9456021450378</v>
      </c>
      <c r="E39" s="15">
        <f t="shared" ref="E39:M39" si="43">$O$39*E65</f>
        <v>7608.4385140905597</v>
      </c>
      <c r="F39" s="15">
        <f t="shared" si="43"/>
        <v>10800.753207987018</v>
      </c>
      <c r="G39" s="15">
        <f t="shared" si="43"/>
        <v>13661.668663577626</v>
      </c>
      <c r="H39" s="15">
        <f t="shared" si="43"/>
        <v>15976.826526021403</v>
      </c>
      <c r="I39" s="15">
        <f t="shared" si="43"/>
        <v>17589.340835850529</v>
      </c>
      <c r="J39" s="15">
        <f t="shared" si="43"/>
        <v>19171.772780486725</v>
      </c>
      <c r="K39" s="15">
        <f t="shared" si="43"/>
        <v>20683.85592511189</v>
      </c>
      <c r="L39" s="15">
        <f t="shared" si="43"/>
        <v>22060.198414713643</v>
      </c>
      <c r="M39" s="15">
        <f t="shared" si="43"/>
        <v>23221.486525533986</v>
      </c>
      <c r="N39" s="5"/>
      <c r="O39" s="54">
        <v>0.12</v>
      </c>
    </row>
    <row r="40" spans="1:34">
      <c r="A40" s="10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5"/>
      <c r="O40" s="5"/>
    </row>
    <row r="41" spans="1:34">
      <c r="A41" s="10" t="s">
        <v>4</v>
      </c>
      <c r="B41" s="10"/>
      <c r="C41" s="15"/>
      <c r="D41" s="15">
        <f>D28-D35-D37-D38-D39</f>
        <v>-16017.764359864599</v>
      </c>
      <c r="E41" s="15">
        <f>E21-E26-E31-E37-E38-E39</f>
        <v>-15332.124565516351</v>
      </c>
      <c r="F41" s="15">
        <f>F21-F26-F31-F37-F38-F39</f>
        <v>-18010.017249371598</v>
      </c>
      <c r="G41" s="15">
        <f>G21-G26-G31-G37-G38-G39</f>
        <v>-13655.819546629058</v>
      </c>
      <c r="H41" s="15">
        <f>H21-H26-H31-H37-H38-H39</f>
        <v>-7970.1323735275073</v>
      </c>
      <c r="I41" s="15">
        <f>I21-I26-I31-I37-I38-I39</f>
        <v>-740.65893695074556</v>
      </c>
      <c r="J41" s="15">
        <f t="shared" ref="J41:M41" si="44">J21-J26-J31-J37-J38-J39</f>
        <v>1465.8108821196802</v>
      </c>
      <c r="K41" s="15">
        <f t="shared" si="44"/>
        <v>4809.107878363935</v>
      </c>
      <c r="L41" s="15">
        <f t="shared" si="44"/>
        <v>9489.8034423183708</v>
      </c>
      <c r="M41" s="15">
        <f t="shared" si="44"/>
        <v>15740.069917500881</v>
      </c>
      <c r="N41" s="5"/>
      <c r="O41" s="5"/>
    </row>
    <row r="42" spans="1:34">
      <c r="A42" s="10" t="s">
        <v>5</v>
      </c>
      <c r="B42" s="10"/>
      <c r="C42" s="15"/>
      <c r="D42" s="15">
        <f t="shared" ref="D42:L42" si="45">IF(D41&lt;0,0,D41*$O$42)</f>
        <v>0</v>
      </c>
      <c r="E42" s="15">
        <f t="shared" si="45"/>
        <v>0</v>
      </c>
      <c r="F42" s="15">
        <f t="shared" si="45"/>
        <v>0</v>
      </c>
      <c r="G42" s="15">
        <f t="shared" si="45"/>
        <v>0</v>
      </c>
      <c r="H42" s="15">
        <f t="shared" si="45"/>
        <v>0</v>
      </c>
      <c r="I42" s="15">
        <f t="shared" si="45"/>
        <v>0</v>
      </c>
      <c r="J42" s="15">
        <f t="shared" si="45"/>
        <v>366.45272052992004</v>
      </c>
      <c r="K42" s="15">
        <f t="shared" si="45"/>
        <v>1202.2769695909838</v>
      </c>
      <c r="L42" s="15">
        <f t="shared" si="45"/>
        <v>2372.4508605795927</v>
      </c>
      <c r="M42" s="15">
        <f>IF(M41&lt;0,0,M41*$O$42)</f>
        <v>3935.0174793752203</v>
      </c>
      <c r="N42" s="5"/>
      <c r="O42" s="54">
        <v>0.25</v>
      </c>
    </row>
    <row r="43" spans="1:34">
      <c r="A43" s="9" t="s">
        <v>18</v>
      </c>
      <c r="B43" s="10"/>
      <c r="C43" s="15"/>
      <c r="D43" s="15">
        <f>D41-D42</f>
        <v>-16017.764359864599</v>
      </c>
      <c r="E43" s="15">
        <f t="shared" ref="E43:I43" si="46">E41-E42</f>
        <v>-15332.124565516351</v>
      </c>
      <c r="F43" s="15">
        <f t="shared" si="46"/>
        <v>-18010.017249371598</v>
      </c>
      <c r="G43" s="15">
        <f t="shared" si="46"/>
        <v>-13655.819546629058</v>
      </c>
      <c r="H43" s="15">
        <f t="shared" si="46"/>
        <v>-7970.1323735275073</v>
      </c>
      <c r="I43" s="15">
        <f t="shared" si="46"/>
        <v>-740.65893695074556</v>
      </c>
      <c r="J43" s="15">
        <f t="shared" ref="J43:M43" si="47">J41-J42</f>
        <v>1099.3581615897601</v>
      </c>
      <c r="K43" s="15">
        <f t="shared" si="47"/>
        <v>3606.8309087729513</v>
      </c>
      <c r="L43" s="15">
        <f t="shared" si="47"/>
        <v>7117.3525817387781</v>
      </c>
      <c r="M43" s="15">
        <f t="shared" si="47"/>
        <v>11805.052438125662</v>
      </c>
      <c r="N43" s="5"/>
      <c r="O43" s="10"/>
    </row>
    <row r="44" spans="1:34">
      <c r="A44" s="10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48"/>
      <c r="O44" s="10"/>
    </row>
    <row r="45" spans="1:34">
      <c r="A45" s="9" t="s">
        <v>6</v>
      </c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48"/>
      <c r="O45" s="10"/>
    </row>
    <row r="46" spans="1:34">
      <c r="A46" s="9" t="s">
        <v>7</v>
      </c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48"/>
      <c r="O46" s="10"/>
    </row>
    <row r="47" spans="1:34">
      <c r="A47" s="10" t="s">
        <v>90</v>
      </c>
      <c r="B47" s="10"/>
      <c r="C47" s="15"/>
      <c r="D47" s="15">
        <f t="shared" ref="D47:M47" si="48">$O$47*SUM(D61:D62)</f>
        <v>1972.6027397260275</v>
      </c>
      <c r="E47" s="15">
        <f t="shared" si="48"/>
        <v>2061.3698630136987</v>
      </c>
      <c r="F47" s="15">
        <f t="shared" si="48"/>
        <v>2154.1315068493163</v>
      </c>
      <c r="G47" s="15">
        <f t="shared" si="48"/>
        <v>2251.0674246575354</v>
      </c>
      <c r="H47" s="15">
        <f t="shared" si="48"/>
        <v>2352.3654587671244</v>
      </c>
      <c r="I47" s="15">
        <f t="shared" si="48"/>
        <v>2458.221904411645</v>
      </c>
      <c r="J47" s="15">
        <f t="shared" si="48"/>
        <v>2862.0040665341053</v>
      </c>
      <c r="K47" s="15">
        <f t="shared" si="48"/>
        <v>3646.2613508379131</v>
      </c>
      <c r="L47" s="15">
        <f t="shared" si="48"/>
        <v>4703.2002535112324</v>
      </c>
      <c r="M47" s="15">
        <f t="shared" si="48"/>
        <v>6079.4893289748743</v>
      </c>
      <c r="N47" s="5"/>
      <c r="O47" s="49">
        <v>0.8</v>
      </c>
    </row>
    <row r="48" spans="1:34">
      <c r="A48" s="10" t="s">
        <v>19</v>
      </c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5"/>
      <c r="O48" s="10"/>
      <c r="R48" s="17" t="s">
        <v>48</v>
      </c>
      <c r="S48" s="42">
        <v>1.24</v>
      </c>
      <c r="T48" s="19"/>
      <c r="U48" s="19"/>
      <c r="V48" s="20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</row>
    <row r="49" spans="1:34">
      <c r="A49" s="10" t="s">
        <v>8</v>
      </c>
      <c r="B49" s="10"/>
      <c r="C49" s="15"/>
      <c r="D49" s="15">
        <f t="shared" ref="D49:M49" si="49">D10*(D18/$P$10)</f>
        <v>493.15068493150682</v>
      </c>
      <c r="E49" s="15">
        <f t="shared" si="49"/>
        <v>438.04109589041093</v>
      </c>
      <c r="F49" s="15">
        <f t="shared" si="49"/>
        <v>389.09000342465765</v>
      </c>
      <c r="G49" s="15">
        <f t="shared" si="49"/>
        <v>345.60919554195215</v>
      </c>
      <c r="H49" s="15">
        <f t="shared" si="49"/>
        <v>306.98736794013899</v>
      </c>
      <c r="I49" s="15">
        <f t="shared" si="49"/>
        <v>272.68152957282842</v>
      </c>
      <c r="J49" s="15">
        <f t="shared" si="49"/>
        <v>242.20936864306486</v>
      </c>
      <c r="K49" s="15">
        <f t="shared" si="49"/>
        <v>215.14247169720235</v>
      </c>
      <c r="L49" s="15">
        <f t="shared" si="49"/>
        <v>191.10030048504004</v>
      </c>
      <c r="M49" s="15">
        <f t="shared" si="49"/>
        <v>169.74484190583681</v>
      </c>
      <c r="N49" s="56"/>
      <c r="O49" s="10"/>
      <c r="R49" s="21" t="s">
        <v>49</v>
      </c>
      <c r="S49" s="18">
        <f>O42</f>
        <v>0.25</v>
      </c>
      <c r="T49" s="19"/>
      <c r="U49" s="19"/>
      <c r="V49" s="20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</row>
    <row r="50" spans="1:34">
      <c r="A50" s="10" t="s">
        <v>91</v>
      </c>
      <c r="B50" s="10"/>
      <c r="C50" s="15"/>
      <c r="D50" s="15">
        <f>D11*(D23/$P$10)</f>
        <v>14794.520547945205</v>
      </c>
      <c r="E50" s="15">
        <f t="shared" ref="E50:M50" si="50">E11*(E23/$P$10)</f>
        <v>17006.301369863017</v>
      </c>
      <c r="F50" s="15">
        <f t="shared" si="50"/>
        <v>19548.743424657547</v>
      </c>
      <c r="G50" s="15">
        <f t="shared" si="50"/>
        <v>22471.280566643851</v>
      </c>
      <c r="H50" s="15">
        <f t="shared" si="50"/>
        <v>25830.737011357112</v>
      </c>
      <c r="I50" s="15">
        <f t="shared" si="50"/>
        <v>29692.432194555004</v>
      </c>
      <c r="J50" s="15">
        <f t="shared" si="50"/>
        <v>34131.450807640977</v>
      </c>
      <c r="K50" s="15">
        <f t="shared" si="50"/>
        <v>39234.102703383309</v>
      </c>
      <c r="L50" s="15">
        <f t="shared" si="50"/>
        <v>45099.601057539126</v>
      </c>
      <c r="M50" s="15">
        <f t="shared" si="50"/>
        <v>51841.991415641234</v>
      </c>
      <c r="N50" s="5"/>
      <c r="O50" s="10"/>
      <c r="R50" s="21" t="s">
        <v>50</v>
      </c>
      <c r="S50" s="43">
        <v>2.75E-2</v>
      </c>
      <c r="T50" s="19"/>
      <c r="U50" s="19"/>
      <c r="V50" s="20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34">
      <c r="A51" s="10" t="s">
        <v>92</v>
      </c>
      <c r="B51" s="10"/>
      <c r="C51" s="15"/>
      <c r="D51" s="15">
        <f>D11*(D24/$P$10)</f>
        <v>7397.2602739726026</v>
      </c>
      <c r="E51" s="15">
        <f t="shared" ref="E51:M51" si="51">E11*(E24/$P$10)</f>
        <v>9219.2054794520554</v>
      </c>
      <c r="F51" s="15">
        <f t="shared" si="51"/>
        <v>11489.8957890411</v>
      </c>
      <c r="G51" s="15">
        <f t="shared" si="51"/>
        <v>14319.857121881923</v>
      </c>
      <c r="H51" s="15">
        <f t="shared" si="51"/>
        <v>17846.837931001446</v>
      </c>
      <c r="I51" s="15">
        <f t="shared" si="51"/>
        <v>22242.514113407105</v>
      </c>
      <c r="J51" s="15">
        <f t="shared" si="51"/>
        <v>27720.845339539275</v>
      </c>
      <c r="K51" s="15">
        <f t="shared" si="51"/>
        <v>34548.489546667814</v>
      </c>
      <c r="L51" s="15">
        <f t="shared" si="51"/>
        <v>43057.782522012101</v>
      </c>
      <c r="M51" s="15">
        <f t="shared" si="51"/>
        <v>53662.914357183698</v>
      </c>
      <c r="N51" s="5"/>
      <c r="O51" s="10"/>
      <c r="R51" s="21"/>
      <c r="S51" s="43"/>
      <c r="T51" s="19"/>
      <c r="U51" s="19"/>
      <c r="V51" s="20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</row>
    <row r="52" spans="1:34">
      <c r="A52" s="10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48"/>
      <c r="O52" s="10"/>
      <c r="R52" s="22" t="s">
        <v>51</v>
      </c>
      <c r="S52" s="43">
        <v>0.1</v>
      </c>
      <c r="T52" s="19"/>
      <c r="U52" s="19"/>
      <c r="V52" s="20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</row>
    <row r="53" spans="1:34">
      <c r="A53" s="10" t="s">
        <v>20</v>
      </c>
      <c r="B53" s="10"/>
      <c r="C53" s="15"/>
      <c r="D53" s="15">
        <v>75000</v>
      </c>
      <c r="E53" s="15">
        <f>D53</f>
        <v>75000</v>
      </c>
      <c r="F53" s="15">
        <f t="shared" ref="F53:G53" si="52">E53</f>
        <v>75000</v>
      </c>
      <c r="G53" s="15">
        <f t="shared" si="52"/>
        <v>75000</v>
      </c>
      <c r="H53" s="15">
        <f t="shared" ref="H53" si="53">G53</f>
        <v>75000</v>
      </c>
      <c r="I53" s="15">
        <f t="shared" ref="I53" si="54">H53</f>
        <v>75000</v>
      </c>
      <c r="J53" s="15">
        <f t="shared" ref="J53:J54" si="55">I53</f>
        <v>75000</v>
      </c>
      <c r="K53" s="15">
        <f t="shared" ref="K53:K54" si="56">J53</f>
        <v>75000</v>
      </c>
      <c r="L53" s="15">
        <f t="shared" ref="L53:L54" si="57">K53</f>
        <v>75000</v>
      </c>
      <c r="M53" s="15">
        <f t="shared" ref="M53:M54" si="58">L53</f>
        <v>75000</v>
      </c>
      <c r="N53" s="55"/>
      <c r="O53" s="10"/>
      <c r="R53" s="19"/>
      <c r="S53" s="19"/>
      <c r="T53" s="19"/>
      <c r="U53" s="23"/>
      <c r="V53" s="2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</row>
    <row r="54" spans="1:34">
      <c r="A54" s="10" t="s">
        <v>93</v>
      </c>
      <c r="B54" s="10"/>
      <c r="C54" s="15"/>
      <c r="D54" s="15">
        <v>200000</v>
      </c>
      <c r="E54" s="15">
        <f t="shared" ref="E54:G54" si="59">D54</f>
        <v>200000</v>
      </c>
      <c r="F54" s="15">
        <f t="shared" si="59"/>
        <v>200000</v>
      </c>
      <c r="G54" s="15">
        <f t="shared" si="59"/>
        <v>200000</v>
      </c>
      <c r="H54" s="15">
        <f t="shared" ref="H54" si="60">G54</f>
        <v>200000</v>
      </c>
      <c r="I54" s="15">
        <f t="shared" ref="I54" si="61">H54</f>
        <v>200000</v>
      </c>
      <c r="J54" s="15">
        <f t="shared" si="55"/>
        <v>200000</v>
      </c>
      <c r="K54" s="15">
        <f t="shared" si="56"/>
        <v>200000</v>
      </c>
      <c r="L54" s="15">
        <f t="shared" si="57"/>
        <v>200000</v>
      </c>
      <c r="M54" s="15">
        <f t="shared" si="58"/>
        <v>200000</v>
      </c>
      <c r="N54" s="55"/>
      <c r="O54" s="14">
        <v>30</v>
      </c>
      <c r="P54" s="1" t="s">
        <v>28</v>
      </c>
      <c r="R54" s="19"/>
      <c r="S54" s="23" t="s">
        <v>52</v>
      </c>
      <c r="T54" s="23" t="s">
        <v>53</v>
      </c>
      <c r="U54" s="23" t="s">
        <v>54</v>
      </c>
      <c r="V54" s="23" t="s">
        <v>53</v>
      </c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</row>
    <row r="55" spans="1:34">
      <c r="A55" s="10" t="s">
        <v>10</v>
      </c>
      <c r="B55" s="10"/>
      <c r="C55" s="15"/>
      <c r="D55" s="15">
        <f>C55+D37</f>
        <v>6666.666666666667</v>
      </c>
      <c r="E55" s="15">
        <f t="shared" ref="E55:J55" si="62">D55+E37</f>
        <v>13333.333333333334</v>
      </c>
      <c r="F55" s="15">
        <f t="shared" si="62"/>
        <v>20000</v>
      </c>
      <c r="G55" s="15">
        <f t="shared" si="62"/>
        <v>26666.666666666668</v>
      </c>
      <c r="H55" s="15">
        <f t="shared" si="62"/>
        <v>33333.333333333336</v>
      </c>
      <c r="I55" s="15">
        <f t="shared" si="62"/>
        <v>40000</v>
      </c>
      <c r="J55" s="15">
        <f t="shared" si="62"/>
        <v>46666.666666666664</v>
      </c>
      <c r="K55" s="15">
        <f>J55+K37</f>
        <v>53333.333333333328</v>
      </c>
      <c r="L55" s="15">
        <f t="shared" ref="L55:M55" si="63">K55+L37</f>
        <v>59999.999999999993</v>
      </c>
      <c r="M55" s="15">
        <f t="shared" si="63"/>
        <v>66666.666666666657</v>
      </c>
      <c r="N55" s="5"/>
      <c r="O55" s="10"/>
      <c r="R55" s="24" t="s">
        <v>55</v>
      </c>
      <c r="S55" s="25">
        <v>0.06</v>
      </c>
      <c r="T55" s="26">
        <f>S55*(1-S49)</f>
        <v>4.4999999999999998E-2</v>
      </c>
      <c r="U55" s="27"/>
      <c r="V55" s="26">
        <f>U55*(1-S49)</f>
        <v>0</v>
      </c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</row>
    <row r="56" spans="1:34">
      <c r="A56" s="10"/>
      <c r="B56" s="10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5"/>
      <c r="O56" s="10"/>
      <c r="R56" s="28" t="s">
        <v>56</v>
      </c>
      <c r="S56" s="29">
        <v>0.12</v>
      </c>
      <c r="T56" s="26">
        <f>S56*(1-S49)</f>
        <v>0.09</v>
      </c>
      <c r="U56" s="27"/>
      <c r="V56" s="26">
        <f>U56*(1-S49)</f>
        <v>0</v>
      </c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</row>
    <row r="57" spans="1:34">
      <c r="A57" s="10"/>
      <c r="B57" s="10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48"/>
      <c r="O57" s="10"/>
      <c r="R57" s="24" t="s">
        <v>58</v>
      </c>
      <c r="S57" s="30">
        <f>X57/(X57+X58+X61+X62)</f>
        <v>0.42564611789763002</v>
      </c>
      <c r="T57" s="26">
        <f>T55*S57</f>
        <v>1.9154075305393349E-2</v>
      </c>
      <c r="U57" s="18"/>
      <c r="V57" s="26">
        <f>V55*U57</f>
        <v>0</v>
      </c>
      <c r="W57" s="23"/>
      <c r="X57" s="31">
        <f>AVERAGE(Y57:AH57)</f>
        <v>162069.5329124417</v>
      </c>
      <c r="Y57" s="32">
        <v>210668.33183057379</v>
      </c>
      <c r="Z57" s="32">
        <v>200761.10678741176</v>
      </c>
      <c r="AA57" s="32">
        <v>190242.82578193833</v>
      </c>
      <c r="AB57" s="32">
        <v>179075.80021947136</v>
      </c>
      <c r="AC57" s="32">
        <v>167908.7746570044</v>
      </c>
      <c r="AD57" s="32">
        <v>156741.74909453743</v>
      </c>
      <c r="AE57" s="32">
        <v>145574.72353207046</v>
      </c>
      <c r="AF57" s="32">
        <v>134407.6979696035</v>
      </c>
      <c r="AG57" s="32">
        <v>123240.67240713653</v>
      </c>
      <c r="AH57" s="32">
        <v>112073.64684466957</v>
      </c>
    </row>
    <row r="58" spans="1:34">
      <c r="A58" s="9" t="s">
        <v>11</v>
      </c>
      <c r="B58" s="10"/>
      <c r="C58" s="15"/>
      <c r="D58" s="15">
        <f>SUM(D47:D54)-D55</f>
        <v>292990.86757990863</v>
      </c>
      <c r="E58" s="15">
        <f>SUM(E47:E54)-E55</f>
        <v>290391.58447488589</v>
      </c>
      <c r="F58" s="15">
        <f t="shared" ref="F58:M58" si="64">SUM(F47:F54)-F55</f>
        <v>288581.86072397261</v>
      </c>
      <c r="G58" s="15">
        <f t="shared" si="64"/>
        <v>287721.14764205861</v>
      </c>
      <c r="H58" s="15">
        <f t="shared" si="64"/>
        <v>288003.59443573252</v>
      </c>
      <c r="I58" s="15">
        <f t="shared" si="64"/>
        <v>289665.84974194656</v>
      </c>
      <c r="J58" s="15">
        <f t="shared" si="64"/>
        <v>293289.84291569074</v>
      </c>
      <c r="K58" s="15">
        <f t="shared" si="64"/>
        <v>299310.66273925296</v>
      </c>
      <c r="L58" s="15">
        <f t="shared" si="64"/>
        <v>308051.68413354747</v>
      </c>
      <c r="M58" s="15">
        <f t="shared" si="64"/>
        <v>320087.47327703901</v>
      </c>
      <c r="N58" s="57"/>
      <c r="O58" s="10"/>
      <c r="R58" s="28" t="s">
        <v>59</v>
      </c>
      <c r="S58" s="33">
        <f>X58/(X57+X58+X61+X62)</f>
        <v>0.340719417132896</v>
      </c>
      <c r="T58" s="26">
        <f>T56*S58</f>
        <v>3.0664747541960639E-2</v>
      </c>
      <c r="U58" s="18"/>
      <c r="V58" s="26">
        <f>V56*U58</f>
        <v>0</v>
      </c>
      <c r="W58" s="23"/>
      <c r="X58" s="34">
        <f>AVERAGE(Y58:AH58)</f>
        <v>129732.739162932</v>
      </c>
      <c r="Y58" s="15">
        <v>40874.546684541987</v>
      </c>
      <c r="Z58" s="15">
        <v>63403.654284087999</v>
      </c>
      <c r="AA58" s="15">
        <v>90006.276733225153</v>
      </c>
      <c r="AB58" s="15">
        <v>113847.23886314689</v>
      </c>
      <c r="AC58" s="15">
        <v>133140.22105017837</v>
      </c>
      <c r="AD58" s="15">
        <v>146577.84029875443</v>
      </c>
      <c r="AE58" s="15">
        <v>159764.77317072271</v>
      </c>
      <c r="AF58" s="15">
        <v>172365.46604259909</v>
      </c>
      <c r="AG58" s="15">
        <v>183834.98678928037</v>
      </c>
      <c r="AH58" s="15">
        <v>193512.38771278324</v>
      </c>
    </row>
    <row r="59" spans="1:34">
      <c r="A59" s="10"/>
      <c r="B59" s="10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48"/>
      <c r="O59" s="10"/>
      <c r="R59" s="19" t="s">
        <v>60</v>
      </c>
      <c r="S59" s="35">
        <f>S57+S58</f>
        <v>0.76636553503052607</v>
      </c>
      <c r="T59" s="36"/>
      <c r="U59" s="36">
        <f>U57+U58</f>
        <v>0</v>
      </c>
      <c r="V59" s="23"/>
      <c r="W59" s="23"/>
      <c r="X59" s="20"/>
      <c r="Y59" s="23"/>
      <c r="Z59" s="23"/>
      <c r="AA59" s="23"/>
      <c r="AB59" s="23"/>
      <c r="AC59" s="23"/>
      <c r="AD59" s="23"/>
      <c r="AE59" s="23"/>
      <c r="AF59" s="23"/>
      <c r="AG59" s="23"/>
      <c r="AH59" s="23"/>
    </row>
    <row r="60" spans="1:34">
      <c r="A60" s="9" t="s">
        <v>12</v>
      </c>
      <c r="B60" s="10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48"/>
      <c r="O60" s="10"/>
      <c r="R60" s="19"/>
      <c r="S60" s="23"/>
      <c r="T60" s="23" t="s">
        <v>57</v>
      </c>
      <c r="U60" s="23"/>
      <c r="V60" s="23" t="s">
        <v>57</v>
      </c>
      <c r="W60" s="23"/>
      <c r="X60" s="20"/>
      <c r="Y60" s="93" t="s">
        <v>61</v>
      </c>
      <c r="Z60" s="94"/>
      <c r="AA60" s="94"/>
      <c r="AB60" s="94"/>
      <c r="AC60" s="94"/>
      <c r="AD60" s="94"/>
      <c r="AE60" s="94"/>
      <c r="AF60" s="94"/>
      <c r="AG60" s="94"/>
      <c r="AH60" s="95"/>
    </row>
    <row r="61" spans="1:34">
      <c r="A61" s="11" t="s">
        <v>23</v>
      </c>
      <c r="B61" s="10"/>
      <c r="C61" s="15"/>
      <c r="D61" s="15">
        <f t="shared" ref="D61:M61" si="65">D12*(D26/$P$10)</f>
        <v>2465.7534246575342</v>
      </c>
      <c r="E61" s="15">
        <f t="shared" si="65"/>
        <v>2576.7123287671234</v>
      </c>
      <c r="F61" s="15">
        <f t="shared" si="65"/>
        <v>2692.6643835616451</v>
      </c>
      <c r="G61" s="15">
        <f t="shared" si="65"/>
        <v>2813.834280821919</v>
      </c>
      <c r="H61" s="15">
        <f t="shared" si="65"/>
        <v>2940.4568234589055</v>
      </c>
      <c r="I61" s="15">
        <f t="shared" si="65"/>
        <v>3072.7773805145562</v>
      </c>
      <c r="J61" s="15">
        <f t="shared" si="65"/>
        <v>3211.0523626377112</v>
      </c>
      <c r="K61" s="15">
        <f t="shared" si="65"/>
        <v>3355.549718956408</v>
      </c>
      <c r="L61" s="15">
        <f t="shared" si="65"/>
        <v>3506.5494563094471</v>
      </c>
      <c r="M61" s="15">
        <f t="shared" si="65"/>
        <v>3664.3441818433721</v>
      </c>
      <c r="N61" s="58"/>
      <c r="O61" s="10"/>
      <c r="R61" s="37" t="s">
        <v>62</v>
      </c>
      <c r="S61" s="30">
        <f>X61/(X61+X62+X57+X58)</f>
        <v>0.14444748537047505</v>
      </c>
      <c r="T61" s="96">
        <f>S63*S69</f>
        <v>2.7428686187416257E-2</v>
      </c>
      <c r="U61" s="98"/>
      <c r="V61" s="96" t="e">
        <f>U63*S70</f>
        <v>#DIV/0!</v>
      </c>
      <c r="W61" s="23"/>
      <c r="X61" s="38">
        <f t="shared" ref="X61:X62" si="66">AVERAGE(Y61:AH61)</f>
        <v>55000</v>
      </c>
      <c r="Y61" s="32">
        <v>55000</v>
      </c>
      <c r="Z61" s="32">
        <v>55000</v>
      </c>
      <c r="AA61" s="32">
        <v>55000</v>
      </c>
      <c r="AB61" s="32">
        <v>55000</v>
      </c>
      <c r="AC61" s="32">
        <v>55000</v>
      </c>
      <c r="AD61" s="32">
        <v>55000</v>
      </c>
      <c r="AE61" s="32">
        <v>55000</v>
      </c>
      <c r="AF61" s="32">
        <v>55000</v>
      </c>
      <c r="AG61" s="32">
        <v>55000</v>
      </c>
      <c r="AH61" s="32">
        <v>55000</v>
      </c>
    </row>
    <row r="62" spans="1:34">
      <c r="A62" s="10" t="s">
        <v>13</v>
      </c>
      <c r="B62" s="10"/>
      <c r="C62" s="15"/>
      <c r="D62" s="15">
        <f t="shared" ref="D62:M62" si="67">D42</f>
        <v>0</v>
      </c>
      <c r="E62" s="15">
        <f t="shared" si="67"/>
        <v>0</v>
      </c>
      <c r="F62" s="15">
        <f t="shared" si="67"/>
        <v>0</v>
      </c>
      <c r="G62" s="15">
        <f t="shared" si="67"/>
        <v>0</v>
      </c>
      <c r="H62" s="15">
        <f t="shared" si="67"/>
        <v>0</v>
      </c>
      <c r="I62" s="15">
        <f t="shared" si="67"/>
        <v>0</v>
      </c>
      <c r="J62" s="15">
        <f t="shared" si="67"/>
        <v>366.45272052992004</v>
      </c>
      <c r="K62" s="15">
        <f t="shared" si="67"/>
        <v>1202.2769695909838</v>
      </c>
      <c r="L62" s="15">
        <f t="shared" si="67"/>
        <v>2372.4508605795927</v>
      </c>
      <c r="M62" s="15">
        <f t="shared" si="67"/>
        <v>3935.0174793752203</v>
      </c>
      <c r="N62" s="5"/>
      <c r="O62" s="10"/>
      <c r="R62" s="39" t="s">
        <v>63</v>
      </c>
      <c r="S62" s="33">
        <f>X62/(X61+X62+X57+X58)</f>
        <v>8.9186979598999017E-2</v>
      </c>
      <c r="T62" s="97"/>
      <c r="U62" s="99"/>
      <c r="V62" s="97"/>
      <c r="W62" s="23"/>
      <c r="X62" s="38">
        <f t="shared" si="66"/>
        <v>33958.942693699406</v>
      </c>
      <c r="Y62" s="32">
        <v>-4696.1520910528925</v>
      </c>
      <c r="Z62" s="32">
        <v>-5976.747308369977</v>
      </c>
      <c r="AA62" s="32">
        <v>-6714.8665633756427</v>
      </c>
      <c r="AB62" s="32">
        <v>-1834.7829418847414</v>
      </c>
      <c r="AC62" s="32">
        <v>8553.0821448911593</v>
      </c>
      <c r="AD62" s="32">
        <v>25079.585730097475</v>
      </c>
      <c r="AE62" s="32">
        <v>43954.913326709757</v>
      </c>
      <c r="AF62" s="32">
        <v>65978.923717600104</v>
      </c>
      <c r="AG62" s="32">
        <v>92052.860337283593</v>
      </c>
      <c r="AH62" s="32">
        <v>123192.61058509523</v>
      </c>
    </row>
    <row r="63" spans="1:34">
      <c r="A63" s="10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5"/>
      <c r="O63" s="10"/>
      <c r="R63" s="19" t="s">
        <v>64</v>
      </c>
      <c r="S63" s="35">
        <f>S61+S62</f>
        <v>0.23363446496947407</v>
      </c>
      <c r="T63" s="23"/>
      <c r="U63" s="36">
        <f>U61+U62</f>
        <v>0</v>
      </c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</row>
    <row r="64" spans="1:34">
      <c r="A64" s="10" t="s">
        <v>109</v>
      </c>
      <c r="B64" s="10"/>
      <c r="C64" s="91">
        <f>(D53+D54)*0.8</f>
        <v>220000</v>
      </c>
      <c r="D64" s="15">
        <f>C64+CUMPRINC($O$64/12,$P$64*12,$C$64,1,12,0)</f>
        <v>210668.33183057379</v>
      </c>
      <c r="E64" s="15">
        <f>D64+CUMPRINC($O$64/12,$P$64*12,$C$64,13,24,0)</f>
        <v>200761.10678741176</v>
      </c>
      <c r="F64" s="15">
        <f>E64+CUMPRINC($O$64/12,$P$64*12,$C$64,25,36,0)</f>
        <v>190242.82578193833</v>
      </c>
      <c r="G64" s="15">
        <f t="shared" ref="G64:M64" si="68">F64+CUMPRINC($O$64/12,$P$64*12,$C$64,37,48,0)</f>
        <v>179075.80021947136</v>
      </c>
      <c r="H64" s="15">
        <f t="shared" si="68"/>
        <v>167908.7746570044</v>
      </c>
      <c r="I64" s="15">
        <f t="shared" si="68"/>
        <v>156741.74909453743</v>
      </c>
      <c r="J64" s="15">
        <f t="shared" si="68"/>
        <v>145574.72353207046</v>
      </c>
      <c r="K64" s="15">
        <f t="shared" si="68"/>
        <v>134407.6979696035</v>
      </c>
      <c r="L64" s="15">
        <f t="shared" si="68"/>
        <v>123240.67240713653</v>
      </c>
      <c r="M64" s="15">
        <f t="shared" si="68"/>
        <v>112073.64684466957</v>
      </c>
      <c r="N64" s="59"/>
      <c r="O64" s="54">
        <v>0.06</v>
      </c>
      <c r="P64" s="1">
        <v>15</v>
      </c>
      <c r="R64" s="19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</row>
    <row r="65" spans="1:36">
      <c r="A65" s="10" t="s">
        <v>21</v>
      </c>
      <c r="B65" s="10"/>
      <c r="C65" s="15"/>
      <c r="D65" s="15">
        <v>40874.546684541987</v>
      </c>
      <c r="E65" s="15">
        <v>63403.654284087999</v>
      </c>
      <c r="F65" s="15">
        <v>90006.276733225153</v>
      </c>
      <c r="G65" s="15">
        <v>113847.23886314689</v>
      </c>
      <c r="H65" s="15">
        <v>133140.22105017837</v>
      </c>
      <c r="I65" s="15">
        <v>146577.84029875443</v>
      </c>
      <c r="J65" s="15">
        <v>159764.77317072271</v>
      </c>
      <c r="K65" s="15">
        <v>172365.46604259909</v>
      </c>
      <c r="L65" s="15">
        <v>183834.98678928037</v>
      </c>
      <c r="M65" s="15">
        <v>193512.38771278324</v>
      </c>
      <c r="N65" s="5"/>
      <c r="O65" s="10"/>
      <c r="R65" s="19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</row>
    <row r="66" spans="1:36">
      <c r="A66" s="10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5"/>
      <c r="O66" s="10"/>
      <c r="R66" s="17" t="s">
        <v>65</v>
      </c>
      <c r="S66" s="40">
        <f>S48/(1+(1-S49)*(S59/S63))</f>
        <v>0.35836671052413799</v>
      </c>
      <c r="T66" s="20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</row>
    <row r="67" spans="1:36">
      <c r="A67" s="10" t="s">
        <v>22</v>
      </c>
      <c r="B67" s="10"/>
      <c r="C67" s="15"/>
      <c r="D67" s="15">
        <f>275000-220000</f>
        <v>55000</v>
      </c>
      <c r="E67" s="15">
        <f>D67</f>
        <v>55000</v>
      </c>
      <c r="F67" s="15">
        <f t="shared" ref="F67:G67" si="69">E67</f>
        <v>55000</v>
      </c>
      <c r="G67" s="15">
        <f t="shared" si="69"/>
        <v>55000</v>
      </c>
      <c r="H67" s="15">
        <f t="shared" ref="H67" si="70">G67</f>
        <v>55000</v>
      </c>
      <c r="I67" s="15">
        <f t="shared" ref="I67" si="71">H67</f>
        <v>55000</v>
      </c>
      <c r="J67" s="15">
        <f t="shared" ref="J67" si="72">I67</f>
        <v>55000</v>
      </c>
      <c r="K67" s="15">
        <f t="shared" ref="K67" si="73">J67</f>
        <v>55000</v>
      </c>
      <c r="L67" s="15">
        <f t="shared" ref="L67" si="74">K67</f>
        <v>55000</v>
      </c>
      <c r="M67" s="15">
        <f t="shared" ref="M67" si="75">L67</f>
        <v>55000</v>
      </c>
      <c r="N67" s="5"/>
      <c r="O67" s="10"/>
      <c r="R67" s="22" t="s">
        <v>66</v>
      </c>
      <c r="S67" s="40" t="e">
        <f>S66*(1+(1-S49)*(U59/U63))</f>
        <v>#DIV/0!</v>
      </c>
      <c r="T67" s="20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</row>
    <row r="68" spans="1:36">
      <c r="A68" s="10" t="s">
        <v>14</v>
      </c>
      <c r="B68" s="10"/>
      <c r="C68" s="15"/>
      <c r="D68" s="15">
        <f t="shared" ref="D68:M68" si="76">C68+D43</f>
        <v>-16017.764359864599</v>
      </c>
      <c r="E68" s="15">
        <f t="shared" si="76"/>
        <v>-31349.88892538095</v>
      </c>
      <c r="F68" s="15">
        <f t="shared" si="76"/>
        <v>-49359.906174752548</v>
      </c>
      <c r="G68" s="15">
        <f t="shared" si="76"/>
        <v>-63015.725721381605</v>
      </c>
      <c r="H68" s="15">
        <f t="shared" si="76"/>
        <v>-70985.858094909112</v>
      </c>
      <c r="I68" s="15">
        <f t="shared" si="76"/>
        <v>-71726.517031859854</v>
      </c>
      <c r="J68" s="15">
        <f t="shared" si="76"/>
        <v>-70627.158870270097</v>
      </c>
      <c r="K68" s="15">
        <f t="shared" si="76"/>
        <v>-67020.32796149714</v>
      </c>
      <c r="L68" s="15">
        <f t="shared" si="76"/>
        <v>-59902.975379758362</v>
      </c>
      <c r="M68" s="15">
        <f t="shared" si="76"/>
        <v>-48097.9229416327</v>
      </c>
      <c r="N68" s="5"/>
      <c r="O68" s="10"/>
      <c r="R68" s="19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</row>
    <row r="69" spans="1:36">
      <c r="A69" s="10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5"/>
      <c r="O69" s="10"/>
      <c r="R69" s="17" t="s">
        <v>67</v>
      </c>
      <c r="S69" s="40">
        <f>S50+S48*(S52-S50)</f>
        <v>0.1174</v>
      </c>
      <c r="T69" s="20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</row>
    <row r="70" spans="1:36">
      <c r="A70" s="9" t="s">
        <v>15</v>
      </c>
      <c r="B70" s="10"/>
      <c r="C70" s="15"/>
      <c r="D70" s="15">
        <f>D61+D62+D64+D65+D67+D68</f>
        <v>292990.86757990875</v>
      </c>
      <c r="E70" s="15">
        <f t="shared" ref="E70:G70" si="77">E61+E62+E64+E65+E67+E68</f>
        <v>290391.58447488589</v>
      </c>
      <c r="F70" s="15">
        <f t="shared" si="77"/>
        <v>288581.86072397255</v>
      </c>
      <c r="G70" s="15">
        <f t="shared" si="77"/>
        <v>287721.14764205855</v>
      </c>
      <c r="H70" s="15">
        <f t="shared" ref="H70:I70" si="78">H61+H62+H64+H65+H67+H68</f>
        <v>288003.59443573258</v>
      </c>
      <c r="I70" s="15">
        <f t="shared" si="78"/>
        <v>289665.84974194656</v>
      </c>
      <c r="J70" s="15">
        <f t="shared" ref="J70:M70" si="79">J61+J62+J64+J65+J67+J68</f>
        <v>293289.84291569074</v>
      </c>
      <c r="K70" s="15">
        <f t="shared" si="79"/>
        <v>299310.66273925285</v>
      </c>
      <c r="L70" s="15">
        <f t="shared" si="79"/>
        <v>308051.68413354759</v>
      </c>
      <c r="M70" s="15">
        <f t="shared" si="79"/>
        <v>320087.47327703872</v>
      </c>
      <c r="N70" s="5"/>
      <c r="O70" s="10"/>
      <c r="R70" s="22" t="s">
        <v>68</v>
      </c>
      <c r="S70" s="40" t="e">
        <f>S50+S67*(S52-S50)</f>
        <v>#DIV/0!</v>
      </c>
      <c r="T70" s="20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</row>
    <row r="71" spans="1:36">
      <c r="A71" s="9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5"/>
      <c r="O71" s="10"/>
      <c r="R71" s="19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</row>
    <row r="72" spans="1:36">
      <c r="A72" s="9" t="s">
        <v>29</v>
      </c>
      <c r="B72" s="10"/>
      <c r="C72" s="15"/>
      <c r="D72" s="15">
        <f>D58-D70</f>
        <v>0</v>
      </c>
      <c r="E72" s="15">
        <f t="shared" ref="E72:G72" si="80">E58-E70</f>
        <v>0</v>
      </c>
      <c r="F72" s="15">
        <f t="shared" si="80"/>
        <v>0</v>
      </c>
      <c r="G72" s="15">
        <f t="shared" si="80"/>
        <v>0</v>
      </c>
      <c r="H72" s="15">
        <f t="shared" ref="H72:I72" si="81">H58-H70</f>
        <v>0</v>
      </c>
      <c r="I72" s="15">
        <f t="shared" si="81"/>
        <v>0</v>
      </c>
      <c r="J72" s="15">
        <f t="shared" ref="J72:M72" si="82">J58-J70</f>
        <v>0</v>
      </c>
      <c r="K72" s="15">
        <f t="shared" si="82"/>
        <v>0</v>
      </c>
      <c r="L72" s="15">
        <f t="shared" si="82"/>
        <v>0</v>
      </c>
      <c r="M72" s="15">
        <f t="shared" si="82"/>
        <v>0</v>
      </c>
      <c r="N72" s="5"/>
      <c r="O72" s="10"/>
      <c r="R72" s="17" t="s">
        <v>69</v>
      </c>
      <c r="S72" s="41">
        <f>T57+T58+T61</f>
        <v>7.7247509034770248E-2</v>
      </c>
      <c r="T72" s="20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</row>
    <row r="73" spans="1:36" s="7" customForma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3"/>
      <c r="Q73" s="63"/>
      <c r="R73" s="62" t="s">
        <v>70</v>
      </c>
      <c r="S73" s="41" t="e">
        <f>V57+V58+V61</f>
        <v>#DIV/0!</v>
      </c>
      <c r="T73" s="20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</row>
    <row r="76" spans="1:36">
      <c r="A76" s="6" t="s">
        <v>71</v>
      </c>
      <c r="B76"/>
      <c r="C76" s="64" t="s">
        <v>95</v>
      </c>
      <c r="D76" s="65" t="s">
        <v>96</v>
      </c>
      <c r="E76" s="64" t="s">
        <v>97</v>
      </c>
      <c r="F76" s="65" t="s">
        <v>98</v>
      </c>
      <c r="G76" s="64" t="s">
        <v>99</v>
      </c>
      <c r="H76" s="65" t="s">
        <v>100</v>
      </c>
      <c r="I76" s="64" t="s">
        <v>101</v>
      </c>
      <c r="J76" s="65" t="s">
        <v>102</v>
      </c>
      <c r="K76" s="64" t="s">
        <v>103</v>
      </c>
      <c r="L76" s="65" t="s">
        <v>104</v>
      </c>
      <c r="M76" s="64" t="s">
        <v>105</v>
      </c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48"/>
      <c r="AI76" s="48"/>
      <c r="AJ76" s="48"/>
    </row>
    <row r="77" spans="1:36">
      <c r="A77" t="s">
        <v>72</v>
      </c>
      <c r="B77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</row>
    <row r="78" spans="1:36">
      <c r="A78"/>
      <c r="B78" t="s">
        <v>73</v>
      </c>
      <c r="D78" s="15">
        <f t="shared" ref="D78:M78" si="83">D28-D35</f>
        <v>8500</v>
      </c>
      <c r="E78" s="15">
        <f t="shared" si="83"/>
        <v>7735</v>
      </c>
      <c r="F78" s="15">
        <f t="shared" si="83"/>
        <v>7558.2700000000114</v>
      </c>
      <c r="G78" s="15">
        <f t="shared" si="83"/>
        <v>14043.028360000018</v>
      </c>
      <c r="H78" s="15">
        <f t="shared" si="83"/>
        <v>21272.000645380016</v>
      </c>
      <c r="I78" s="15">
        <f t="shared" si="83"/>
        <v>29338.673551570573</v>
      </c>
      <c r="J78" s="15">
        <f t="shared" si="83"/>
        <v>32348.715122310357</v>
      </c>
      <c r="K78" s="15">
        <f t="shared" si="83"/>
        <v>36421.583356878895</v>
      </c>
      <c r="L78" s="15">
        <f t="shared" si="83"/>
        <v>41692.348239400148</v>
      </c>
      <c r="M78" s="15">
        <f t="shared" si="83"/>
        <v>48313.755551691967</v>
      </c>
      <c r="N78" s="15"/>
    </row>
    <row r="79" spans="1:36">
      <c r="A79"/>
      <c r="B79" t="s">
        <v>74</v>
      </c>
      <c r="D79" s="15">
        <f t="shared" ref="D79:M79" si="84">-(D37)</f>
        <v>-6666.666666666667</v>
      </c>
      <c r="E79" s="15">
        <f t="shared" si="84"/>
        <v>-6666.666666666667</v>
      </c>
      <c r="F79" s="15">
        <f t="shared" si="84"/>
        <v>-6666.666666666667</v>
      </c>
      <c r="G79" s="15">
        <f t="shared" si="84"/>
        <v>-6666.666666666667</v>
      </c>
      <c r="H79" s="15">
        <f t="shared" si="84"/>
        <v>-6666.666666666667</v>
      </c>
      <c r="I79" s="15">
        <f t="shared" si="84"/>
        <v>-6666.666666666667</v>
      </c>
      <c r="J79" s="15">
        <f t="shared" si="84"/>
        <v>-6666.666666666667</v>
      </c>
      <c r="K79" s="15">
        <f t="shared" si="84"/>
        <v>-6666.666666666667</v>
      </c>
      <c r="L79" s="15">
        <f t="shared" si="84"/>
        <v>-6666.666666666667</v>
      </c>
      <c r="M79" s="15">
        <f t="shared" si="84"/>
        <v>-6666.666666666667</v>
      </c>
      <c r="N79" s="15"/>
    </row>
    <row r="80" spans="1:36">
      <c r="A80"/>
      <c r="B80" t="s">
        <v>75</v>
      </c>
      <c r="D80" s="15">
        <f t="shared" ref="D80:M80" si="85">D78+D79</f>
        <v>1833.333333333333</v>
      </c>
      <c r="E80" s="15">
        <f t="shared" si="85"/>
        <v>1068.333333333333</v>
      </c>
      <c r="F80" s="15">
        <f t="shared" si="85"/>
        <v>891.60333333334438</v>
      </c>
      <c r="G80" s="15">
        <f t="shared" si="85"/>
        <v>7376.3616933333515</v>
      </c>
      <c r="H80" s="15">
        <f t="shared" si="85"/>
        <v>14605.333978713348</v>
      </c>
      <c r="I80" s="15">
        <f t="shared" si="85"/>
        <v>22672.006884903905</v>
      </c>
      <c r="J80" s="15">
        <f t="shared" si="85"/>
        <v>25682.04845564369</v>
      </c>
      <c r="K80" s="15">
        <f t="shared" si="85"/>
        <v>29754.916690212227</v>
      </c>
      <c r="L80" s="15">
        <f t="shared" si="85"/>
        <v>35025.681572733483</v>
      </c>
      <c r="M80" s="15">
        <f t="shared" si="85"/>
        <v>41647.088885025303</v>
      </c>
      <c r="N80" s="15"/>
    </row>
    <row r="81" spans="1:17">
      <c r="A81"/>
      <c r="B81" t="s">
        <v>76</v>
      </c>
      <c r="D81" s="15">
        <f t="shared" ref="D81:M81" si="86">D80*$O$42</f>
        <v>458.33333333333326</v>
      </c>
      <c r="E81" s="15">
        <f t="shared" si="86"/>
        <v>267.08333333333326</v>
      </c>
      <c r="F81" s="15">
        <f t="shared" si="86"/>
        <v>222.9008333333361</v>
      </c>
      <c r="G81" s="15">
        <f t="shared" si="86"/>
        <v>1844.0904233333379</v>
      </c>
      <c r="H81" s="15">
        <f t="shared" si="86"/>
        <v>3651.333494678337</v>
      </c>
      <c r="I81" s="15">
        <f t="shared" si="86"/>
        <v>5668.0017212259763</v>
      </c>
      <c r="J81" s="15">
        <f t="shared" si="86"/>
        <v>6420.5121139109224</v>
      </c>
      <c r="K81" s="15">
        <f t="shared" si="86"/>
        <v>7438.7291725530567</v>
      </c>
      <c r="L81" s="15">
        <f t="shared" si="86"/>
        <v>8756.4203931833708</v>
      </c>
      <c r="M81" s="15">
        <f t="shared" si="86"/>
        <v>10411.772221256326</v>
      </c>
      <c r="N81" s="15"/>
    </row>
    <row r="82" spans="1:17">
      <c r="A82"/>
      <c r="B82" t="s">
        <v>77</v>
      </c>
      <c r="D82" s="15">
        <f t="shared" ref="D82:M82" si="87">D78-D81</f>
        <v>8041.666666666667</v>
      </c>
      <c r="E82" s="15">
        <f t="shared" si="87"/>
        <v>7467.916666666667</v>
      </c>
      <c r="F82" s="15">
        <f t="shared" si="87"/>
        <v>7335.3691666666755</v>
      </c>
      <c r="G82" s="15">
        <f t="shared" si="87"/>
        <v>12198.93793666668</v>
      </c>
      <c r="H82" s="15">
        <f t="shared" si="87"/>
        <v>17620.66715070168</v>
      </c>
      <c r="I82" s="15">
        <f t="shared" si="87"/>
        <v>23670.671830344596</v>
      </c>
      <c r="J82" s="15">
        <f t="shared" si="87"/>
        <v>25928.203008399436</v>
      </c>
      <c r="K82" s="15">
        <f t="shared" si="87"/>
        <v>28982.854184325839</v>
      </c>
      <c r="L82" s="15">
        <f t="shared" si="87"/>
        <v>32935.927846216779</v>
      </c>
      <c r="M82" s="15">
        <f t="shared" si="87"/>
        <v>37901.983330435643</v>
      </c>
      <c r="N82" s="15"/>
    </row>
    <row r="83" spans="1:17">
      <c r="A83"/>
      <c r="B83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</row>
    <row r="84" spans="1:17">
      <c r="A84" t="s">
        <v>78</v>
      </c>
      <c r="B84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</row>
    <row r="85" spans="1:17">
      <c r="A85" s="86" t="s">
        <v>79</v>
      </c>
      <c r="B85" t="s">
        <v>80</v>
      </c>
      <c r="C85" s="15">
        <f t="shared" ref="C85:M85" si="88">-(D47-C47)</f>
        <v>-1972.6027397260275</v>
      </c>
      <c r="D85" s="15">
        <f t="shared" si="88"/>
        <v>-88.767123287671211</v>
      </c>
      <c r="E85" s="15">
        <f t="shared" si="88"/>
        <v>-92.761643835617633</v>
      </c>
      <c r="F85" s="15">
        <f t="shared" si="88"/>
        <v>-96.935917808219074</v>
      </c>
      <c r="G85" s="15">
        <f t="shared" si="88"/>
        <v>-101.29803410958903</v>
      </c>
      <c r="H85" s="15">
        <f t="shared" si="88"/>
        <v>-105.85644564452059</v>
      </c>
      <c r="I85" s="15">
        <f t="shared" si="88"/>
        <v>-403.78216212246025</v>
      </c>
      <c r="J85" s="15">
        <f t="shared" si="88"/>
        <v>-784.25728430380786</v>
      </c>
      <c r="K85" s="15">
        <f t="shared" si="88"/>
        <v>-1056.9389026733193</v>
      </c>
      <c r="L85" s="15">
        <f t="shared" si="88"/>
        <v>-1376.2890754636419</v>
      </c>
      <c r="M85" s="15">
        <f t="shared" si="88"/>
        <v>6079.4893289748743</v>
      </c>
      <c r="N85" s="44"/>
    </row>
    <row r="86" spans="1:17">
      <c r="A86" s="86" t="s">
        <v>79</v>
      </c>
      <c r="B86" t="s">
        <v>8</v>
      </c>
      <c r="C86" s="15">
        <f t="shared" ref="C86:M86" si="89">-(D49-C49)</f>
        <v>-493.15068493150682</v>
      </c>
      <c r="D86" s="15">
        <f t="shared" si="89"/>
        <v>55.109589041095887</v>
      </c>
      <c r="E86" s="15">
        <f t="shared" si="89"/>
        <v>48.951092465753277</v>
      </c>
      <c r="F86" s="15">
        <f t="shared" si="89"/>
        <v>43.480807882705506</v>
      </c>
      <c r="G86" s="15">
        <f t="shared" si="89"/>
        <v>38.621827601813152</v>
      </c>
      <c r="H86" s="15">
        <f t="shared" si="89"/>
        <v>34.305838367310571</v>
      </c>
      <c r="I86" s="15">
        <f t="shared" si="89"/>
        <v>30.472160929763561</v>
      </c>
      <c r="J86" s="15">
        <f t="shared" si="89"/>
        <v>27.06689694586251</v>
      </c>
      <c r="K86" s="15">
        <f t="shared" si="89"/>
        <v>24.042171212162316</v>
      </c>
      <c r="L86" s="15">
        <f t="shared" si="89"/>
        <v>21.35545857920323</v>
      </c>
      <c r="M86" s="15">
        <f t="shared" si="89"/>
        <v>169.74484190583681</v>
      </c>
      <c r="N86" s="16"/>
    </row>
    <row r="87" spans="1:17">
      <c r="A87" s="86" t="s">
        <v>79</v>
      </c>
      <c r="B87" t="s">
        <v>38</v>
      </c>
      <c r="C87" s="15">
        <f t="shared" ref="C87:M87" si="90">-(D50-C50)</f>
        <v>-14794.520547945205</v>
      </c>
      <c r="D87" s="15">
        <f t="shared" si="90"/>
        <v>-2211.7808219178114</v>
      </c>
      <c r="E87" s="15">
        <f t="shared" si="90"/>
        <v>-2542.4420547945301</v>
      </c>
      <c r="F87" s="15">
        <f t="shared" si="90"/>
        <v>-2922.5371419863041</v>
      </c>
      <c r="G87" s="15">
        <f t="shared" si="90"/>
        <v>-3359.4564447132616</v>
      </c>
      <c r="H87" s="15">
        <f t="shared" si="90"/>
        <v>-3861.6951831978913</v>
      </c>
      <c r="I87" s="15">
        <f t="shared" si="90"/>
        <v>-4439.0186130859729</v>
      </c>
      <c r="J87" s="15">
        <f t="shared" si="90"/>
        <v>-5102.6518957423323</v>
      </c>
      <c r="K87" s="15">
        <f t="shared" si="90"/>
        <v>-5865.4983541558177</v>
      </c>
      <c r="L87" s="15">
        <f t="shared" si="90"/>
        <v>-6742.3903581021077</v>
      </c>
      <c r="M87" s="15">
        <f t="shared" si="90"/>
        <v>51841.991415641234</v>
      </c>
      <c r="N87" s="16"/>
    </row>
    <row r="88" spans="1:17">
      <c r="A88" s="86"/>
      <c r="B88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6"/>
      <c r="Q88" s="13">
        <v>0.25</v>
      </c>
    </row>
    <row r="89" spans="1:17">
      <c r="A89" s="86" t="s">
        <v>79</v>
      </c>
      <c r="B89" t="s">
        <v>20</v>
      </c>
      <c r="C89" s="15">
        <f t="shared" ref="C89:M89" si="91">-(D53-C53)</f>
        <v>-75000</v>
      </c>
      <c r="D89" s="15">
        <f t="shared" si="91"/>
        <v>0</v>
      </c>
      <c r="E89" s="15">
        <f t="shared" si="91"/>
        <v>0</v>
      </c>
      <c r="F89" s="15">
        <f t="shared" si="91"/>
        <v>0</v>
      </c>
      <c r="G89" s="15">
        <f t="shared" si="91"/>
        <v>0</v>
      </c>
      <c r="H89" s="15">
        <f t="shared" si="91"/>
        <v>0</v>
      </c>
      <c r="I89" s="15">
        <f t="shared" si="91"/>
        <v>0</v>
      </c>
      <c r="J89" s="15">
        <f t="shared" si="91"/>
        <v>0</v>
      </c>
      <c r="K89" s="15">
        <f t="shared" si="91"/>
        <v>0</v>
      </c>
      <c r="L89" s="15">
        <f t="shared" si="91"/>
        <v>0</v>
      </c>
      <c r="M89" s="15">
        <f t="shared" si="91"/>
        <v>75000</v>
      </c>
      <c r="N89" s="16"/>
    </row>
    <row r="90" spans="1:17">
      <c r="A90" s="86"/>
      <c r="B90" t="s">
        <v>81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>
        <f>M89*(N90-100%)</f>
        <v>14999.999999999996</v>
      </c>
      <c r="N90" s="66">
        <v>1.2</v>
      </c>
    </row>
    <row r="91" spans="1:17">
      <c r="A91" s="86" t="s">
        <v>79</v>
      </c>
      <c r="B91" t="s">
        <v>82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>
        <f>-($Q$88*N92)</f>
        <v>-3750</v>
      </c>
      <c r="N91" s="15">
        <f>M89*N90</f>
        <v>90000</v>
      </c>
    </row>
    <row r="92" spans="1:17">
      <c r="A92" s="86"/>
      <c r="B92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44">
        <f>N91-M89</f>
        <v>15000</v>
      </c>
    </row>
    <row r="93" spans="1:17">
      <c r="A93" s="86" t="s">
        <v>79</v>
      </c>
      <c r="B93" t="s">
        <v>9</v>
      </c>
      <c r="C93" s="15">
        <f t="shared" ref="C93:M93" si="92">-(D54-C54)</f>
        <v>-200000</v>
      </c>
      <c r="D93" s="15">
        <f t="shared" si="92"/>
        <v>0</v>
      </c>
      <c r="E93" s="15">
        <f t="shared" si="92"/>
        <v>0</v>
      </c>
      <c r="F93" s="15">
        <f t="shared" si="92"/>
        <v>0</v>
      </c>
      <c r="G93" s="15">
        <f t="shared" si="92"/>
        <v>0</v>
      </c>
      <c r="H93" s="15">
        <f t="shared" si="92"/>
        <v>0</v>
      </c>
      <c r="I93" s="15">
        <f t="shared" si="92"/>
        <v>0</v>
      </c>
      <c r="J93" s="15">
        <f t="shared" si="92"/>
        <v>0</v>
      </c>
      <c r="K93" s="15">
        <f t="shared" si="92"/>
        <v>0</v>
      </c>
      <c r="L93" s="15">
        <f t="shared" si="92"/>
        <v>0</v>
      </c>
      <c r="M93" s="15">
        <f t="shared" si="92"/>
        <v>200000</v>
      </c>
      <c r="N93" s="66">
        <v>-0.2</v>
      </c>
    </row>
    <row r="94" spans="1:17">
      <c r="A94" s="86"/>
      <c r="B94" t="s">
        <v>81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>
        <f>M93*N93</f>
        <v>-40000</v>
      </c>
      <c r="N94" s="45">
        <f>M54-M55</f>
        <v>133333.33333333334</v>
      </c>
    </row>
    <row r="95" spans="1:17">
      <c r="A95" s="86" t="s">
        <v>79</v>
      </c>
      <c r="B95" t="s">
        <v>82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92">
        <f>-(N96*Q88)</f>
        <v>-6666.6666666666642</v>
      </c>
      <c r="N95" s="15">
        <f>SUM(M93:M94)</f>
        <v>160000</v>
      </c>
    </row>
    <row r="96" spans="1:17">
      <c r="A96" s="86"/>
      <c r="B96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44">
        <f>N95-N94</f>
        <v>26666.666666666657</v>
      </c>
    </row>
    <row r="97" spans="1:14">
      <c r="A97" s="86" t="s">
        <v>83</v>
      </c>
      <c r="B97" t="s">
        <v>84</v>
      </c>
      <c r="C97" s="15">
        <f t="shared" ref="C97:M97" si="93">(D61-C61)</f>
        <v>2465.7534246575342</v>
      </c>
      <c r="D97" s="15">
        <f t="shared" si="93"/>
        <v>110.95890410958918</v>
      </c>
      <c r="E97" s="15">
        <f t="shared" si="93"/>
        <v>115.9520547945217</v>
      </c>
      <c r="F97" s="15">
        <f t="shared" si="93"/>
        <v>121.16989726027396</v>
      </c>
      <c r="G97" s="15">
        <f t="shared" si="93"/>
        <v>126.62254263698651</v>
      </c>
      <c r="H97" s="15">
        <f t="shared" si="93"/>
        <v>132.32055705565062</v>
      </c>
      <c r="I97" s="15">
        <f t="shared" si="93"/>
        <v>138.27498212315504</v>
      </c>
      <c r="J97" s="15">
        <f t="shared" si="93"/>
        <v>144.4973563186968</v>
      </c>
      <c r="K97" s="15">
        <f t="shared" si="93"/>
        <v>150.99973735303911</v>
      </c>
      <c r="L97" s="15">
        <f t="shared" si="93"/>
        <v>157.79472553392498</v>
      </c>
      <c r="M97" s="15">
        <f t="shared" si="93"/>
        <v>-3664.3441818433721</v>
      </c>
      <c r="N97" s="16"/>
    </row>
    <row r="98" spans="1:14">
      <c r="A98" s="86" t="s">
        <v>83</v>
      </c>
      <c r="B98" t="s">
        <v>85</v>
      </c>
      <c r="C98" s="15">
        <f t="shared" ref="C98:M98" si="94">(D62-C62)</f>
        <v>0</v>
      </c>
      <c r="D98" s="15">
        <f t="shared" si="94"/>
        <v>0</v>
      </c>
      <c r="E98" s="15">
        <f t="shared" si="94"/>
        <v>0</v>
      </c>
      <c r="F98" s="15">
        <f t="shared" si="94"/>
        <v>0</v>
      </c>
      <c r="G98" s="15">
        <f t="shared" si="94"/>
        <v>0</v>
      </c>
      <c r="H98" s="15">
        <f t="shared" si="94"/>
        <v>0</v>
      </c>
      <c r="I98" s="15">
        <f t="shared" si="94"/>
        <v>366.45272052992004</v>
      </c>
      <c r="J98" s="15">
        <f t="shared" si="94"/>
        <v>835.82424906106371</v>
      </c>
      <c r="K98" s="15">
        <f t="shared" si="94"/>
        <v>1170.1738909886089</v>
      </c>
      <c r="L98" s="15">
        <f t="shared" si="94"/>
        <v>1562.5666187956276</v>
      </c>
      <c r="M98" s="15">
        <f t="shared" si="94"/>
        <v>-3935.0174793752203</v>
      </c>
      <c r="N98" s="16"/>
    </row>
    <row r="99" spans="1:14">
      <c r="A99"/>
      <c r="B99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6"/>
    </row>
    <row r="100" spans="1:14">
      <c r="A100" s="6" t="s">
        <v>86</v>
      </c>
      <c r="B100"/>
      <c r="C100" s="15">
        <f>SUM(C82:C98)</f>
        <v>-289794.52054794523</v>
      </c>
      <c r="D100" s="15">
        <f t="shared" ref="D100:M100" si="95">SUM(D82:D98)</f>
        <v>5907.1872146118694</v>
      </c>
      <c r="E100" s="15">
        <f t="shared" si="95"/>
        <v>4997.6161152967943</v>
      </c>
      <c r="F100" s="15">
        <f t="shared" si="95"/>
        <v>4480.5468120151327</v>
      </c>
      <c r="G100" s="15">
        <f t="shared" si="95"/>
        <v>8903.4278280826293</v>
      </c>
      <c r="H100" s="15">
        <f t="shared" si="95"/>
        <v>13819.741917282228</v>
      </c>
      <c r="I100" s="15">
        <f t="shared" si="95"/>
        <v>19363.070918719</v>
      </c>
      <c r="J100" s="15">
        <f t="shared" si="95"/>
        <v>21048.682330678923</v>
      </c>
      <c r="K100" s="15">
        <f t="shared" si="95"/>
        <v>23405.63272705051</v>
      </c>
      <c r="L100" s="15">
        <f t="shared" si="95"/>
        <v>26558.965215559783</v>
      </c>
      <c r="M100" s="15">
        <f t="shared" si="95"/>
        <v>327977.18058907229</v>
      </c>
      <c r="N100" s="16"/>
    </row>
    <row r="101" spans="1:14">
      <c r="A101" s="6" t="s">
        <v>87</v>
      </c>
      <c r="B101"/>
      <c r="C101" s="8">
        <f>IRR(C100:M100)</f>
        <v>5.2501234095061911E-2</v>
      </c>
    </row>
    <row r="102" spans="1:14">
      <c r="A102" s="6"/>
      <c r="B102"/>
    </row>
    <row r="103" spans="1:14">
      <c r="A103" s="6" t="s">
        <v>88</v>
      </c>
      <c r="B103"/>
      <c r="C103" s="46">
        <f>S72</f>
        <v>7.7247509034770248E-2</v>
      </c>
    </row>
    <row r="104" spans="1:14">
      <c r="A104" s="6" t="s">
        <v>89</v>
      </c>
      <c r="B104"/>
      <c r="C104" s="67">
        <f>NPV(C103,D100:M100)</f>
        <v>236749.72442652826</v>
      </c>
    </row>
  </sheetData>
  <sheetProtection selectLockedCells="1" selectUnlockedCells="1"/>
  <mergeCells count="4">
    <mergeCell ref="Y60:AH60"/>
    <mergeCell ref="T61:T62"/>
    <mergeCell ref="U61:U62"/>
    <mergeCell ref="V61:V62"/>
  </mergeCells>
  <pageMargins left="0.7" right="0.7" top="0.75" bottom="0.75" header="0.51180555555555596" footer="0.51180555555555596"/>
  <pageSetup scale="55" firstPageNumber="0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1]!ClearInputs">
                <anchor moveWithCells="1" sizeWithCells="1">
                  <from>
                    <xdr:col>20</xdr:col>
                    <xdr:colOff>342900</xdr:colOff>
                    <xdr:row>47</xdr:row>
                    <xdr:rowOff>28575</xdr:rowOff>
                  </from>
                  <to>
                    <xdr:col>22</xdr:col>
                    <xdr:colOff>0</xdr:colOff>
                    <xdr:row>48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topLeftCell="A57" workbookViewId="0">
      <selection activeCell="C67" sqref="C67"/>
    </sheetView>
  </sheetViews>
  <sheetFormatPr defaultRowHeight="12.75"/>
  <cols>
    <col min="1" max="1" width="5.7109375" customWidth="1"/>
    <col min="2" max="2" width="15" customWidth="1"/>
    <col min="3" max="5" width="10" bestFit="1" customWidth="1"/>
    <col min="6" max="6" width="10.7109375" customWidth="1"/>
    <col min="7" max="7" width="10.7109375" bestFit="1" customWidth="1"/>
    <col min="8" max="13" width="10.7109375" hidden="1" customWidth="1"/>
    <col min="14" max="14" width="0" hidden="1" customWidth="1"/>
    <col min="15" max="15" width="5.28515625" hidden="1" customWidth="1"/>
    <col min="16" max="16" width="5.7109375" bestFit="1" customWidth="1"/>
    <col min="17" max="17" width="9.7109375" bestFit="1" customWidth="1"/>
    <col min="18" max="18" width="12.7109375" customWidth="1"/>
    <col min="19" max="19" width="9.85546875" bestFit="1" customWidth="1"/>
    <col min="20" max="20" width="10.7109375" bestFit="1" customWidth="1"/>
    <col min="21" max="21" width="9.7109375" bestFit="1" customWidth="1"/>
    <col min="22" max="22" width="11.85546875" bestFit="1" customWidth="1"/>
    <col min="23" max="23" width="10.7109375" bestFit="1" customWidth="1"/>
    <col min="24" max="24" width="10" bestFit="1" customWidth="1"/>
  </cols>
  <sheetData>
    <row r="1" spans="1:16" ht="15.75" thickBot="1">
      <c r="A1" s="68" t="s">
        <v>30</v>
      </c>
      <c r="B1" s="69"/>
      <c r="C1" s="69"/>
      <c r="D1" s="72">
        <v>2015</v>
      </c>
      <c r="E1" s="72">
        <v>2016</v>
      </c>
      <c r="F1" s="72">
        <v>2017</v>
      </c>
      <c r="G1" s="72">
        <v>2018</v>
      </c>
      <c r="H1" s="72">
        <v>2019</v>
      </c>
      <c r="I1" s="72">
        <v>2020</v>
      </c>
      <c r="J1" s="72">
        <v>2021</v>
      </c>
      <c r="K1" s="72">
        <v>2022</v>
      </c>
      <c r="L1" s="72">
        <v>2023</v>
      </c>
      <c r="M1" s="72">
        <v>2024</v>
      </c>
      <c r="N1" s="70"/>
      <c r="O1" s="71"/>
      <c r="P1" s="16"/>
    </row>
    <row r="2" spans="1:16" ht="15">
      <c r="A2" s="9" t="s">
        <v>0</v>
      </c>
      <c r="B2" s="10"/>
      <c r="C2" s="10"/>
      <c r="D2" s="48"/>
      <c r="E2" s="48"/>
      <c r="F2" s="48"/>
      <c r="G2" s="48"/>
      <c r="H2" s="48"/>
      <c r="I2" s="48"/>
      <c r="J2" s="48"/>
      <c r="K2" s="48"/>
      <c r="L2" s="48"/>
      <c r="M2" s="48"/>
      <c r="N2" s="10"/>
      <c r="O2" s="10"/>
      <c r="P2" s="1"/>
    </row>
    <row r="3" spans="1:16" ht="15">
      <c r="A3" s="9" t="s">
        <v>24</v>
      </c>
      <c r="B3" s="10"/>
      <c r="C3" s="10"/>
      <c r="D3" s="48"/>
      <c r="E3" s="48"/>
      <c r="F3" s="48"/>
      <c r="G3" s="48"/>
      <c r="H3" s="48"/>
      <c r="I3" s="48"/>
      <c r="J3" s="48"/>
      <c r="K3" s="48"/>
      <c r="L3" s="48"/>
      <c r="M3" s="48"/>
      <c r="N3" s="10"/>
      <c r="O3" s="10"/>
      <c r="P3" s="1"/>
    </row>
    <row r="4" spans="1:16" ht="15">
      <c r="A4" s="11" t="s">
        <v>31</v>
      </c>
      <c r="B4" s="11"/>
      <c r="C4" s="10"/>
      <c r="D4" s="61">
        <v>3000</v>
      </c>
      <c r="E4" s="61">
        <f>(1+$O$4)*D4</f>
        <v>1500</v>
      </c>
      <c r="F4" s="61">
        <f t="shared" ref="F4:M4" si="0">(1+$O$4)*E4</f>
        <v>750</v>
      </c>
      <c r="G4" s="61">
        <f t="shared" si="0"/>
        <v>375</v>
      </c>
      <c r="H4" s="61">
        <f t="shared" si="0"/>
        <v>187.5</v>
      </c>
      <c r="I4" s="61">
        <f t="shared" si="0"/>
        <v>93.75</v>
      </c>
      <c r="J4" s="61">
        <f t="shared" si="0"/>
        <v>46.875</v>
      </c>
      <c r="K4" s="61">
        <f t="shared" si="0"/>
        <v>23.4375</v>
      </c>
      <c r="L4" s="61">
        <f t="shared" si="0"/>
        <v>11.71875</v>
      </c>
      <c r="M4" s="61">
        <f t="shared" si="0"/>
        <v>5.859375</v>
      </c>
      <c r="N4" s="48"/>
      <c r="O4" s="49">
        <v>-0.5</v>
      </c>
      <c r="P4" s="1"/>
    </row>
    <row r="5" spans="1:16" ht="15">
      <c r="A5" s="11" t="s">
        <v>32</v>
      </c>
      <c r="B5" s="11"/>
      <c r="C5" s="10"/>
      <c r="D5" s="61">
        <v>2000</v>
      </c>
      <c r="E5" s="61">
        <f t="shared" ref="E5:M5" si="1">(1+$O$5)*D5</f>
        <v>1000</v>
      </c>
      <c r="F5" s="61">
        <f t="shared" si="1"/>
        <v>500</v>
      </c>
      <c r="G5" s="61">
        <f t="shared" si="1"/>
        <v>250</v>
      </c>
      <c r="H5" s="61">
        <f t="shared" si="1"/>
        <v>125</v>
      </c>
      <c r="I5" s="61">
        <f t="shared" si="1"/>
        <v>62.5</v>
      </c>
      <c r="J5" s="61">
        <f t="shared" si="1"/>
        <v>31.25</v>
      </c>
      <c r="K5" s="61">
        <f t="shared" si="1"/>
        <v>15.625</v>
      </c>
      <c r="L5" s="61">
        <f t="shared" si="1"/>
        <v>7.8125</v>
      </c>
      <c r="M5" s="61">
        <f t="shared" si="1"/>
        <v>3.90625</v>
      </c>
      <c r="N5" s="48"/>
      <c r="O5" s="49">
        <v>-0.5</v>
      </c>
      <c r="P5" s="1"/>
    </row>
    <row r="6" spans="1:16" ht="15">
      <c r="A6" s="11" t="s">
        <v>33</v>
      </c>
      <c r="B6" s="11"/>
      <c r="C6" s="10"/>
      <c r="D6" s="50">
        <v>20</v>
      </c>
      <c r="E6" s="50">
        <f t="shared" ref="E6:M6" si="2">(1+$O$6)*D6</f>
        <v>19</v>
      </c>
      <c r="F6" s="50">
        <f t="shared" si="2"/>
        <v>18.05</v>
      </c>
      <c r="G6" s="50">
        <f t="shared" si="2"/>
        <v>17.147500000000001</v>
      </c>
      <c r="H6" s="50">
        <f t="shared" si="2"/>
        <v>16.290125</v>
      </c>
      <c r="I6" s="50">
        <f t="shared" si="2"/>
        <v>15.475618749999999</v>
      </c>
      <c r="J6" s="50">
        <f t="shared" si="2"/>
        <v>14.701837812499999</v>
      </c>
      <c r="K6" s="50">
        <f t="shared" si="2"/>
        <v>13.966745921874999</v>
      </c>
      <c r="L6" s="50">
        <f t="shared" si="2"/>
        <v>13.268408625781248</v>
      </c>
      <c r="M6" s="50">
        <f t="shared" si="2"/>
        <v>12.604988194492185</v>
      </c>
      <c r="N6" s="50"/>
      <c r="O6" s="49">
        <v>-0.05</v>
      </c>
      <c r="P6" s="1"/>
    </row>
    <row r="7" spans="1:16" ht="15">
      <c r="A7" s="11" t="s">
        <v>34</v>
      </c>
      <c r="B7" s="11"/>
      <c r="C7" s="10"/>
      <c r="D7" s="50">
        <v>15</v>
      </c>
      <c r="E7" s="50">
        <f t="shared" ref="E7:M7" si="3">(1+$O$7)*D7</f>
        <v>15.450000000000001</v>
      </c>
      <c r="F7" s="50">
        <f t="shared" si="3"/>
        <v>15.913500000000001</v>
      </c>
      <c r="G7" s="50">
        <f t="shared" si="3"/>
        <v>16.390905</v>
      </c>
      <c r="H7" s="50">
        <f t="shared" si="3"/>
        <v>16.882632149999999</v>
      </c>
      <c r="I7" s="50">
        <f t="shared" si="3"/>
        <v>17.3891111145</v>
      </c>
      <c r="J7" s="50">
        <f t="shared" si="3"/>
        <v>17.910784447935001</v>
      </c>
      <c r="K7" s="50">
        <f t="shared" si="3"/>
        <v>18.448107981373052</v>
      </c>
      <c r="L7" s="50">
        <f t="shared" si="3"/>
        <v>19.001551220814246</v>
      </c>
      <c r="M7" s="50">
        <f t="shared" si="3"/>
        <v>19.571597757438674</v>
      </c>
      <c r="N7" s="50"/>
      <c r="O7" s="49">
        <v>0.03</v>
      </c>
      <c r="P7" s="1"/>
    </row>
    <row r="8" spans="1:16" ht="15">
      <c r="A8" s="11" t="s">
        <v>35</v>
      </c>
      <c r="B8" s="11"/>
      <c r="C8" s="10"/>
      <c r="D8" s="50">
        <f t="shared" ref="D8:M8" si="4">D6*$O$8</f>
        <v>10</v>
      </c>
      <c r="E8" s="50">
        <f t="shared" si="4"/>
        <v>9.5</v>
      </c>
      <c r="F8" s="50">
        <f t="shared" si="4"/>
        <v>9.0250000000000004</v>
      </c>
      <c r="G8" s="50">
        <f t="shared" si="4"/>
        <v>8.5737500000000004</v>
      </c>
      <c r="H8" s="50">
        <f t="shared" si="4"/>
        <v>8.1450624999999999</v>
      </c>
      <c r="I8" s="50">
        <f t="shared" si="4"/>
        <v>7.7378093749999994</v>
      </c>
      <c r="J8" s="50">
        <f t="shared" si="4"/>
        <v>7.3509189062499996</v>
      </c>
      <c r="K8" s="50">
        <f t="shared" si="4"/>
        <v>6.9833729609374995</v>
      </c>
      <c r="L8" s="50">
        <f t="shared" si="4"/>
        <v>6.6342043128906241</v>
      </c>
      <c r="M8" s="50">
        <f t="shared" si="4"/>
        <v>6.3024940972460923</v>
      </c>
      <c r="N8" s="50"/>
      <c r="O8" s="49">
        <v>0.5</v>
      </c>
      <c r="P8" s="1"/>
    </row>
    <row r="9" spans="1:16" ht="15">
      <c r="A9" s="11" t="s">
        <v>36</v>
      </c>
      <c r="B9" s="11"/>
      <c r="C9" s="10"/>
      <c r="D9" s="50">
        <f>D7*$O$8</f>
        <v>7.5</v>
      </c>
      <c r="E9" s="50">
        <f t="shared" ref="E9:M9" si="5">E7*$O$9</f>
        <v>7.7250000000000005</v>
      </c>
      <c r="F9" s="50">
        <f t="shared" si="5"/>
        <v>7.9567500000000004</v>
      </c>
      <c r="G9" s="50">
        <f t="shared" si="5"/>
        <v>8.1954525</v>
      </c>
      <c r="H9" s="50">
        <f t="shared" si="5"/>
        <v>8.4413160749999996</v>
      </c>
      <c r="I9" s="50">
        <f t="shared" si="5"/>
        <v>8.6945555572500002</v>
      </c>
      <c r="J9" s="50">
        <f t="shared" si="5"/>
        <v>8.9553922239675003</v>
      </c>
      <c r="K9" s="50">
        <f t="shared" si="5"/>
        <v>9.2240539906865262</v>
      </c>
      <c r="L9" s="50">
        <f t="shared" si="5"/>
        <v>9.500775610407123</v>
      </c>
      <c r="M9" s="50">
        <f t="shared" si="5"/>
        <v>9.7857988787193371</v>
      </c>
      <c r="N9" s="50"/>
      <c r="O9" s="49">
        <v>0.5</v>
      </c>
      <c r="P9" s="1"/>
    </row>
    <row r="10" spans="1:16" ht="15">
      <c r="A10" s="11" t="s">
        <v>37</v>
      </c>
      <c r="B10" s="11"/>
      <c r="C10" s="10"/>
      <c r="D10" s="51">
        <v>3</v>
      </c>
      <c r="E10" s="52">
        <f t="shared" ref="E10:M10" si="6">(1+$O$10)*D10</f>
        <v>2.5499999999999998</v>
      </c>
      <c r="F10" s="52">
        <f t="shared" si="6"/>
        <v>2.1675</v>
      </c>
      <c r="G10" s="52">
        <f t="shared" si="6"/>
        <v>1.8423749999999999</v>
      </c>
      <c r="H10" s="52">
        <f t="shared" si="6"/>
        <v>1.5660187499999998</v>
      </c>
      <c r="I10" s="52">
        <f t="shared" si="6"/>
        <v>1.3311159374999997</v>
      </c>
      <c r="J10" s="52">
        <f t="shared" si="6"/>
        <v>1.1314485468749997</v>
      </c>
      <c r="K10" s="52">
        <f t="shared" si="6"/>
        <v>0.96173126484374971</v>
      </c>
      <c r="L10" s="52">
        <f t="shared" si="6"/>
        <v>0.81747157511718727</v>
      </c>
      <c r="M10" s="52">
        <f t="shared" si="6"/>
        <v>0.69485083884960919</v>
      </c>
      <c r="N10" s="52"/>
      <c r="O10" s="49">
        <v>-0.15</v>
      </c>
      <c r="P10" s="1">
        <v>365</v>
      </c>
    </row>
    <row r="11" spans="1:16" ht="15">
      <c r="A11" s="11" t="s">
        <v>38</v>
      </c>
      <c r="B11" s="11"/>
      <c r="C11" s="10"/>
      <c r="D11" s="51">
        <v>180</v>
      </c>
      <c r="E11" s="52">
        <f t="shared" ref="E11:M11" si="7">(1+$O$11)*D11</f>
        <v>198.00000000000003</v>
      </c>
      <c r="F11" s="52">
        <f t="shared" si="7"/>
        <v>217.80000000000004</v>
      </c>
      <c r="G11" s="52">
        <f t="shared" si="7"/>
        <v>239.58000000000007</v>
      </c>
      <c r="H11" s="52">
        <f t="shared" si="7"/>
        <v>263.53800000000012</v>
      </c>
      <c r="I11" s="52">
        <f t="shared" si="7"/>
        <v>289.89180000000016</v>
      </c>
      <c r="J11" s="52">
        <f t="shared" si="7"/>
        <v>318.88098000000019</v>
      </c>
      <c r="K11" s="52">
        <f t="shared" si="7"/>
        <v>350.76907800000026</v>
      </c>
      <c r="L11" s="52">
        <f t="shared" si="7"/>
        <v>385.84598580000034</v>
      </c>
      <c r="M11" s="52">
        <f t="shared" si="7"/>
        <v>424.43058438000043</v>
      </c>
      <c r="N11" s="52"/>
      <c r="O11" s="49">
        <v>0.1</v>
      </c>
      <c r="P11" s="1"/>
    </row>
    <row r="12" spans="1:16" ht="15">
      <c r="A12" s="11" t="s">
        <v>27</v>
      </c>
      <c r="B12" s="11"/>
      <c r="C12" s="10"/>
      <c r="D12" s="51">
        <v>30</v>
      </c>
      <c r="E12" s="52">
        <f t="shared" ref="E12:M12" si="8">(1+$O$12)*D12</f>
        <v>30</v>
      </c>
      <c r="F12" s="52">
        <f t="shared" si="8"/>
        <v>30</v>
      </c>
      <c r="G12" s="52">
        <f t="shared" si="8"/>
        <v>30</v>
      </c>
      <c r="H12" s="52">
        <f t="shared" si="8"/>
        <v>30</v>
      </c>
      <c r="I12" s="52">
        <f t="shared" si="8"/>
        <v>30</v>
      </c>
      <c r="J12" s="52">
        <f t="shared" si="8"/>
        <v>30</v>
      </c>
      <c r="K12" s="52">
        <f t="shared" si="8"/>
        <v>30</v>
      </c>
      <c r="L12" s="52">
        <f t="shared" si="8"/>
        <v>30</v>
      </c>
      <c r="M12" s="52">
        <f t="shared" si="8"/>
        <v>30</v>
      </c>
      <c r="N12" s="52"/>
      <c r="O12" s="49">
        <v>0</v>
      </c>
      <c r="P12" s="1"/>
    </row>
    <row r="13" spans="1:16" ht="15">
      <c r="A13" s="11" t="s">
        <v>44</v>
      </c>
      <c r="B13" s="11"/>
      <c r="C13" s="10"/>
      <c r="D13" s="51">
        <v>3</v>
      </c>
      <c r="E13" s="51">
        <f>D13</f>
        <v>3</v>
      </c>
      <c r="F13" s="51">
        <f t="shared" ref="F13:M13" si="9">E13</f>
        <v>3</v>
      </c>
      <c r="G13" s="51">
        <f t="shared" si="9"/>
        <v>3</v>
      </c>
      <c r="H13" s="51">
        <f t="shared" si="9"/>
        <v>3</v>
      </c>
      <c r="I13" s="51">
        <f t="shared" si="9"/>
        <v>3</v>
      </c>
      <c r="J13" s="51">
        <f t="shared" si="9"/>
        <v>3</v>
      </c>
      <c r="K13" s="51">
        <f t="shared" si="9"/>
        <v>3</v>
      </c>
      <c r="L13" s="51">
        <f t="shared" si="9"/>
        <v>3</v>
      </c>
      <c r="M13" s="51">
        <f t="shared" si="9"/>
        <v>3</v>
      </c>
      <c r="N13" s="51"/>
      <c r="O13" s="49"/>
      <c r="P13" s="1"/>
    </row>
    <row r="14" spans="1:16" ht="15">
      <c r="A14" s="11" t="s">
        <v>45</v>
      </c>
      <c r="B14" s="11"/>
      <c r="C14" s="10"/>
      <c r="D14" s="50">
        <v>8</v>
      </c>
      <c r="E14" s="50">
        <v>9</v>
      </c>
      <c r="F14" s="50">
        <v>10</v>
      </c>
      <c r="G14" s="50">
        <v>10</v>
      </c>
      <c r="H14" s="50">
        <v>10</v>
      </c>
      <c r="I14" s="50">
        <v>10</v>
      </c>
      <c r="J14" s="50">
        <v>11</v>
      </c>
      <c r="K14" s="50">
        <v>12</v>
      </c>
      <c r="L14" s="50">
        <v>13</v>
      </c>
      <c r="M14" s="50">
        <v>14</v>
      </c>
      <c r="N14" s="53"/>
      <c r="O14" s="49"/>
      <c r="P14" s="1"/>
    </row>
    <row r="15" spans="1:16" ht="15">
      <c r="A15" s="11" t="s">
        <v>46</v>
      </c>
      <c r="B15" s="11"/>
      <c r="C15" s="10"/>
      <c r="D15" s="61">
        <f>40*50</f>
        <v>2000</v>
      </c>
      <c r="E15" s="61">
        <f t="shared" ref="E15:M15" si="10">40*50</f>
        <v>2000</v>
      </c>
      <c r="F15" s="61">
        <f t="shared" si="10"/>
        <v>2000</v>
      </c>
      <c r="G15" s="61">
        <f t="shared" si="10"/>
        <v>2000</v>
      </c>
      <c r="H15" s="61">
        <f t="shared" si="10"/>
        <v>2000</v>
      </c>
      <c r="I15" s="61">
        <f t="shared" si="10"/>
        <v>2000</v>
      </c>
      <c r="J15" s="61">
        <f t="shared" si="10"/>
        <v>2000</v>
      </c>
      <c r="K15" s="61">
        <f t="shared" si="10"/>
        <v>2000</v>
      </c>
      <c r="L15" s="61">
        <f t="shared" si="10"/>
        <v>2000</v>
      </c>
      <c r="M15" s="61">
        <f t="shared" si="10"/>
        <v>2000</v>
      </c>
      <c r="N15" s="51"/>
      <c r="O15" s="49"/>
      <c r="P15" s="1"/>
    </row>
    <row r="16" spans="1:16" ht="15">
      <c r="A16" s="11"/>
      <c r="B16" s="11"/>
      <c r="C16" s="1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49"/>
      <c r="P16" s="1"/>
    </row>
    <row r="17" spans="1:16" ht="15">
      <c r="A17" s="9" t="s">
        <v>1</v>
      </c>
      <c r="B17" s="10"/>
      <c r="C17" s="10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10"/>
      <c r="P17" s="1"/>
    </row>
    <row r="18" spans="1:16" ht="15">
      <c r="A18" s="12" t="s">
        <v>39</v>
      </c>
      <c r="B18" s="10"/>
      <c r="C18" s="15"/>
      <c r="D18" s="15">
        <f>D4*D6</f>
        <v>60000</v>
      </c>
      <c r="E18" s="15">
        <f t="shared" ref="E18:M19" si="11">E4*E6</f>
        <v>28500</v>
      </c>
      <c r="F18" s="15">
        <f t="shared" si="11"/>
        <v>13537.5</v>
      </c>
      <c r="G18" s="15">
        <f t="shared" si="11"/>
        <v>6430.3125</v>
      </c>
      <c r="H18" s="15">
        <f t="shared" si="11"/>
        <v>3054.3984375</v>
      </c>
      <c r="I18" s="15">
        <f t="shared" si="11"/>
        <v>1450.8392578124999</v>
      </c>
      <c r="J18" s="15">
        <f t="shared" si="11"/>
        <v>689.14864746093747</v>
      </c>
      <c r="K18" s="15">
        <f t="shared" si="11"/>
        <v>327.34560754394528</v>
      </c>
      <c r="L18" s="15">
        <f t="shared" si="11"/>
        <v>155.48916358337399</v>
      </c>
      <c r="M18" s="15">
        <f t="shared" si="11"/>
        <v>73.857352702102645</v>
      </c>
      <c r="N18" s="5"/>
      <c r="O18" s="10"/>
      <c r="P18" s="1"/>
    </row>
    <row r="19" spans="1:16" ht="15">
      <c r="A19" s="12" t="s">
        <v>40</v>
      </c>
      <c r="B19" s="10"/>
      <c r="C19" s="15"/>
      <c r="D19" s="15">
        <f>D5*D7</f>
        <v>30000</v>
      </c>
      <c r="E19" s="15">
        <f t="shared" si="11"/>
        <v>15450.000000000002</v>
      </c>
      <c r="F19" s="15">
        <f t="shared" si="11"/>
        <v>7956.75</v>
      </c>
      <c r="G19" s="15">
        <f t="shared" si="11"/>
        <v>4097.7262499999997</v>
      </c>
      <c r="H19" s="15">
        <f t="shared" si="11"/>
        <v>2110.3290187499997</v>
      </c>
      <c r="I19" s="15">
        <f t="shared" si="11"/>
        <v>1086.81944465625</v>
      </c>
      <c r="J19" s="15">
        <f t="shared" si="11"/>
        <v>559.71201399796882</v>
      </c>
      <c r="K19" s="15">
        <f t="shared" si="11"/>
        <v>288.25168720895397</v>
      </c>
      <c r="L19" s="15">
        <f t="shared" si="11"/>
        <v>148.4496189126113</v>
      </c>
      <c r="M19" s="15">
        <f t="shared" si="11"/>
        <v>76.451553739994822</v>
      </c>
      <c r="N19" s="5"/>
      <c r="O19" s="10"/>
      <c r="P19" s="1"/>
    </row>
    <row r="20" spans="1:16" ht="15">
      <c r="A20" s="1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5"/>
      <c r="O20" s="10"/>
      <c r="P20" s="1"/>
    </row>
    <row r="21" spans="1:16" ht="15">
      <c r="A21" s="12" t="s">
        <v>25</v>
      </c>
      <c r="B21" s="10"/>
      <c r="C21" s="15"/>
      <c r="D21" s="15">
        <f>SUM(D18:D19)</f>
        <v>90000</v>
      </c>
      <c r="E21" s="15">
        <f t="shared" ref="E21:M21" si="12">SUM(E18:E19)</f>
        <v>43950</v>
      </c>
      <c r="F21" s="15">
        <f t="shared" si="12"/>
        <v>21494.25</v>
      </c>
      <c r="G21" s="15">
        <f t="shared" si="12"/>
        <v>10528.03875</v>
      </c>
      <c r="H21" s="15">
        <f t="shared" si="12"/>
        <v>5164.7274562499997</v>
      </c>
      <c r="I21" s="15">
        <f t="shared" si="12"/>
        <v>2537.6587024687497</v>
      </c>
      <c r="J21" s="15">
        <f t="shared" si="12"/>
        <v>1248.8606614589062</v>
      </c>
      <c r="K21" s="15">
        <f t="shared" si="12"/>
        <v>615.59729475289919</v>
      </c>
      <c r="L21" s="15">
        <f t="shared" si="12"/>
        <v>303.93878249598527</v>
      </c>
      <c r="M21" s="15">
        <f t="shared" si="12"/>
        <v>150.30890644209745</v>
      </c>
      <c r="N21" s="5"/>
      <c r="O21" s="10"/>
      <c r="P21" s="1"/>
    </row>
    <row r="22" spans="1:16" ht="15">
      <c r="A22" s="1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5"/>
      <c r="O22" s="10"/>
      <c r="P22" s="1"/>
    </row>
    <row r="23" spans="1:16" ht="15">
      <c r="A23" s="10" t="s">
        <v>16</v>
      </c>
      <c r="B23" s="10"/>
      <c r="C23" s="15"/>
      <c r="D23" s="15">
        <f>D4*D8</f>
        <v>30000</v>
      </c>
      <c r="E23" s="15">
        <f t="shared" ref="E23:M24" si="13">E4*E8</f>
        <v>14250</v>
      </c>
      <c r="F23" s="15">
        <f t="shared" si="13"/>
        <v>6768.75</v>
      </c>
      <c r="G23" s="15">
        <f t="shared" si="13"/>
        <v>3215.15625</v>
      </c>
      <c r="H23" s="15">
        <f t="shared" si="13"/>
        <v>1527.19921875</v>
      </c>
      <c r="I23" s="15">
        <f t="shared" si="13"/>
        <v>725.41962890624995</v>
      </c>
      <c r="J23" s="15">
        <f t="shared" si="13"/>
        <v>344.57432373046873</v>
      </c>
      <c r="K23" s="15">
        <f t="shared" si="13"/>
        <v>163.67280377197264</v>
      </c>
      <c r="L23" s="15">
        <f t="shared" si="13"/>
        <v>77.744581791686997</v>
      </c>
      <c r="M23" s="15">
        <f t="shared" si="13"/>
        <v>36.928676351051323</v>
      </c>
      <c r="N23" s="5"/>
      <c r="O23" s="10"/>
      <c r="P23" s="1"/>
    </row>
    <row r="24" spans="1:16" ht="15">
      <c r="A24" s="10" t="s">
        <v>41</v>
      </c>
      <c r="B24" s="10"/>
      <c r="C24" s="15"/>
      <c r="D24" s="15">
        <f>D5*D9</f>
        <v>15000</v>
      </c>
      <c r="E24" s="15">
        <f t="shared" si="13"/>
        <v>7725.0000000000009</v>
      </c>
      <c r="F24" s="15">
        <f t="shared" si="13"/>
        <v>3978.375</v>
      </c>
      <c r="G24" s="15">
        <f t="shared" si="13"/>
        <v>2048.8631249999999</v>
      </c>
      <c r="H24" s="15">
        <f t="shared" si="13"/>
        <v>1055.1645093749999</v>
      </c>
      <c r="I24" s="15">
        <f t="shared" si="13"/>
        <v>543.40972232812499</v>
      </c>
      <c r="J24" s="15">
        <f t="shared" si="13"/>
        <v>279.85600699898441</v>
      </c>
      <c r="K24" s="15">
        <f t="shared" si="13"/>
        <v>144.12584360447698</v>
      </c>
      <c r="L24" s="15">
        <f t="shared" si="13"/>
        <v>74.22480945630565</v>
      </c>
      <c r="M24" s="15">
        <f t="shared" si="13"/>
        <v>38.225776869997411</v>
      </c>
      <c r="N24" s="5"/>
      <c r="O24" s="10"/>
      <c r="P24" s="1"/>
    </row>
    <row r="25" spans="1:16" ht="15">
      <c r="A25" s="1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5"/>
      <c r="O25" s="10"/>
      <c r="P25" s="1"/>
    </row>
    <row r="26" spans="1:16" ht="15">
      <c r="A26" s="12" t="s">
        <v>26</v>
      </c>
      <c r="B26" s="10"/>
      <c r="C26" s="15"/>
      <c r="D26" s="15">
        <f>SUM(D23:D23)</f>
        <v>30000</v>
      </c>
      <c r="E26" s="15">
        <f>SUM(E23:E23)</f>
        <v>14250</v>
      </c>
      <c r="F26" s="15">
        <f>SUM(F23:F23)</f>
        <v>6768.75</v>
      </c>
      <c r="G26" s="15">
        <f>SUM(G23:G23)</f>
        <v>3215.15625</v>
      </c>
      <c r="H26" s="15">
        <f t="shared" ref="H26:M26" si="14">SUM(H23:H23)</f>
        <v>1527.19921875</v>
      </c>
      <c r="I26" s="15">
        <f t="shared" si="14"/>
        <v>725.41962890624995</v>
      </c>
      <c r="J26" s="15">
        <f t="shared" si="14"/>
        <v>344.57432373046873</v>
      </c>
      <c r="K26" s="15">
        <f t="shared" si="14"/>
        <v>163.67280377197264</v>
      </c>
      <c r="L26" s="15">
        <f t="shared" si="14"/>
        <v>77.744581791686997</v>
      </c>
      <c r="M26" s="15">
        <f t="shared" si="14"/>
        <v>36.928676351051323</v>
      </c>
      <c r="N26" s="5"/>
      <c r="O26" s="10"/>
      <c r="P26" s="1"/>
    </row>
    <row r="27" spans="1:16" ht="15">
      <c r="A27" s="1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5"/>
      <c r="O27" s="10"/>
      <c r="P27" s="1"/>
    </row>
    <row r="28" spans="1:16" ht="15">
      <c r="A28" s="12" t="s">
        <v>106</v>
      </c>
      <c r="B28" s="10"/>
      <c r="C28" s="15"/>
      <c r="D28" s="15">
        <f>D21-D26</f>
        <v>60000</v>
      </c>
      <c r="E28" s="15">
        <f t="shared" ref="E28:M28" si="15">E21-E26</f>
        <v>29700</v>
      </c>
      <c r="F28" s="15">
        <f t="shared" si="15"/>
        <v>14725.5</v>
      </c>
      <c r="G28" s="15">
        <f t="shared" si="15"/>
        <v>7312.8824999999997</v>
      </c>
      <c r="H28" s="15">
        <f t="shared" si="15"/>
        <v>3637.5282374999997</v>
      </c>
      <c r="I28" s="15">
        <f t="shared" si="15"/>
        <v>1812.2390735624997</v>
      </c>
      <c r="J28" s="15">
        <f t="shared" si="15"/>
        <v>904.2863377284375</v>
      </c>
      <c r="K28" s="15">
        <f t="shared" si="15"/>
        <v>451.92449098092652</v>
      </c>
      <c r="L28" s="15">
        <f t="shared" si="15"/>
        <v>226.19420070429828</v>
      </c>
      <c r="M28" s="15">
        <f t="shared" si="15"/>
        <v>113.38023009104613</v>
      </c>
      <c r="N28" s="5"/>
      <c r="O28" s="10"/>
      <c r="P28" s="1"/>
    </row>
    <row r="29" spans="1:16" ht="15">
      <c r="A29" s="1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5"/>
      <c r="O29" s="10"/>
      <c r="P29" s="1"/>
    </row>
    <row r="30" spans="1:16" ht="15">
      <c r="A30" s="10" t="s">
        <v>2</v>
      </c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5"/>
      <c r="O30" s="10"/>
      <c r="P30" s="1"/>
    </row>
    <row r="31" spans="1:16" ht="15">
      <c r="A31" s="10"/>
      <c r="B31" s="10" t="s">
        <v>107</v>
      </c>
      <c r="C31" s="15"/>
      <c r="D31" s="15">
        <f>D13*D14*D15</f>
        <v>48000</v>
      </c>
      <c r="E31" s="15">
        <f t="shared" ref="E31:M31" si="16">E13*E14*E15</f>
        <v>54000</v>
      </c>
      <c r="F31" s="15">
        <f t="shared" si="16"/>
        <v>60000</v>
      </c>
      <c r="G31" s="15">
        <f t="shared" si="16"/>
        <v>60000</v>
      </c>
      <c r="H31" s="15">
        <f t="shared" si="16"/>
        <v>60000</v>
      </c>
      <c r="I31" s="15">
        <f t="shared" si="16"/>
        <v>60000</v>
      </c>
      <c r="J31" s="15">
        <f t="shared" si="16"/>
        <v>66000</v>
      </c>
      <c r="K31" s="15">
        <f t="shared" si="16"/>
        <v>72000</v>
      </c>
      <c r="L31" s="15">
        <f t="shared" si="16"/>
        <v>78000</v>
      </c>
      <c r="M31" s="15">
        <f t="shared" si="16"/>
        <v>84000</v>
      </c>
      <c r="N31" s="5"/>
      <c r="O31" s="54">
        <f>D31/SUM(D18:D19)</f>
        <v>0.53333333333333333</v>
      </c>
      <c r="P31" s="1"/>
    </row>
    <row r="32" spans="1:16" ht="15">
      <c r="A32" s="10"/>
      <c r="B32" s="10" t="s">
        <v>43</v>
      </c>
      <c r="C32" s="15"/>
      <c r="D32" s="15">
        <v>1500</v>
      </c>
      <c r="E32" s="15">
        <f>(1+$O$32)*D32</f>
        <v>1545</v>
      </c>
      <c r="F32" s="15">
        <f>(1+$O$32)*E32</f>
        <v>1591.3500000000001</v>
      </c>
      <c r="G32" s="15">
        <f>(1+$O$32)*F32</f>
        <v>1639.0905000000002</v>
      </c>
      <c r="H32" s="15">
        <f>(1+$O$32)*G32</f>
        <v>1688.2632150000004</v>
      </c>
      <c r="I32" s="15">
        <f>(1+$O$32)*H32</f>
        <v>1738.9111114500004</v>
      </c>
      <c r="J32" s="15">
        <f t="shared" ref="J32:M32" si="17">(1+$O$32)*I32</f>
        <v>1791.0784447935005</v>
      </c>
      <c r="K32" s="15">
        <f t="shared" si="17"/>
        <v>1844.8107981373055</v>
      </c>
      <c r="L32" s="15">
        <f t="shared" si="17"/>
        <v>1900.1551220814247</v>
      </c>
      <c r="M32" s="15">
        <f t="shared" si="17"/>
        <v>1957.1597757438674</v>
      </c>
      <c r="N32" s="5"/>
      <c r="O32" s="49">
        <v>0.03</v>
      </c>
      <c r="P32" s="1"/>
    </row>
    <row r="33" spans="1:22" ht="15">
      <c r="A33" s="10"/>
      <c r="B33" s="10" t="s">
        <v>42</v>
      </c>
      <c r="C33" s="15"/>
      <c r="D33" s="15">
        <v>2000</v>
      </c>
      <c r="E33" s="15">
        <f>(1+$O$33)*D33</f>
        <v>2060</v>
      </c>
      <c r="F33" s="15">
        <f>(1+$O$33)*E33</f>
        <v>2121.8000000000002</v>
      </c>
      <c r="G33" s="15">
        <f>(1+$O$33)*F33</f>
        <v>2185.4540000000002</v>
      </c>
      <c r="H33" s="15">
        <f>(1+$O$33)*G33</f>
        <v>2251.0176200000001</v>
      </c>
      <c r="I33" s="15">
        <f>(1+$O$33)*H33</f>
        <v>2318.5481486000003</v>
      </c>
      <c r="J33" s="15">
        <f t="shared" ref="J33:M33" si="18">(1+$O$33)*I33</f>
        <v>2388.1045930580003</v>
      </c>
      <c r="K33" s="15">
        <f t="shared" si="18"/>
        <v>2459.7477308497405</v>
      </c>
      <c r="L33" s="15">
        <f t="shared" si="18"/>
        <v>2533.5401627752326</v>
      </c>
      <c r="M33" s="15">
        <f t="shared" si="18"/>
        <v>2609.5463676584895</v>
      </c>
      <c r="N33" s="5"/>
      <c r="O33" s="49">
        <v>0.03</v>
      </c>
      <c r="P33" s="1"/>
    </row>
    <row r="34" spans="1:22" ht="15">
      <c r="A34" s="10"/>
      <c r="B34" s="10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5"/>
      <c r="O34" s="49"/>
      <c r="P34" s="1"/>
    </row>
    <row r="35" spans="1:22" ht="15">
      <c r="A35" s="10" t="s">
        <v>108</v>
      </c>
      <c r="B35" s="10"/>
      <c r="C35" s="15"/>
      <c r="D35" s="15">
        <f>SUM(D31:D33)</f>
        <v>51500</v>
      </c>
      <c r="E35" s="15">
        <f t="shared" ref="E35:M35" si="19">SUM(E31:E33)</f>
        <v>57605</v>
      </c>
      <c r="F35" s="15">
        <f t="shared" si="19"/>
        <v>63713.15</v>
      </c>
      <c r="G35" s="15">
        <f t="shared" si="19"/>
        <v>63824.544499999996</v>
      </c>
      <c r="H35" s="15">
        <f t="shared" si="19"/>
        <v>63939.280834999998</v>
      </c>
      <c r="I35" s="15">
        <f t="shared" si="19"/>
        <v>64057.459260049996</v>
      </c>
      <c r="J35" s="15">
        <f t="shared" si="19"/>
        <v>70179.183037851501</v>
      </c>
      <c r="K35" s="15">
        <f t="shared" si="19"/>
        <v>76304.558528987051</v>
      </c>
      <c r="L35" s="15">
        <f t="shared" si="19"/>
        <v>82433.695284856658</v>
      </c>
      <c r="M35" s="15">
        <f t="shared" si="19"/>
        <v>88566.706143402364</v>
      </c>
      <c r="N35" s="5"/>
      <c r="O35" s="5"/>
      <c r="P35" s="1"/>
    </row>
    <row r="36" spans="1:22" ht="15">
      <c r="A36" s="10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5"/>
      <c r="O36" s="5"/>
      <c r="P36" s="1"/>
    </row>
    <row r="37" spans="1:22" ht="15">
      <c r="A37" s="10" t="s">
        <v>3</v>
      </c>
      <c r="B37" s="10"/>
      <c r="C37" s="15"/>
      <c r="D37" s="15">
        <f>D54/$O$54</f>
        <v>6666.666666666667</v>
      </c>
      <c r="E37" s="15">
        <f t="shared" ref="E37:M37" si="20">E54/$O$54</f>
        <v>6666.666666666667</v>
      </c>
      <c r="F37" s="15">
        <f t="shared" si="20"/>
        <v>6666.666666666667</v>
      </c>
      <c r="G37" s="15">
        <f t="shared" si="20"/>
        <v>6666.666666666667</v>
      </c>
      <c r="H37" s="15">
        <f t="shared" si="20"/>
        <v>6666.666666666667</v>
      </c>
      <c r="I37" s="15">
        <f t="shared" si="20"/>
        <v>6666.666666666667</v>
      </c>
      <c r="J37" s="15">
        <f t="shared" si="20"/>
        <v>6666.666666666667</v>
      </c>
      <c r="K37" s="15">
        <f t="shared" si="20"/>
        <v>6666.666666666667</v>
      </c>
      <c r="L37" s="15">
        <f t="shared" si="20"/>
        <v>6666.666666666667</v>
      </c>
      <c r="M37" s="15">
        <f t="shared" si="20"/>
        <v>6666.666666666667</v>
      </c>
      <c r="N37" s="55"/>
      <c r="O37" s="5"/>
      <c r="P37" s="1"/>
    </row>
    <row r="38" spans="1:22" ht="15">
      <c r="A38" s="10" t="s">
        <v>94</v>
      </c>
      <c r="B38" s="10"/>
      <c r="C38" s="15"/>
      <c r="D38" s="15">
        <f>-CUMIPMT($O$67/12,$P$67*12,C67,1,12,0)</f>
        <v>12946.152091052893</v>
      </c>
      <c r="E38" s="15">
        <f t="shared" ref="E38:M38" si="21">-CUMIPMT($O$67/12,$P$67*12,D67,1,12,0)</f>
        <v>12397.019384759124</v>
      </c>
      <c r="F38" s="15">
        <f t="shared" si="21"/>
        <v>11814.017374717927</v>
      </c>
      <c r="G38" s="15">
        <f t="shared" si="21"/>
        <v>11195.057076384779</v>
      </c>
      <c r="H38" s="15">
        <f t="shared" si="21"/>
        <v>10537.92066121945</v>
      </c>
      <c r="I38" s="15">
        <f t="shared" si="21"/>
        <v>9880.7842460541196</v>
      </c>
      <c r="J38" s="15">
        <f t="shared" si="21"/>
        <v>9223.6478308887854</v>
      </c>
      <c r="K38" s="15">
        <f t="shared" si="21"/>
        <v>8566.5114157234566</v>
      </c>
      <c r="L38" s="15">
        <f t="shared" si="21"/>
        <v>7909.3750005581269</v>
      </c>
      <c r="M38" s="15">
        <f t="shared" si="21"/>
        <v>7252.2385853927963</v>
      </c>
      <c r="N38" s="5"/>
      <c r="O38" s="5"/>
      <c r="P38" s="1"/>
    </row>
    <row r="39" spans="1:22" ht="15">
      <c r="A39" s="10" t="s">
        <v>17</v>
      </c>
      <c r="B39" s="10"/>
      <c r="C39" s="15"/>
      <c r="D39" s="15">
        <f>$O$39*D68</f>
        <v>4904.9456021450378</v>
      </c>
      <c r="E39" s="15">
        <f t="shared" ref="E39:M39" si="22">$O$39*E68</f>
        <v>10523.530668511481</v>
      </c>
      <c r="F39" s="15">
        <f t="shared" si="22"/>
        <v>20427.191549841435</v>
      </c>
      <c r="G39" s="15">
        <f t="shared" si="22"/>
        <v>33044.802626358636</v>
      </c>
      <c r="H39" s="15">
        <f t="shared" si="22"/>
        <v>0</v>
      </c>
      <c r="I39" s="15">
        <f t="shared" si="22"/>
        <v>0</v>
      </c>
      <c r="J39" s="15">
        <f t="shared" si="22"/>
        <v>0</v>
      </c>
      <c r="K39" s="15">
        <f t="shared" si="22"/>
        <v>0</v>
      </c>
      <c r="L39" s="15">
        <f t="shared" si="22"/>
        <v>0</v>
      </c>
      <c r="M39" s="15">
        <f t="shared" si="22"/>
        <v>0</v>
      </c>
      <c r="N39" s="5"/>
      <c r="O39" s="54">
        <v>0.12</v>
      </c>
      <c r="P39" s="1"/>
    </row>
    <row r="40" spans="1:22" ht="15">
      <c r="A40" s="10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5"/>
      <c r="O40" s="5"/>
      <c r="P40" s="1"/>
    </row>
    <row r="41" spans="1:22" ht="15">
      <c r="A41" s="10" t="s">
        <v>4</v>
      </c>
      <c r="B41" s="10"/>
      <c r="C41" s="15"/>
      <c r="D41" s="15">
        <f>D28-D35-D37-D38-D39</f>
        <v>-16017.764359864599</v>
      </c>
      <c r="E41" s="15">
        <f>E21-E26-E31-E37-E38-E39</f>
        <v>-53887.216719937278</v>
      </c>
      <c r="F41" s="15">
        <f>F21-F26-F31-F37-F38-F39</f>
        <v>-84182.375591226024</v>
      </c>
      <c r="G41" s="15">
        <f>G21-G26-G31-G37-G38-G39</f>
        <v>-103593.64386941008</v>
      </c>
      <c r="H41" s="15">
        <f>H21-H26-H31-H37-H38-H39</f>
        <v>-73567.059090386116</v>
      </c>
      <c r="I41" s="15">
        <f>I21-I26-I31-I37-I38-I39</f>
        <v>-74735.211839158277</v>
      </c>
      <c r="J41" s="15">
        <f t="shared" ref="J41:M41" si="23">J21-J26-J31-J37-J38-J39</f>
        <v>-80986.028159827023</v>
      </c>
      <c r="K41" s="15">
        <f t="shared" si="23"/>
        <v>-86781.253591409215</v>
      </c>
      <c r="L41" s="15">
        <f t="shared" si="23"/>
        <v>-92349.847466520499</v>
      </c>
      <c r="M41" s="15">
        <f t="shared" si="23"/>
        <v>-97805.525021968424</v>
      </c>
      <c r="N41" s="5"/>
      <c r="O41" s="5"/>
      <c r="P41" s="1"/>
    </row>
    <row r="42" spans="1:22" ht="15">
      <c r="A42" s="10" t="s">
        <v>5</v>
      </c>
      <c r="B42" s="10"/>
      <c r="C42" s="15"/>
      <c r="D42" s="15">
        <f t="shared" ref="D42:L42" si="24">IF(D41&lt;0,0,D41*$O$42)</f>
        <v>0</v>
      </c>
      <c r="E42" s="15">
        <f t="shared" si="24"/>
        <v>0</v>
      </c>
      <c r="F42" s="15">
        <f t="shared" si="24"/>
        <v>0</v>
      </c>
      <c r="G42" s="15">
        <f t="shared" si="24"/>
        <v>0</v>
      </c>
      <c r="H42" s="15">
        <f t="shared" si="24"/>
        <v>0</v>
      </c>
      <c r="I42" s="15">
        <f t="shared" si="24"/>
        <v>0</v>
      </c>
      <c r="J42" s="15">
        <f t="shared" si="24"/>
        <v>0</v>
      </c>
      <c r="K42" s="15">
        <f t="shared" si="24"/>
        <v>0</v>
      </c>
      <c r="L42" s="15">
        <f t="shared" si="24"/>
        <v>0</v>
      </c>
      <c r="M42" s="15">
        <f>IF(M41&lt;0,0,M41*$O$42)</f>
        <v>0</v>
      </c>
      <c r="N42" s="5"/>
      <c r="O42" s="54">
        <v>0.25</v>
      </c>
      <c r="P42" s="1"/>
    </row>
    <row r="43" spans="1:22" ht="15">
      <c r="A43" s="9" t="s">
        <v>18</v>
      </c>
      <c r="B43" s="10"/>
      <c r="C43" s="15"/>
      <c r="D43" s="15">
        <f>D41-D42</f>
        <v>-16017.764359864599</v>
      </c>
      <c r="E43" s="15">
        <f t="shared" ref="E43:M43" si="25">E41-E42</f>
        <v>-53887.216719937278</v>
      </c>
      <c r="F43" s="15">
        <f t="shared" si="25"/>
        <v>-84182.375591226024</v>
      </c>
      <c r="G43" s="15">
        <f t="shared" si="25"/>
        <v>-103593.64386941008</v>
      </c>
      <c r="H43" s="15">
        <f t="shared" si="25"/>
        <v>-73567.059090386116</v>
      </c>
      <c r="I43" s="15">
        <f t="shared" si="25"/>
        <v>-74735.211839158277</v>
      </c>
      <c r="J43" s="15">
        <f t="shared" si="25"/>
        <v>-80986.028159827023</v>
      </c>
      <c r="K43" s="15">
        <f t="shared" si="25"/>
        <v>-86781.253591409215</v>
      </c>
      <c r="L43" s="15">
        <f t="shared" si="25"/>
        <v>-92349.847466520499</v>
      </c>
      <c r="M43" s="15">
        <f t="shared" si="25"/>
        <v>-97805.525021968424</v>
      </c>
      <c r="N43" s="5"/>
      <c r="O43" s="10"/>
      <c r="P43" s="1"/>
    </row>
    <row r="44" spans="1:22" ht="15">
      <c r="A44" s="10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48"/>
      <c r="O44" s="10"/>
      <c r="P44" s="1"/>
    </row>
    <row r="45" spans="1:22" ht="15">
      <c r="A45" s="9" t="s">
        <v>6</v>
      </c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48"/>
      <c r="O45" s="10"/>
      <c r="P45" s="1"/>
    </row>
    <row r="46" spans="1:22" ht="15">
      <c r="A46" s="9" t="s">
        <v>7</v>
      </c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48"/>
      <c r="O46" s="10"/>
      <c r="P46" s="1"/>
      <c r="Q46" t="s">
        <v>110</v>
      </c>
      <c r="R46" t="s">
        <v>111</v>
      </c>
      <c r="S46" t="s">
        <v>112</v>
      </c>
      <c r="T46" s="1"/>
      <c r="U46" s="1"/>
      <c r="V46" s="1"/>
    </row>
    <row r="47" spans="1:22" ht="15">
      <c r="A47" s="10" t="s">
        <v>90</v>
      </c>
      <c r="B47" s="10"/>
      <c r="C47" s="15"/>
      <c r="D47" s="15">
        <f t="shared" ref="D47:M47" si="26">$O$47*SUM(D61:D62)</f>
        <v>1972.6027397260275</v>
      </c>
      <c r="E47" s="15">
        <f t="shared" si="26"/>
        <v>936.9863013698631</v>
      </c>
      <c r="F47" s="15">
        <f t="shared" si="26"/>
        <v>445.06849315068496</v>
      </c>
      <c r="G47" s="15">
        <f t="shared" si="26"/>
        <v>211.40753424657532</v>
      </c>
      <c r="H47" s="15">
        <f t="shared" si="26"/>
        <v>100.41857876712328</v>
      </c>
      <c r="I47" s="15">
        <f t="shared" si="26"/>
        <v>47.698824914383557</v>
      </c>
      <c r="J47" s="15">
        <f t="shared" si="26"/>
        <v>22.656941834332191</v>
      </c>
      <c r="K47" s="15">
        <f t="shared" si="26"/>
        <v>10.762047371307791</v>
      </c>
      <c r="L47" s="15">
        <f t="shared" si="26"/>
        <v>5.1119725013712003</v>
      </c>
      <c r="M47" s="15">
        <f t="shared" si="26"/>
        <v>2.4281869381513199</v>
      </c>
      <c r="N47" s="5"/>
      <c r="O47" s="49">
        <v>0.8</v>
      </c>
      <c r="P47" s="1"/>
      <c r="Q47" s="73">
        <v>1</v>
      </c>
      <c r="S47" s="74">
        <f>G47</f>
        <v>211.40753424657532</v>
      </c>
    </row>
    <row r="48" spans="1:22" ht="15">
      <c r="A48" s="10" t="s">
        <v>19</v>
      </c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5"/>
      <c r="O48" s="10"/>
      <c r="P48" s="1"/>
      <c r="Q48" s="1"/>
      <c r="R48" s="1"/>
      <c r="S48" s="1"/>
    </row>
    <row r="49" spans="1:19" ht="15">
      <c r="A49" s="10" t="s">
        <v>8</v>
      </c>
      <c r="B49" s="10"/>
      <c r="C49" s="15"/>
      <c r="D49" s="15">
        <f t="shared" ref="D49:M49" si="27">D10*(D18/$P$10)</f>
        <v>493.15068493150682</v>
      </c>
      <c r="E49" s="15">
        <f t="shared" si="27"/>
        <v>199.10958904109586</v>
      </c>
      <c r="F49" s="15">
        <f t="shared" si="27"/>
        <v>80.390496575342453</v>
      </c>
      <c r="G49" s="15">
        <f t="shared" si="27"/>
        <v>32.457662992294516</v>
      </c>
      <c r="H49" s="15">
        <f t="shared" si="27"/>
        <v>13.104781433138911</v>
      </c>
      <c r="I49" s="15">
        <f t="shared" si="27"/>
        <v>5.2910555036298339</v>
      </c>
      <c r="J49" s="15">
        <f t="shared" si="27"/>
        <v>2.1362636595905458</v>
      </c>
      <c r="K49" s="15">
        <f t="shared" si="27"/>
        <v>0.86251645255968268</v>
      </c>
      <c r="L49" s="15">
        <f t="shared" si="27"/>
        <v>0.34824101772097188</v>
      </c>
      <c r="M49" s="15">
        <f t="shared" si="27"/>
        <v>0.14060231090484238</v>
      </c>
      <c r="N49" s="56"/>
      <c r="O49" s="10"/>
      <c r="P49" s="1"/>
      <c r="Q49" s="13">
        <v>0.9</v>
      </c>
      <c r="S49" s="74">
        <f>G49*Q49</f>
        <v>29.211896693065064</v>
      </c>
    </row>
    <row r="50" spans="1:19" ht="15">
      <c r="A50" s="10" t="s">
        <v>91</v>
      </c>
      <c r="B50" s="10"/>
      <c r="C50" s="15"/>
      <c r="D50" s="15">
        <f>D11*(D23/$P$10)</f>
        <v>14794.520547945205</v>
      </c>
      <c r="E50" s="15">
        <f t="shared" ref="E50:M50" si="28">E11*(E23/$P$10)</f>
        <v>7730.1369863013706</v>
      </c>
      <c r="F50" s="15">
        <f t="shared" si="28"/>
        <v>4038.9965753424663</v>
      </c>
      <c r="G50" s="15">
        <f t="shared" si="28"/>
        <v>2110.3757106164389</v>
      </c>
      <c r="H50" s="15">
        <f t="shared" si="28"/>
        <v>1102.6713087970895</v>
      </c>
      <c r="I50" s="15">
        <f t="shared" si="28"/>
        <v>576.14575884647934</v>
      </c>
      <c r="J50" s="15">
        <f t="shared" si="28"/>
        <v>301.03615899728544</v>
      </c>
      <c r="K50" s="15">
        <f t="shared" si="28"/>
        <v>157.29139307608168</v>
      </c>
      <c r="L50" s="15">
        <f t="shared" si="28"/>
        <v>82.184752882252667</v>
      </c>
      <c r="M50" s="15">
        <f t="shared" si="28"/>
        <v>42.94153338097702</v>
      </c>
      <c r="N50" s="5"/>
      <c r="O50" s="10"/>
      <c r="P50" s="1"/>
      <c r="Q50" s="13">
        <f>Q49</f>
        <v>0.9</v>
      </c>
      <c r="S50" s="74">
        <f>G50*Q50</f>
        <v>1899.3381395547951</v>
      </c>
    </row>
    <row r="51" spans="1:19" ht="15">
      <c r="A51" s="10" t="s">
        <v>92</v>
      </c>
      <c r="B51" s="10"/>
      <c r="C51" s="15"/>
      <c r="D51" s="15">
        <f>D11*(D24/$P$10)</f>
        <v>7397.2602739726026</v>
      </c>
      <c r="E51" s="15">
        <f t="shared" ref="E51:M51" si="29">E11*(E24/$P$10)</f>
        <v>4190.5479452054806</v>
      </c>
      <c r="F51" s="15">
        <f t="shared" si="29"/>
        <v>2373.9454109589046</v>
      </c>
      <c r="G51" s="15">
        <f t="shared" si="29"/>
        <v>1344.8400753082194</v>
      </c>
      <c r="H51" s="15">
        <f t="shared" si="29"/>
        <v>761.85190266210645</v>
      </c>
      <c r="I51" s="15">
        <f t="shared" si="29"/>
        <v>431.58910285808338</v>
      </c>
      <c r="J51" s="15">
        <f t="shared" si="29"/>
        <v>244.49522676910428</v>
      </c>
      <c r="K51" s="15">
        <f t="shared" si="29"/>
        <v>138.50654596469761</v>
      </c>
      <c r="L51" s="15">
        <f t="shared" si="29"/>
        <v>78.463958289001198</v>
      </c>
      <c r="M51" s="15">
        <f t="shared" si="29"/>
        <v>44.449832370719193</v>
      </c>
      <c r="N51" s="5"/>
      <c r="O51" s="10"/>
      <c r="P51" s="1"/>
      <c r="Q51" s="13">
        <f>Q49</f>
        <v>0.9</v>
      </c>
      <c r="S51" s="74">
        <f>G51*Q51</f>
        <v>1210.3560677773976</v>
      </c>
    </row>
    <row r="52" spans="1:19" ht="15">
      <c r="A52" s="10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48"/>
      <c r="O52" s="10"/>
      <c r="P52" s="1"/>
      <c r="Q52" s="13"/>
      <c r="R52" s="74"/>
    </row>
    <row r="53" spans="1:19" ht="15">
      <c r="A53" s="10" t="s">
        <v>20</v>
      </c>
      <c r="B53" s="10"/>
      <c r="C53" s="15"/>
      <c r="D53" s="15">
        <v>75000</v>
      </c>
      <c r="E53" s="15">
        <f>D53</f>
        <v>75000</v>
      </c>
      <c r="F53" s="15">
        <f t="shared" ref="F53:M54" si="30">E53</f>
        <v>75000</v>
      </c>
      <c r="G53" s="15">
        <f t="shared" si="30"/>
        <v>75000</v>
      </c>
      <c r="H53" s="15">
        <f t="shared" si="30"/>
        <v>75000</v>
      </c>
      <c r="I53" s="15">
        <f t="shared" si="30"/>
        <v>75000</v>
      </c>
      <c r="J53" s="15">
        <f t="shared" si="30"/>
        <v>75000</v>
      </c>
      <c r="K53" s="15">
        <f t="shared" si="30"/>
        <v>75000</v>
      </c>
      <c r="L53" s="15">
        <f t="shared" si="30"/>
        <v>75000</v>
      </c>
      <c r="M53" s="15">
        <f t="shared" si="30"/>
        <v>75000</v>
      </c>
      <c r="N53" s="55"/>
      <c r="O53" s="10"/>
      <c r="P53" s="1"/>
      <c r="Q53" s="13">
        <v>0.8</v>
      </c>
      <c r="R53" s="74">
        <f>Q53*G53</f>
        <v>60000</v>
      </c>
    </row>
    <row r="54" spans="1:19" ht="15">
      <c r="A54" s="10" t="s">
        <v>93</v>
      </c>
      <c r="B54" s="10"/>
      <c r="C54" s="15"/>
      <c r="D54" s="15">
        <v>200000</v>
      </c>
      <c r="E54" s="15">
        <f t="shared" ref="E54:G54" si="31">D54</f>
        <v>200000</v>
      </c>
      <c r="F54" s="15">
        <f t="shared" si="31"/>
        <v>200000</v>
      </c>
      <c r="G54" s="15">
        <f t="shared" si="31"/>
        <v>200000</v>
      </c>
      <c r="H54" s="15">
        <f t="shared" si="30"/>
        <v>200000</v>
      </c>
      <c r="I54" s="15">
        <f t="shared" si="30"/>
        <v>200000</v>
      </c>
      <c r="J54" s="15">
        <f t="shared" si="30"/>
        <v>200000</v>
      </c>
      <c r="K54" s="15">
        <f t="shared" si="30"/>
        <v>200000</v>
      </c>
      <c r="L54" s="15">
        <f t="shared" si="30"/>
        <v>200000</v>
      </c>
      <c r="M54" s="15">
        <f t="shared" si="30"/>
        <v>200000</v>
      </c>
      <c r="N54" s="55"/>
      <c r="O54" s="14">
        <v>30</v>
      </c>
      <c r="P54" s="1" t="s">
        <v>28</v>
      </c>
      <c r="Q54" s="13">
        <v>0.8</v>
      </c>
      <c r="R54" s="74">
        <f>Q54*G54</f>
        <v>160000</v>
      </c>
    </row>
    <row r="55" spans="1:19" ht="15">
      <c r="A55" s="10" t="s">
        <v>10</v>
      </c>
      <c r="B55" s="10"/>
      <c r="C55" s="15"/>
      <c r="D55" s="15">
        <f>C55+D37</f>
        <v>6666.666666666667</v>
      </c>
      <c r="E55" s="15">
        <f t="shared" ref="E55:K55" si="32">D55+E37</f>
        <v>13333.333333333334</v>
      </c>
      <c r="F55" s="15">
        <f t="shared" si="32"/>
        <v>20000</v>
      </c>
      <c r="G55" s="15">
        <f t="shared" si="32"/>
        <v>26666.666666666668</v>
      </c>
      <c r="H55" s="15">
        <f t="shared" si="32"/>
        <v>33333.333333333336</v>
      </c>
      <c r="I55" s="15">
        <f t="shared" si="32"/>
        <v>40000</v>
      </c>
      <c r="J55" s="15">
        <f t="shared" si="32"/>
        <v>46666.666666666664</v>
      </c>
      <c r="K55" s="15">
        <f t="shared" si="32"/>
        <v>53333.333333333328</v>
      </c>
      <c r="L55" s="15">
        <f>L54</f>
        <v>200000</v>
      </c>
      <c r="M55" s="15">
        <f>M54</f>
        <v>200000</v>
      </c>
      <c r="N55" s="5"/>
      <c r="O55" s="10"/>
      <c r="P55" s="1"/>
      <c r="Q55" s="13"/>
      <c r="S55" s="75"/>
    </row>
    <row r="56" spans="1:19" ht="15">
      <c r="A56" s="10"/>
      <c r="B56" s="10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5"/>
      <c r="O56" s="10"/>
      <c r="P56" s="1"/>
    </row>
    <row r="57" spans="1:19" ht="15">
      <c r="A57" s="10"/>
      <c r="B57" s="10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48"/>
      <c r="O57" s="10"/>
      <c r="P57" s="1"/>
    </row>
    <row r="58" spans="1:19" ht="15">
      <c r="A58" s="9" t="s">
        <v>11</v>
      </c>
      <c r="B58" s="10"/>
      <c r="C58" s="15"/>
      <c r="D58" s="15">
        <f>SUM(D47:D54)-D55</f>
        <v>292990.86757990863</v>
      </c>
      <c r="E58" s="15">
        <f>SUM(E47:E54)-E55</f>
        <v>274723.4474885845</v>
      </c>
      <c r="F58" s="15">
        <f t="shared" ref="F58:M58" si="33">SUM(F47:F54)-F55</f>
        <v>261938.40097602736</v>
      </c>
      <c r="G58" s="15">
        <f t="shared" si="33"/>
        <v>252032.4143164969</v>
      </c>
      <c r="H58" s="15">
        <f t="shared" si="33"/>
        <v>243644.71323832611</v>
      </c>
      <c r="I58" s="15">
        <f t="shared" si="33"/>
        <v>236060.72474212258</v>
      </c>
      <c r="J58" s="15">
        <f t="shared" si="33"/>
        <v>228903.65792459363</v>
      </c>
      <c r="K58" s="15">
        <f t="shared" si="33"/>
        <v>221974.0891695313</v>
      </c>
      <c r="L58" s="15">
        <f t="shared" si="33"/>
        <v>75166.108924690343</v>
      </c>
      <c r="M58" s="15">
        <f t="shared" si="33"/>
        <v>75089.960155000736</v>
      </c>
      <c r="N58" s="57"/>
      <c r="O58" s="10"/>
      <c r="P58" s="1"/>
    </row>
    <row r="59" spans="1:19" ht="15">
      <c r="A59" s="10"/>
      <c r="B59" s="10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48"/>
      <c r="O59" s="10"/>
      <c r="P59" s="1"/>
    </row>
    <row r="60" spans="1:19" ht="15">
      <c r="A60" s="9" t="s">
        <v>12</v>
      </c>
      <c r="B60" s="10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48"/>
      <c r="O60" s="10"/>
      <c r="P60" s="1"/>
    </row>
    <row r="61" spans="1:19" ht="15">
      <c r="A61" s="11" t="s">
        <v>23</v>
      </c>
      <c r="B61" s="10"/>
      <c r="C61" s="15"/>
      <c r="D61" s="15">
        <f t="shared" ref="D61:M61" si="34">D12*(D26/$P$10)</f>
        <v>2465.7534246575342</v>
      </c>
      <c r="E61" s="15">
        <f t="shared" si="34"/>
        <v>1171.2328767123288</v>
      </c>
      <c r="F61" s="15">
        <f t="shared" si="34"/>
        <v>556.33561643835617</v>
      </c>
      <c r="G61" s="15">
        <f t="shared" si="34"/>
        <v>264.25941780821915</v>
      </c>
      <c r="H61" s="15">
        <f t="shared" si="34"/>
        <v>125.5232234589041</v>
      </c>
      <c r="I61" s="15">
        <f t="shared" si="34"/>
        <v>59.623531142979445</v>
      </c>
      <c r="J61" s="15">
        <f t="shared" si="34"/>
        <v>28.321177292915237</v>
      </c>
      <c r="K61" s="15">
        <f t="shared" si="34"/>
        <v>13.452559214134737</v>
      </c>
      <c r="L61" s="15">
        <f t="shared" si="34"/>
        <v>6.3899656267139999</v>
      </c>
      <c r="M61" s="15">
        <f t="shared" si="34"/>
        <v>3.0352336726891496</v>
      </c>
      <c r="N61" s="58"/>
      <c r="O61" s="10"/>
      <c r="P61" s="1"/>
      <c r="Q61" s="79">
        <v>-1</v>
      </c>
      <c r="R61" s="80"/>
      <c r="S61" s="77">
        <f>Q61*G61</f>
        <v>-264.25941780821915</v>
      </c>
    </row>
    <row r="62" spans="1:19" ht="15">
      <c r="A62" s="10" t="s">
        <v>13</v>
      </c>
      <c r="B62" s="10"/>
      <c r="C62" s="15"/>
      <c r="D62" s="15">
        <f t="shared" ref="D62:M62" si="35">D42</f>
        <v>0</v>
      </c>
      <c r="E62" s="15">
        <f t="shared" si="35"/>
        <v>0</v>
      </c>
      <c r="F62" s="15">
        <f t="shared" si="35"/>
        <v>0</v>
      </c>
      <c r="G62" s="15">
        <f t="shared" si="35"/>
        <v>0</v>
      </c>
      <c r="H62" s="15">
        <f t="shared" si="35"/>
        <v>0</v>
      </c>
      <c r="I62" s="15">
        <f t="shared" si="35"/>
        <v>0</v>
      </c>
      <c r="J62" s="15">
        <f t="shared" si="35"/>
        <v>0</v>
      </c>
      <c r="K62" s="15">
        <f t="shared" si="35"/>
        <v>0</v>
      </c>
      <c r="L62" s="15">
        <f t="shared" si="35"/>
        <v>0</v>
      </c>
      <c r="M62" s="15">
        <f t="shared" si="35"/>
        <v>0</v>
      </c>
      <c r="N62" s="5"/>
      <c r="O62" s="10"/>
      <c r="P62" s="1"/>
      <c r="Q62" s="78" t="s">
        <v>118</v>
      </c>
      <c r="R62" s="74">
        <f>SUM(R47:R61)</f>
        <v>220000</v>
      </c>
      <c r="S62" s="74">
        <f>SUM(S47:S61)</f>
        <v>3086.054220463614</v>
      </c>
    </row>
    <row r="63" spans="1:19" ht="15">
      <c r="A63" s="10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5"/>
      <c r="O63" s="10"/>
      <c r="P63" s="1"/>
      <c r="Q63" t="s">
        <v>117</v>
      </c>
      <c r="S63" s="74">
        <v>-3000</v>
      </c>
    </row>
    <row r="64" spans="1:19" ht="15">
      <c r="A64" s="10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5"/>
      <c r="O64" s="10"/>
      <c r="P64" s="1"/>
      <c r="Q64" t="s">
        <v>118</v>
      </c>
      <c r="R64" s="74">
        <f>R62</f>
        <v>220000</v>
      </c>
      <c r="S64" s="74">
        <f>SUM(S62:S63)</f>
        <v>86.054220463614001</v>
      </c>
    </row>
    <row r="65" spans="1:23" ht="15">
      <c r="A65" s="10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5"/>
      <c r="O65" s="10"/>
      <c r="P65" s="1"/>
      <c r="S65" s="74">
        <f>R64-Q67</f>
        <v>40924.199780528637</v>
      </c>
    </row>
    <row r="66" spans="1:23" ht="15">
      <c r="A66" s="10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5"/>
      <c r="O66" s="10"/>
      <c r="P66" s="1"/>
      <c r="Q66" t="s">
        <v>111</v>
      </c>
      <c r="R66" t="s">
        <v>113</v>
      </c>
      <c r="S66" t="s">
        <v>114</v>
      </c>
      <c r="T66" t="s">
        <v>112</v>
      </c>
      <c r="U66" t="s">
        <v>115</v>
      </c>
      <c r="V66" t="s">
        <v>119</v>
      </c>
    </row>
    <row r="67" spans="1:23" ht="15">
      <c r="A67" s="10" t="s">
        <v>109</v>
      </c>
      <c r="B67" s="10"/>
      <c r="C67" s="91">
        <f>(D53+D54)*0.8</f>
        <v>220000</v>
      </c>
      <c r="D67" s="15">
        <f>C67+CUMPRINC($O$67/12,$P$67*12,$C$67,1,12,0)</f>
        <v>210668.33183057379</v>
      </c>
      <c r="E67" s="15">
        <f>D67+CUMPRINC($O$67/12,$P$67*12,$C$67,13,24,0)</f>
        <v>200761.10678741176</v>
      </c>
      <c r="F67" s="15">
        <f>E67+CUMPRINC($O$67/12,$P$67*12,$C$67,25,36,0)</f>
        <v>190242.82578193833</v>
      </c>
      <c r="G67" s="15">
        <f t="shared" ref="G67:M67" si="36">F67+CUMPRINC($O$67/12,$P$67*12,$C$67,37,48,0)</f>
        <v>179075.80021947136</v>
      </c>
      <c r="H67" s="15">
        <f t="shared" si="36"/>
        <v>167908.7746570044</v>
      </c>
      <c r="I67" s="15">
        <f t="shared" si="36"/>
        <v>156741.74909453743</v>
      </c>
      <c r="J67" s="15">
        <f t="shared" si="36"/>
        <v>145574.72353207046</v>
      </c>
      <c r="K67" s="15">
        <f t="shared" si="36"/>
        <v>134407.6979696035</v>
      </c>
      <c r="L67" s="15">
        <f t="shared" si="36"/>
        <v>123240.67240713653</v>
      </c>
      <c r="M67" s="15">
        <f t="shared" si="36"/>
        <v>112073.64684466957</v>
      </c>
      <c r="N67" s="59"/>
      <c r="O67" s="54">
        <v>0.06</v>
      </c>
      <c r="P67" s="1">
        <v>15</v>
      </c>
      <c r="Q67" s="74">
        <f>G67</f>
        <v>179075.80021947136</v>
      </c>
      <c r="R67" s="74">
        <v>0</v>
      </c>
      <c r="S67" s="76">
        <f>R67/R69</f>
        <v>0</v>
      </c>
      <c r="T67" s="74">
        <f>S67*S64</f>
        <v>0</v>
      </c>
      <c r="U67" s="74">
        <f>Q67</f>
        <v>179075.80021947136</v>
      </c>
      <c r="V67" s="81">
        <f>U67/G67</f>
        <v>1</v>
      </c>
    </row>
    <row r="68" spans="1:23" ht="15">
      <c r="A68" s="10" t="s">
        <v>21</v>
      </c>
      <c r="B68" s="10"/>
      <c r="C68" s="15"/>
      <c r="D68" s="15">
        <v>40874.546684541987</v>
      </c>
      <c r="E68" s="15">
        <v>87696.088904262346</v>
      </c>
      <c r="F68" s="15">
        <v>170226.59624867863</v>
      </c>
      <c r="G68" s="15">
        <v>275373.35521965532</v>
      </c>
      <c r="H68" s="15"/>
      <c r="I68" s="15"/>
      <c r="J68" s="15"/>
      <c r="K68" s="15"/>
      <c r="L68" s="15"/>
      <c r="M68" s="15"/>
      <c r="N68" s="5"/>
      <c r="O68" s="10"/>
      <c r="P68" s="1"/>
      <c r="R68" s="74">
        <f>G68</f>
        <v>275373.35521965532</v>
      </c>
      <c r="S68" s="76">
        <f>R68/R69</f>
        <v>1</v>
      </c>
      <c r="T68" s="74">
        <f>S65+S64</f>
        <v>41010.254000992252</v>
      </c>
      <c r="U68" s="74">
        <f>T68</f>
        <v>41010.254000992252</v>
      </c>
      <c r="V68" s="81">
        <f>U68/G68</f>
        <v>0.14892600617906501</v>
      </c>
    </row>
    <row r="69" spans="1:23" ht="15">
      <c r="A69" s="10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5"/>
      <c r="O69" s="10"/>
      <c r="P69" s="1"/>
      <c r="R69" s="74">
        <f>SUM(R67:R68)</f>
        <v>275373.35521965532</v>
      </c>
    </row>
    <row r="70" spans="1:23" ht="15">
      <c r="A70" s="10" t="s">
        <v>22</v>
      </c>
      <c r="B70" s="10"/>
      <c r="C70" s="15"/>
      <c r="D70" s="15">
        <f>275000-220000</f>
        <v>55000</v>
      </c>
      <c r="E70" s="15">
        <f>D70</f>
        <v>55000</v>
      </c>
      <c r="F70" s="15">
        <f t="shared" ref="F70:M70" si="37">E70</f>
        <v>55000</v>
      </c>
      <c r="G70" s="15">
        <f t="shared" si="37"/>
        <v>55000</v>
      </c>
      <c r="H70" s="15">
        <f t="shared" si="37"/>
        <v>55000</v>
      </c>
      <c r="I70" s="15">
        <f t="shared" si="37"/>
        <v>55000</v>
      </c>
      <c r="J70" s="15">
        <f t="shared" si="37"/>
        <v>55000</v>
      </c>
      <c r="K70" s="15">
        <f t="shared" si="37"/>
        <v>55000</v>
      </c>
      <c r="L70" s="15">
        <f t="shared" si="37"/>
        <v>55000</v>
      </c>
      <c r="M70" s="15">
        <f t="shared" si="37"/>
        <v>55000</v>
      </c>
      <c r="N70" s="5"/>
      <c r="O70" s="10"/>
      <c r="P70" s="1"/>
    </row>
    <row r="71" spans="1:23" ht="15">
      <c r="A71" s="10" t="s">
        <v>14</v>
      </c>
      <c r="B71" s="10"/>
      <c r="C71" s="15"/>
      <c r="D71" s="15">
        <f t="shared" ref="D71:M71" si="38">C71+D43</f>
        <v>-16017.764359864599</v>
      </c>
      <c r="E71" s="15">
        <f t="shared" si="38"/>
        <v>-69904.981079801873</v>
      </c>
      <c r="F71" s="15">
        <f t="shared" si="38"/>
        <v>-154087.3566710279</v>
      </c>
      <c r="G71" s="15">
        <f t="shared" si="38"/>
        <v>-257681.00054043799</v>
      </c>
      <c r="H71" s="15">
        <f t="shared" si="38"/>
        <v>-331248.05963082414</v>
      </c>
      <c r="I71" s="15">
        <f t="shared" si="38"/>
        <v>-405983.2714699824</v>
      </c>
      <c r="J71" s="15">
        <f t="shared" si="38"/>
        <v>-486969.29962980945</v>
      </c>
      <c r="K71" s="15">
        <f t="shared" si="38"/>
        <v>-573750.55322121864</v>
      </c>
      <c r="L71" s="15">
        <f t="shared" si="38"/>
        <v>-666100.40068773914</v>
      </c>
      <c r="M71" s="15">
        <f t="shared" si="38"/>
        <v>-763905.92570970755</v>
      </c>
      <c r="N71" s="5"/>
      <c r="O71" s="10"/>
      <c r="P71" s="1"/>
    </row>
    <row r="72" spans="1:23" ht="15">
      <c r="A72" s="10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5"/>
      <c r="O72" s="10"/>
      <c r="P72" s="1"/>
    </row>
    <row r="73" spans="1:23" ht="15">
      <c r="A73" s="9" t="s">
        <v>15</v>
      </c>
      <c r="B73" s="10"/>
      <c r="C73" s="15"/>
      <c r="D73" s="15">
        <f>D61+D62+D67+D68+D70+D71</f>
        <v>292990.86757990875</v>
      </c>
      <c r="E73" s="15">
        <f t="shared" ref="E73:M73" si="39">E61+E62+E67+E68+E70+E71</f>
        <v>274723.44748858461</v>
      </c>
      <c r="F73" s="15">
        <f t="shared" si="39"/>
        <v>261938.40097602742</v>
      </c>
      <c r="G73" s="15">
        <f t="shared" si="39"/>
        <v>252032.41431649693</v>
      </c>
      <c r="H73" s="15">
        <f t="shared" si="39"/>
        <v>-108213.76175036083</v>
      </c>
      <c r="I73" s="15">
        <f t="shared" si="39"/>
        <v>-194181.89884430199</v>
      </c>
      <c r="J73" s="15">
        <f t="shared" si="39"/>
        <v>-286366.25492044608</v>
      </c>
      <c r="K73" s="15">
        <f t="shared" si="39"/>
        <v>-384329.40269240097</v>
      </c>
      <c r="L73" s="15">
        <f t="shared" si="39"/>
        <v>-487853.3383149759</v>
      </c>
      <c r="M73" s="15">
        <f t="shared" si="39"/>
        <v>-596829.24363136524</v>
      </c>
      <c r="N73" s="5"/>
      <c r="O73" s="10"/>
      <c r="P73" s="1"/>
      <c r="Q73" s="1"/>
      <c r="R73" s="1"/>
      <c r="S73" s="1"/>
      <c r="T73" s="1"/>
      <c r="U73" s="1"/>
      <c r="V73" s="1"/>
    </row>
    <row r="74" spans="1:23" ht="15">
      <c r="A74" s="9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5"/>
      <c r="O74" s="10"/>
      <c r="P74" s="1"/>
      <c r="Q74" s="1"/>
      <c r="R74" s="1"/>
      <c r="S74" s="1"/>
      <c r="T74" s="1"/>
      <c r="U74" s="1"/>
      <c r="V74" s="1"/>
    </row>
    <row r="75" spans="1:23" ht="15">
      <c r="A75" s="9" t="s">
        <v>29</v>
      </c>
      <c r="B75" s="10"/>
      <c r="C75" s="15"/>
      <c r="D75" s="15">
        <f>D58-D73</f>
        <v>0</v>
      </c>
      <c r="E75" s="15">
        <f t="shared" ref="E75:M75" si="40">E58-E73</f>
        <v>0</v>
      </c>
      <c r="F75" s="15">
        <f t="shared" si="40"/>
        <v>0</v>
      </c>
      <c r="G75" s="15">
        <f t="shared" si="40"/>
        <v>0</v>
      </c>
      <c r="H75" s="15">
        <f t="shared" si="40"/>
        <v>351858.47498868697</v>
      </c>
      <c r="I75" s="15">
        <f t="shared" si="40"/>
        <v>430242.62358642457</v>
      </c>
      <c r="J75" s="15">
        <f t="shared" si="40"/>
        <v>515269.91284503974</v>
      </c>
      <c r="K75" s="15">
        <f t="shared" si="40"/>
        <v>606303.49186193221</v>
      </c>
      <c r="L75" s="15">
        <f t="shared" si="40"/>
        <v>563019.44723966625</v>
      </c>
      <c r="M75" s="15">
        <f t="shared" si="40"/>
        <v>671919.20378636592</v>
      </c>
      <c r="N75" s="5"/>
      <c r="O75" s="10"/>
      <c r="P75" s="1"/>
      <c r="V75" s="1"/>
    </row>
    <row r="76" spans="1:23" ht="15">
      <c r="V76" s="63"/>
    </row>
    <row r="77" spans="1:23" ht="15">
      <c r="V77" s="1"/>
    </row>
    <row r="78" spans="1:23" ht="15">
      <c r="V78" s="1"/>
    </row>
    <row r="79" spans="1:23" ht="15">
      <c r="Q79" s="1"/>
      <c r="R79" s="1"/>
      <c r="S79" s="1"/>
      <c r="T79" s="1"/>
      <c r="U79" s="1"/>
      <c r="V79" s="1"/>
    </row>
    <row r="80" spans="1:23" ht="15">
      <c r="Q80" s="1"/>
      <c r="R80" s="1" t="s">
        <v>120</v>
      </c>
      <c r="T80" s="45">
        <f>-(D67-C66)</f>
        <v>-210668.33183057379</v>
      </c>
      <c r="U80" s="45">
        <f>-(E67-D67)</f>
        <v>9907.2250431620341</v>
      </c>
      <c r="V80" s="45">
        <f>-(F67-E67)</f>
        <v>10518.281005473429</v>
      </c>
      <c r="W80" s="45">
        <f>-(G67-F67)</f>
        <v>11167.025562466966</v>
      </c>
    </row>
    <row r="81" spans="17:24" ht="15">
      <c r="Q81" s="1"/>
      <c r="R81" s="1" t="s">
        <v>116</v>
      </c>
      <c r="T81" s="1"/>
      <c r="U81" s="45">
        <f>D38</f>
        <v>12946.152091052893</v>
      </c>
      <c r="V81" s="45">
        <f>E38</f>
        <v>12397.019384759124</v>
      </c>
      <c r="W81" s="45">
        <f>F38</f>
        <v>11814.017374717927</v>
      </c>
      <c r="X81" s="45">
        <f>G38</f>
        <v>11195.057076384779</v>
      </c>
    </row>
    <row r="82" spans="17:24" ht="15">
      <c r="Q82" s="1"/>
      <c r="R82" s="1" t="s">
        <v>121</v>
      </c>
      <c r="T82" s="1"/>
      <c r="U82" s="1"/>
      <c r="V82" s="1"/>
      <c r="W82" s="47"/>
      <c r="X82" s="75">
        <f>U67</f>
        <v>179075.80021947136</v>
      </c>
    </row>
    <row r="83" spans="17:24" ht="15">
      <c r="Q83" s="1"/>
      <c r="R83" s="1" t="s">
        <v>115</v>
      </c>
      <c r="T83" s="45">
        <f>SUM(T80:T82)</f>
        <v>-210668.33183057379</v>
      </c>
      <c r="U83" s="45">
        <f t="shared" ref="U83:W83" si="41">SUM(U80:U82)</f>
        <v>22853.377134214927</v>
      </c>
      <c r="V83" s="45">
        <f t="shared" si="41"/>
        <v>22915.300390232551</v>
      </c>
      <c r="W83" s="45">
        <f t="shared" si="41"/>
        <v>22981.042937184895</v>
      </c>
      <c r="X83" s="45">
        <f>SUM(X80:X82)</f>
        <v>190270.85729585614</v>
      </c>
    </row>
    <row r="84" spans="17:24" ht="15">
      <c r="Q84" s="1"/>
      <c r="R84" s="1" t="s">
        <v>87</v>
      </c>
      <c r="T84" s="46">
        <f>IRR(T83:X83)</f>
        <v>6.1904475893729494E-2</v>
      </c>
      <c r="U84" s="1"/>
      <c r="V84" s="1"/>
      <c r="W84" s="1"/>
    </row>
    <row r="85" spans="17:24" ht="15">
      <c r="Q85" s="1"/>
      <c r="R85" s="1"/>
      <c r="T85" s="1"/>
      <c r="U85" s="1"/>
      <c r="V85" s="1"/>
      <c r="W85" s="1"/>
    </row>
    <row r="86" spans="17:24" ht="15">
      <c r="Q86" s="1"/>
      <c r="R86" s="1" t="s">
        <v>47</v>
      </c>
      <c r="T86" s="45">
        <f>-(D68-C68)</f>
        <v>-40874.546684541987</v>
      </c>
      <c r="U86" s="45">
        <f>-(E68-D68)</f>
        <v>-46821.542219720359</v>
      </c>
      <c r="V86" s="45">
        <f>-(F68-E68)</f>
        <v>-82530.507344416284</v>
      </c>
      <c r="W86" s="45">
        <f>-(G68-F68)</f>
        <v>-105146.75897097669</v>
      </c>
      <c r="X86" s="75"/>
    </row>
    <row r="87" spans="17:24" ht="15">
      <c r="Q87" s="1"/>
      <c r="R87" s="1" t="str">
        <f>R81</f>
        <v>Interest</v>
      </c>
      <c r="T87" s="1"/>
      <c r="U87" s="45">
        <f>D39</f>
        <v>4904.9456021450378</v>
      </c>
      <c r="V87" s="45">
        <f>E39</f>
        <v>10523.530668511481</v>
      </c>
      <c r="W87" s="45">
        <f>F39</f>
        <v>20427.191549841435</v>
      </c>
      <c r="X87" s="45">
        <f>G39</f>
        <v>33044.802626358636</v>
      </c>
    </row>
    <row r="88" spans="17:24" ht="15">
      <c r="Q88" s="1"/>
      <c r="R88" s="1" t="str">
        <f>R82</f>
        <v>Paid in Bankruptcy</v>
      </c>
      <c r="T88" s="1"/>
      <c r="U88" s="1"/>
      <c r="V88" s="1"/>
      <c r="X88" s="67">
        <f>U68</f>
        <v>41010.254000992252</v>
      </c>
    </row>
    <row r="89" spans="17:24" ht="15">
      <c r="Q89" s="1"/>
      <c r="R89" s="1" t="s">
        <v>115</v>
      </c>
      <c r="T89" s="45">
        <f>SUM(T86:T88)</f>
        <v>-40874.546684541987</v>
      </c>
      <c r="U89" s="45">
        <f t="shared" ref="U89:X89" si="42">SUM(U86:U88)</f>
        <v>-41916.59661757532</v>
      </c>
      <c r="V89" s="45">
        <f t="shared" si="42"/>
        <v>-72006.976675904807</v>
      </c>
      <c r="W89" s="45">
        <f t="shared" si="42"/>
        <v>-84719.56742113526</v>
      </c>
      <c r="X89" s="45">
        <f t="shared" si="42"/>
        <v>74055.056627350888</v>
      </c>
    </row>
    <row r="90" spans="17:24" ht="15">
      <c r="Q90" s="1"/>
      <c r="R90" s="1" t="s">
        <v>87</v>
      </c>
      <c r="T90" s="46">
        <f>IRR(T89:X89,-80%)</f>
        <v>-0.47244631678967197</v>
      </c>
      <c r="U90" s="1"/>
      <c r="V90" s="1"/>
      <c r="W90" s="1"/>
    </row>
    <row r="91" spans="17:24" ht="15">
      <c r="Q91" s="1"/>
      <c r="R91" s="1"/>
      <c r="S91" s="1"/>
      <c r="T91" s="13"/>
      <c r="U91" s="1"/>
      <c r="V91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23"/>
  <sheetViews>
    <sheetView topLeftCell="A54" workbookViewId="0">
      <selection activeCell="C64" sqref="C64"/>
    </sheetView>
  </sheetViews>
  <sheetFormatPr defaultRowHeight="12.75"/>
  <cols>
    <col min="1" max="1" width="5.7109375" customWidth="1"/>
    <col min="2" max="2" width="32.42578125" customWidth="1"/>
    <col min="3" max="3" width="10.7109375" bestFit="1" customWidth="1"/>
    <col min="4" max="5" width="14.28515625" bestFit="1" customWidth="1"/>
    <col min="6" max="6" width="13.42578125" bestFit="1" customWidth="1"/>
    <col min="7" max="12" width="12.5703125" bestFit="1" customWidth="1"/>
    <col min="13" max="13" width="14.28515625" bestFit="1" customWidth="1"/>
    <col min="14" max="14" width="12.5703125" bestFit="1" customWidth="1"/>
    <col min="15" max="15" width="10" bestFit="1" customWidth="1"/>
    <col min="16" max="16" width="5.7109375" bestFit="1" customWidth="1"/>
    <col min="17" max="17" width="4.5703125" bestFit="1" customWidth="1"/>
  </cols>
  <sheetData>
    <row r="1" spans="1:35" ht="15">
      <c r="A1" s="2" t="s">
        <v>30</v>
      </c>
      <c r="B1" s="85"/>
      <c r="C1" s="82"/>
      <c r="D1" s="83">
        <v>2015</v>
      </c>
      <c r="E1" s="83">
        <v>2016</v>
      </c>
      <c r="F1" s="83">
        <v>2017</v>
      </c>
      <c r="G1" s="83">
        <v>2018</v>
      </c>
      <c r="H1" s="83">
        <v>2019</v>
      </c>
      <c r="I1" s="83">
        <v>2020</v>
      </c>
      <c r="J1" s="83">
        <v>2021</v>
      </c>
      <c r="K1" s="83">
        <v>2022</v>
      </c>
      <c r="L1" s="83">
        <v>2023</v>
      </c>
      <c r="M1" s="84">
        <v>2024</v>
      </c>
      <c r="N1" s="48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3"/>
    </row>
    <row r="2" spans="1:35" ht="15">
      <c r="A2" s="9" t="s">
        <v>0</v>
      </c>
      <c r="B2" s="10"/>
      <c r="C2" s="10"/>
      <c r="D2" s="48"/>
      <c r="E2" s="48"/>
      <c r="F2" s="48"/>
      <c r="G2" s="48"/>
      <c r="H2" s="48"/>
      <c r="I2" s="48"/>
      <c r="J2" s="48"/>
      <c r="K2" s="48"/>
      <c r="L2" s="48"/>
      <c r="M2" s="48"/>
      <c r="N2" s="10"/>
      <c r="O2" s="10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5">
      <c r="A3" s="9" t="s">
        <v>24</v>
      </c>
      <c r="B3" s="10"/>
      <c r="C3" s="10"/>
      <c r="D3" s="48"/>
      <c r="E3" s="48"/>
      <c r="F3" s="48"/>
      <c r="G3" s="48"/>
      <c r="H3" s="48"/>
      <c r="I3" s="48"/>
      <c r="J3" s="48"/>
      <c r="K3" s="48"/>
      <c r="L3" s="48"/>
      <c r="M3" s="48"/>
      <c r="N3" s="10"/>
      <c r="O3" s="10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5">
      <c r="A4" s="11" t="s">
        <v>31</v>
      </c>
      <c r="B4" s="11"/>
      <c r="C4" s="10"/>
      <c r="D4" s="61">
        <v>3000</v>
      </c>
      <c r="E4" s="61">
        <f>(1+$O$4)*D4</f>
        <v>3300.0000000000005</v>
      </c>
      <c r="F4" s="61">
        <f t="shared" ref="F4:M4" si="0">(1+$O$4)*E4</f>
        <v>3630.0000000000009</v>
      </c>
      <c r="G4" s="61">
        <f t="shared" si="0"/>
        <v>3993.0000000000014</v>
      </c>
      <c r="H4" s="61">
        <f t="shared" si="0"/>
        <v>4392.300000000002</v>
      </c>
      <c r="I4" s="61">
        <f t="shared" si="0"/>
        <v>4831.5300000000025</v>
      </c>
      <c r="J4" s="61">
        <f t="shared" si="0"/>
        <v>5314.6830000000027</v>
      </c>
      <c r="K4" s="61">
        <f t="shared" si="0"/>
        <v>5846.1513000000032</v>
      </c>
      <c r="L4" s="61">
        <f t="shared" si="0"/>
        <v>6430.7664300000042</v>
      </c>
      <c r="M4" s="61">
        <f t="shared" si="0"/>
        <v>7073.8430730000055</v>
      </c>
      <c r="N4" s="48"/>
      <c r="O4" s="49">
        <v>0.1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5">
      <c r="A5" s="11" t="s">
        <v>32</v>
      </c>
      <c r="B5" s="11"/>
      <c r="C5" s="10"/>
      <c r="D5" s="61">
        <v>2000</v>
      </c>
      <c r="E5" s="61">
        <f t="shared" ref="E5:M5" si="1">(1+$O$5)*D5</f>
        <v>2200</v>
      </c>
      <c r="F5" s="61">
        <f t="shared" si="1"/>
        <v>2420</v>
      </c>
      <c r="G5" s="61">
        <f t="shared" si="1"/>
        <v>2662</v>
      </c>
      <c r="H5" s="61">
        <f t="shared" si="1"/>
        <v>2928.2000000000003</v>
      </c>
      <c r="I5" s="61">
        <f t="shared" si="1"/>
        <v>3221.0200000000004</v>
      </c>
      <c r="J5" s="61">
        <f t="shared" si="1"/>
        <v>3543.1220000000008</v>
      </c>
      <c r="K5" s="61">
        <f t="shared" si="1"/>
        <v>3897.4342000000011</v>
      </c>
      <c r="L5" s="61">
        <f t="shared" si="1"/>
        <v>4287.1776200000013</v>
      </c>
      <c r="M5" s="61">
        <f t="shared" si="1"/>
        <v>4715.8953820000015</v>
      </c>
      <c r="N5" s="48"/>
      <c r="O5" s="49">
        <v>0.1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5">
      <c r="A6" s="11" t="s">
        <v>33</v>
      </c>
      <c r="B6" s="11"/>
      <c r="C6" s="10"/>
      <c r="D6" s="50">
        <v>20</v>
      </c>
      <c r="E6" s="50">
        <f t="shared" ref="E6:M6" si="2">(1+$O$6)*D6</f>
        <v>19</v>
      </c>
      <c r="F6" s="50">
        <f t="shared" si="2"/>
        <v>18.05</v>
      </c>
      <c r="G6" s="50">
        <f t="shared" si="2"/>
        <v>17.147500000000001</v>
      </c>
      <c r="H6" s="50">
        <f t="shared" si="2"/>
        <v>16.290125</v>
      </c>
      <c r="I6" s="50">
        <f t="shared" si="2"/>
        <v>15.475618749999999</v>
      </c>
      <c r="J6" s="50">
        <f t="shared" si="2"/>
        <v>14.701837812499999</v>
      </c>
      <c r="K6" s="50">
        <f t="shared" si="2"/>
        <v>13.966745921874999</v>
      </c>
      <c r="L6" s="50">
        <f t="shared" si="2"/>
        <v>13.268408625781248</v>
      </c>
      <c r="M6" s="50">
        <f t="shared" si="2"/>
        <v>12.604988194492185</v>
      </c>
      <c r="N6" s="50"/>
      <c r="O6" s="49">
        <v>-0.05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5">
      <c r="A7" s="11" t="s">
        <v>34</v>
      </c>
      <c r="B7" s="11"/>
      <c r="C7" s="10"/>
      <c r="D7" s="50">
        <v>15</v>
      </c>
      <c r="E7" s="50">
        <f t="shared" ref="E7:M7" si="3">(1+$O$7)*D7</f>
        <v>15.450000000000001</v>
      </c>
      <c r="F7" s="50">
        <f t="shared" si="3"/>
        <v>15.913500000000001</v>
      </c>
      <c r="G7" s="50">
        <f t="shared" si="3"/>
        <v>16.390905</v>
      </c>
      <c r="H7" s="50">
        <f t="shared" si="3"/>
        <v>16.882632149999999</v>
      </c>
      <c r="I7" s="50">
        <f t="shared" si="3"/>
        <v>17.3891111145</v>
      </c>
      <c r="J7" s="50">
        <f t="shared" si="3"/>
        <v>17.910784447935001</v>
      </c>
      <c r="K7" s="50">
        <f t="shared" si="3"/>
        <v>18.448107981373052</v>
      </c>
      <c r="L7" s="50">
        <f t="shared" si="3"/>
        <v>19.001551220814246</v>
      </c>
      <c r="M7" s="50">
        <f t="shared" si="3"/>
        <v>19.571597757438674</v>
      </c>
      <c r="N7" s="50"/>
      <c r="O7" s="49">
        <v>0.03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5">
      <c r="A8" s="11" t="s">
        <v>35</v>
      </c>
      <c r="B8" s="11"/>
      <c r="C8" s="10"/>
      <c r="D8" s="50">
        <f t="shared" ref="D8:M8" si="4">D6*$O$8</f>
        <v>10</v>
      </c>
      <c r="E8" s="50">
        <f t="shared" si="4"/>
        <v>9.5</v>
      </c>
      <c r="F8" s="50">
        <f t="shared" si="4"/>
        <v>9.0250000000000004</v>
      </c>
      <c r="G8" s="50">
        <f t="shared" si="4"/>
        <v>8.5737500000000004</v>
      </c>
      <c r="H8" s="50">
        <f t="shared" si="4"/>
        <v>8.1450624999999999</v>
      </c>
      <c r="I8" s="50">
        <f t="shared" si="4"/>
        <v>7.7378093749999994</v>
      </c>
      <c r="J8" s="50">
        <f t="shared" si="4"/>
        <v>7.3509189062499996</v>
      </c>
      <c r="K8" s="50">
        <f t="shared" si="4"/>
        <v>6.9833729609374995</v>
      </c>
      <c r="L8" s="50">
        <f t="shared" si="4"/>
        <v>6.6342043128906241</v>
      </c>
      <c r="M8" s="50">
        <f t="shared" si="4"/>
        <v>6.3024940972460923</v>
      </c>
      <c r="N8" s="50"/>
      <c r="O8" s="49">
        <v>0.5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5">
      <c r="A9" s="11" t="s">
        <v>36</v>
      </c>
      <c r="B9" s="11"/>
      <c r="C9" s="10"/>
      <c r="D9" s="50">
        <f>D7*$O$8</f>
        <v>7.5</v>
      </c>
      <c r="E9" s="50">
        <f t="shared" ref="E9:M9" si="5">E7*$O$9</f>
        <v>7.7250000000000005</v>
      </c>
      <c r="F9" s="50">
        <f t="shared" si="5"/>
        <v>7.9567500000000004</v>
      </c>
      <c r="G9" s="50">
        <f t="shared" si="5"/>
        <v>8.1954525</v>
      </c>
      <c r="H9" s="50">
        <f t="shared" si="5"/>
        <v>8.4413160749999996</v>
      </c>
      <c r="I9" s="50">
        <f t="shared" si="5"/>
        <v>8.6945555572500002</v>
      </c>
      <c r="J9" s="50">
        <f t="shared" si="5"/>
        <v>8.9553922239675003</v>
      </c>
      <c r="K9" s="50">
        <f t="shared" si="5"/>
        <v>9.2240539906865262</v>
      </c>
      <c r="L9" s="50">
        <f t="shared" si="5"/>
        <v>9.500775610407123</v>
      </c>
      <c r="M9" s="50">
        <f t="shared" si="5"/>
        <v>9.7857988787193371</v>
      </c>
      <c r="N9" s="50"/>
      <c r="O9" s="49">
        <v>0.5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5">
      <c r="A10" s="11" t="s">
        <v>37</v>
      </c>
      <c r="B10" s="11"/>
      <c r="C10" s="10"/>
      <c r="D10" s="51">
        <v>3</v>
      </c>
      <c r="E10" s="52">
        <f t="shared" ref="E10:M10" si="6">(1+$O$10)*D10</f>
        <v>2.5499999999999998</v>
      </c>
      <c r="F10" s="52">
        <f t="shared" si="6"/>
        <v>2.1675</v>
      </c>
      <c r="G10" s="52">
        <f t="shared" si="6"/>
        <v>1.8423749999999999</v>
      </c>
      <c r="H10" s="52">
        <f t="shared" si="6"/>
        <v>1.5660187499999998</v>
      </c>
      <c r="I10" s="52">
        <f t="shared" si="6"/>
        <v>1.3311159374999997</v>
      </c>
      <c r="J10" s="52">
        <f t="shared" si="6"/>
        <v>1.1314485468749997</v>
      </c>
      <c r="K10" s="52">
        <f t="shared" si="6"/>
        <v>0.96173126484374971</v>
      </c>
      <c r="L10" s="52">
        <f t="shared" si="6"/>
        <v>0.81747157511718727</v>
      </c>
      <c r="M10" s="52">
        <f t="shared" si="6"/>
        <v>0.69485083884960919</v>
      </c>
      <c r="N10" s="52"/>
      <c r="O10" s="49">
        <v>-0.15</v>
      </c>
      <c r="P10" s="1">
        <v>365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5">
      <c r="A11" s="11" t="s">
        <v>38</v>
      </c>
      <c r="B11" s="11"/>
      <c r="C11" s="10"/>
      <c r="D11" s="51">
        <v>180</v>
      </c>
      <c r="E11" s="52">
        <f t="shared" ref="E11:M11" si="7">(1+$O$11)*D11</f>
        <v>198.00000000000003</v>
      </c>
      <c r="F11" s="52">
        <f t="shared" si="7"/>
        <v>217.80000000000004</v>
      </c>
      <c r="G11" s="52">
        <f t="shared" si="7"/>
        <v>239.58000000000007</v>
      </c>
      <c r="H11" s="52">
        <f t="shared" si="7"/>
        <v>263.53800000000012</v>
      </c>
      <c r="I11" s="52">
        <f t="shared" si="7"/>
        <v>289.89180000000016</v>
      </c>
      <c r="J11" s="52">
        <f t="shared" si="7"/>
        <v>318.88098000000019</v>
      </c>
      <c r="K11" s="52">
        <f t="shared" si="7"/>
        <v>350.76907800000026</v>
      </c>
      <c r="L11" s="52">
        <f t="shared" si="7"/>
        <v>385.84598580000034</v>
      </c>
      <c r="M11" s="52">
        <f t="shared" si="7"/>
        <v>424.43058438000043</v>
      </c>
      <c r="N11" s="52"/>
      <c r="O11" s="49">
        <v>0.1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5">
      <c r="A12" s="11" t="s">
        <v>27</v>
      </c>
      <c r="B12" s="11"/>
      <c r="C12" s="10"/>
      <c r="D12" s="51">
        <v>30</v>
      </c>
      <c r="E12" s="52">
        <f t="shared" ref="E12:M12" si="8">(1+$O$12)*D12</f>
        <v>30</v>
      </c>
      <c r="F12" s="52">
        <f t="shared" si="8"/>
        <v>30</v>
      </c>
      <c r="G12" s="52">
        <f t="shared" si="8"/>
        <v>30</v>
      </c>
      <c r="H12" s="52">
        <f t="shared" si="8"/>
        <v>30</v>
      </c>
      <c r="I12" s="52">
        <f t="shared" si="8"/>
        <v>30</v>
      </c>
      <c r="J12" s="52">
        <f t="shared" si="8"/>
        <v>30</v>
      </c>
      <c r="K12" s="52">
        <f t="shared" si="8"/>
        <v>30</v>
      </c>
      <c r="L12" s="52">
        <f t="shared" si="8"/>
        <v>30</v>
      </c>
      <c r="M12" s="52">
        <f t="shared" si="8"/>
        <v>30</v>
      </c>
      <c r="N12" s="52"/>
      <c r="O12" s="49">
        <v>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5">
      <c r="A13" s="11" t="s">
        <v>44</v>
      </c>
      <c r="B13" s="11"/>
      <c r="C13" s="10"/>
      <c r="D13" s="51">
        <v>3</v>
      </c>
      <c r="E13" s="51">
        <f>D13</f>
        <v>3</v>
      </c>
      <c r="F13" s="51">
        <f t="shared" ref="F13:M13" si="9">E13</f>
        <v>3</v>
      </c>
      <c r="G13" s="51">
        <f t="shared" si="9"/>
        <v>3</v>
      </c>
      <c r="H13" s="51">
        <f t="shared" si="9"/>
        <v>3</v>
      </c>
      <c r="I13" s="51">
        <f t="shared" si="9"/>
        <v>3</v>
      </c>
      <c r="J13" s="51">
        <f t="shared" si="9"/>
        <v>3</v>
      </c>
      <c r="K13" s="51">
        <f t="shared" si="9"/>
        <v>3</v>
      </c>
      <c r="L13" s="51">
        <f t="shared" si="9"/>
        <v>3</v>
      </c>
      <c r="M13" s="51">
        <f t="shared" si="9"/>
        <v>3</v>
      </c>
      <c r="N13" s="51"/>
      <c r="O13" s="49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5">
      <c r="A14" s="11" t="s">
        <v>45</v>
      </c>
      <c r="B14" s="11"/>
      <c r="C14" s="10"/>
      <c r="D14" s="50">
        <v>8</v>
      </c>
      <c r="E14" s="50">
        <v>9</v>
      </c>
      <c r="F14" s="50">
        <v>10</v>
      </c>
      <c r="G14" s="50">
        <v>10</v>
      </c>
      <c r="H14" s="50">
        <v>10</v>
      </c>
      <c r="I14" s="50">
        <v>10</v>
      </c>
      <c r="J14" s="50">
        <v>11</v>
      </c>
      <c r="K14" s="50">
        <v>12</v>
      </c>
      <c r="L14" s="50">
        <v>13</v>
      </c>
      <c r="M14" s="50">
        <v>14</v>
      </c>
      <c r="N14" s="53"/>
      <c r="O14" s="4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5">
      <c r="A15" s="11" t="s">
        <v>46</v>
      </c>
      <c r="B15" s="11"/>
      <c r="C15" s="10"/>
      <c r="D15" s="61">
        <f>40*50</f>
        <v>2000</v>
      </c>
      <c r="E15" s="61">
        <f t="shared" ref="E15:M15" si="10">40*50</f>
        <v>2000</v>
      </c>
      <c r="F15" s="61">
        <f t="shared" si="10"/>
        <v>2000</v>
      </c>
      <c r="G15" s="61">
        <f t="shared" si="10"/>
        <v>2000</v>
      </c>
      <c r="H15" s="61">
        <f t="shared" si="10"/>
        <v>2000</v>
      </c>
      <c r="I15" s="61">
        <f t="shared" si="10"/>
        <v>2000</v>
      </c>
      <c r="J15" s="61">
        <f t="shared" si="10"/>
        <v>2000</v>
      </c>
      <c r="K15" s="61">
        <f t="shared" si="10"/>
        <v>2000</v>
      </c>
      <c r="L15" s="61">
        <f t="shared" si="10"/>
        <v>2000</v>
      </c>
      <c r="M15" s="61">
        <f t="shared" si="10"/>
        <v>2000</v>
      </c>
      <c r="N15" s="51"/>
      <c r="O15" s="49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5">
      <c r="A16" s="11"/>
      <c r="B16" s="11"/>
      <c r="C16" s="1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49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5">
      <c r="A17" s="9" t="s">
        <v>1</v>
      </c>
      <c r="B17" s="10"/>
      <c r="C17" s="10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1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5">
      <c r="A18" s="12" t="s">
        <v>39</v>
      </c>
      <c r="B18" s="10"/>
      <c r="C18" s="15"/>
      <c r="D18" s="15">
        <f>D4*D6</f>
        <v>60000</v>
      </c>
      <c r="E18" s="15">
        <f t="shared" ref="E18:M19" si="11">E4*E6</f>
        <v>62700.000000000007</v>
      </c>
      <c r="F18" s="15">
        <f t="shared" si="11"/>
        <v>65521.500000000022</v>
      </c>
      <c r="G18" s="15">
        <f t="shared" si="11"/>
        <v>68469.967500000028</v>
      </c>
      <c r="H18" s="15">
        <f t="shared" si="11"/>
        <v>71551.116037500033</v>
      </c>
      <c r="I18" s="15">
        <f t="shared" si="11"/>
        <v>74770.916259187536</v>
      </c>
      <c r="J18" s="15">
        <f t="shared" si="11"/>
        <v>78135.607490850976</v>
      </c>
      <c r="K18" s="15">
        <f t="shared" si="11"/>
        <v>81651.709827939267</v>
      </c>
      <c r="L18" s="15">
        <f t="shared" si="11"/>
        <v>85326.036770196544</v>
      </c>
      <c r="M18" s="15">
        <f t="shared" si="11"/>
        <v>89165.708424855387</v>
      </c>
      <c r="N18" s="5"/>
      <c r="O18" s="10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5">
      <c r="A19" s="12" t="s">
        <v>40</v>
      </c>
      <c r="B19" s="10"/>
      <c r="C19" s="15"/>
      <c r="D19" s="15">
        <f>D5*D7</f>
        <v>30000</v>
      </c>
      <c r="E19" s="15">
        <f t="shared" si="11"/>
        <v>33990</v>
      </c>
      <c r="F19" s="15">
        <f t="shared" si="11"/>
        <v>38510.670000000006</v>
      </c>
      <c r="G19" s="15">
        <f t="shared" si="11"/>
        <v>43632.589110000001</v>
      </c>
      <c r="H19" s="15">
        <f t="shared" si="11"/>
        <v>49435.723461630005</v>
      </c>
      <c r="I19" s="15">
        <f t="shared" si="11"/>
        <v>56010.674682026802</v>
      </c>
      <c r="J19" s="15">
        <f t="shared" si="11"/>
        <v>63460.09441473637</v>
      </c>
      <c r="K19" s="15">
        <f t="shared" si="11"/>
        <v>71900.286971896319</v>
      </c>
      <c r="L19" s="15">
        <f t="shared" si="11"/>
        <v>81463.025139158533</v>
      </c>
      <c r="M19" s="15">
        <f t="shared" si="11"/>
        <v>92297.60748266663</v>
      </c>
      <c r="N19" s="5"/>
      <c r="O19" s="1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5">
      <c r="A20" s="1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5"/>
      <c r="O20" s="10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5">
      <c r="A21" s="12" t="s">
        <v>25</v>
      </c>
      <c r="B21" s="10"/>
      <c r="C21" s="15"/>
      <c r="D21" s="15">
        <f>SUM(D18:D19)</f>
        <v>90000</v>
      </c>
      <c r="E21" s="15">
        <f t="shared" ref="E21:M21" si="12">SUM(E18:E19)</f>
        <v>96690</v>
      </c>
      <c r="F21" s="15">
        <f t="shared" si="12"/>
        <v>104032.17000000003</v>
      </c>
      <c r="G21" s="15">
        <f t="shared" si="12"/>
        <v>112102.55661000003</v>
      </c>
      <c r="H21" s="15">
        <f t="shared" si="12"/>
        <v>120986.83949913003</v>
      </c>
      <c r="I21" s="15">
        <f t="shared" si="12"/>
        <v>130781.59094121434</v>
      </c>
      <c r="J21" s="15">
        <f t="shared" si="12"/>
        <v>141595.70190558734</v>
      </c>
      <c r="K21" s="15">
        <f t="shared" si="12"/>
        <v>153551.99679983559</v>
      </c>
      <c r="L21" s="15">
        <f t="shared" si="12"/>
        <v>166789.06190935508</v>
      </c>
      <c r="M21" s="15">
        <f t="shared" si="12"/>
        <v>181463.31590752202</v>
      </c>
      <c r="N21" s="5"/>
      <c r="O21" s="10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5">
      <c r="A22" s="1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5"/>
      <c r="O22" s="10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5">
      <c r="A23" s="10" t="s">
        <v>16</v>
      </c>
      <c r="B23" s="10"/>
      <c r="C23" s="15"/>
      <c r="D23" s="15">
        <f>D4*D8</f>
        <v>30000</v>
      </c>
      <c r="E23" s="15">
        <f t="shared" ref="E23:M24" si="13">E4*E8</f>
        <v>31350.000000000004</v>
      </c>
      <c r="F23" s="15">
        <f t="shared" si="13"/>
        <v>32760.750000000011</v>
      </c>
      <c r="G23" s="15">
        <f t="shared" si="13"/>
        <v>34234.983750000014</v>
      </c>
      <c r="H23" s="15">
        <f t="shared" si="13"/>
        <v>35775.558018750016</v>
      </c>
      <c r="I23" s="15">
        <f t="shared" si="13"/>
        <v>37385.458129593768</v>
      </c>
      <c r="J23" s="15">
        <f t="shared" si="13"/>
        <v>39067.803745425488</v>
      </c>
      <c r="K23" s="15">
        <f t="shared" si="13"/>
        <v>40825.854913969633</v>
      </c>
      <c r="L23" s="15">
        <f t="shared" si="13"/>
        <v>42663.018385098272</v>
      </c>
      <c r="M23" s="15">
        <f t="shared" si="13"/>
        <v>44582.854212427694</v>
      </c>
      <c r="N23" s="5"/>
      <c r="O23" s="10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5">
      <c r="A24" s="10" t="s">
        <v>41</v>
      </c>
      <c r="B24" s="10"/>
      <c r="C24" s="15"/>
      <c r="D24" s="15">
        <f>D5*D9</f>
        <v>15000</v>
      </c>
      <c r="E24" s="15">
        <f t="shared" si="13"/>
        <v>16995</v>
      </c>
      <c r="F24" s="15">
        <f t="shared" si="13"/>
        <v>19255.335000000003</v>
      </c>
      <c r="G24" s="15">
        <f t="shared" si="13"/>
        <v>21816.294555</v>
      </c>
      <c r="H24" s="15">
        <f t="shared" si="13"/>
        <v>24717.861730815002</v>
      </c>
      <c r="I24" s="15">
        <f t="shared" si="13"/>
        <v>28005.337341013401</v>
      </c>
      <c r="J24" s="15">
        <f t="shared" si="13"/>
        <v>31730.047207368185</v>
      </c>
      <c r="K24" s="15">
        <f t="shared" si="13"/>
        <v>35950.14348594816</v>
      </c>
      <c r="L24" s="15">
        <f t="shared" si="13"/>
        <v>40731.512569579267</v>
      </c>
      <c r="M24" s="15">
        <f t="shared" si="13"/>
        <v>46148.803741333315</v>
      </c>
      <c r="N24" s="5"/>
      <c r="O24" s="10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5">
      <c r="A25" s="1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5"/>
      <c r="O25" s="1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5">
      <c r="A26" s="12" t="s">
        <v>26</v>
      </c>
      <c r="B26" s="10"/>
      <c r="C26" s="15"/>
      <c r="D26" s="15">
        <f>SUM(D23:D23)</f>
        <v>30000</v>
      </c>
      <c r="E26" s="15">
        <f>SUM(E23:E23)</f>
        <v>31350.000000000004</v>
      </c>
      <c r="F26" s="15">
        <f>SUM(F23:F23)</f>
        <v>32760.750000000011</v>
      </c>
      <c r="G26" s="15">
        <f>SUM(G23:G23)</f>
        <v>34234.983750000014</v>
      </c>
      <c r="H26" s="15">
        <f t="shared" ref="H26:M26" si="14">SUM(H23:H23)</f>
        <v>35775.558018750016</v>
      </c>
      <c r="I26" s="15">
        <f t="shared" si="14"/>
        <v>37385.458129593768</v>
      </c>
      <c r="J26" s="15">
        <f t="shared" si="14"/>
        <v>39067.803745425488</v>
      </c>
      <c r="K26" s="15">
        <f t="shared" si="14"/>
        <v>40825.854913969633</v>
      </c>
      <c r="L26" s="15">
        <f t="shared" si="14"/>
        <v>42663.018385098272</v>
      </c>
      <c r="M26" s="15">
        <f t="shared" si="14"/>
        <v>44582.854212427694</v>
      </c>
      <c r="N26" s="5"/>
      <c r="O26" s="10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5">
      <c r="A27" s="1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5"/>
      <c r="O27" s="10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5">
      <c r="A28" s="12" t="s">
        <v>106</v>
      </c>
      <c r="B28" s="10"/>
      <c r="C28" s="15"/>
      <c r="D28" s="15">
        <f>D21-D26</f>
        <v>60000</v>
      </c>
      <c r="E28" s="15">
        <f t="shared" ref="E28:M28" si="15">E21-E26</f>
        <v>65340</v>
      </c>
      <c r="F28" s="15">
        <f t="shared" si="15"/>
        <v>71271.420000000013</v>
      </c>
      <c r="G28" s="15">
        <f t="shared" si="15"/>
        <v>77867.572860000015</v>
      </c>
      <c r="H28" s="15">
        <f t="shared" si="15"/>
        <v>85211.281480380014</v>
      </c>
      <c r="I28" s="15">
        <f t="shared" si="15"/>
        <v>93396.13281162057</v>
      </c>
      <c r="J28" s="15">
        <f t="shared" si="15"/>
        <v>102527.89816016186</v>
      </c>
      <c r="K28" s="15">
        <f t="shared" si="15"/>
        <v>112726.14188586595</v>
      </c>
      <c r="L28" s="15">
        <f t="shared" si="15"/>
        <v>124126.04352425681</v>
      </c>
      <c r="M28" s="15">
        <f t="shared" si="15"/>
        <v>136880.46169509433</v>
      </c>
      <c r="N28" s="5"/>
      <c r="O28" s="10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5">
      <c r="A29" s="1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5"/>
      <c r="O29" s="10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5">
      <c r="A30" s="10" t="s">
        <v>2</v>
      </c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5"/>
      <c r="O30" s="10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5">
      <c r="A31" s="10"/>
      <c r="B31" s="10" t="s">
        <v>107</v>
      </c>
      <c r="C31" s="15"/>
      <c r="D31" s="15">
        <f>D13*D14*D15</f>
        <v>48000</v>
      </c>
      <c r="E31" s="15">
        <f t="shared" ref="E31:M31" si="16">E13*E14*E15</f>
        <v>54000</v>
      </c>
      <c r="F31" s="15">
        <f t="shared" si="16"/>
        <v>60000</v>
      </c>
      <c r="G31" s="15">
        <f t="shared" si="16"/>
        <v>60000</v>
      </c>
      <c r="H31" s="15">
        <f t="shared" si="16"/>
        <v>60000</v>
      </c>
      <c r="I31" s="15">
        <f t="shared" si="16"/>
        <v>60000</v>
      </c>
      <c r="J31" s="15">
        <f t="shared" si="16"/>
        <v>66000</v>
      </c>
      <c r="K31" s="15">
        <f t="shared" si="16"/>
        <v>72000</v>
      </c>
      <c r="L31" s="15">
        <f t="shared" si="16"/>
        <v>78000</v>
      </c>
      <c r="M31" s="15">
        <f t="shared" si="16"/>
        <v>84000</v>
      </c>
      <c r="N31" s="5"/>
      <c r="O31" s="54">
        <f>D31/SUM(D18:D19)</f>
        <v>0.53333333333333333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5">
      <c r="A32" s="10"/>
      <c r="B32" s="10" t="s">
        <v>43</v>
      </c>
      <c r="C32" s="15"/>
      <c r="D32" s="15">
        <v>1500</v>
      </c>
      <c r="E32" s="15">
        <f>(1+$O$32)*D32</f>
        <v>1545</v>
      </c>
      <c r="F32" s="15">
        <f>(1+$O$32)*E32</f>
        <v>1591.3500000000001</v>
      </c>
      <c r="G32" s="15">
        <f>(1+$O$32)*F32</f>
        <v>1639.0905000000002</v>
      </c>
      <c r="H32" s="15">
        <f>(1+$O$32)*G32</f>
        <v>1688.2632150000004</v>
      </c>
      <c r="I32" s="15">
        <f>(1+$O$32)*H32</f>
        <v>1738.9111114500004</v>
      </c>
      <c r="J32" s="15">
        <f t="shared" ref="J32:M32" si="17">(1+$O$32)*I32</f>
        <v>1791.0784447935005</v>
      </c>
      <c r="K32" s="15">
        <f t="shared" si="17"/>
        <v>1844.8107981373055</v>
      </c>
      <c r="L32" s="15">
        <f t="shared" si="17"/>
        <v>1900.1551220814247</v>
      </c>
      <c r="M32" s="15">
        <f t="shared" si="17"/>
        <v>1957.1597757438674</v>
      </c>
      <c r="N32" s="5"/>
      <c r="O32" s="49">
        <v>0.03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5">
      <c r="A33" s="10"/>
      <c r="B33" s="10" t="s">
        <v>42</v>
      </c>
      <c r="C33" s="15"/>
      <c r="D33" s="15">
        <v>2000</v>
      </c>
      <c r="E33" s="15">
        <f>(1+$O$33)*D33</f>
        <v>2060</v>
      </c>
      <c r="F33" s="15">
        <f>(1+$O$33)*E33</f>
        <v>2121.8000000000002</v>
      </c>
      <c r="G33" s="15">
        <f>(1+$O$33)*F33</f>
        <v>2185.4540000000002</v>
      </c>
      <c r="H33" s="15">
        <f>(1+$O$33)*G33</f>
        <v>2251.0176200000001</v>
      </c>
      <c r="I33" s="15">
        <f>(1+$O$33)*H33</f>
        <v>2318.5481486000003</v>
      </c>
      <c r="J33" s="15">
        <f t="shared" ref="J33:M33" si="18">(1+$O$33)*I33</f>
        <v>2388.1045930580003</v>
      </c>
      <c r="K33" s="15">
        <f t="shared" si="18"/>
        <v>2459.7477308497405</v>
      </c>
      <c r="L33" s="15">
        <f t="shared" si="18"/>
        <v>2533.5401627752326</v>
      </c>
      <c r="M33" s="15">
        <f t="shared" si="18"/>
        <v>2609.5463676584895</v>
      </c>
      <c r="N33" s="5"/>
      <c r="O33" s="49">
        <v>0.03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5">
      <c r="A34" s="10"/>
      <c r="B34" s="10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5"/>
      <c r="O34" s="49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5">
      <c r="A35" s="10" t="s">
        <v>108</v>
      </c>
      <c r="B35" s="10"/>
      <c r="C35" s="15"/>
      <c r="D35" s="15">
        <f>SUM(D31:D33)</f>
        <v>51500</v>
      </c>
      <c r="E35" s="15">
        <f t="shared" ref="E35:M35" si="19">SUM(E31:E33)</f>
        <v>57605</v>
      </c>
      <c r="F35" s="15">
        <f t="shared" si="19"/>
        <v>63713.15</v>
      </c>
      <c r="G35" s="15">
        <f t="shared" si="19"/>
        <v>63824.544499999996</v>
      </c>
      <c r="H35" s="15">
        <f t="shared" si="19"/>
        <v>63939.280834999998</v>
      </c>
      <c r="I35" s="15">
        <f t="shared" si="19"/>
        <v>64057.459260049996</v>
      </c>
      <c r="J35" s="15">
        <f t="shared" si="19"/>
        <v>70179.183037851501</v>
      </c>
      <c r="K35" s="15">
        <f t="shared" si="19"/>
        <v>76304.558528987051</v>
      </c>
      <c r="L35" s="15">
        <f t="shared" si="19"/>
        <v>82433.695284856658</v>
      </c>
      <c r="M35" s="15">
        <f t="shared" si="19"/>
        <v>88566.706143402364</v>
      </c>
      <c r="N35" s="5"/>
      <c r="O35" s="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5">
      <c r="A36" s="10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5"/>
      <c r="O36" s="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">
      <c r="A37" s="10" t="s">
        <v>3</v>
      </c>
      <c r="B37" s="10"/>
      <c r="C37" s="15"/>
      <c r="D37" s="15">
        <f>D54/$O$54</f>
        <v>6666.666666666667</v>
      </c>
      <c r="E37" s="15">
        <f t="shared" ref="E37:M37" si="20">E54/$O$54</f>
        <v>6666.666666666667</v>
      </c>
      <c r="F37" s="15">
        <f t="shared" si="20"/>
        <v>6666.666666666667</v>
      </c>
      <c r="G37" s="15">
        <f t="shared" si="20"/>
        <v>6666.666666666667</v>
      </c>
      <c r="H37" s="15">
        <f t="shared" si="20"/>
        <v>6666.666666666667</v>
      </c>
      <c r="I37" s="15">
        <f t="shared" si="20"/>
        <v>6666.666666666667</v>
      </c>
      <c r="J37" s="15">
        <f t="shared" si="20"/>
        <v>6666.666666666667</v>
      </c>
      <c r="K37" s="15">
        <f t="shared" si="20"/>
        <v>6666.666666666667</v>
      </c>
      <c r="L37" s="15">
        <f t="shared" si="20"/>
        <v>6666.666666666667</v>
      </c>
      <c r="M37" s="15">
        <f t="shared" si="20"/>
        <v>6666.666666666667</v>
      </c>
      <c r="N37" s="55"/>
      <c r="O37" s="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5">
      <c r="A38" s="10" t="s">
        <v>94</v>
      </c>
      <c r="B38" s="10"/>
      <c r="C38" s="15"/>
      <c r="D38" s="15">
        <f>-CUMIPMT($O$64/12,$P$64*12,C64,1,12,0)</f>
        <v>12946.152091052893</v>
      </c>
      <c r="E38" s="15">
        <f t="shared" ref="E38:M38" si="21">-CUMIPMT($O$64/12,$P$64*12,D64,1,12,0)</f>
        <v>12397.019384759124</v>
      </c>
      <c r="F38" s="15">
        <f t="shared" si="21"/>
        <v>11814.017374717927</v>
      </c>
      <c r="G38" s="15">
        <f t="shared" si="21"/>
        <v>11195.057076384779</v>
      </c>
      <c r="H38" s="15">
        <f t="shared" si="21"/>
        <v>10537.92066121945</v>
      </c>
      <c r="I38" s="15">
        <f t="shared" si="21"/>
        <v>9880.7842460541196</v>
      </c>
      <c r="J38" s="15">
        <f t="shared" si="21"/>
        <v>9223.6478308887854</v>
      </c>
      <c r="K38" s="15">
        <f t="shared" si="21"/>
        <v>8566.5114157234566</v>
      </c>
      <c r="L38" s="15">
        <f t="shared" si="21"/>
        <v>7909.3750005581269</v>
      </c>
      <c r="M38" s="15">
        <f t="shared" si="21"/>
        <v>7252.2385853927963</v>
      </c>
      <c r="N38" s="5"/>
      <c r="O38" s="5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5">
      <c r="A39" s="10" t="s">
        <v>17</v>
      </c>
      <c r="B39" s="10"/>
      <c r="C39" s="15"/>
      <c r="D39" s="15">
        <f>$O$39*D65</f>
        <v>4904.9456021450378</v>
      </c>
      <c r="E39" s="15">
        <f t="shared" ref="E39:M39" si="22">$O$39*E65</f>
        <v>7608.4385140905597</v>
      </c>
      <c r="F39" s="15">
        <f t="shared" si="22"/>
        <v>10800.753207987018</v>
      </c>
      <c r="G39" s="15">
        <f t="shared" si="22"/>
        <v>13661.668663577626</v>
      </c>
      <c r="H39" s="15">
        <f t="shared" si="22"/>
        <v>15976.826526021403</v>
      </c>
      <c r="I39" s="15">
        <f t="shared" si="22"/>
        <v>17589.340835850529</v>
      </c>
      <c r="J39" s="15">
        <f t="shared" si="22"/>
        <v>19171.772780486725</v>
      </c>
      <c r="K39" s="15">
        <f t="shared" si="22"/>
        <v>20683.85592511189</v>
      </c>
      <c r="L39" s="15">
        <f t="shared" si="22"/>
        <v>3476.1276182534639</v>
      </c>
      <c r="M39" s="15">
        <f t="shared" si="22"/>
        <v>3672.1874418156481</v>
      </c>
      <c r="N39" s="5"/>
      <c r="O39" s="54">
        <v>0.12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5">
      <c r="A40" s="10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5"/>
      <c r="O40" s="5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5">
      <c r="A41" s="10" t="s">
        <v>4</v>
      </c>
      <c r="B41" s="10"/>
      <c r="C41" s="15"/>
      <c r="D41" s="15">
        <f>D28-D35-D37-D38-D39</f>
        <v>-16017.764359864599</v>
      </c>
      <c r="E41" s="15">
        <f>E21-E26-E31-E37-E38-E39</f>
        <v>-15332.124565516351</v>
      </c>
      <c r="F41" s="15">
        <f>F21-F26-F31-F37-F38-F39</f>
        <v>-18010.017249371598</v>
      </c>
      <c r="G41" s="15">
        <f>G21-G26-G31-G37-G38-G39</f>
        <v>-13655.819546629058</v>
      </c>
      <c r="H41" s="15">
        <f>H21-H26-H31-H37-H38-H39</f>
        <v>-7970.1323735275073</v>
      </c>
      <c r="I41" s="15">
        <f>I21-I26-I31-I37-I38-I39</f>
        <v>-740.65893695074556</v>
      </c>
      <c r="J41" s="15">
        <f t="shared" ref="J41:M41" si="23">J21-J26-J31-J37-J38-J39</f>
        <v>1465.8108821196802</v>
      </c>
      <c r="K41" s="15">
        <f t="shared" si="23"/>
        <v>4809.107878363935</v>
      </c>
      <c r="L41" s="15">
        <f t="shared" si="23"/>
        <v>28073.87423877855</v>
      </c>
      <c r="M41" s="15">
        <f t="shared" si="23"/>
        <v>35289.369001219216</v>
      </c>
      <c r="N41" s="5"/>
      <c r="O41" s="5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5">
      <c r="A42" s="10" t="s">
        <v>5</v>
      </c>
      <c r="B42" s="10"/>
      <c r="C42" s="15"/>
      <c r="D42" s="15">
        <f t="shared" ref="D42:L42" si="24">IF(D41&lt;0,0,D41*$O$42)</f>
        <v>0</v>
      </c>
      <c r="E42" s="15">
        <f t="shared" si="24"/>
        <v>0</v>
      </c>
      <c r="F42" s="15">
        <f t="shared" si="24"/>
        <v>0</v>
      </c>
      <c r="G42" s="15">
        <f t="shared" si="24"/>
        <v>0</v>
      </c>
      <c r="H42" s="15">
        <f t="shared" si="24"/>
        <v>0</v>
      </c>
      <c r="I42" s="15">
        <f t="shared" si="24"/>
        <v>0</v>
      </c>
      <c r="J42" s="15">
        <f t="shared" si="24"/>
        <v>366.45272052992004</v>
      </c>
      <c r="K42" s="15">
        <f t="shared" si="24"/>
        <v>1202.2769695909838</v>
      </c>
      <c r="L42" s="15">
        <f t="shared" si="24"/>
        <v>7018.4685596946374</v>
      </c>
      <c r="M42" s="15">
        <f>IF(M41&lt;0,0,M41*$O$42)</f>
        <v>8822.3422503048041</v>
      </c>
      <c r="N42" s="5"/>
      <c r="O42" s="54">
        <v>0.25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5">
      <c r="A43" s="9" t="s">
        <v>18</v>
      </c>
      <c r="B43" s="10"/>
      <c r="C43" s="15"/>
      <c r="D43" s="15">
        <f>D41-D42</f>
        <v>-16017.764359864599</v>
      </c>
      <c r="E43" s="15">
        <f t="shared" ref="E43:M43" si="25">E41-E42</f>
        <v>-15332.124565516351</v>
      </c>
      <c r="F43" s="15">
        <f t="shared" si="25"/>
        <v>-18010.017249371598</v>
      </c>
      <c r="G43" s="15">
        <f t="shared" si="25"/>
        <v>-13655.819546629058</v>
      </c>
      <c r="H43" s="15">
        <f t="shared" si="25"/>
        <v>-7970.1323735275073</v>
      </c>
      <c r="I43" s="15">
        <f t="shared" si="25"/>
        <v>-740.65893695074556</v>
      </c>
      <c r="J43" s="15">
        <f t="shared" si="25"/>
        <v>1099.3581615897601</v>
      </c>
      <c r="K43" s="15">
        <f t="shared" si="25"/>
        <v>3606.8309087729513</v>
      </c>
      <c r="L43" s="15">
        <f t="shared" si="25"/>
        <v>21055.405679083913</v>
      </c>
      <c r="M43" s="15">
        <f t="shared" si="25"/>
        <v>26467.026750914411</v>
      </c>
      <c r="N43" s="5"/>
      <c r="O43" s="10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5">
      <c r="A44" s="10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48"/>
      <c r="O44" s="1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5">
      <c r="A45" s="9" t="s">
        <v>6</v>
      </c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48"/>
      <c r="O45" s="10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5">
      <c r="A46" s="9" t="s">
        <v>7</v>
      </c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48"/>
      <c r="O46" s="10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5">
      <c r="A47" s="10" t="s">
        <v>90</v>
      </c>
      <c r="B47" s="10"/>
      <c r="C47" s="15"/>
      <c r="D47" s="15">
        <f t="shared" ref="D47:M47" si="26">$O$47*SUM(D61:D62)</f>
        <v>1972.6027397260275</v>
      </c>
      <c r="E47" s="15">
        <f t="shared" si="26"/>
        <v>2061.3698630136987</v>
      </c>
      <c r="F47" s="15">
        <f t="shared" si="26"/>
        <v>2154.1315068493163</v>
      </c>
      <c r="G47" s="15">
        <f t="shared" si="26"/>
        <v>2251.0674246575354</v>
      </c>
      <c r="H47" s="15">
        <f t="shared" si="26"/>
        <v>2352.3654587671244</v>
      </c>
      <c r="I47" s="15">
        <f t="shared" si="26"/>
        <v>2458.221904411645</v>
      </c>
      <c r="J47" s="15">
        <f t="shared" si="26"/>
        <v>2862.0040665341053</v>
      </c>
      <c r="K47" s="15">
        <f t="shared" si="26"/>
        <v>3646.2613508379131</v>
      </c>
      <c r="L47" s="15">
        <f t="shared" si="26"/>
        <v>8420.014412803268</v>
      </c>
      <c r="M47" s="15">
        <f t="shared" si="26"/>
        <v>9989.3491457185428</v>
      </c>
      <c r="N47" s="5"/>
      <c r="O47" s="49">
        <v>0.8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5">
      <c r="A48" s="10" t="s">
        <v>19</v>
      </c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5"/>
      <c r="O48" s="10"/>
      <c r="P48" s="1"/>
      <c r="Q48" s="1"/>
      <c r="R48" s="17" t="s">
        <v>48</v>
      </c>
      <c r="S48" s="42">
        <v>1.24</v>
      </c>
      <c r="T48" s="19"/>
      <c r="U48" s="19"/>
      <c r="V48" s="20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"/>
    </row>
    <row r="49" spans="1:35" ht="15">
      <c r="A49" s="10" t="s">
        <v>8</v>
      </c>
      <c r="B49" s="10"/>
      <c r="C49" s="15"/>
      <c r="D49" s="15">
        <f t="shared" ref="D49:M49" si="27">D10*(D18/$P$10)</f>
        <v>493.15068493150682</v>
      </c>
      <c r="E49" s="15">
        <f t="shared" si="27"/>
        <v>438.04109589041093</v>
      </c>
      <c r="F49" s="15">
        <f t="shared" si="27"/>
        <v>389.09000342465765</v>
      </c>
      <c r="G49" s="15">
        <f t="shared" si="27"/>
        <v>345.60919554195215</v>
      </c>
      <c r="H49" s="15">
        <f t="shared" si="27"/>
        <v>306.98736794013899</v>
      </c>
      <c r="I49" s="15">
        <f t="shared" si="27"/>
        <v>272.68152957282842</v>
      </c>
      <c r="J49" s="15">
        <f t="shared" si="27"/>
        <v>242.20936864306486</v>
      </c>
      <c r="K49" s="15">
        <f t="shared" si="27"/>
        <v>215.14247169720235</v>
      </c>
      <c r="L49" s="15">
        <f t="shared" si="27"/>
        <v>191.10030048504004</v>
      </c>
      <c r="M49" s="15">
        <f t="shared" si="27"/>
        <v>169.74484190583681</v>
      </c>
      <c r="N49" s="56"/>
      <c r="O49" s="10"/>
      <c r="P49" s="1"/>
      <c r="Q49" s="1"/>
      <c r="R49" s="21" t="s">
        <v>49</v>
      </c>
      <c r="S49" s="18">
        <f>O42</f>
        <v>0.25</v>
      </c>
      <c r="T49" s="19"/>
      <c r="U49" s="19"/>
      <c r="V49" s="20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"/>
    </row>
    <row r="50" spans="1:35" ht="15">
      <c r="A50" s="10" t="s">
        <v>91</v>
      </c>
      <c r="B50" s="10"/>
      <c r="C50" s="15"/>
      <c r="D50" s="15">
        <f>D11*(D23/$P$10)</f>
        <v>14794.520547945205</v>
      </c>
      <c r="E50" s="15">
        <f t="shared" ref="E50:M50" si="28">E11*(E23/$P$10)</f>
        <v>17006.301369863017</v>
      </c>
      <c r="F50" s="15">
        <f t="shared" si="28"/>
        <v>19548.743424657547</v>
      </c>
      <c r="G50" s="15">
        <f t="shared" si="28"/>
        <v>22471.280566643851</v>
      </c>
      <c r="H50" s="15">
        <f t="shared" si="28"/>
        <v>25830.737011357112</v>
      </c>
      <c r="I50" s="15">
        <f t="shared" si="28"/>
        <v>29692.432194555004</v>
      </c>
      <c r="J50" s="15">
        <f t="shared" si="28"/>
        <v>34131.450807640977</v>
      </c>
      <c r="K50" s="15">
        <f t="shared" si="28"/>
        <v>39234.102703383309</v>
      </c>
      <c r="L50" s="15">
        <f t="shared" si="28"/>
        <v>45099.601057539126</v>
      </c>
      <c r="M50" s="15">
        <f t="shared" si="28"/>
        <v>51841.991415641234</v>
      </c>
      <c r="N50" s="5"/>
      <c r="O50" s="10"/>
      <c r="P50" s="1"/>
      <c r="Q50" s="1"/>
      <c r="R50" s="21" t="s">
        <v>50</v>
      </c>
      <c r="S50" s="43">
        <v>2.75E-2</v>
      </c>
      <c r="T50" s="19"/>
      <c r="U50" s="19"/>
      <c r="V50" s="20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"/>
    </row>
    <row r="51" spans="1:35" ht="15">
      <c r="A51" s="10" t="s">
        <v>92</v>
      </c>
      <c r="B51" s="10"/>
      <c r="C51" s="15"/>
      <c r="D51" s="15">
        <f>D11*(D24/$P$10)</f>
        <v>7397.2602739726026</v>
      </c>
      <c r="E51" s="15">
        <f t="shared" ref="E51:M51" si="29">E11*(E24/$P$10)</f>
        <v>9219.2054794520554</v>
      </c>
      <c r="F51" s="15">
        <f t="shared" si="29"/>
        <v>11489.8957890411</v>
      </c>
      <c r="G51" s="15">
        <f t="shared" si="29"/>
        <v>14319.857121881923</v>
      </c>
      <c r="H51" s="15">
        <f t="shared" si="29"/>
        <v>17846.837931001446</v>
      </c>
      <c r="I51" s="15">
        <f t="shared" si="29"/>
        <v>22242.514113407105</v>
      </c>
      <c r="J51" s="15">
        <f t="shared" si="29"/>
        <v>27720.845339539275</v>
      </c>
      <c r="K51" s="15">
        <f t="shared" si="29"/>
        <v>34548.489546667814</v>
      </c>
      <c r="L51" s="15">
        <f t="shared" si="29"/>
        <v>43057.782522012101</v>
      </c>
      <c r="M51" s="15">
        <f t="shared" si="29"/>
        <v>53662.914357183698</v>
      </c>
      <c r="N51" s="5"/>
      <c r="O51" s="10"/>
      <c r="P51" s="1"/>
      <c r="Q51" s="1"/>
      <c r="R51" s="21"/>
      <c r="S51" s="43"/>
      <c r="T51" s="19"/>
      <c r="U51" s="19"/>
      <c r="V51" s="20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"/>
    </row>
    <row r="52" spans="1:35" ht="15">
      <c r="A52" s="10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48"/>
      <c r="O52" s="10"/>
      <c r="P52" s="1"/>
      <c r="Q52" s="1"/>
      <c r="R52" s="22" t="s">
        <v>51</v>
      </c>
      <c r="S52" s="43">
        <v>0.1</v>
      </c>
      <c r="T52" s="19"/>
      <c r="U52" s="19"/>
      <c r="V52" s="20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"/>
    </row>
    <row r="53" spans="1:35" ht="15">
      <c r="A53" s="10" t="s">
        <v>20</v>
      </c>
      <c r="B53" s="10"/>
      <c r="C53" s="15"/>
      <c r="D53" s="15">
        <v>75000</v>
      </c>
      <c r="E53" s="15">
        <f>D53</f>
        <v>75000</v>
      </c>
      <c r="F53" s="15">
        <f t="shared" ref="F53:M54" si="30">E53</f>
        <v>75000</v>
      </c>
      <c r="G53" s="15">
        <f t="shared" si="30"/>
        <v>75000</v>
      </c>
      <c r="H53" s="15">
        <f t="shared" si="30"/>
        <v>75000</v>
      </c>
      <c r="I53" s="15">
        <f t="shared" si="30"/>
        <v>75000</v>
      </c>
      <c r="J53" s="15">
        <f t="shared" si="30"/>
        <v>75000</v>
      </c>
      <c r="K53" s="15">
        <f t="shared" si="30"/>
        <v>75000</v>
      </c>
      <c r="L53" s="15">
        <f t="shared" si="30"/>
        <v>75000</v>
      </c>
      <c r="M53" s="15">
        <f t="shared" si="30"/>
        <v>75000</v>
      </c>
      <c r="N53" s="55"/>
      <c r="O53" s="10"/>
      <c r="P53" s="1"/>
      <c r="Q53" s="1"/>
      <c r="R53" s="19"/>
      <c r="S53" s="19"/>
      <c r="T53" s="19"/>
      <c r="U53" s="23"/>
      <c r="V53" s="2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"/>
    </row>
    <row r="54" spans="1:35" ht="15">
      <c r="A54" s="10" t="s">
        <v>93</v>
      </c>
      <c r="B54" s="10"/>
      <c r="C54" s="15"/>
      <c r="D54" s="15">
        <v>200000</v>
      </c>
      <c r="E54" s="15">
        <f t="shared" ref="E54:G54" si="31">D54</f>
        <v>200000</v>
      </c>
      <c r="F54" s="15">
        <f t="shared" si="31"/>
        <v>200000</v>
      </c>
      <c r="G54" s="15">
        <f t="shared" si="31"/>
        <v>200000</v>
      </c>
      <c r="H54" s="15">
        <f t="shared" si="30"/>
        <v>200000</v>
      </c>
      <c r="I54" s="15">
        <f t="shared" si="30"/>
        <v>200000</v>
      </c>
      <c r="J54" s="15">
        <f t="shared" si="30"/>
        <v>200000</v>
      </c>
      <c r="K54" s="15">
        <f t="shared" si="30"/>
        <v>200000</v>
      </c>
      <c r="L54" s="15">
        <f t="shared" si="30"/>
        <v>200000</v>
      </c>
      <c r="M54" s="15">
        <f t="shared" si="30"/>
        <v>200000</v>
      </c>
      <c r="N54" s="55"/>
      <c r="O54" s="14">
        <v>30</v>
      </c>
      <c r="P54" s="1" t="s">
        <v>28</v>
      </c>
      <c r="Q54" s="1"/>
      <c r="R54" s="19"/>
      <c r="S54" s="23" t="s">
        <v>52</v>
      </c>
      <c r="T54" s="23" t="s">
        <v>53</v>
      </c>
      <c r="U54" s="23" t="s">
        <v>54</v>
      </c>
      <c r="V54" s="23" t="s">
        <v>53</v>
      </c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1"/>
    </row>
    <row r="55" spans="1:35" ht="15">
      <c r="A55" s="10" t="s">
        <v>10</v>
      </c>
      <c r="B55" s="10"/>
      <c r="C55" s="15"/>
      <c r="D55" s="15">
        <f>C55+D37</f>
        <v>6666.666666666667</v>
      </c>
      <c r="E55" s="15">
        <f t="shared" ref="E55:K55" si="32">D55+E37</f>
        <v>13333.333333333334</v>
      </c>
      <c r="F55" s="15">
        <f t="shared" si="32"/>
        <v>20000</v>
      </c>
      <c r="G55" s="15">
        <f t="shared" si="32"/>
        <v>26666.666666666668</v>
      </c>
      <c r="H55" s="15">
        <f t="shared" si="32"/>
        <v>33333.333333333336</v>
      </c>
      <c r="I55" s="15">
        <f t="shared" si="32"/>
        <v>40000</v>
      </c>
      <c r="J55" s="15">
        <f t="shared" si="32"/>
        <v>46666.666666666664</v>
      </c>
      <c r="K55" s="15">
        <f t="shared" si="32"/>
        <v>53333.333333333328</v>
      </c>
      <c r="L55" s="15">
        <f>L54</f>
        <v>200000</v>
      </c>
      <c r="M55" s="15">
        <f>M54</f>
        <v>200000</v>
      </c>
      <c r="N55" s="5"/>
      <c r="O55" s="10"/>
      <c r="P55" s="1"/>
      <c r="Q55" s="1"/>
      <c r="R55" s="24" t="s">
        <v>55</v>
      </c>
      <c r="S55" s="25">
        <v>0.06</v>
      </c>
      <c r="T55" s="26">
        <f>S55*(1-S49)</f>
        <v>4.4999999999999998E-2</v>
      </c>
      <c r="U55" s="27"/>
      <c r="V55" s="26">
        <f>U55*(1-S49)</f>
        <v>0</v>
      </c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1"/>
    </row>
    <row r="56" spans="1:35" ht="15">
      <c r="A56" s="10"/>
      <c r="B56" s="10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5"/>
      <c r="O56" s="10"/>
      <c r="P56" s="1"/>
      <c r="Q56" s="1"/>
      <c r="R56" s="28" t="s">
        <v>56</v>
      </c>
      <c r="S56" s="29"/>
      <c r="T56" s="26">
        <f>S56*(1-S49)</f>
        <v>0</v>
      </c>
      <c r="U56" s="27"/>
      <c r="V56" s="26">
        <f>U56*(1-S49)</f>
        <v>0</v>
      </c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1"/>
    </row>
    <row r="57" spans="1:35" ht="15">
      <c r="A57" s="10"/>
      <c r="B57" s="10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48"/>
      <c r="O57" s="10"/>
      <c r="P57" s="1"/>
      <c r="Q57" s="1"/>
      <c r="R57" s="24" t="s">
        <v>58</v>
      </c>
      <c r="S57" s="30">
        <f>X57/(X57+X58+X61+X62)</f>
        <v>0.64562210530539854</v>
      </c>
      <c r="T57" s="26">
        <f>T55*S57</f>
        <v>2.9052994738742934E-2</v>
      </c>
      <c r="U57" s="18"/>
      <c r="V57" s="26">
        <f>V55*U57</f>
        <v>0</v>
      </c>
      <c r="W57" s="23"/>
      <c r="X57" s="31">
        <f>AVERAGE(Y57:AH57)</f>
        <v>162069.5329124417</v>
      </c>
      <c r="Y57" s="32">
        <v>210668.33183057379</v>
      </c>
      <c r="Z57" s="32">
        <v>200761.10678741176</v>
      </c>
      <c r="AA57" s="32">
        <v>190242.82578193833</v>
      </c>
      <c r="AB57" s="32">
        <v>179075.80021947136</v>
      </c>
      <c r="AC57" s="32">
        <v>167908.7746570044</v>
      </c>
      <c r="AD57" s="32">
        <v>156741.74909453743</v>
      </c>
      <c r="AE57" s="32">
        <v>145574.72353207046</v>
      </c>
      <c r="AF57" s="32">
        <v>134407.6979696035</v>
      </c>
      <c r="AG57" s="32">
        <v>123240.67240713653</v>
      </c>
      <c r="AH57" s="32">
        <v>112073.64684466957</v>
      </c>
      <c r="AI57" s="1"/>
    </row>
    <row r="58" spans="1:35" ht="15">
      <c r="A58" s="9" t="s">
        <v>11</v>
      </c>
      <c r="B58" s="10"/>
      <c r="C58" s="15"/>
      <c r="D58" s="15">
        <f>SUM(D47:D54)-D55</f>
        <v>292990.86757990863</v>
      </c>
      <c r="E58" s="15">
        <f>SUM(E47:E54)-E55</f>
        <v>290391.58447488589</v>
      </c>
      <c r="F58" s="15">
        <f t="shared" ref="F58:M58" si="33">SUM(F47:F54)-F55</f>
        <v>288581.86072397261</v>
      </c>
      <c r="G58" s="15">
        <f t="shared" si="33"/>
        <v>287721.14764205861</v>
      </c>
      <c r="H58" s="15">
        <f t="shared" si="33"/>
        <v>288003.59443573252</v>
      </c>
      <c r="I58" s="15">
        <f t="shared" si="33"/>
        <v>289665.84974194656</v>
      </c>
      <c r="J58" s="15">
        <f t="shared" si="33"/>
        <v>293289.84291569074</v>
      </c>
      <c r="K58" s="15">
        <f t="shared" si="33"/>
        <v>299310.66273925296</v>
      </c>
      <c r="L58" s="15">
        <f t="shared" si="33"/>
        <v>171768.4982928395</v>
      </c>
      <c r="M58" s="15">
        <f t="shared" si="33"/>
        <v>190663.99976044928</v>
      </c>
      <c r="N58" s="57"/>
      <c r="O58" s="10"/>
      <c r="P58" s="1"/>
      <c r="Q58" s="1"/>
      <c r="R58" s="28" t="s">
        <v>59</v>
      </c>
      <c r="S58" s="33">
        <f>X58/(X57+X58+X61+X62)</f>
        <v>0</v>
      </c>
      <c r="T58" s="26">
        <f>T56*S58</f>
        <v>0</v>
      </c>
      <c r="U58" s="18"/>
      <c r="V58" s="26">
        <f>V56*U58</f>
        <v>0</v>
      </c>
      <c r="W58" s="23"/>
      <c r="X58" s="34">
        <f>AVERAGE(Y58:AH58)</f>
        <v>0</v>
      </c>
      <c r="Y58" s="32">
        <v>0</v>
      </c>
      <c r="Z58" s="32">
        <v>0</v>
      </c>
      <c r="AA58" s="32">
        <v>0</v>
      </c>
      <c r="AB58" s="32">
        <v>0</v>
      </c>
      <c r="AC58" s="32">
        <v>0</v>
      </c>
      <c r="AD58" s="32">
        <v>0</v>
      </c>
      <c r="AE58" s="32">
        <v>0</v>
      </c>
      <c r="AF58" s="32">
        <v>0</v>
      </c>
      <c r="AG58" s="32">
        <v>0</v>
      </c>
      <c r="AH58" s="32">
        <v>0</v>
      </c>
      <c r="AI58" s="1"/>
    </row>
    <row r="59" spans="1:35" ht="15">
      <c r="A59" s="10"/>
      <c r="B59" s="10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48"/>
      <c r="O59" s="10"/>
      <c r="P59" s="1"/>
      <c r="Q59" s="1"/>
      <c r="R59" s="19" t="s">
        <v>60</v>
      </c>
      <c r="S59" s="35">
        <f>S57+S58</f>
        <v>0.64562210530539854</v>
      </c>
      <c r="T59" s="36"/>
      <c r="U59" s="36">
        <f>U57+U58</f>
        <v>0</v>
      </c>
      <c r="V59" s="23"/>
      <c r="W59" s="23"/>
      <c r="X59" s="20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1"/>
    </row>
    <row r="60" spans="1:35" ht="15">
      <c r="A60" s="9" t="s">
        <v>12</v>
      </c>
      <c r="B60" s="10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48"/>
      <c r="O60" s="10"/>
      <c r="P60" s="1"/>
      <c r="Q60" s="1"/>
      <c r="R60" s="19"/>
      <c r="S60" s="23"/>
      <c r="T60" s="23" t="s">
        <v>57</v>
      </c>
      <c r="U60" s="23"/>
      <c r="V60" s="23" t="s">
        <v>57</v>
      </c>
      <c r="W60" s="23"/>
      <c r="X60" s="20"/>
      <c r="Y60" s="93" t="s">
        <v>61</v>
      </c>
      <c r="Z60" s="94"/>
      <c r="AA60" s="94"/>
      <c r="AB60" s="94"/>
      <c r="AC60" s="94"/>
      <c r="AD60" s="94"/>
      <c r="AE60" s="94"/>
      <c r="AF60" s="94"/>
      <c r="AG60" s="94"/>
      <c r="AH60" s="95"/>
      <c r="AI60" s="1"/>
    </row>
    <row r="61" spans="1:35" ht="15">
      <c r="A61" s="11" t="s">
        <v>23</v>
      </c>
      <c r="B61" s="10"/>
      <c r="C61" s="15"/>
      <c r="D61" s="15">
        <f t="shared" ref="D61:M61" si="34">D12*(D26/$P$10)</f>
        <v>2465.7534246575342</v>
      </c>
      <c r="E61" s="15">
        <f t="shared" si="34"/>
        <v>2576.7123287671234</v>
      </c>
      <c r="F61" s="15">
        <f t="shared" si="34"/>
        <v>2692.6643835616451</v>
      </c>
      <c r="G61" s="15">
        <f t="shared" si="34"/>
        <v>2813.834280821919</v>
      </c>
      <c r="H61" s="15">
        <f t="shared" si="34"/>
        <v>2940.4568234589055</v>
      </c>
      <c r="I61" s="15">
        <f t="shared" si="34"/>
        <v>3072.7773805145562</v>
      </c>
      <c r="J61" s="15">
        <f t="shared" si="34"/>
        <v>3211.0523626377112</v>
      </c>
      <c r="K61" s="15">
        <f t="shared" si="34"/>
        <v>3355.549718956408</v>
      </c>
      <c r="L61" s="15">
        <f t="shared" si="34"/>
        <v>3506.5494563094471</v>
      </c>
      <c r="M61" s="15">
        <f t="shared" si="34"/>
        <v>3664.3441818433721</v>
      </c>
      <c r="N61" s="58"/>
      <c r="O61" s="10"/>
      <c r="P61" s="1"/>
      <c r="Q61" s="1"/>
      <c r="R61" s="37" t="s">
        <v>62</v>
      </c>
      <c r="S61" s="30">
        <f>X61/(X61+X62+X57+X58)</f>
        <v>0.21909864953446137</v>
      </c>
      <c r="T61" s="96">
        <f>S63*S69</f>
        <v>4.1603964837146214E-2</v>
      </c>
      <c r="U61" s="98"/>
      <c r="V61" s="96" t="e">
        <f>U63*S70</f>
        <v>#DIV/0!</v>
      </c>
      <c r="W61" s="23"/>
      <c r="X61" s="38">
        <f t="shared" ref="X61:X62" si="35">AVERAGE(Y61:AH61)</f>
        <v>55000</v>
      </c>
      <c r="Y61" s="32">
        <v>55000</v>
      </c>
      <c r="Z61" s="32">
        <v>55000</v>
      </c>
      <c r="AA61" s="32">
        <v>55000</v>
      </c>
      <c r="AB61" s="32">
        <v>55000</v>
      </c>
      <c r="AC61" s="32">
        <v>55000</v>
      </c>
      <c r="AD61" s="32">
        <v>55000</v>
      </c>
      <c r="AE61" s="32">
        <v>55000</v>
      </c>
      <c r="AF61" s="32">
        <v>55000</v>
      </c>
      <c r="AG61" s="32">
        <v>55000</v>
      </c>
      <c r="AH61" s="32">
        <v>55000</v>
      </c>
      <c r="AI61" s="1"/>
    </row>
    <row r="62" spans="1:35" ht="15">
      <c r="A62" s="10" t="s">
        <v>13</v>
      </c>
      <c r="B62" s="10"/>
      <c r="C62" s="15"/>
      <c r="D62" s="15">
        <f t="shared" ref="D62:M62" si="36">D42</f>
        <v>0</v>
      </c>
      <c r="E62" s="15">
        <f t="shared" si="36"/>
        <v>0</v>
      </c>
      <c r="F62" s="15">
        <f t="shared" si="36"/>
        <v>0</v>
      </c>
      <c r="G62" s="15">
        <f t="shared" si="36"/>
        <v>0</v>
      </c>
      <c r="H62" s="15">
        <f t="shared" si="36"/>
        <v>0</v>
      </c>
      <c r="I62" s="15">
        <f t="shared" si="36"/>
        <v>0</v>
      </c>
      <c r="J62" s="15">
        <f t="shared" si="36"/>
        <v>366.45272052992004</v>
      </c>
      <c r="K62" s="15">
        <f t="shared" si="36"/>
        <v>1202.2769695909838</v>
      </c>
      <c r="L62" s="15">
        <f t="shared" si="36"/>
        <v>7018.4685596946374</v>
      </c>
      <c r="M62" s="15">
        <f t="shared" si="36"/>
        <v>8822.3422503048041</v>
      </c>
      <c r="N62" s="5"/>
      <c r="O62" s="10"/>
      <c r="P62" s="1"/>
      <c r="Q62" s="1"/>
      <c r="R62" s="39" t="s">
        <v>63</v>
      </c>
      <c r="S62" s="33">
        <f>X62/(X61+X62+X57+X58)</f>
        <v>0.13527924516014006</v>
      </c>
      <c r="T62" s="97"/>
      <c r="U62" s="99"/>
      <c r="V62" s="97"/>
      <c r="W62" s="23"/>
      <c r="X62" s="38">
        <f t="shared" si="35"/>
        <v>33958.942693699406</v>
      </c>
      <c r="Y62" s="32">
        <v>-4696.1520910528925</v>
      </c>
      <c r="Z62" s="32">
        <v>-5976.747308369977</v>
      </c>
      <c r="AA62" s="32">
        <v>-6714.8665633756427</v>
      </c>
      <c r="AB62" s="32">
        <v>-1834.7829418847414</v>
      </c>
      <c r="AC62" s="32">
        <v>8553.0821448911593</v>
      </c>
      <c r="AD62" s="32">
        <v>25079.585730097475</v>
      </c>
      <c r="AE62" s="32">
        <v>43954.913326709757</v>
      </c>
      <c r="AF62" s="32">
        <v>65978.923717600104</v>
      </c>
      <c r="AG62" s="32">
        <v>92052.860337283593</v>
      </c>
      <c r="AH62" s="32">
        <v>123192.61058509523</v>
      </c>
      <c r="AI62" s="1"/>
    </row>
    <row r="63" spans="1:35" ht="15">
      <c r="A63" s="10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5"/>
      <c r="O63" s="10"/>
      <c r="P63" s="1"/>
      <c r="Q63" s="1"/>
      <c r="R63" s="19" t="s">
        <v>64</v>
      </c>
      <c r="S63" s="35">
        <f>S61+S62</f>
        <v>0.35437789469460146</v>
      </c>
      <c r="T63" s="23"/>
      <c r="U63" s="36">
        <f>U61+U62</f>
        <v>0</v>
      </c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1"/>
    </row>
    <row r="64" spans="1:35" ht="15">
      <c r="A64" s="10" t="s">
        <v>109</v>
      </c>
      <c r="B64" s="10"/>
      <c r="C64" s="91">
        <f>(D53+D54)*0.8</f>
        <v>220000</v>
      </c>
      <c r="D64" s="15">
        <f>C64+CUMPRINC($O$64/12,$P$64*12,$C$64,1,12,0)</f>
        <v>210668.33183057379</v>
      </c>
      <c r="E64" s="15">
        <f>D64+CUMPRINC($O$64/12,$P$64*12,$C$64,13,24,0)</f>
        <v>200761.10678741176</v>
      </c>
      <c r="F64" s="15">
        <f>E64+CUMPRINC($O$64/12,$P$64*12,$C$64,25,36,0)</f>
        <v>190242.82578193833</v>
      </c>
      <c r="G64" s="15">
        <f t="shared" ref="G64:M64" si="37">F64+CUMPRINC($O$64/12,$P$64*12,$C$64,37,48,0)</f>
        <v>179075.80021947136</v>
      </c>
      <c r="H64" s="15">
        <f t="shared" si="37"/>
        <v>167908.7746570044</v>
      </c>
      <c r="I64" s="15">
        <f t="shared" si="37"/>
        <v>156741.74909453743</v>
      </c>
      <c r="J64" s="15">
        <f t="shared" si="37"/>
        <v>145574.72353207046</v>
      </c>
      <c r="K64" s="15">
        <f t="shared" si="37"/>
        <v>134407.6979696035</v>
      </c>
      <c r="L64" s="15">
        <f t="shared" si="37"/>
        <v>123240.67240713653</v>
      </c>
      <c r="M64" s="15">
        <f t="shared" si="37"/>
        <v>112073.64684466957</v>
      </c>
      <c r="N64" s="59"/>
      <c r="O64" s="54">
        <v>0.06</v>
      </c>
      <c r="P64" s="1">
        <v>15</v>
      </c>
      <c r="Q64" s="1"/>
      <c r="R64" s="19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1"/>
    </row>
    <row r="65" spans="1:35" ht="15">
      <c r="A65" s="10" t="s">
        <v>21</v>
      </c>
      <c r="B65" s="10"/>
      <c r="C65" s="15"/>
      <c r="D65" s="15">
        <v>40874.546684541987</v>
      </c>
      <c r="E65" s="15">
        <v>63403.654284087999</v>
      </c>
      <c r="F65" s="15">
        <v>90006.276733225153</v>
      </c>
      <c r="G65" s="15">
        <v>113847.23886314689</v>
      </c>
      <c r="H65" s="15">
        <v>133140.22105017837</v>
      </c>
      <c r="I65" s="15">
        <v>146577.84029875443</v>
      </c>
      <c r="J65" s="15">
        <v>159764.77317072271</v>
      </c>
      <c r="K65" s="15">
        <v>172365.46604259909</v>
      </c>
      <c r="L65" s="15">
        <v>28967.730152112199</v>
      </c>
      <c r="M65" s="15">
        <v>30601.562015130403</v>
      </c>
      <c r="N65" s="5"/>
      <c r="O65" s="10"/>
      <c r="P65" s="1"/>
      <c r="Q65" s="1"/>
      <c r="R65" s="19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1"/>
    </row>
    <row r="66" spans="1:35" ht="15">
      <c r="A66" s="10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5"/>
      <c r="O66" s="10"/>
      <c r="P66" s="1"/>
      <c r="Q66" s="1"/>
      <c r="R66" s="17" t="s">
        <v>65</v>
      </c>
      <c r="S66" s="40">
        <f>S48/(1+(1-S49)*(S59/S63))</f>
        <v>0.52400606397546456</v>
      </c>
      <c r="T66" s="20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1"/>
    </row>
    <row r="67" spans="1:35" ht="15">
      <c r="A67" s="10" t="s">
        <v>22</v>
      </c>
      <c r="B67" s="10"/>
      <c r="C67" s="15"/>
      <c r="D67" s="15">
        <f>275000-220000</f>
        <v>55000</v>
      </c>
      <c r="E67" s="15">
        <f>D67</f>
        <v>55000</v>
      </c>
      <c r="F67" s="15">
        <f t="shared" ref="F67:M67" si="38">E67</f>
        <v>55000</v>
      </c>
      <c r="G67" s="15">
        <f t="shared" si="38"/>
        <v>55000</v>
      </c>
      <c r="H67" s="15">
        <f t="shared" si="38"/>
        <v>55000</v>
      </c>
      <c r="I67" s="15">
        <f t="shared" si="38"/>
        <v>55000</v>
      </c>
      <c r="J67" s="15">
        <f t="shared" si="38"/>
        <v>55000</v>
      </c>
      <c r="K67" s="15">
        <f t="shared" si="38"/>
        <v>55000</v>
      </c>
      <c r="L67" s="15">
        <f t="shared" si="38"/>
        <v>55000</v>
      </c>
      <c r="M67" s="15">
        <f t="shared" si="38"/>
        <v>55000</v>
      </c>
      <c r="N67" s="5"/>
      <c r="O67" s="10"/>
      <c r="P67" s="1"/>
      <c r="Q67" s="1"/>
      <c r="R67" s="22" t="s">
        <v>66</v>
      </c>
      <c r="S67" s="40" t="e">
        <f>S66*(1+(1-S49)*(U59/U63))</f>
        <v>#DIV/0!</v>
      </c>
      <c r="T67" s="20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1"/>
    </row>
    <row r="68" spans="1:35" ht="15">
      <c r="A68" s="10" t="s">
        <v>14</v>
      </c>
      <c r="B68" s="10"/>
      <c r="C68" s="15"/>
      <c r="D68" s="15">
        <f t="shared" ref="D68:M68" si="39">C68+D43</f>
        <v>-16017.764359864599</v>
      </c>
      <c r="E68" s="15">
        <f t="shared" si="39"/>
        <v>-31349.88892538095</v>
      </c>
      <c r="F68" s="15">
        <f t="shared" si="39"/>
        <v>-49359.906174752548</v>
      </c>
      <c r="G68" s="15">
        <f t="shared" si="39"/>
        <v>-63015.725721381605</v>
      </c>
      <c r="H68" s="15">
        <f t="shared" si="39"/>
        <v>-70985.858094909112</v>
      </c>
      <c r="I68" s="15">
        <f t="shared" si="39"/>
        <v>-71726.517031859854</v>
      </c>
      <c r="J68" s="15">
        <f t="shared" si="39"/>
        <v>-70627.158870270097</v>
      </c>
      <c r="K68" s="15">
        <f t="shared" si="39"/>
        <v>-67020.32796149714</v>
      </c>
      <c r="L68" s="15">
        <f t="shared" si="39"/>
        <v>-45964.92228241323</v>
      </c>
      <c r="M68" s="15">
        <f t="shared" si="39"/>
        <v>-19497.89553149882</v>
      </c>
      <c r="N68" s="5"/>
      <c r="O68" s="10"/>
      <c r="P68" s="1"/>
      <c r="Q68" s="1"/>
      <c r="R68" s="19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1"/>
    </row>
    <row r="69" spans="1:35" ht="15">
      <c r="A69" s="10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5"/>
      <c r="O69" s="10"/>
      <c r="P69" s="1"/>
      <c r="Q69" s="1"/>
      <c r="R69" s="17" t="s">
        <v>67</v>
      </c>
      <c r="S69" s="40">
        <f>S50+S48*(S52-S50)</f>
        <v>0.1174</v>
      </c>
      <c r="T69" s="20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1"/>
    </row>
    <row r="70" spans="1:35" ht="15">
      <c r="A70" s="9" t="s">
        <v>15</v>
      </c>
      <c r="B70" s="10"/>
      <c r="C70" s="15"/>
      <c r="D70" s="15">
        <f>D61+D62+D64+D65+D67+D68</f>
        <v>292990.86757990875</v>
      </c>
      <c r="E70" s="15">
        <f t="shared" ref="E70:M70" si="40">E61+E62+E64+E65+E67+E68</f>
        <v>290391.58447488589</v>
      </c>
      <c r="F70" s="15">
        <f t="shared" si="40"/>
        <v>288581.86072397255</v>
      </c>
      <c r="G70" s="15">
        <f t="shared" si="40"/>
        <v>287721.14764205855</v>
      </c>
      <c r="H70" s="15">
        <f t="shared" si="40"/>
        <v>288003.59443573258</v>
      </c>
      <c r="I70" s="15">
        <f t="shared" si="40"/>
        <v>289665.84974194656</v>
      </c>
      <c r="J70" s="15">
        <f t="shared" si="40"/>
        <v>293289.84291569074</v>
      </c>
      <c r="K70" s="15">
        <f t="shared" si="40"/>
        <v>299310.66273925285</v>
      </c>
      <c r="L70" s="15">
        <f t="shared" si="40"/>
        <v>171768.49829283959</v>
      </c>
      <c r="M70" s="15">
        <f t="shared" si="40"/>
        <v>190663.99976044934</v>
      </c>
      <c r="N70" s="5"/>
      <c r="O70" s="10"/>
      <c r="P70" s="1"/>
      <c r="Q70" s="1"/>
      <c r="R70" s="22" t="s">
        <v>68</v>
      </c>
      <c r="S70" s="40" t="e">
        <f>S50+S67*(S52-S50)</f>
        <v>#DIV/0!</v>
      </c>
      <c r="T70" s="20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1"/>
    </row>
    <row r="71" spans="1:35" ht="15">
      <c r="A71" s="9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5"/>
      <c r="O71" s="10"/>
      <c r="P71" s="1"/>
      <c r="Q71" s="1"/>
      <c r="R71" s="19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1"/>
    </row>
    <row r="72" spans="1:35" ht="15">
      <c r="A72" s="9" t="s">
        <v>29</v>
      </c>
      <c r="B72" s="10"/>
      <c r="C72" s="15"/>
      <c r="D72" s="15">
        <f>D58-D70</f>
        <v>0</v>
      </c>
      <c r="E72" s="15">
        <f t="shared" ref="E72:M72" si="41">E58-E70</f>
        <v>0</v>
      </c>
      <c r="F72" s="15">
        <f t="shared" si="41"/>
        <v>0</v>
      </c>
      <c r="G72" s="15">
        <f t="shared" si="41"/>
        <v>0</v>
      </c>
      <c r="H72" s="15">
        <f t="shared" si="41"/>
        <v>0</v>
      </c>
      <c r="I72" s="15">
        <f t="shared" si="41"/>
        <v>0</v>
      </c>
      <c r="J72" s="15">
        <f t="shared" si="41"/>
        <v>0</v>
      </c>
      <c r="K72" s="15">
        <f t="shared" si="41"/>
        <v>0</v>
      </c>
      <c r="L72" s="15">
        <f t="shared" si="41"/>
        <v>0</v>
      </c>
      <c r="M72" s="15">
        <f t="shared" si="41"/>
        <v>0</v>
      </c>
      <c r="N72" s="5"/>
      <c r="O72" s="10"/>
      <c r="P72" s="1"/>
      <c r="Q72" s="1"/>
      <c r="R72" s="17" t="s">
        <v>69</v>
      </c>
      <c r="S72" s="41">
        <f>T57+T58+T61</f>
        <v>7.0656959575889147E-2</v>
      </c>
      <c r="T72" s="20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1"/>
    </row>
    <row r="73" spans="1:35" ht="1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3"/>
      <c r="Q73" s="63"/>
      <c r="R73" s="62" t="s">
        <v>70</v>
      </c>
      <c r="S73" s="41" t="e">
        <f>V57+V58+V61</f>
        <v>#DIV/0!</v>
      </c>
      <c r="T73" s="20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7"/>
    </row>
    <row r="74" spans="1:35" ht="15">
      <c r="A74" s="1"/>
      <c r="B74" s="1"/>
      <c r="C74" s="1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5">
      <c r="A75" s="1"/>
      <c r="B75" s="1"/>
      <c r="C75" s="1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5">
      <c r="A76" s="6" t="s">
        <v>71</v>
      </c>
      <c r="C76" s="64" t="s">
        <v>95</v>
      </c>
      <c r="D76" s="65" t="s">
        <v>96</v>
      </c>
      <c r="E76" s="64" t="s">
        <v>97</v>
      </c>
      <c r="F76" s="65" t="s">
        <v>98</v>
      </c>
      <c r="G76" s="64" t="s">
        <v>99</v>
      </c>
      <c r="H76" s="65" t="s">
        <v>100</v>
      </c>
      <c r="I76" s="64" t="s">
        <v>101</v>
      </c>
      <c r="J76" s="65" t="s">
        <v>102</v>
      </c>
      <c r="K76" s="64" t="s">
        <v>103</v>
      </c>
      <c r="L76" s="65" t="s">
        <v>104</v>
      </c>
      <c r="M76" s="64" t="s">
        <v>105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48"/>
      <c r="AI76" s="48"/>
    </row>
    <row r="77" spans="1:35" ht="15">
      <c r="A77" t="s">
        <v>72</v>
      </c>
      <c r="C77" s="1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"/>
      <c r="O77" s="1"/>
      <c r="P77" s="1"/>
      <c r="Q77" s="1"/>
      <c r="R77" s="1"/>
      <c r="S77" s="1"/>
      <c r="T77" s="1"/>
      <c r="U77" s="1"/>
      <c r="V77" s="1"/>
      <c r="W77" s="1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</row>
    <row r="78" spans="1:35" ht="15">
      <c r="B78" t="s">
        <v>73</v>
      </c>
      <c r="C78" s="1"/>
      <c r="D78" s="15">
        <f t="shared" ref="D78:M78" si="42">D28-D35</f>
        <v>8500</v>
      </c>
      <c r="E78" s="15">
        <f t="shared" si="42"/>
        <v>7735</v>
      </c>
      <c r="F78" s="15">
        <f t="shared" si="42"/>
        <v>7558.2700000000114</v>
      </c>
      <c r="G78" s="15">
        <f t="shared" si="42"/>
        <v>14043.028360000018</v>
      </c>
      <c r="H78" s="15">
        <f t="shared" si="42"/>
        <v>21272.000645380016</v>
      </c>
      <c r="I78" s="15">
        <f t="shared" si="42"/>
        <v>29338.673551570573</v>
      </c>
      <c r="J78" s="15">
        <f t="shared" si="42"/>
        <v>32348.715122310357</v>
      </c>
      <c r="K78" s="15">
        <f t="shared" si="42"/>
        <v>36421.583356878895</v>
      </c>
      <c r="L78" s="15">
        <f t="shared" si="42"/>
        <v>41692.348239400148</v>
      </c>
      <c r="M78" s="15">
        <f t="shared" si="42"/>
        <v>48313.755551691967</v>
      </c>
      <c r="N78" s="15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5">
      <c r="B79" t="s">
        <v>74</v>
      </c>
      <c r="C79" s="1"/>
      <c r="D79" s="15">
        <f t="shared" ref="D79:M79" si="43">-(D37)</f>
        <v>-6666.666666666667</v>
      </c>
      <c r="E79" s="15">
        <f t="shared" si="43"/>
        <v>-6666.666666666667</v>
      </c>
      <c r="F79" s="15">
        <f t="shared" si="43"/>
        <v>-6666.666666666667</v>
      </c>
      <c r="G79" s="15">
        <f t="shared" si="43"/>
        <v>-6666.666666666667</v>
      </c>
      <c r="H79" s="15">
        <f t="shared" si="43"/>
        <v>-6666.666666666667</v>
      </c>
      <c r="I79" s="15">
        <f t="shared" si="43"/>
        <v>-6666.666666666667</v>
      </c>
      <c r="J79" s="15">
        <f t="shared" si="43"/>
        <v>-6666.666666666667</v>
      </c>
      <c r="K79" s="15">
        <f t="shared" si="43"/>
        <v>-6666.666666666667</v>
      </c>
      <c r="L79" s="15">
        <f t="shared" si="43"/>
        <v>-6666.666666666667</v>
      </c>
      <c r="M79" s="15">
        <f t="shared" si="43"/>
        <v>-6666.666666666667</v>
      </c>
      <c r="N79" s="1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5">
      <c r="B80" t="s">
        <v>75</v>
      </c>
      <c r="C80" s="1"/>
      <c r="D80" s="15">
        <f t="shared" ref="D80:M80" si="44">D78+D79</f>
        <v>1833.333333333333</v>
      </c>
      <c r="E80" s="15">
        <f t="shared" si="44"/>
        <v>1068.333333333333</v>
      </c>
      <c r="F80" s="15">
        <f t="shared" si="44"/>
        <v>891.60333333334438</v>
      </c>
      <c r="G80" s="15">
        <f t="shared" si="44"/>
        <v>7376.3616933333515</v>
      </c>
      <c r="H80" s="15">
        <f t="shared" si="44"/>
        <v>14605.333978713348</v>
      </c>
      <c r="I80" s="15">
        <f t="shared" si="44"/>
        <v>22672.006884903905</v>
      </c>
      <c r="J80" s="15">
        <f t="shared" si="44"/>
        <v>25682.04845564369</v>
      </c>
      <c r="K80" s="15">
        <f t="shared" si="44"/>
        <v>29754.916690212227</v>
      </c>
      <c r="L80" s="15">
        <f t="shared" si="44"/>
        <v>35025.681572733483</v>
      </c>
      <c r="M80" s="15">
        <f t="shared" si="44"/>
        <v>41647.088885025303</v>
      </c>
      <c r="N80" s="1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5">
      <c r="B81" t="s">
        <v>76</v>
      </c>
      <c r="C81" s="1"/>
      <c r="D81" s="15">
        <f t="shared" ref="D81:M81" si="45">D80*$O$42</f>
        <v>458.33333333333326</v>
      </c>
      <c r="E81" s="15">
        <f t="shared" si="45"/>
        <v>267.08333333333326</v>
      </c>
      <c r="F81" s="15">
        <f t="shared" si="45"/>
        <v>222.9008333333361</v>
      </c>
      <c r="G81" s="15">
        <f t="shared" si="45"/>
        <v>1844.0904233333379</v>
      </c>
      <c r="H81" s="15">
        <f t="shared" si="45"/>
        <v>3651.333494678337</v>
      </c>
      <c r="I81" s="15">
        <f t="shared" si="45"/>
        <v>5668.0017212259763</v>
      </c>
      <c r="J81" s="15">
        <f t="shared" si="45"/>
        <v>6420.5121139109224</v>
      </c>
      <c r="K81" s="15">
        <f t="shared" si="45"/>
        <v>7438.7291725530567</v>
      </c>
      <c r="L81" s="15">
        <f t="shared" si="45"/>
        <v>8756.4203931833708</v>
      </c>
      <c r="M81" s="15">
        <f t="shared" si="45"/>
        <v>10411.772221256326</v>
      </c>
      <c r="N81" s="1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5">
      <c r="B82" t="s">
        <v>77</v>
      </c>
      <c r="C82" s="1"/>
      <c r="D82" s="15">
        <f t="shared" ref="D82:M82" si="46">D78-D81</f>
        <v>8041.666666666667</v>
      </c>
      <c r="E82" s="15">
        <f t="shared" si="46"/>
        <v>7467.916666666667</v>
      </c>
      <c r="F82" s="15">
        <f t="shared" si="46"/>
        <v>7335.3691666666755</v>
      </c>
      <c r="G82" s="15">
        <f t="shared" si="46"/>
        <v>12198.93793666668</v>
      </c>
      <c r="H82" s="15">
        <f t="shared" si="46"/>
        <v>17620.66715070168</v>
      </c>
      <c r="I82" s="15">
        <f t="shared" si="46"/>
        <v>23670.671830344596</v>
      </c>
      <c r="J82" s="15">
        <f t="shared" si="46"/>
        <v>25928.203008399436</v>
      </c>
      <c r="K82" s="15">
        <f t="shared" si="46"/>
        <v>28982.854184325839</v>
      </c>
      <c r="L82" s="15">
        <f t="shared" si="46"/>
        <v>32935.927846216779</v>
      </c>
      <c r="M82" s="15">
        <f t="shared" si="46"/>
        <v>37901.983330435643</v>
      </c>
      <c r="N82" s="1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5">
      <c r="C83" s="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5">
      <c r="A84" t="s">
        <v>78</v>
      </c>
      <c r="C84" s="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5">
      <c r="A85" s="86" t="s">
        <v>79</v>
      </c>
      <c r="B85" t="s">
        <v>80</v>
      </c>
      <c r="C85" s="15">
        <f t="shared" ref="C85:M85" si="47">-(D47-C47)</f>
        <v>-1972.6027397260275</v>
      </c>
      <c r="D85" s="15">
        <f t="shared" si="47"/>
        <v>-88.767123287671211</v>
      </c>
      <c r="E85" s="15">
        <f t="shared" si="47"/>
        <v>-92.761643835617633</v>
      </c>
      <c r="F85" s="15">
        <f t="shared" si="47"/>
        <v>-96.935917808219074</v>
      </c>
      <c r="G85" s="15">
        <f t="shared" si="47"/>
        <v>-101.29803410958903</v>
      </c>
      <c r="H85" s="15">
        <f t="shared" si="47"/>
        <v>-105.85644564452059</v>
      </c>
      <c r="I85" s="15">
        <f t="shared" si="47"/>
        <v>-403.78216212246025</v>
      </c>
      <c r="J85" s="15">
        <f t="shared" si="47"/>
        <v>-784.25728430380786</v>
      </c>
      <c r="K85" s="15">
        <f t="shared" si="47"/>
        <v>-4773.7530619653553</v>
      </c>
      <c r="L85" s="15">
        <f t="shared" si="47"/>
        <v>-1569.3347329152748</v>
      </c>
      <c r="M85" s="15">
        <f t="shared" si="47"/>
        <v>9989.3491457185428</v>
      </c>
      <c r="N85" s="4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5">
      <c r="A86" s="86" t="s">
        <v>79</v>
      </c>
      <c r="B86" t="s">
        <v>8</v>
      </c>
      <c r="C86" s="15">
        <f t="shared" ref="C86:M86" si="48">-(D49-C49)</f>
        <v>-493.15068493150682</v>
      </c>
      <c r="D86" s="15">
        <f t="shared" si="48"/>
        <v>55.109589041095887</v>
      </c>
      <c r="E86" s="15">
        <f t="shared" si="48"/>
        <v>48.951092465753277</v>
      </c>
      <c r="F86" s="15">
        <f t="shared" si="48"/>
        <v>43.480807882705506</v>
      </c>
      <c r="G86" s="15">
        <f t="shared" si="48"/>
        <v>38.621827601813152</v>
      </c>
      <c r="H86" s="15">
        <f t="shared" si="48"/>
        <v>34.305838367310571</v>
      </c>
      <c r="I86" s="15">
        <f t="shared" si="48"/>
        <v>30.472160929763561</v>
      </c>
      <c r="J86" s="15">
        <f t="shared" si="48"/>
        <v>27.06689694586251</v>
      </c>
      <c r="K86" s="15">
        <f t="shared" si="48"/>
        <v>24.042171212162316</v>
      </c>
      <c r="L86" s="15">
        <f t="shared" si="48"/>
        <v>21.35545857920323</v>
      </c>
      <c r="M86" s="15">
        <f t="shared" si="48"/>
        <v>169.74484190583681</v>
      </c>
      <c r="N86" s="1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5">
      <c r="A87" s="86" t="s">
        <v>79</v>
      </c>
      <c r="B87" t="s">
        <v>38</v>
      </c>
      <c r="C87" s="15">
        <f t="shared" ref="C87:M87" si="49">-(D50-C50)</f>
        <v>-14794.520547945205</v>
      </c>
      <c r="D87" s="15">
        <f t="shared" si="49"/>
        <v>-2211.7808219178114</v>
      </c>
      <c r="E87" s="15">
        <f t="shared" si="49"/>
        <v>-2542.4420547945301</v>
      </c>
      <c r="F87" s="15">
        <f t="shared" si="49"/>
        <v>-2922.5371419863041</v>
      </c>
      <c r="G87" s="15">
        <f t="shared" si="49"/>
        <v>-3359.4564447132616</v>
      </c>
      <c r="H87" s="15">
        <f t="shared" si="49"/>
        <v>-3861.6951831978913</v>
      </c>
      <c r="I87" s="15">
        <f t="shared" si="49"/>
        <v>-4439.0186130859729</v>
      </c>
      <c r="J87" s="15">
        <f t="shared" si="49"/>
        <v>-5102.6518957423323</v>
      </c>
      <c r="K87" s="15">
        <f t="shared" si="49"/>
        <v>-5865.4983541558177</v>
      </c>
      <c r="L87" s="15">
        <f t="shared" si="49"/>
        <v>-6742.3903581021077</v>
      </c>
      <c r="M87" s="15">
        <f t="shared" si="49"/>
        <v>51841.991415641234</v>
      </c>
      <c r="N87" s="1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5">
      <c r="A88" s="86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6"/>
      <c r="O88" s="1"/>
      <c r="P88" s="1"/>
      <c r="Q88" s="13">
        <v>0.25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5">
      <c r="A89" s="86" t="s">
        <v>79</v>
      </c>
      <c r="B89" t="s">
        <v>20</v>
      </c>
      <c r="C89" s="15">
        <f t="shared" ref="C89:M89" si="50">-(D53-C53)</f>
        <v>-75000</v>
      </c>
      <c r="D89" s="15">
        <f t="shared" si="50"/>
        <v>0</v>
      </c>
      <c r="E89" s="15">
        <f t="shared" si="50"/>
        <v>0</v>
      </c>
      <c r="F89" s="15">
        <f t="shared" si="50"/>
        <v>0</v>
      </c>
      <c r="G89" s="15">
        <f t="shared" si="50"/>
        <v>0</v>
      </c>
      <c r="H89" s="15">
        <f t="shared" si="50"/>
        <v>0</v>
      </c>
      <c r="I89" s="15">
        <f t="shared" si="50"/>
        <v>0</v>
      </c>
      <c r="J89" s="15">
        <f t="shared" si="50"/>
        <v>0</v>
      </c>
      <c r="K89" s="15">
        <f t="shared" si="50"/>
        <v>0</v>
      </c>
      <c r="L89" s="15">
        <f t="shared" si="50"/>
        <v>0</v>
      </c>
      <c r="M89" s="15">
        <f t="shared" si="50"/>
        <v>75000</v>
      </c>
      <c r="N89" s="1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5">
      <c r="A90" s="86"/>
      <c r="B90" t="s">
        <v>81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>
        <f>M89*N90</f>
        <v>90000</v>
      </c>
      <c r="N90" s="66">
        <v>1.2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5">
      <c r="A91" s="86" t="s">
        <v>79</v>
      </c>
      <c r="B91" t="s">
        <v>82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>
        <f>-($Q$88*N92)</f>
        <v>-3750</v>
      </c>
      <c r="N91" s="15">
        <f>M89*N90</f>
        <v>90000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5">
      <c r="A92" s="86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44">
        <f>N91-M89</f>
        <v>15000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5">
      <c r="A93" s="86" t="s">
        <v>79</v>
      </c>
      <c r="B93" t="s">
        <v>9</v>
      </c>
      <c r="C93" s="15">
        <f>-(D54-C54)</f>
        <v>-200000</v>
      </c>
      <c r="D93" s="15">
        <f t="shared" ref="D93:M93" si="51">-(E54-D54)</f>
        <v>0</v>
      </c>
      <c r="E93" s="15">
        <f t="shared" si="51"/>
        <v>0</v>
      </c>
      <c r="F93" s="15">
        <f t="shared" si="51"/>
        <v>0</v>
      </c>
      <c r="G93" s="15">
        <f t="shared" si="51"/>
        <v>0</v>
      </c>
      <c r="H93" s="15">
        <f t="shared" si="51"/>
        <v>0</v>
      </c>
      <c r="I93" s="15">
        <f t="shared" si="51"/>
        <v>0</v>
      </c>
      <c r="J93" s="15">
        <f t="shared" si="51"/>
        <v>0</v>
      </c>
      <c r="K93" s="15">
        <f t="shared" si="51"/>
        <v>0</v>
      </c>
      <c r="L93" s="15">
        <f t="shared" si="51"/>
        <v>0</v>
      </c>
      <c r="M93" s="15">
        <f t="shared" si="51"/>
        <v>200000</v>
      </c>
      <c r="N93" s="1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5">
      <c r="A94" s="86"/>
      <c r="B94" t="s">
        <v>81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>
        <f>M93*N94</f>
        <v>160000</v>
      </c>
      <c r="N94" s="66">
        <v>0.8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5">
      <c r="A95" s="86" t="s">
        <v>79</v>
      </c>
      <c r="B95" t="s">
        <v>82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>
        <v>0</v>
      </c>
      <c r="N95" s="15">
        <f>M93*N94</f>
        <v>160000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5">
      <c r="A96" s="86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44">
        <f>N95-M93</f>
        <v>-40000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5">
      <c r="A97" s="86" t="s">
        <v>83</v>
      </c>
      <c r="B97" t="s">
        <v>84</v>
      </c>
      <c r="C97" s="15">
        <f t="shared" ref="C97:M97" si="52">(D61-C61)</f>
        <v>2465.7534246575342</v>
      </c>
      <c r="D97" s="15">
        <f t="shared" si="52"/>
        <v>110.95890410958918</v>
      </c>
      <c r="E97" s="15">
        <f t="shared" si="52"/>
        <v>115.9520547945217</v>
      </c>
      <c r="F97" s="15">
        <f t="shared" si="52"/>
        <v>121.16989726027396</v>
      </c>
      <c r="G97" s="15">
        <f t="shared" si="52"/>
        <v>126.62254263698651</v>
      </c>
      <c r="H97" s="15">
        <f t="shared" si="52"/>
        <v>132.32055705565062</v>
      </c>
      <c r="I97" s="15">
        <f t="shared" si="52"/>
        <v>138.27498212315504</v>
      </c>
      <c r="J97" s="15">
        <f t="shared" si="52"/>
        <v>144.4973563186968</v>
      </c>
      <c r="K97" s="15">
        <f t="shared" si="52"/>
        <v>150.99973735303911</v>
      </c>
      <c r="L97" s="15">
        <f t="shared" si="52"/>
        <v>157.79472553392498</v>
      </c>
      <c r="M97" s="15">
        <f t="shared" si="52"/>
        <v>-3664.3441818433721</v>
      </c>
      <c r="N97" s="16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5">
      <c r="A98" s="86" t="s">
        <v>83</v>
      </c>
      <c r="B98" t="s">
        <v>85</v>
      </c>
      <c r="C98" s="15">
        <f t="shared" ref="C98:M98" si="53">(D62-C62)</f>
        <v>0</v>
      </c>
      <c r="D98" s="15">
        <f t="shared" si="53"/>
        <v>0</v>
      </c>
      <c r="E98" s="15">
        <f t="shared" si="53"/>
        <v>0</v>
      </c>
      <c r="F98" s="15">
        <f t="shared" si="53"/>
        <v>0</v>
      </c>
      <c r="G98" s="15">
        <f t="shared" si="53"/>
        <v>0</v>
      </c>
      <c r="H98" s="15">
        <f t="shared" si="53"/>
        <v>0</v>
      </c>
      <c r="I98" s="15">
        <f t="shared" si="53"/>
        <v>366.45272052992004</v>
      </c>
      <c r="J98" s="15">
        <f t="shared" si="53"/>
        <v>835.82424906106371</v>
      </c>
      <c r="K98" s="15">
        <f t="shared" si="53"/>
        <v>5816.1915901036537</v>
      </c>
      <c r="L98" s="15">
        <f t="shared" si="53"/>
        <v>1803.8736906101667</v>
      </c>
      <c r="M98" s="15">
        <f t="shared" si="53"/>
        <v>-8822.3422503048041</v>
      </c>
      <c r="N98" s="16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5"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6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5">
      <c r="A100" s="6" t="s">
        <v>86</v>
      </c>
      <c r="C100" s="15">
        <f>SUM(C82:C98)</f>
        <v>-289794.52054794523</v>
      </c>
      <c r="D100" s="15">
        <f t="shared" ref="D100:M100" si="54">SUM(D82:D98)</f>
        <v>5907.1872146118694</v>
      </c>
      <c r="E100" s="15">
        <f t="shared" si="54"/>
        <v>4997.6161152967943</v>
      </c>
      <c r="F100" s="15">
        <f t="shared" si="54"/>
        <v>4480.5468120151327</v>
      </c>
      <c r="G100" s="15">
        <f t="shared" si="54"/>
        <v>8903.4278280826293</v>
      </c>
      <c r="H100" s="15">
        <f t="shared" si="54"/>
        <v>13819.741917282228</v>
      </c>
      <c r="I100" s="15">
        <f t="shared" si="54"/>
        <v>19363.070918719</v>
      </c>
      <c r="J100" s="15">
        <f t="shared" si="54"/>
        <v>21048.682330678923</v>
      </c>
      <c r="K100" s="15">
        <f t="shared" si="54"/>
        <v>24334.836266873521</v>
      </c>
      <c r="L100" s="15">
        <f t="shared" si="54"/>
        <v>26607.22662992269</v>
      </c>
      <c r="M100" s="15">
        <f t="shared" si="54"/>
        <v>608666.38230155315</v>
      </c>
      <c r="N100" s="16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">
      <c r="A101" s="6" t="s">
        <v>87</v>
      </c>
      <c r="C101" s="8">
        <f>IRR(C100:M100)</f>
        <v>0.10687725922233127</v>
      </c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">
      <c r="A102" s="6"/>
      <c r="C102" s="1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">
      <c r="A103" s="6" t="s">
        <v>88</v>
      </c>
      <c r="C103" s="46">
        <f>S72</f>
        <v>7.0656959575889147E-2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">
      <c r="A104" s="6" t="s">
        <v>89</v>
      </c>
      <c r="C104" s="67">
        <f>NPV(C103,D100:M100)</f>
        <v>392041.85644810466</v>
      </c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">
      <c r="A105" s="1"/>
      <c r="B105" s="1"/>
      <c r="C105" s="1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">
      <c r="A106" s="1"/>
      <c r="B106" s="1"/>
      <c r="C106" s="1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5">
      <c r="A107" s="1"/>
      <c r="B107" s="1"/>
      <c r="C107" s="88"/>
      <c r="E107" s="90">
        <v>2015</v>
      </c>
      <c r="F107" s="90">
        <v>2016</v>
      </c>
      <c r="G107" s="90">
        <v>2017</v>
      </c>
      <c r="H107" s="90">
        <v>2018</v>
      </c>
      <c r="I107" s="90">
        <v>2019</v>
      </c>
      <c r="J107" s="90">
        <v>2020</v>
      </c>
      <c r="K107" s="90">
        <v>2021</v>
      </c>
      <c r="L107" s="90">
        <v>2022</v>
      </c>
      <c r="M107" s="90">
        <v>2023</v>
      </c>
      <c r="N107" s="90">
        <v>2024</v>
      </c>
      <c r="O107" s="55"/>
      <c r="P107" s="55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5">
      <c r="A108" s="4" t="s">
        <v>122</v>
      </c>
      <c r="B108" s="1"/>
      <c r="C108" s="1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5">
      <c r="A109" s="1"/>
      <c r="B109" s="1" t="s">
        <v>123</v>
      </c>
      <c r="C109" s="1"/>
      <c r="D109" s="74">
        <v>-300000</v>
      </c>
      <c r="E109" s="55">
        <f>D100</f>
        <v>5907.1872146118694</v>
      </c>
      <c r="F109" s="55">
        <f t="shared" ref="F109:O109" si="55">E100*(1+0.25)</f>
        <v>6247.0201441209929</v>
      </c>
      <c r="G109" s="55">
        <f t="shared" si="55"/>
        <v>5600.6835150189163</v>
      </c>
      <c r="H109" s="55">
        <f t="shared" si="55"/>
        <v>11129.284785103286</v>
      </c>
      <c r="I109" s="55">
        <f t="shared" si="55"/>
        <v>17274.677396602787</v>
      </c>
      <c r="J109" s="55">
        <f t="shared" si="55"/>
        <v>24203.838648398749</v>
      </c>
      <c r="K109" s="55">
        <f t="shared" si="55"/>
        <v>26310.852913348652</v>
      </c>
      <c r="L109" s="55">
        <f t="shared" si="55"/>
        <v>30418.545333591901</v>
      </c>
      <c r="M109" s="55">
        <f t="shared" si="55"/>
        <v>33259.033287403363</v>
      </c>
      <c r="N109" s="55">
        <f t="shared" si="55"/>
        <v>760832.97787694144</v>
      </c>
      <c r="O109" s="55">
        <f t="shared" si="55"/>
        <v>0</v>
      </c>
      <c r="P109" s="55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5">
      <c r="A110" s="1"/>
      <c r="B110" s="89" t="s">
        <v>124</v>
      </c>
      <c r="C110" s="1"/>
      <c r="E110" s="55"/>
      <c r="F110" s="55"/>
      <c r="G110" s="55">
        <f>G116</f>
        <v>-500000</v>
      </c>
      <c r="H110" s="55">
        <f>H116*(1+0.25)</f>
        <v>625000.0625</v>
      </c>
      <c r="I110" s="55">
        <f t="shared" ref="I110:O110" si="56">I116*(1+0.25)</f>
        <v>625000.0625</v>
      </c>
      <c r="J110" s="55">
        <f t="shared" si="56"/>
        <v>625000.0625</v>
      </c>
      <c r="K110" s="55">
        <f t="shared" si="56"/>
        <v>625000.0625</v>
      </c>
      <c r="L110" s="55">
        <f t="shared" si="56"/>
        <v>625000.0625</v>
      </c>
      <c r="M110" s="55">
        <f t="shared" si="56"/>
        <v>625000.0625</v>
      </c>
      <c r="N110" s="55">
        <f t="shared" si="56"/>
        <v>625000.0625</v>
      </c>
      <c r="O110" s="55">
        <f t="shared" si="56"/>
        <v>687500</v>
      </c>
      <c r="P110" s="55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5">
      <c r="A111" s="1"/>
      <c r="B111" s="1"/>
      <c r="C111" s="1"/>
      <c r="E111" s="55">
        <f>SUM(E109:E110)</f>
        <v>5907.1872146118694</v>
      </c>
      <c r="F111" s="55">
        <f t="shared" ref="F111:O111" si="57">SUM(F109:F110)</f>
        <v>6247.0201441209929</v>
      </c>
      <c r="G111" s="55">
        <f t="shared" si="57"/>
        <v>-494399.3164849811</v>
      </c>
      <c r="H111" s="55">
        <f t="shared" si="57"/>
        <v>636129.34728510329</v>
      </c>
      <c r="I111" s="55">
        <f t="shared" si="57"/>
        <v>642274.73989660281</v>
      </c>
      <c r="J111" s="55">
        <f t="shared" si="57"/>
        <v>649203.90114839876</v>
      </c>
      <c r="K111" s="55">
        <f t="shared" si="57"/>
        <v>651310.9154133487</v>
      </c>
      <c r="L111" s="55">
        <f t="shared" si="57"/>
        <v>655418.60783359187</v>
      </c>
      <c r="M111" s="55">
        <f t="shared" si="57"/>
        <v>658259.09578740341</v>
      </c>
      <c r="N111" s="55">
        <f t="shared" si="57"/>
        <v>1385833.0403769414</v>
      </c>
      <c r="O111" s="55">
        <f t="shared" si="57"/>
        <v>687500</v>
      </c>
      <c r="P111" s="55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5">
      <c r="A112" s="1"/>
      <c r="B112" s="1"/>
      <c r="C112" s="1" t="s">
        <v>125</v>
      </c>
      <c r="E112" s="15">
        <f>NPV($S$72,E111:O111)+D109</f>
        <v>2843911.4942494598</v>
      </c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5">
      <c r="A113" s="1"/>
      <c r="B113" s="1"/>
      <c r="C113" s="1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5">
      <c r="A114" s="4" t="s">
        <v>126</v>
      </c>
      <c r="B114" s="1"/>
      <c r="C114" s="1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5">
      <c r="A115" s="1"/>
      <c r="B115" s="1" t="s">
        <v>127</v>
      </c>
      <c r="C115" s="1"/>
      <c r="D115" s="74">
        <f>D109</f>
        <v>-300000</v>
      </c>
      <c r="E115" s="55">
        <f t="shared" ref="E115:O115" si="58">D100</f>
        <v>5907.1872146118694</v>
      </c>
      <c r="F115" s="55">
        <f t="shared" si="58"/>
        <v>4997.6161152967943</v>
      </c>
      <c r="G115" s="55">
        <f t="shared" si="58"/>
        <v>4480.5468120151327</v>
      </c>
      <c r="H115" s="55">
        <f t="shared" si="58"/>
        <v>8903.4278280826293</v>
      </c>
      <c r="I115" s="55">
        <f t="shared" si="58"/>
        <v>13819.741917282228</v>
      </c>
      <c r="J115" s="55">
        <f t="shared" si="58"/>
        <v>19363.070918719</v>
      </c>
      <c r="K115" s="55">
        <f t="shared" si="58"/>
        <v>21048.682330678923</v>
      </c>
      <c r="L115" s="55">
        <f t="shared" si="58"/>
        <v>24334.836266873521</v>
      </c>
      <c r="M115" s="55">
        <f t="shared" si="58"/>
        <v>26607.22662992269</v>
      </c>
      <c r="N115" s="55">
        <f t="shared" si="58"/>
        <v>608666.38230155315</v>
      </c>
      <c r="O115" s="55">
        <f t="shared" si="58"/>
        <v>0</v>
      </c>
      <c r="P115" s="55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5">
      <c r="A116" s="1"/>
      <c r="B116" s="89" t="s">
        <v>124</v>
      </c>
      <c r="C116" s="1"/>
      <c r="E116" s="55"/>
      <c r="F116" s="55"/>
      <c r="G116" s="55">
        <v>-500000</v>
      </c>
      <c r="H116" s="55">
        <f t="shared" ref="H116:N116" si="59">5%+-$G$116</f>
        <v>500000.05</v>
      </c>
      <c r="I116" s="55">
        <f t="shared" si="59"/>
        <v>500000.05</v>
      </c>
      <c r="J116" s="55">
        <f t="shared" si="59"/>
        <v>500000.05</v>
      </c>
      <c r="K116" s="55">
        <f t="shared" si="59"/>
        <v>500000.05</v>
      </c>
      <c r="L116" s="55">
        <f t="shared" si="59"/>
        <v>500000.05</v>
      </c>
      <c r="M116" s="55">
        <f t="shared" si="59"/>
        <v>500000.05</v>
      </c>
      <c r="N116" s="55">
        <f t="shared" si="59"/>
        <v>500000.05</v>
      </c>
      <c r="O116" s="55">
        <f>550000</f>
        <v>550000</v>
      </c>
      <c r="P116" s="55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5">
      <c r="A117" s="1"/>
      <c r="B117" s="1"/>
      <c r="C117" s="1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5">
      <c r="A118" s="1"/>
      <c r="B118" s="1"/>
      <c r="C118" s="1"/>
      <c r="E118" s="55">
        <f>SUM(E115:E116)</f>
        <v>5907.1872146118694</v>
      </c>
      <c r="F118" s="55">
        <f t="shared" ref="F118:O118" si="60">SUM(F115:F116)</f>
        <v>4997.6161152967943</v>
      </c>
      <c r="G118" s="55">
        <f t="shared" si="60"/>
        <v>-495519.45318798488</v>
      </c>
      <c r="H118" s="55">
        <f t="shared" si="60"/>
        <v>508903.47782808263</v>
      </c>
      <c r="I118" s="55">
        <f t="shared" si="60"/>
        <v>513819.79191728221</v>
      </c>
      <c r="J118" s="55">
        <f t="shared" si="60"/>
        <v>519363.12091871898</v>
      </c>
      <c r="K118" s="55">
        <f t="shared" si="60"/>
        <v>521048.7323306789</v>
      </c>
      <c r="L118" s="55">
        <f t="shared" si="60"/>
        <v>524334.88626687345</v>
      </c>
      <c r="M118" s="55">
        <f t="shared" si="60"/>
        <v>526607.27662992268</v>
      </c>
      <c r="N118" s="55">
        <f t="shared" si="60"/>
        <v>1108666.4323015532</v>
      </c>
      <c r="O118" s="55">
        <f t="shared" si="60"/>
        <v>550000</v>
      </c>
      <c r="P118" s="55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5">
      <c r="A119" s="1"/>
      <c r="B119" s="1"/>
      <c r="C119" s="1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5">
      <c r="A120" s="1"/>
      <c r="B120" s="1"/>
      <c r="C120" s="1" t="s">
        <v>125</v>
      </c>
      <c r="E120" s="15">
        <f>NPV($S$72,E118:O118)+D115</f>
        <v>2134753.0502942158</v>
      </c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5">
      <c r="A121" s="1"/>
      <c r="B121" s="1"/>
      <c r="C121" s="1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5">
      <c r="A122" s="1"/>
      <c r="B122" s="1"/>
      <c r="C122" s="1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5">
      <c r="A123" s="4" t="s">
        <v>128</v>
      </c>
      <c r="B123" s="1"/>
      <c r="C123" s="1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5">
      <c r="A124" s="1"/>
      <c r="B124" s="1" t="s">
        <v>123</v>
      </c>
      <c r="C124" s="1"/>
      <c r="D124" s="74">
        <f>D115</f>
        <v>-300000</v>
      </c>
      <c r="E124" s="55">
        <f>D100</f>
        <v>5907.1872146118694</v>
      </c>
      <c r="F124" s="55">
        <f t="shared" ref="F124:O124" si="61">E100*(1-0.25)</f>
        <v>3748.2120864725957</v>
      </c>
      <c r="G124" s="55">
        <f t="shared" si="61"/>
        <v>3360.4101090113495</v>
      </c>
      <c r="H124" s="55">
        <f t="shared" si="61"/>
        <v>6677.570871061972</v>
      </c>
      <c r="I124" s="55">
        <f t="shared" si="61"/>
        <v>10364.806437961672</v>
      </c>
      <c r="J124" s="55">
        <f t="shared" si="61"/>
        <v>14522.30318903925</v>
      </c>
      <c r="K124" s="55">
        <f t="shared" si="61"/>
        <v>15786.511748009192</v>
      </c>
      <c r="L124" s="55">
        <f t="shared" si="61"/>
        <v>18251.127200155141</v>
      </c>
      <c r="M124" s="55">
        <f t="shared" si="61"/>
        <v>19955.419972442018</v>
      </c>
      <c r="N124" s="55">
        <f t="shared" si="61"/>
        <v>456499.78672616486</v>
      </c>
      <c r="O124" s="55">
        <f t="shared" si="61"/>
        <v>0</v>
      </c>
      <c r="P124" s="55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5">
      <c r="A125" s="1"/>
      <c r="B125" s="89" t="s">
        <v>124</v>
      </c>
      <c r="C125" s="1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>
        <v>0</v>
      </c>
      <c r="P125" s="55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5">
      <c r="A126" s="1"/>
      <c r="B126" s="1"/>
      <c r="C126" s="1"/>
      <c r="E126" s="55">
        <f>SUM(E124:E125)</f>
        <v>5907.1872146118694</v>
      </c>
      <c r="F126" s="55">
        <f t="shared" ref="F126:O126" si="62">SUM(F124:F125)</f>
        <v>3748.2120864725957</v>
      </c>
      <c r="G126" s="55">
        <f t="shared" si="62"/>
        <v>3360.4101090113495</v>
      </c>
      <c r="H126" s="55">
        <f t="shared" si="62"/>
        <v>6677.570871061972</v>
      </c>
      <c r="I126" s="55">
        <f t="shared" si="62"/>
        <v>10364.806437961672</v>
      </c>
      <c r="J126" s="55">
        <f t="shared" si="62"/>
        <v>14522.30318903925</v>
      </c>
      <c r="K126" s="55">
        <f t="shared" si="62"/>
        <v>15786.511748009192</v>
      </c>
      <c r="L126" s="55">
        <f t="shared" si="62"/>
        <v>18251.127200155141</v>
      </c>
      <c r="M126" s="55">
        <f t="shared" si="62"/>
        <v>19955.419972442018</v>
      </c>
      <c r="N126" s="55">
        <f t="shared" si="62"/>
        <v>456499.78672616486</v>
      </c>
      <c r="O126" s="55">
        <f t="shared" si="62"/>
        <v>0</v>
      </c>
      <c r="P126" s="55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5">
      <c r="A127" s="1"/>
      <c r="B127" s="1"/>
      <c r="C127" s="1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5">
      <c r="A128" s="1"/>
      <c r="B128" s="1"/>
      <c r="C128" s="1" t="s">
        <v>125</v>
      </c>
      <c r="E128" s="15">
        <f>NPV($S$72,E126:O126)+D124</f>
        <v>-4589.2706218889216</v>
      </c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5">
      <c r="A129" s="1"/>
      <c r="B129" s="1"/>
      <c r="C129" s="1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5">
      <c r="A130" s="1"/>
      <c r="B130" s="1"/>
      <c r="C130" s="1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5">
      <c r="A131" s="1"/>
      <c r="B131" s="1"/>
      <c r="C131" s="1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5">
      <c r="A132" s="1"/>
      <c r="B132" s="1"/>
      <c r="C132" s="1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5">
      <c r="A133" s="1"/>
      <c r="B133" s="1"/>
      <c r="C133" s="1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5">
      <c r="A134" s="1"/>
      <c r="B134" s="1"/>
      <c r="C134" s="1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5">
      <c r="A135" s="1"/>
      <c r="B135" s="1"/>
      <c r="C135" s="1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5">
      <c r="A136" s="1"/>
      <c r="B136" s="1"/>
      <c r="C136" s="1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5">
      <c r="A137" s="1"/>
      <c r="B137" s="1"/>
      <c r="C137" s="1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5">
      <c r="A138" s="1"/>
      <c r="B138" s="1"/>
      <c r="C138" s="1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5">
      <c r="A139" s="1"/>
      <c r="B139" s="1"/>
      <c r="C139" s="1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5">
      <c r="A140" s="1"/>
      <c r="B140" s="1"/>
      <c r="C140" s="1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5">
      <c r="A141" s="1"/>
      <c r="B141" s="1"/>
      <c r="C141" s="1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5">
      <c r="A142" s="1"/>
      <c r="B142" s="1"/>
      <c r="C142" s="1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5">
      <c r="A143" s="1"/>
      <c r="B143" s="1"/>
      <c r="C143" s="1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5">
      <c r="A144" s="1"/>
      <c r="B144" s="1"/>
      <c r="C144" s="1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5">
      <c r="A145" s="1"/>
      <c r="B145" s="1"/>
      <c r="C145" s="1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5">
      <c r="A146" s="1"/>
      <c r="B146" s="1"/>
      <c r="C146" s="1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5">
      <c r="A147" s="1"/>
      <c r="B147" s="1"/>
      <c r="C147" s="1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5">
      <c r="A148" s="1"/>
      <c r="B148" s="1"/>
      <c r="C148" s="1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5">
      <c r="A149" s="1"/>
      <c r="B149" s="1"/>
      <c r="C149" s="1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5">
      <c r="A150" s="1"/>
      <c r="B150" s="1"/>
      <c r="C150" s="1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5">
      <c r="A151" s="1"/>
      <c r="B151" s="1"/>
      <c r="C151" s="1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5">
      <c r="A152" s="1"/>
      <c r="B152" s="1"/>
      <c r="C152" s="1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5">
      <c r="A153" s="1"/>
      <c r="B153" s="1"/>
      <c r="C153" s="1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5">
      <c r="A154" s="1"/>
      <c r="B154" s="1"/>
      <c r="C154" s="1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5">
      <c r="A155" s="1"/>
      <c r="B155" s="1"/>
      <c r="C155" s="1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5">
      <c r="A156" s="1"/>
      <c r="B156" s="1"/>
      <c r="C156" s="1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5">
      <c r="A157" s="1"/>
      <c r="B157" s="1"/>
      <c r="C157" s="1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5">
      <c r="A158" s="1"/>
      <c r="B158" s="1"/>
      <c r="C158" s="1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5">
      <c r="A159" s="1"/>
      <c r="B159" s="1"/>
      <c r="C159" s="1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5">
      <c r="A160" s="1"/>
      <c r="B160" s="1"/>
      <c r="C160" s="1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5">
      <c r="A161" s="1"/>
      <c r="B161" s="1"/>
      <c r="C161" s="1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5">
      <c r="A162" s="1"/>
      <c r="B162" s="1"/>
      <c r="C162" s="1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5">
      <c r="A163" s="1"/>
      <c r="B163" s="1"/>
      <c r="C163" s="1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5">
      <c r="A164" s="1"/>
      <c r="B164" s="1"/>
      <c r="C164" s="1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5">
      <c r="A165" s="1"/>
      <c r="B165" s="1"/>
      <c r="C165" s="1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">
      <c r="A166" s="1"/>
      <c r="B166" s="1"/>
      <c r="C166" s="1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">
      <c r="A167" s="1"/>
      <c r="B167" s="1"/>
      <c r="C167" s="1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">
      <c r="A168" s="1"/>
      <c r="B168" s="1"/>
      <c r="C168" s="1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">
      <c r="A169" s="1"/>
      <c r="B169" s="1"/>
      <c r="C169" s="1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">
      <c r="A170" s="1"/>
      <c r="B170" s="1"/>
      <c r="C170" s="1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">
      <c r="A171" s="1"/>
      <c r="B171" s="1"/>
      <c r="C171" s="1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5">
      <c r="A172" s="1"/>
      <c r="B172" s="1"/>
      <c r="C172" s="1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5">
      <c r="A173" s="1"/>
      <c r="B173" s="1"/>
      <c r="C173" s="1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5">
      <c r="A174" s="1"/>
      <c r="B174" s="1"/>
      <c r="C174" s="1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5">
      <c r="A175" s="1"/>
      <c r="B175" s="1"/>
      <c r="C175" s="1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5">
      <c r="A176" s="1"/>
      <c r="B176" s="1"/>
      <c r="C176" s="1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5">
      <c r="A177" s="1"/>
      <c r="B177" s="1"/>
      <c r="C177" s="1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5">
      <c r="A178" s="1"/>
      <c r="B178" s="1"/>
      <c r="C178" s="1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5">
      <c r="A179" s="1"/>
      <c r="B179" s="1"/>
      <c r="C179" s="1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5">
      <c r="A180" s="1"/>
      <c r="B180" s="1"/>
      <c r="C180" s="1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5">
      <c r="A181" s="1"/>
      <c r="B181" s="1"/>
      <c r="C181" s="1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5">
      <c r="A182" s="1"/>
      <c r="B182" s="1"/>
      <c r="C182" s="1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5">
      <c r="A183" s="1"/>
      <c r="B183" s="1"/>
      <c r="C183" s="1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5">
      <c r="A184" s="1"/>
      <c r="B184" s="1"/>
      <c r="C184" s="1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5">
      <c r="A185" s="1"/>
      <c r="B185" s="1"/>
      <c r="C185" s="1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5">
      <c r="A186" s="1"/>
      <c r="B186" s="1"/>
      <c r="C186" s="1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5">
      <c r="A187" s="1"/>
      <c r="B187" s="1"/>
      <c r="C187" s="1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5">
      <c r="A188" s="1"/>
      <c r="B188" s="1"/>
      <c r="C188" s="1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5">
      <c r="A189" s="1"/>
      <c r="B189" s="1"/>
      <c r="C189" s="1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5">
      <c r="A190" s="1"/>
      <c r="B190" s="1"/>
      <c r="C190" s="1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5">
      <c r="A191" s="1"/>
      <c r="B191" s="1"/>
      <c r="C191" s="1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5">
      <c r="A192" s="1"/>
      <c r="B192" s="1"/>
      <c r="C192" s="1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5">
      <c r="A193" s="1"/>
      <c r="B193" s="1"/>
      <c r="C193" s="1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5">
      <c r="A194" s="1"/>
      <c r="B194" s="1"/>
      <c r="C194" s="1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5">
      <c r="A195" s="1"/>
      <c r="B195" s="1"/>
      <c r="C195" s="1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5">
      <c r="A196" s="1"/>
      <c r="B196" s="1"/>
      <c r="C196" s="1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5">
      <c r="A197" s="1"/>
      <c r="B197" s="1"/>
      <c r="C197" s="1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5">
      <c r="A198" s="1"/>
      <c r="B198" s="1"/>
      <c r="C198" s="1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5">
      <c r="A199" s="1"/>
      <c r="B199" s="1"/>
      <c r="C199" s="1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5">
      <c r="A200" s="1"/>
      <c r="B200" s="1"/>
      <c r="C200" s="1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5">
      <c r="A201" s="1"/>
      <c r="B201" s="1"/>
      <c r="C201" s="1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5">
      <c r="A202" s="1"/>
      <c r="B202" s="1"/>
      <c r="C202" s="1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5">
      <c r="A203" s="1"/>
      <c r="B203" s="1"/>
      <c r="C203" s="1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5">
      <c r="A204" s="1"/>
      <c r="B204" s="1"/>
      <c r="C204" s="1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5">
      <c r="A205" s="1"/>
      <c r="B205" s="1"/>
      <c r="C205" s="1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5">
      <c r="A206" s="1"/>
      <c r="B206" s="1"/>
      <c r="C206" s="1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5">
      <c r="A207" s="1"/>
      <c r="B207" s="1"/>
      <c r="C207" s="1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5">
      <c r="A208" s="1"/>
      <c r="B208" s="1"/>
      <c r="C208" s="1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5">
      <c r="A209" s="1"/>
      <c r="B209" s="1"/>
      <c r="C209" s="1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5">
      <c r="A210" s="1"/>
      <c r="B210" s="1"/>
      <c r="C210" s="1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5">
      <c r="A211" s="1"/>
      <c r="B211" s="1"/>
      <c r="C211" s="1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5">
      <c r="A212" s="1"/>
      <c r="B212" s="1"/>
      <c r="C212" s="1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5">
      <c r="A213" s="1"/>
      <c r="B213" s="1"/>
      <c r="C213" s="1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5">
      <c r="A214" s="1"/>
      <c r="B214" s="1"/>
      <c r="C214" s="1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5">
      <c r="A215" s="1"/>
      <c r="B215" s="1"/>
      <c r="C215" s="1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5">
      <c r="A216" s="1"/>
      <c r="B216" s="1"/>
      <c r="C216" s="1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5">
      <c r="A217" s="1"/>
      <c r="B217" s="1"/>
      <c r="C217" s="1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5">
      <c r="A218" s="1"/>
      <c r="B218" s="1"/>
      <c r="C218" s="1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5">
      <c r="A219" s="1"/>
      <c r="B219" s="1"/>
      <c r="C219" s="1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5">
      <c r="A220" s="1"/>
      <c r="B220" s="1"/>
      <c r="C220" s="1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">
      <c r="A221" s="1"/>
      <c r="B221" s="1"/>
      <c r="C221" s="1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">
      <c r="A222" s="1"/>
      <c r="B222" s="1"/>
      <c r="C222" s="1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">
      <c r="A223" s="1"/>
      <c r="B223" s="1"/>
      <c r="C223" s="1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</sheetData>
  <mergeCells count="4">
    <mergeCell ref="Y60:AH60"/>
    <mergeCell ref="T61:T62"/>
    <mergeCell ref="U61:U62"/>
    <mergeCell ref="V61:V6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ClearInputs">
                <anchor moveWithCells="1" sizeWithCells="1">
                  <from>
                    <xdr:col>20</xdr:col>
                    <xdr:colOff>342900</xdr:colOff>
                    <xdr:row>47</xdr:row>
                    <xdr:rowOff>28575</xdr:rowOff>
                  </from>
                  <to>
                    <xdr:col>22</xdr:col>
                    <xdr:colOff>0</xdr:colOff>
                    <xdr:row>48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Orginal</vt:lpstr>
      <vt:lpstr>Bankruptcy</vt:lpstr>
      <vt:lpstr>Option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2019-08-22T21:21:50Z</dcterms:created>
  <dcterms:modified xsi:type="dcterms:W3CDTF">2019-08-22T21:21:58Z</dcterms:modified>
</cp:coreProperties>
</file>