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/>
  <bookViews>
    <workbookView xWindow="0" yWindow="0" windowWidth="16380" windowHeight="8190" tabRatio="265" firstSheet="1" activeTab="2"/>
  </bookViews>
  <sheets>
    <sheet name="Expected Value" sheetId="3" r:id="rId1"/>
    <sheet name="Medium" sheetId="1" r:id="rId2"/>
    <sheet name="Bad" sheetId="4" r:id="rId3"/>
    <sheet name="Good" sheetId="5" r:id="rId4"/>
    <sheet name="Mortgage" sheetId="2" r:id="rId5"/>
  </sheets>
  <calcPr calcId="152511"/>
</workbook>
</file>

<file path=xl/calcChain.xml><?xml version="1.0" encoding="utf-8"?>
<calcChain xmlns="http://schemas.openxmlformats.org/spreadsheetml/2006/main">
  <c r="G122" i="1" l="1"/>
  <c r="S114" i="1"/>
  <c r="S110" i="1"/>
  <c r="G131" i="4"/>
  <c r="S123" i="4"/>
  <c r="S119" i="4"/>
  <c r="S115" i="4"/>
  <c r="G122" i="5"/>
  <c r="S114" i="5"/>
  <c r="S110" i="5"/>
  <c r="S106" i="5"/>
  <c r="U91" i="4" l="1"/>
  <c r="AA75" i="5" l="1"/>
  <c r="AB75" i="5" s="1"/>
  <c r="T71" i="1"/>
  <c r="T57" i="1"/>
  <c r="AA76" i="1" s="1"/>
  <c r="AB76" i="1" s="1"/>
  <c r="AA75" i="1"/>
  <c r="AB75" i="1" s="1"/>
  <c r="V76" i="1"/>
  <c r="V75" i="1"/>
  <c r="T57" i="5"/>
  <c r="AA76" i="5" s="1"/>
  <c r="AB76" i="5" s="1"/>
  <c r="S76" i="5"/>
  <c r="U78" i="1"/>
  <c r="U78" i="5"/>
  <c r="V78" i="5" s="1"/>
  <c r="Y80" i="5"/>
  <c r="Z78" i="5"/>
  <c r="AA78" i="5" s="1"/>
  <c r="AB78" i="5" s="1"/>
  <c r="T71" i="5"/>
  <c r="T68" i="5"/>
  <c r="T67" i="5"/>
  <c r="U68" i="5" s="1"/>
  <c r="V78" i="1"/>
  <c r="W69" i="4"/>
  <c r="AC73" i="4"/>
  <c r="AD71" i="4"/>
  <c r="AE71" i="4" s="1"/>
  <c r="AF71" i="4" s="1"/>
  <c r="AE69" i="4"/>
  <c r="AF69" i="4" s="1"/>
  <c r="AE68" i="4"/>
  <c r="AF68" i="4" s="1"/>
  <c r="X64" i="4"/>
  <c r="Y71" i="4" s="1"/>
  <c r="Z71" i="4" s="1"/>
  <c r="X61" i="4"/>
  <c r="X60" i="4"/>
  <c r="X62" i="4" s="1"/>
  <c r="T68" i="1"/>
  <c r="T67" i="1"/>
  <c r="U68" i="1" s="1"/>
  <c r="Z78" i="1"/>
  <c r="AA78" i="1" s="1"/>
  <c r="AB78" i="1" s="1"/>
  <c r="S76" i="1"/>
  <c r="Y80" i="1"/>
  <c r="T69" i="1"/>
  <c r="T69" i="5" l="1"/>
  <c r="AF73" i="4"/>
  <c r="AB80" i="5"/>
  <c r="Y61" i="4"/>
  <c r="AB80" i="1"/>
  <c r="I70" i="5" l="1"/>
  <c r="J70" i="5" s="1"/>
  <c r="K70" i="5" s="1"/>
  <c r="H72" i="5"/>
  <c r="I72" i="5" s="1"/>
  <c r="J72" i="5" s="1"/>
  <c r="K72" i="5" s="1"/>
  <c r="H70" i="5"/>
  <c r="H52" i="5" s="1"/>
  <c r="H69" i="5"/>
  <c r="I69" i="5" s="1"/>
  <c r="J69" i="5" s="1"/>
  <c r="K69" i="5" s="1"/>
  <c r="G151" i="4"/>
  <c r="K5" i="4"/>
  <c r="I84" i="5"/>
  <c r="Q64" i="5"/>
  <c r="P64" i="5"/>
  <c r="O64" i="5"/>
  <c r="N64" i="5"/>
  <c r="M64" i="5"/>
  <c r="L64" i="5"/>
  <c r="K64" i="5"/>
  <c r="J64" i="5"/>
  <c r="I64" i="5"/>
  <c r="H64" i="5"/>
  <c r="G100" i="5" s="1"/>
  <c r="H56" i="5"/>
  <c r="E56" i="5"/>
  <c r="E53" i="5"/>
  <c r="E73" i="5" s="1"/>
  <c r="E52" i="5"/>
  <c r="E71" i="5" s="1"/>
  <c r="I23" i="5"/>
  <c r="J23" i="5" s="1"/>
  <c r="K23" i="5" s="1"/>
  <c r="L23" i="5" s="1"/>
  <c r="M23" i="5" s="1"/>
  <c r="N23" i="5" s="1"/>
  <c r="O23" i="5" s="1"/>
  <c r="P23" i="5" s="1"/>
  <c r="Q23" i="5" s="1"/>
  <c r="I22" i="5"/>
  <c r="J22" i="5" s="1"/>
  <c r="K22" i="5" s="1"/>
  <c r="L22" i="5" s="1"/>
  <c r="M22" i="5" s="1"/>
  <c r="N22" i="5" s="1"/>
  <c r="O22" i="5" s="1"/>
  <c r="P22" i="5" s="1"/>
  <c r="Q22" i="5" s="1"/>
  <c r="I21" i="5"/>
  <c r="J21" i="5" s="1"/>
  <c r="K21" i="5" s="1"/>
  <c r="L21" i="5" s="1"/>
  <c r="M21" i="5" s="1"/>
  <c r="N21" i="5" s="1"/>
  <c r="O21" i="5" s="1"/>
  <c r="P21" i="5" s="1"/>
  <c r="Q21" i="5" s="1"/>
  <c r="I19" i="5"/>
  <c r="J19" i="5" s="1"/>
  <c r="I18" i="5"/>
  <c r="I56" i="5" s="1"/>
  <c r="I17" i="5"/>
  <c r="J17" i="5" s="1"/>
  <c r="K17" i="5" s="1"/>
  <c r="L17" i="5" s="1"/>
  <c r="M17" i="5" s="1"/>
  <c r="N17" i="5" s="1"/>
  <c r="O17" i="5" s="1"/>
  <c r="P17" i="5" s="1"/>
  <c r="Q17" i="5" s="1"/>
  <c r="H16" i="5"/>
  <c r="I16" i="5" s="1"/>
  <c r="J16" i="5" s="1"/>
  <c r="K16" i="5" s="1"/>
  <c r="L16" i="5" s="1"/>
  <c r="M16" i="5" s="1"/>
  <c r="N16" i="5" s="1"/>
  <c r="O16" i="5" s="1"/>
  <c r="P16" i="5" s="1"/>
  <c r="Q16" i="5" s="1"/>
  <c r="H14" i="5"/>
  <c r="I14" i="5" s="1"/>
  <c r="J14" i="5" s="1"/>
  <c r="K14" i="5" s="1"/>
  <c r="L14" i="5" s="1"/>
  <c r="M14" i="5" s="1"/>
  <c r="N14" i="5" s="1"/>
  <c r="O14" i="5" s="1"/>
  <c r="P14" i="5" s="1"/>
  <c r="Q14" i="5" s="1"/>
  <c r="Q13" i="5"/>
  <c r="P13" i="5"/>
  <c r="O13" i="5"/>
  <c r="N13" i="5"/>
  <c r="M13" i="5"/>
  <c r="L13" i="5"/>
  <c r="K13" i="5"/>
  <c r="J13" i="5"/>
  <c r="I13" i="5"/>
  <c r="H13" i="5"/>
  <c r="I12" i="5"/>
  <c r="J12" i="5" s="1"/>
  <c r="K12" i="5" s="1"/>
  <c r="L12" i="5" s="1"/>
  <c r="M12" i="5" s="1"/>
  <c r="N12" i="5" s="1"/>
  <c r="O12" i="5" s="1"/>
  <c r="P12" i="5" s="1"/>
  <c r="Q12" i="5" s="1"/>
  <c r="I11" i="5"/>
  <c r="J11" i="5" s="1"/>
  <c r="K11" i="5" s="1"/>
  <c r="L11" i="5" s="1"/>
  <c r="I10" i="5"/>
  <c r="H8" i="5"/>
  <c r="I8" i="5" s="1"/>
  <c r="H7" i="5"/>
  <c r="I7" i="5" s="1"/>
  <c r="J7" i="5" s="1"/>
  <c r="K7" i="5" s="1"/>
  <c r="L7" i="5" s="1"/>
  <c r="M7" i="5" s="1"/>
  <c r="N7" i="5" s="1"/>
  <c r="O7" i="5" s="1"/>
  <c r="P7" i="5" s="1"/>
  <c r="Q7" i="5" s="1"/>
  <c r="Q6" i="5"/>
  <c r="P6" i="5"/>
  <c r="O6" i="5"/>
  <c r="N6" i="5"/>
  <c r="M6" i="5"/>
  <c r="L6" i="5"/>
  <c r="K6" i="5"/>
  <c r="J6" i="5"/>
  <c r="I6" i="5"/>
  <c r="H6" i="5"/>
  <c r="E6" i="5"/>
  <c r="E32" i="5" s="1"/>
  <c r="E34" i="5" s="1"/>
  <c r="H5" i="5"/>
  <c r="I5" i="5" s="1"/>
  <c r="J5" i="5" s="1"/>
  <c r="K5" i="5" s="1"/>
  <c r="L5" i="5" s="1"/>
  <c r="M5" i="5" s="1"/>
  <c r="N5" i="5" s="1"/>
  <c r="H4" i="5"/>
  <c r="I4" i="5" s="1"/>
  <c r="J4" i="5" s="1"/>
  <c r="K4" i="5" s="1"/>
  <c r="P146" i="4"/>
  <c r="O146" i="4"/>
  <c r="N146" i="4"/>
  <c r="M146" i="4"/>
  <c r="L146" i="4"/>
  <c r="K146" i="4"/>
  <c r="J146" i="4"/>
  <c r="I146" i="4"/>
  <c r="H146" i="4"/>
  <c r="G146" i="4"/>
  <c r="G149" i="4" s="1"/>
  <c r="L93" i="4"/>
  <c r="M93" i="4" s="1"/>
  <c r="N93" i="4" s="1"/>
  <c r="O93" i="4" s="1"/>
  <c r="P93" i="4" s="1"/>
  <c r="Q93" i="4" s="1"/>
  <c r="J93" i="4"/>
  <c r="K93" i="4" s="1"/>
  <c r="I93" i="4"/>
  <c r="H72" i="4"/>
  <c r="G121" i="4" s="1"/>
  <c r="E72" i="4"/>
  <c r="H70" i="4"/>
  <c r="G117" i="4" s="1"/>
  <c r="E70" i="4"/>
  <c r="H69" i="4"/>
  <c r="E69" i="4"/>
  <c r="Q64" i="4"/>
  <c r="U64" i="4" s="1"/>
  <c r="P64" i="4"/>
  <c r="O64" i="4"/>
  <c r="N64" i="4"/>
  <c r="M64" i="4"/>
  <c r="L64" i="4"/>
  <c r="K64" i="4"/>
  <c r="J109" i="4" s="1"/>
  <c r="J64" i="4"/>
  <c r="I64" i="4"/>
  <c r="H64" i="4"/>
  <c r="G109" i="4" s="1"/>
  <c r="H56" i="4"/>
  <c r="H148" i="4" s="1"/>
  <c r="E56" i="4"/>
  <c r="E53" i="4"/>
  <c r="E73" i="4" s="1"/>
  <c r="H52" i="4"/>
  <c r="E52" i="4"/>
  <c r="E71" i="4" s="1"/>
  <c r="E31" i="4"/>
  <c r="K23" i="4"/>
  <c r="L23" i="4" s="1"/>
  <c r="M23" i="4" s="1"/>
  <c r="N23" i="4" s="1"/>
  <c r="O23" i="4" s="1"/>
  <c r="P23" i="4" s="1"/>
  <c r="Q23" i="4" s="1"/>
  <c r="I23" i="4"/>
  <c r="J23" i="4" s="1"/>
  <c r="I22" i="4"/>
  <c r="J22" i="4" s="1"/>
  <c r="K22" i="4" s="1"/>
  <c r="L22" i="4" s="1"/>
  <c r="M22" i="4" s="1"/>
  <c r="N22" i="4" s="1"/>
  <c r="O22" i="4" s="1"/>
  <c r="P22" i="4" s="1"/>
  <c r="Q22" i="4" s="1"/>
  <c r="I21" i="4"/>
  <c r="J21" i="4" s="1"/>
  <c r="K21" i="4" s="1"/>
  <c r="L21" i="4" s="1"/>
  <c r="M21" i="4" s="1"/>
  <c r="N21" i="4" s="1"/>
  <c r="O21" i="4" s="1"/>
  <c r="P21" i="4" s="1"/>
  <c r="Q21" i="4" s="1"/>
  <c r="I19" i="4"/>
  <c r="J19" i="4" s="1"/>
  <c r="I18" i="4"/>
  <c r="I56" i="4" s="1"/>
  <c r="I148" i="4" s="1"/>
  <c r="I17" i="4"/>
  <c r="J17" i="4" s="1"/>
  <c r="K17" i="4" s="1"/>
  <c r="L17" i="4" s="1"/>
  <c r="M17" i="4" s="1"/>
  <c r="N17" i="4" s="1"/>
  <c r="O17" i="4" s="1"/>
  <c r="P17" i="4" s="1"/>
  <c r="Q17" i="4" s="1"/>
  <c r="H16" i="4"/>
  <c r="I16" i="4" s="1"/>
  <c r="J16" i="4" s="1"/>
  <c r="K16" i="4" s="1"/>
  <c r="L16" i="4" s="1"/>
  <c r="M16" i="4" s="1"/>
  <c r="N16" i="4" s="1"/>
  <c r="O16" i="4" s="1"/>
  <c r="P16" i="4" s="1"/>
  <c r="Q16" i="4" s="1"/>
  <c r="I14" i="4"/>
  <c r="J14" i="4" s="1"/>
  <c r="K14" i="4" s="1"/>
  <c r="L14" i="4" s="1"/>
  <c r="M14" i="4" s="1"/>
  <c r="N14" i="4" s="1"/>
  <c r="O14" i="4" s="1"/>
  <c r="P14" i="4" s="1"/>
  <c r="Q14" i="4" s="1"/>
  <c r="H14" i="4"/>
  <c r="Q13" i="4"/>
  <c r="P13" i="4"/>
  <c r="O13" i="4"/>
  <c r="N13" i="4"/>
  <c r="M13" i="4"/>
  <c r="L13" i="4"/>
  <c r="K13" i="4"/>
  <c r="J13" i="4"/>
  <c r="I13" i="4"/>
  <c r="H13" i="4"/>
  <c r="I12" i="4"/>
  <c r="J12" i="4" s="1"/>
  <c r="K12" i="4" s="1"/>
  <c r="L12" i="4" s="1"/>
  <c r="M12" i="4" s="1"/>
  <c r="N12" i="4" s="1"/>
  <c r="O12" i="4" s="1"/>
  <c r="P12" i="4" s="1"/>
  <c r="Q12" i="4" s="1"/>
  <c r="K11" i="4"/>
  <c r="J11" i="4"/>
  <c r="I11" i="4"/>
  <c r="I10" i="4"/>
  <c r="J10" i="4" s="1"/>
  <c r="I8" i="4"/>
  <c r="H8" i="4"/>
  <c r="H7" i="4"/>
  <c r="I7" i="4" s="1"/>
  <c r="J7" i="4" s="1"/>
  <c r="K7" i="4" s="1"/>
  <c r="L7" i="4" s="1"/>
  <c r="M7" i="4" s="1"/>
  <c r="N7" i="4" s="1"/>
  <c r="O7" i="4" s="1"/>
  <c r="P7" i="4" s="1"/>
  <c r="Q7" i="4" s="1"/>
  <c r="Q6" i="4"/>
  <c r="P6" i="4"/>
  <c r="O6" i="4"/>
  <c r="N6" i="4"/>
  <c r="M6" i="4"/>
  <c r="L6" i="4"/>
  <c r="K6" i="4"/>
  <c r="J6" i="4"/>
  <c r="I6" i="4"/>
  <c r="H6" i="4"/>
  <c r="E6" i="4"/>
  <c r="E32" i="4" s="1"/>
  <c r="E34" i="4" s="1"/>
  <c r="H5" i="4"/>
  <c r="I5" i="4" s="1"/>
  <c r="J5" i="4" s="1"/>
  <c r="I4" i="4"/>
  <c r="J4" i="4" s="1"/>
  <c r="H4" i="4"/>
  <c r="H8" i="1"/>
  <c r="I8" i="1" s="1"/>
  <c r="J8" i="1" s="1"/>
  <c r="K8" i="1" s="1"/>
  <c r="L8" i="1" s="1"/>
  <c r="M8" i="1" s="1"/>
  <c r="N8" i="1" s="1"/>
  <c r="O8" i="1" s="1"/>
  <c r="P8" i="1" s="1"/>
  <c r="Q8" i="1" s="1"/>
  <c r="H4" i="1"/>
  <c r="I4" i="1" s="1"/>
  <c r="J4" i="1" s="1"/>
  <c r="K4" i="1" s="1"/>
  <c r="L4" i="1" s="1"/>
  <c r="M4" i="1" s="1"/>
  <c r="N4" i="1" s="1"/>
  <c r="O4" i="1" s="1"/>
  <c r="P4" i="1" s="1"/>
  <c r="Q4" i="1" s="1"/>
  <c r="H7" i="1"/>
  <c r="I7" i="1" s="1"/>
  <c r="J7" i="1" s="1"/>
  <c r="K7" i="1" s="1"/>
  <c r="L7" i="1" s="1"/>
  <c r="M7" i="1" s="1"/>
  <c r="N7" i="1" s="1"/>
  <c r="O7" i="1" s="1"/>
  <c r="P7" i="1" s="1"/>
  <c r="Q7" i="1" s="1"/>
  <c r="Q6" i="1"/>
  <c r="P6" i="1"/>
  <c r="O6" i="1"/>
  <c r="N6" i="1"/>
  <c r="M6" i="1"/>
  <c r="L6" i="1"/>
  <c r="K6" i="1"/>
  <c r="J6" i="1"/>
  <c r="I6" i="1"/>
  <c r="H6" i="1"/>
  <c r="H5" i="1"/>
  <c r="H32" i="1" s="1"/>
  <c r="E6" i="1"/>
  <c r="E31" i="1" s="1"/>
  <c r="E39" i="1" s="1"/>
  <c r="I72" i="4" l="1"/>
  <c r="H53" i="4"/>
  <c r="H73" i="4" s="1"/>
  <c r="N109" i="4"/>
  <c r="I70" i="4"/>
  <c r="L5" i="4"/>
  <c r="M5" i="4" s="1"/>
  <c r="N5" i="4" s="1"/>
  <c r="O5" i="4" s="1"/>
  <c r="P5" i="4" s="1"/>
  <c r="Q5" i="4" s="1"/>
  <c r="K109" i="4"/>
  <c r="O109" i="4"/>
  <c r="I69" i="4"/>
  <c r="H113" i="4" s="1"/>
  <c r="H71" i="4"/>
  <c r="W71" i="4"/>
  <c r="J18" i="5"/>
  <c r="J56" i="5" s="1"/>
  <c r="I100" i="5"/>
  <c r="J100" i="5"/>
  <c r="G112" i="5"/>
  <c r="L72" i="5"/>
  <c r="M72" i="5" s="1"/>
  <c r="N72" i="5" s="1"/>
  <c r="O72" i="5" s="1"/>
  <c r="P72" i="5" s="1"/>
  <c r="Q72" i="5" s="1"/>
  <c r="L69" i="5"/>
  <c r="M69" i="5" s="1"/>
  <c r="N69" i="5" s="1"/>
  <c r="O69" i="5" s="1"/>
  <c r="P69" i="5" s="1"/>
  <c r="Q69" i="5" s="1"/>
  <c r="L70" i="5"/>
  <c r="M70" i="5" s="1"/>
  <c r="N70" i="5" s="1"/>
  <c r="O70" i="5" s="1"/>
  <c r="P70" i="5" s="1"/>
  <c r="Q70" i="5" s="1"/>
  <c r="E31" i="5"/>
  <c r="H53" i="5"/>
  <c r="H73" i="5" s="1"/>
  <c r="K100" i="5"/>
  <c r="O100" i="5"/>
  <c r="H32" i="5"/>
  <c r="E32" i="1"/>
  <c r="E34" i="1" s="1"/>
  <c r="O5" i="5"/>
  <c r="P5" i="5" s="1"/>
  <c r="Q5" i="5" s="1"/>
  <c r="I149" i="4"/>
  <c r="H149" i="4"/>
  <c r="K19" i="5"/>
  <c r="L19" i="5" s="1"/>
  <c r="M19" i="5" s="1"/>
  <c r="N19" i="5" s="1"/>
  <c r="O19" i="5" s="1"/>
  <c r="P19" i="5" s="1"/>
  <c r="Q19" i="5" s="1"/>
  <c r="K31" i="5"/>
  <c r="M11" i="5"/>
  <c r="L4" i="5"/>
  <c r="E66" i="5"/>
  <c r="E44" i="5"/>
  <c r="E40" i="5"/>
  <c r="E45" i="5"/>
  <c r="E43" i="5"/>
  <c r="E42" i="5"/>
  <c r="E41" i="5"/>
  <c r="H94" i="5"/>
  <c r="H71" i="5"/>
  <c r="H31" i="5"/>
  <c r="E78" i="5"/>
  <c r="H34" i="5"/>
  <c r="E36" i="5"/>
  <c r="E39" i="5"/>
  <c r="G108" i="5"/>
  <c r="J31" i="5"/>
  <c r="I32" i="5"/>
  <c r="J8" i="5"/>
  <c r="J10" i="5"/>
  <c r="H100" i="5"/>
  <c r="L100" i="5"/>
  <c r="P100" i="5"/>
  <c r="Q100" i="5"/>
  <c r="I31" i="5"/>
  <c r="M100" i="5"/>
  <c r="J84" i="5"/>
  <c r="K84" i="5" s="1"/>
  <c r="K18" i="5"/>
  <c r="N100" i="5"/>
  <c r="G104" i="5"/>
  <c r="J31" i="4"/>
  <c r="J70" i="4"/>
  <c r="J69" i="4"/>
  <c r="J72" i="4"/>
  <c r="G113" i="4"/>
  <c r="H31" i="4"/>
  <c r="H32" i="4"/>
  <c r="K4" i="4"/>
  <c r="K10" i="4"/>
  <c r="I31" i="4"/>
  <c r="I32" i="4"/>
  <c r="J8" i="4"/>
  <c r="L11" i="4"/>
  <c r="K19" i="4"/>
  <c r="L19" i="4" s="1"/>
  <c r="M19" i="4" s="1"/>
  <c r="N19" i="4" s="1"/>
  <c r="O19" i="4" s="1"/>
  <c r="P19" i="4" s="1"/>
  <c r="Q19" i="4" s="1"/>
  <c r="E66" i="4"/>
  <c r="E45" i="4"/>
  <c r="E41" i="4"/>
  <c r="E44" i="4"/>
  <c r="E43" i="4"/>
  <c r="E42" i="4"/>
  <c r="E40" i="4"/>
  <c r="E39" i="4"/>
  <c r="E78" i="4"/>
  <c r="H34" i="4"/>
  <c r="E36" i="4"/>
  <c r="H109" i="4"/>
  <c r="L109" i="4"/>
  <c r="Q109" i="4"/>
  <c r="P109" i="4"/>
  <c r="J18" i="4"/>
  <c r="I109" i="4"/>
  <c r="M109" i="4"/>
  <c r="H31" i="1"/>
  <c r="H39" i="1" s="1"/>
  <c r="E42" i="1"/>
  <c r="E44" i="1"/>
  <c r="I5" i="1"/>
  <c r="E43" i="1"/>
  <c r="E40" i="1"/>
  <c r="E41" i="1"/>
  <c r="E45" i="1"/>
  <c r="H13" i="1"/>
  <c r="I53" i="4" l="1"/>
  <c r="I73" i="4" s="1"/>
  <c r="H121" i="4"/>
  <c r="V75" i="5"/>
  <c r="V76" i="5"/>
  <c r="Z68" i="4"/>
  <c r="Z69" i="4"/>
  <c r="H117" i="4"/>
  <c r="I52" i="4"/>
  <c r="I103" i="4" s="1"/>
  <c r="H103" i="4"/>
  <c r="L84" i="5"/>
  <c r="J39" i="5"/>
  <c r="H112" i="5"/>
  <c r="I53" i="5"/>
  <c r="I73" i="5" s="1"/>
  <c r="N11" i="5"/>
  <c r="K56" i="5"/>
  <c r="L18" i="5"/>
  <c r="K10" i="5"/>
  <c r="E47" i="5"/>
  <c r="E49" i="5" s="1"/>
  <c r="H45" i="5"/>
  <c r="H41" i="5"/>
  <c r="H66" i="5"/>
  <c r="G101" i="5" s="1"/>
  <c r="H44" i="5"/>
  <c r="H43" i="5"/>
  <c r="H42" i="5"/>
  <c r="H40" i="5"/>
  <c r="H39" i="5"/>
  <c r="M4" i="5"/>
  <c r="L31" i="5"/>
  <c r="J32" i="5"/>
  <c r="J45" i="5" s="1"/>
  <c r="K8" i="5"/>
  <c r="E67" i="5"/>
  <c r="E75" i="5" s="1"/>
  <c r="H108" i="5"/>
  <c r="I52" i="5"/>
  <c r="I71" i="5" s="1"/>
  <c r="K39" i="5"/>
  <c r="I42" i="5"/>
  <c r="I41" i="5"/>
  <c r="I40" i="5"/>
  <c r="I39" i="5"/>
  <c r="I66" i="5"/>
  <c r="I44" i="5"/>
  <c r="I45" i="5"/>
  <c r="I43" i="5"/>
  <c r="H78" i="5"/>
  <c r="H36" i="5"/>
  <c r="I34" i="5"/>
  <c r="H104" i="5"/>
  <c r="E67" i="4"/>
  <c r="E75" i="4" s="1"/>
  <c r="L4" i="4"/>
  <c r="K31" i="4"/>
  <c r="H78" i="4"/>
  <c r="H36" i="4"/>
  <c r="I34" i="4"/>
  <c r="I43" i="4"/>
  <c r="I39" i="4"/>
  <c r="I45" i="4"/>
  <c r="I42" i="4"/>
  <c r="I40" i="4"/>
  <c r="I66" i="4"/>
  <c r="I44" i="4"/>
  <c r="I41" i="4"/>
  <c r="I117" i="4"/>
  <c r="J52" i="4"/>
  <c r="J56" i="4"/>
  <c r="J148" i="4" s="1"/>
  <c r="J149" i="4" s="1"/>
  <c r="K18" i="4"/>
  <c r="J39" i="4"/>
  <c r="H42" i="4"/>
  <c r="H66" i="4"/>
  <c r="H41" i="4"/>
  <c r="H40" i="4"/>
  <c r="H39" i="4"/>
  <c r="H44" i="4"/>
  <c r="H45" i="4"/>
  <c r="H43" i="4"/>
  <c r="I113" i="4"/>
  <c r="M11" i="4"/>
  <c r="J73" i="4"/>
  <c r="E47" i="4"/>
  <c r="E49" i="4" s="1"/>
  <c r="J32" i="4"/>
  <c r="J66" i="4" s="1"/>
  <c r="K8" i="4"/>
  <c r="K70" i="4"/>
  <c r="K69" i="4"/>
  <c r="K72" i="4"/>
  <c r="L10" i="4"/>
  <c r="I121" i="4"/>
  <c r="J53" i="4"/>
  <c r="I32" i="1"/>
  <c r="J5" i="1"/>
  <c r="I31" i="1"/>
  <c r="H56" i="1"/>
  <c r="S78" i="5" l="1"/>
  <c r="I71" i="4"/>
  <c r="H101" i="5"/>
  <c r="J44" i="5"/>
  <c r="J66" i="5"/>
  <c r="I101" i="5" s="1"/>
  <c r="M84" i="5"/>
  <c r="N84" i="5" s="1"/>
  <c r="O84" i="5" s="1"/>
  <c r="P84" i="5" s="1"/>
  <c r="Q84" i="5" s="1"/>
  <c r="J40" i="5"/>
  <c r="J42" i="5"/>
  <c r="J43" i="5"/>
  <c r="I110" i="4"/>
  <c r="J45" i="4"/>
  <c r="J40" i="4"/>
  <c r="J41" i="4"/>
  <c r="G116" i="5"/>
  <c r="J52" i="5"/>
  <c r="I108" i="5"/>
  <c r="H47" i="5"/>
  <c r="L10" i="5"/>
  <c r="O11" i="5"/>
  <c r="I36" i="5"/>
  <c r="J34" i="5"/>
  <c r="I78" i="5"/>
  <c r="I47" i="5"/>
  <c r="I94" i="5"/>
  <c r="K32" i="5"/>
  <c r="L8" i="5"/>
  <c r="L39" i="5"/>
  <c r="I112" i="5"/>
  <c r="J53" i="5"/>
  <c r="J73" i="5" s="1"/>
  <c r="M18" i="5"/>
  <c r="L56" i="5"/>
  <c r="H67" i="5"/>
  <c r="H49" i="5"/>
  <c r="N4" i="5"/>
  <c r="M31" i="5"/>
  <c r="I104" i="5"/>
  <c r="J41" i="5"/>
  <c r="J117" i="4"/>
  <c r="K52" i="4"/>
  <c r="L72" i="4"/>
  <c r="L69" i="4"/>
  <c r="M10" i="4"/>
  <c r="L70" i="4"/>
  <c r="K32" i="4"/>
  <c r="K43" i="4" s="1"/>
  <c r="L8" i="4"/>
  <c r="L18" i="4"/>
  <c r="K56" i="4"/>
  <c r="K148" i="4" s="1"/>
  <c r="K149" i="4" s="1"/>
  <c r="I78" i="4"/>
  <c r="I36" i="4"/>
  <c r="J34" i="4"/>
  <c r="J121" i="4"/>
  <c r="K53" i="4"/>
  <c r="K73" i="4" s="1"/>
  <c r="G110" i="4"/>
  <c r="J42" i="4"/>
  <c r="J44" i="4"/>
  <c r="H67" i="4"/>
  <c r="G111" i="4" s="1"/>
  <c r="K39" i="4"/>
  <c r="J113" i="4"/>
  <c r="N11" i="4"/>
  <c r="H47" i="4"/>
  <c r="H49" i="4" s="1"/>
  <c r="J43" i="4"/>
  <c r="J103" i="4"/>
  <c r="J71" i="4"/>
  <c r="H110" i="4"/>
  <c r="I47" i="4"/>
  <c r="G125" i="4"/>
  <c r="M4" i="4"/>
  <c r="L31" i="4"/>
  <c r="K5" i="1"/>
  <c r="J31" i="1"/>
  <c r="J32" i="1"/>
  <c r="H34" i="1"/>
  <c r="I34" i="1" s="1"/>
  <c r="J34" i="1" s="1"/>
  <c r="K34" i="1" s="1"/>
  <c r="L34" i="1" s="1"/>
  <c r="M34" i="1" s="1"/>
  <c r="N34" i="1" s="1"/>
  <c r="O34" i="1" s="1"/>
  <c r="P34" i="1" s="1"/>
  <c r="Q34" i="1" s="1"/>
  <c r="Q64" i="1"/>
  <c r="P64" i="1"/>
  <c r="O64" i="1"/>
  <c r="N64" i="1"/>
  <c r="M64" i="1"/>
  <c r="L64" i="1"/>
  <c r="K64" i="1"/>
  <c r="J64" i="1"/>
  <c r="I64" i="1"/>
  <c r="H64" i="1"/>
  <c r="H14" i="1"/>
  <c r="Q13" i="1"/>
  <c r="P13" i="1"/>
  <c r="O13" i="1"/>
  <c r="N13" i="1"/>
  <c r="M13" i="1"/>
  <c r="L13" i="1"/>
  <c r="K13" i="1"/>
  <c r="J13" i="1"/>
  <c r="I13" i="1"/>
  <c r="H16" i="1"/>
  <c r="K103" i="4" l="1"/>
  <c r="K40" i="4"/>
  <c r="K44" i="4"/>
  <c r="J94" i="5"/>
  <c r="J47" i="5"/>
  <c r="K41" i="4"/>
  <c r="J47" i="4"/>
  <c r="H75" i="4"/>
  <c r="N18" i="5"/>
  <c r="M56" i="5"/>
  <c r="M10" i="5"/>
  <c r="H93" i="5"/>
  <c r="L32" i="5"/>
  <c r="M8" i="5"/>
  <c r="H116" i="5"/>
  <c r="J104" i="5"/>
  <c r="J71" i="5"/>
  <c r="M39" i="5"/>
  <c r="G102" i="5"/>
  <c r="H75" i="5"/>
  <c r="K66" i="5"/>
  <c r="J101" i="5" s="1"/>
  <c r="K45" i="5"/>
  <c r="K43" i="5"/>
  <c r="K44" i="5"/>
  <c r="K42" i="5"/>
  <c r="K40" i="5"/>
  <c r="K41" i="5"/>
  <c r="J36" i="5"/>
  <c r="J78" i="5"/>
  <c r="K34" i="5"/>
  <c r="P11" i="5"/>
  <c r="J108" i="5"/>
  <c r="K52" i="5"/>
  <c r="N31" i="5"/>
  <c r="O4" i="5"/>
  <c r="I67" i="5"/>
  <c r="I49" i="5"/>
  <c r="J112" i="5"/>
  <c r="K53" i="5"/>
  <c r="K73" i="5" s="1"/>
  <c r="L73" i="4"/>
  <c r="O11" i="4"/>
  <c r="H102" i="4"/>
  <c r="K113" i="4"/>
  <c r="K42" i="4"/>
  <c r="I49" i="4"/>
  <c r="I67" i="4"/>
  <c r="K117" i="4"/>
  <c r="L52" i="4"/>
  <c r="L32" i="4"/>
  <c r="L44" i="4" s="1"/>
  <c r="M8" i="4"/>
  <c r="L39" i="4"/>
  <c r="K34" i="4"/>
  <c r="J36" i="4"/>
  <c r="J78" i="4"/>
  <c r="L56" i="4"/>
  <c r="L148" i="4" s="1"/>
  <c r="L149" i="4" s="1"/>
  <c r="M18" i="4"/>
  <c r="K121" i="4"/>
  <c r="L53" i="4"/>
  <c r="M31" i="4"/>
  <c r="N4" i="4"/>
  <c r="K45" i="4"/>
  <c r="K71" i="4"/>
  <c r="K66" i="4"/>
  <c r="J110" i="4" s="1"/>
  <c r="H125" i="4"/>
  <c r="M72" i="4"/>
  <c r="M69" i="4"/>
  <c r="N10" i="4"/>
  <c r="M70" i="4"/>
  <c r="K31" i="1"/>
  <c r="K32" i="1"/>
  <c r="L5" i="1"/>
  <c r="Q100" i="1"/>
  <c r="E36" i="1"/>
  <c r="M100" i="1"/>
  <c r="K100" i="1"/>
  <c r="O100" i="1"/>
  <c r="L100" i="1"/>
  <c r="P100" i="1"/>
  <c r="N100" i="1"/>
  <c r="K47" i="4" l="1"/>
  <c r="I93" i="5"/>
  <c r="Q11" i="5"/>
  <c r="K71" i="5"/>
  <c r="H95" i="5"/>
  <c r="H96" i="5" s="1"/>
  <c r="G117" i="5" s="1"/>
  <c r="G119" i="5" s="1"/>
  <c r="B17" i="3" s="1"/>
  <c r="N8" i="5"/>
  <c r="M32" i="5"/>
  <c r="N10" i="5"/>
  <c r="N56" i="5"/>
  <c r="O18" i="5"/>
  <c r="O31" i="5"/>
  <c r="P4" i="5"/>
  <c r="K94" i="5"/>
  <c r="K78" i="5"/>
  <c r="L34" i="5"/>
  <c r="K36" i="5"/>
  <c r="K47" i="5"/>
  <c r="L41" i="5"/>
  <c r="L40" i="5"/>
  <c r="L44" i="5"/>
  <c r="L43" i="5"/>
  <c r="L66" i="5"/>
  <c r="K101" i="5" s="1"/>
  <c r="L45" i="5"/>
  <c r="L42" i="5"/>
  <c r="K108" i="5"/>
  <c r="L52" i="5"/>
  <c r="J49" i="5"/>
  <c r="J67" i="5"/>
  <c r="I102" i="5" s="1"/>
  <c r="K104" i="5"/>
  <c r="H102" i="5"/>
  <c r="I75" i="5"/>
  <c r="N39" i="5"/>
  <c r="I116" i="5"/>
  <c r="L53" i="5"/>
  <c r="L73" i="5" s="1"/>
  <c r="K112" i="5"/>
  <c r="L117" i="4"/>
  <c r="N70" i="4"/>
  <c r="M52" i="4"/>
  <c r="M103" i="4" s="1"/>
  <c r="N69" i="4"/>
  <c r="N72" i="4"/>
  <c r="O10" i="4"/>
  <c r="N31" i="4"/>
  <c r="O4" i="4"/>
  <c r="M56" i="4"/>
  <c r="M148" i="4" s="1"/>
  <c r="M149" i="4" s="1"/>
  <c r="N18" i="4"/>
  <c r="K78" i="4"/>
  <c r="K36" i="4"/>
  <c r="L34" i="4"/>
  <c r="L40" i="4"/>
  <c r="L45" i="4"/>
  <c r="L113" i="4"/>
  <c r="M39" i="4"/>
  <c r="L41" i="4"/>
  <c r="L42" i="4"/>
  <c r="H111" i="4"/>
  <c r="I75" i="4"/>
  <c r="H104" i="4"/>
  <c r="H105" i="4" s="1"/>
  <c r="G126" i="4" s="1"/>
  <c r="G128" i="4" s="1"/>
  <c r="B10" i="3" s="1"/>
  <c r="H106" i="4"/>
  <c r="M73" i="4"/>
  <c r="L121" i="4"/>
  <c r="M53" i="4"/>
  <c r="L71" i="4"/>
  <c r="I125" i="4"/>
  <c r="L66" i="4"/>
  <c r="K110" i="4" s="1"/>
  <c r="L43" i="4"/>
  <c r="N8" i="4"/>
  <c r="M32" i="4"/>
  <c r="M41" i="4" s="1"/>
  <c r="L103" i="4"/>
  <c r="I102" i="4"/>
  <c r="P11" i="4"/>
  <c r="J49" i="4"/>
  <c r="J67" i="4"/>
  <c r="L31" i="1"/>
  <c r="L32" i="1"/>
  <c r="M5" i="1"/>
  <c r="H41" i="1"/>
  <c r="H42" i="1"/>
  <c r="H40" i="1"/>
  <c r="H45" i="1"/>
  <c r="H43" i="1"/>
  <c r="H44" i="1"/>
  <c r="I39" i="1"/>
  <c r="I36" i="1"/>
  <c r="L94" i="5" l="1"/>
  <c r="M42" i="4"/>
  <c r="M45" i="4"/>
  <c r="L47" i="4"/>
  <c r="M44" i="4"/>
  <c r="L78" i="5"/>
  <c r="L36" i="5"/>
  <c r="M34" i="5"/>
  <c r="L108" i="5"/>
  <c r="M52" i="5"/>
  <c r="J116" i="5"/>
  <c r="P18" i="5"/>
  <c r="O56" i="5"/>
  <c r="M43" i="5"/>
  <c r="M66" i="5"/>
  <c r="L101" i="5" s="1"/>
  <c r="M44" i="5"/>
  <c r="M42" i="5"/>
  <c r="M41" i="5"/>
  <c r="M45" i="5"/>
  <c r="M40" i="5"/>
  <c r="H97" i="5"/>
  <c r="J93" i="5"/>
  <c r="M53" i="5"/>
  <c r="M73" i="5" s="1"/>
  <c r="L112" i="5"/>
  <c r="N32" i="5"/>
  <c r="O8" i="5"/>
  <c r="J75" i="5"/>
  <c r="I95" i="5"/>
  <c r="I96" i="5" s="1"/>
  <c r="H117" i="5" s="1"/>
  <c r="O39" i="5"/>
  <c r="L104" i="5"/>
  <c r="L47" i="5"/>
  <c r="K67" i="5"/>
  <c r="J102" i="5" s="1"/>
  <c r="K49" i="5"/>
  <c r="Q4" i="5"/>
  <c r="Q31" i="5" s="1"/>
  <c r="P31" i="5"/>
  <c r="O10" i="5"/>
  <c r="L71" i="5"/>
  <c r="K67" i="4"/>
  <c r="K49" i="4"/>
  <c r="O31" i="4"/>
  <c r="P4" i="4"/>
  <c r="O69" i="4"/>
  <c r="O72" i="4"/>
  <c r="P10" i="4"/>
  <c r="I111" i="4"/>
  <c r="J75" i="4"/>
  <c r="Q11" i="4"/>
  <c r="M71" i="4"/>
  <c r="J125" i="4"/>
  <c r="N39" i="4"/>
  <c r="N53" i="4"/>
  <c r="N73" i="4" s="1"/>
  <c r="M121" i="4"/>
  <c r="O70" i="4"/>
  <c r="N52" i="4"/>
  <c r="M117" i="4"/>
  <c r="J102" i="4"/>
  <c r="M40" i="4"/>
  <c r="M43" i="4"/>
  <c r="N56" i="4"/>
  <c r="N148" i="4" s="1"/>
  <c r="N149" i="4" s="1"/>
  <c r="O18" i="4"/>
  <c r="I104" i="4"/>
  <c r="I105" i="4" s="1"/>
  <c r="H126" i="4" s="1"/>
  <c r="H128" i="4" s="1"/>
  <c r="C10" i="3" s="1"/>
  <c r="N32" i="4"/>
  <c r="N45" i="4" s="1"/>
  <c r="O8" i="4"/>
  <c r="M66" i="4"/>
  <c r="L110" i="4" s="1"/>
  <c r="L78" i="4"/>
  <c r="L36" i="4"/>
  <c r="M34" i="4"/>
  <c r="M113" i="4"/>
  <c r="M32" i="1"/>
  <c r="N5" i="1"/>
  <c r="M31" i="1"/>
  <c r="I40" i="1"/>
  <c r="I41" i="1"/>
  <c r="I42" i="1"/>
  <c r="I43" i="1"/>
  <c r="I45" i="1"/>
  <c r="I44" i="1"/>
  <c r="J41" i="1"/>
  <c r="J45" i="1"/>
  <c r="J43" i="1"/>
  <c r="J39" i="1"/>
  <c r="J44" i="1"/>
  <c r="J42" i="1"/>
  <c r="H72" i="1"/>
  <c r="H53" i="1" s="1"/>
  <c r="H73" i="1" s="1"/>
  <c r="E72" i="1"/>
  <c r="E53" i="1" s="1"/>
  <c r="E73" i="1" s="1"/>
  <c r="I10" i="1"/>
  <c r="J10" i="1" s="1"/>
  <c r="H70" i="1"/>
  <c r="H69" i="1"/>
  <c r="E70" i="1"/>
  <c r="E69" i="1"/>
  <c r="H119" i="5" l="1"/>
  <c r="C17" i="3" s="1"/>
  <c r="K75" i="5"/>
  <c r="I106" i="4"/>
  <c r="N41" i="4"/>
  <c r="N42" i="4"/>
  <c r="N40" i="4"/>
  <c r="M47" i="4"/>
  <c r="P39" i="5"/>
  <c r="K116" i="5"/>
  <c r="M104" i="5"/>
  <c r="N41" i="5"/>
  <c r="N66" i="5"/>
  <c r="M101" i="5" s="1"/>
  <c r="N45" i="5"/>
  <c r="N42" i="5"/>
  <c r="N43" i="5"/>
  <c r="N40" i="5"/>
  <c r="N44" i="5"/>
  <c r="M47" i="5"/>
  <c r="Q18" i="5"/>
  <c r="Q56" i="5" s="1"/>
  <c r="P56" i="5"/>
  <c r="M112" i="5"/>
  <c r="N53" i="5"/>
  <c r="N73" i="5" s="1"/>
  <c r="K93" i="5"/>
  <c r="I97" i="5"/>
  <c r="M78" i="5"/>
  <c r="M36" i="5"/>
  <c r="N34" i="5"/>
  <c r="M71" i="5"/>
  <c r="O32" i="5"/>
  <c r="P8" i="5"/>
  <c r="J95" i="5"/>
  <c r="J96" i="5" s="1"/>
  <c r="I117" i="5" s="1"/>
  <c r="M108" i="5"/>
  <c r="N52" i="5"/>
  <c r="Q39" i="5"/>
  <c r="P10" i="5"/>
  <c r="M94" i="5"/>
  <c r="L67" i="5"/>
  <c r="K102" i="5" s="1"/>
  <c r="L49" i="5"/>
  <c r="M78" i="4"/>
  <c r="N34" i="4"/>
  <c r="M36" i="4"/>
  <c r="L67" i="4"/>
  <c r="L49" i="4"/>
  <c r="O32" i="4"/>
  <c r="O44" i="4" s="1"/>
  <c r="P8" i="4"/>
  <c r="N113" i="4"/>
  <c r="J111" i="4"/>
  <c r="K75" i="4"/>
  <c r="K125" i="4"/>
  <c r="N43" i="4"/>
  <c r="N44" i="4"/>
  <c r="N71" i="4"/>
  <c r="Q4" i="4"/>
  <c r="Q31" i="4" s="1"/>
  <c r="P31" i="4"/>
  <c r="P18" i="4"/>
  <c r="O56" i="4"/>
  <c r="O148" i="4" s="1"/>
  <c r="O149" i="4" s="1"/>
  <c r="N103" i="4"/>
  <c r="N66" i="4"/>
  <c r="M110" i="4" s="1"/>
  <c r="P72" i="4"/>
  <c r="Q10" i="4"/>
  <c r="P69" i="4"/>
  <c r="O39" i="4"/>
  <c r="J104" i="4"/>
  <c r="J105" i="4" s="1"/>
  <c r="I126" i="4" s="1"/>
  <c r="I128" i="4" s="1"/>
  <c r="D10" i="3" s="1"/>
  <c r="N117" i="4"/>
  <c r="O52" i="4"/>
  <c r="P70" i="4"/>
  <c r="N121" i="4"/>
  <c r="O53" i="4"/>
  <c r="O73" i="4" s="1"/>
  <c r="K102" i="4"/>
  <c r="N31" i="1"/>
  <c r="N32" i="1"/>
  <c r="O5" i="1"/>
  <c r="K45" i="1"/>
  <c r="K43" i="1"/>
  <c r="K41" i="1"/>
  <c r="K39" i="1"/>
  <c r="K44" i="1"/>
  <c r="K42" i="1"/>
  <c r="K40" i="1"/>
  <c r="J40" i="1"/>
  <c r="J72" i="1"/>
  <c r="K10" i="1"/>
  <c r="I69" i="1"/>
  <c r="H104" i="1" s="1"/>
  <c r="I70" i="1"/>
  <c r="H108" i="1" s="1"/>
  <c r="I72" i="1"/>
  <c r="H112" i="1" s="1"/>
  <c r="J70" i="1"/>
  <c r="J69" i="1"/>
  <c r="G112" i="1"/>
  <c r="G108" i="1"/>
  <c r="G104" i="1"/>
  <c r="G100" i="1"/>
  <c r="I84" i="1"/>
  <c r="H100" i="1"/>
  <c r="I23" i="1"/>
  <c r="I22" i="1"/>
  <c r="J22" i="1" s="1"/>
  <c r="K22" i="1" s="1"/>
  <c r="L22" i="1" s="1"/>
  <c r="M22" i="1" s="1"/>
  <c r="N22" i="1" s="1"/>
  <c r="O22" i="1" s="1"/>
  <c r="P22" i="1" s="1"/>
  <c r="Q22" i="1" s="1"/>
  <c r="I21" i="1"/>
  <c r="J21" i="1" s="1"/>
  <c r="K21" i="1" s="1"/>
  <c r="L21" i="1" s="1"/>
  <c r="M21" i="1" s="1"/>
  <c r="N21" i="1" s="1"/>
  <c r="O21" i="1" s="1"/>
  <c r="P21" i="1" s="1"/>
  <c r="Q21" i="1" s="1"/>
  <c r="I19" i="1"/>
  <c r="J19" i="1" s="1"/>
  <c r="I18" i="1"/>
  <c r="I56" i="1" s="1"/>
  <c r="I17" i="1"/>
  <c r="J17" i="1" s="1"/>
  <c r="I16" i="1"/>
  <c r="J16" i="1" s="1"/>
  <c r="K16" i="1" s="1"/>
  <c r="L16" i="1" s="1"/>
  <c r="M16" i="1" s="1"/>
  <c r="N16" i="1" s="1"/>
  <c r="O16" i="1" s="1"/>
  <c r="P16" i="1" s="1"/>
  <c r="Q16" i="1" s="1"/>
  <c r="I14" i="1"/>
  <c r="J14" i="1" s="1"/>
  <c r="K14" i="1" s="1"/>
  <c r="L14" i="1" s="1"/>
  <c r="M14" i="1" s="1"/>
  <c r="N14" i="1" s="1"/>
  <c r="O14" i="1" s="1"/>
  <c r="P14" i="1" s="1"/>
  <c r="Q14" i="1" s="1"/>
  <c r="I12" i="1"/>
  <c r="J12" i="1" s="1"/>
  <c r="K12" i="1" s="1"/>
  <c r="L12" i="1" s="1"/>
  <c r="M12" i="1" s="1"/>
  <c r="N12" i="1" s="1"/>
  <c r="O12" i="1" s="1"/>
  <c r="P12" i="1" s="1"/>
  <c r="Q12" i="1" s="1"/>
  <c r="I11" i="1"/>
  <c r="J11" i="1" s="1"/>
  <c r="K11" i="1" s="1"/>
  <c r="L11" i="1" s="1"/>
  <c r="M11" i="1" s="1"/>
  <c r="N11" i="1" s="1"/>
  <c r="O11" i="1" s="1"/>
  <c r="P11" i="1" s="1"/>
  <c r="Q11" i="1" s="1"/>
  <c r="H52" i="1"/>
  <c r="O45" i="4" l="1"/>
  <c r="S78" i="1"/>
  <c r="N94" i="5"/>
  <c r="K19" i="1"/>
  <c r="L19" i="1" s="1"/>
  <c r="M19" i="1" s="1"/>
  <c r="N19" i="1" s="1"/>
  <c r="O19" i="1" s="1"/>
  <c r="P19" i="1" s="1"/>
  <c r="Q19" i="1" s="1"/>
  <c r="N47" i="5"/>
  <c r="O40" i="4"/>
  <c r="O42" i="4"/>
  <c r="O41" i="4"/>
  <c r="O66" i="4"/>
  <c r="N110" i="4" s="1"/>
  <c r="O43" i="4"/>
  <c r="N47" i="4"/>
  <c r="L93" i="5"/>
  <c r="N112" i="5"/>
  <c r="O53" i="5"/>
  <c r="O73" i="5" s="1"/>
  <c r="P32" i="5"/>
  <c r="Q8" i="5"/>
  <c r="Q32" i="5" s="1"/>
  <c r="I119" i="5"/>
  <c r="D17" i="3" s="1"/>
  <c r="N104" i="5"/>
  <c r="O44" i="5"/>
  <c r="O43" i="5"/>
  <c r="O45" i="5"/>
  <c r="O66" i="5"/>
  <c r="N101" i="5" s="1"/>
  <c r="O40" i="5"/>
  <c r="O41" i="5"/>
  <c r="O42" i="5"/>
  <c r="M67" i="5"/>
  <c r="L102" i="5" s="1"/>
  <c r="M49" i="5"/>
  <c r="Q10" i="5"/>
  <c r="N71" i="5"/>
  <c r="N108" i="5"/>
  <c r="O52" i="5"/>
  <c r="N78" i="5"/>
  <c r="O34" i="5"/>
  <c r="N36" i="5"/>
  <c r="J97" i="5"/>
  <c r="L75" i="5"/>
  <c r="L116" i="5"/>
  <c r="K95" i="5"/>
  <c r="K96" i="5" s="1"/>
  <c r="J117" i="5" s="1"/>
  <c r="K104" i="4"/>
  <c r="K105" i="4" s="1"/>
  <c r="J126" i="4" s="1"/>
  <c r="Q39" i="4"/>
  <c r="L102" i="4"/>
  <c r="O117" i="4"/>
  <c r="P52" i="4"/>
  <c r="Q70" i="4"/>
  <c r="T70" i="4" s="1"/>
  <c r="J106" i="4"/>
  <c r="K111" i="4"/>
  <c r="L75" i="4"/>
  <c r="O121" i="4"/>
  <c r="P53" i="4"/>
  <c r="P73" i="4" s="1"/>
  <c r="P56" i="4"/>
  <c r="P148" i="4" s="1"/>
  <c r="P149" i="4" s="1"/>
  <c r="Q18" i="4"/>
  <c r="Q56" i="4" s="1"/>
  <c r="Q148" i="4" s="1"/>
  <c r="O71" i="4"/>
  <c r="Q8" i="4"/>
  <c r="Q32" i="4" s="1"/>
  <c r="Q43" i="4" s="1"/>
  <c r="P32" i="4"/>
  <c r="P43" i="4" s="1"/>
  <c r="P39" i="4"/>
  <c r="O34" i="4"/>
  <c r="N36" i="4"/>
  <c r="N78" i="4"/>
  <c r="O113" i="4"/>
  <c r="L125" i="4"/>
  <c r="Q69" i="4"/>
  <c r="T69" i="4" s="1"/>
  <c r="Q72" i="4"/>
  <c r="T72" i="4" s="1"/>
  <c r="O103" i="4"/>
  <c r="M49" i="4"/>
  <c r="M67" i="4"/>
  <c r="O31" i="1"/>
  <c r="O32" i="1"/>
  <c r="P5" i="1"/>
  <c r="L39" i="1"/>
  <c r="L43" i="1"/>
  <c r="L44" i="1"/>
  <c r="L42" i="1"/>
  <c r="L40" i="1"/>
  <c r="L45" i="1"/>
  <c r="L41" i="1"/>
  <c r="H71" i="1"/>
  <c r="H94" i="1"/>
  <c r="I112" i="1"/>
  <c r="I53" i="1"/>
  <c r="I73" i="1" s="1"/>
  <c r="I108" i="1"/>
  <c r="K17" i="1"/>
  <c r="L17" i="1" s="1"/>
  <c r="M17" i="1" s="1"/>
  <c r="N17" i="1" s="1"/>
  <c r="O17" i="1" s="1"/>
  <c r="P17" i="1" s="1"/>
  <c r="Q17" i="1" s="1"/>
  <c r="K72" i="1"/>
  <c r="K70" i="1"/>
  <c r="K52" i="1" s="1"/>
  <c r="L10" i="1"/>
  <c r="K69" i="1"/>
  <c r="J52" i="1"/>
  <c r="J84" i="1"/>
  <c r="K84" i="1" s="1"/>
  <c r="L84" i="1" s="1"/>
  <c r="M84" i="1" s="1"/>
  <c r="N84" i="1" s="1"/>
  <c r="O84" i="1" s="1"/>
  <c r="P84" i="1" s="1"/>
  <c r="Q84" i="1" s="1"/>
  <c r="J18" i="1"/>
  <c r="J23" i="1"/>
  <c r="I104" i="1"/>
  <c r="I52" i="1"/>
  <c r="E52" i="1"/>
  <c r="E71" i="1" s="1"/>
  <c r="E56" i="1"/>
  <c r="E67" i="1"/>
  <c r="I2" i="2"/>
  <c r="I5" i="2" s="1"/>
  <c r="I3" i="2"/>
  <c r="B3" i="2"/>
  <c r="P103" i="4" l="1"/>
  <c r="T81" i="4"/>
  <c r="G142" i="4"/>
  <c r="M75" i="5"/>
  <c r="O94" i="5"/>
  <c r="Q66" i="4"/>
  <c r="O47" i="4"/>
  <c r="P45" i="4"/>
  <c r="P40" i="4"/>
  <c r="P41" i="4"/>
  <c r="P42" i="4"/>
  <c r="P66" i="4"/>
  <c r="O110" i="4" s="1"/>
  <c r="P44" i="4"/>
  <c r="K106" i="4"/>
  <c r="Q44" i="4"/>
  <c r="L95" i="5"/>
  <c r="L96" i="5" s="1"/>
  <c r="K117" i="5" s="1"/>
  <c r="K97" i="5"/>
  <c r="M116" i="5"/>
  <c r="O104" i="5"/>
  <c r="M93" i="5"/>
  <c r="O47" i="5"/>
  <c r="N49" i="5"/>
  <c r="N67" i="5"/>
  <c r="M102" i="5" s="1"/>
  <c r="P53" i="5"/>
  <c r="P73" i="5" s="1"/>
  <c r="O112" i="5"/>
  <c r="P44" i="5"/>
  <c r="P40" i="5"/>
  <c r="P41" i="5"/>
  <c r="P43" i="5"/>
  <c r="P66" i="5"/>
  <c r="O101" i="5" s="1"/>
  <c r="P45" i="5"/>
  <c r="P42" i="5"/>
  <c r="J119" i="5"/>
  <c r="E17" i="3" s="1"/>
  <c r="O78" i="5"/>
  <c r="P34" i="5"/>
  <c r="O36" i="5"/>
  <c r="O71" i="5"/>
  <c r="P52" i="5"/>
  <c r="O108" i="5"/>
  <c r="Q66" i="5"/>
  <c r="Q42" i="5"/>
  <c r="Q41" i="5"/>
  <c r="Q43" i="5"/>
  <c r="Q45" i="5"/>
  <c r="Q40" i="5"/>
  <c r="Q44" i="5"/>
  <c r="Q113" i="4"/>
  <c r="P113" i="4"/>
  <c r="M102" i="4"/>
  <c r="O78" i="4"/>
  <c r="O36" i="4"/>
  <c r="P34" i="4"/>
  <c r="Q42" i="4"/>
  <c r="Q45" i="4"/>
  <c r="P71" i="4"/>
  <c r="J128" i="4"/>
  <c r="E10" i="3" s="1"/>
  <c r="Q40" i="4"/>
  <c r="L111" i="4"/>
  <c r="M75" i="4"/>
  <c r="N49" i="4"/>
  <c r="N67" i="4"/>
  <c r="Q121" i="4"/>
  <c r="Q53" i="4"/>
  <c r="Q73" i="4" s="1"/>
  <c r="P121" i="4"/>
  <c r="M125" i="4"/>
  <c r="Q117" i="4"/>
  <c r="P117" i="4"/>
  <c r="Q52" i="4"/>
  <c r="L104" i="4"/>
  <c r="L105" i="4" s="1"/>
  <c r="K126" i="4" s="1"/>
  <c r="Q41" i="4"/>
  <c r="P32" i="1"/>
  <c r="Q5" i="1"/>
  <c r="P31" i="1"/>
  <c r="M40" i="1"/>
  <c r="M39" i="1"/>
  <c r="I6" i="2"/>
  <c r="D3" i="2" s="1"/>
  <c r="M44" i="1"/>
  <c r="I71" i="1"/>
  <c r="J71" i="1" s="1"/>
  <c r="I94" i="1"/>
  <c r="J108" i="1"/>
  <c r="E47" i="1"/>
  <c r="E49" i="1" s="1"/>
  <c r="J56" i="1"/>
  <c r="K18" i="1"/>
  <c r="K56" i="1" s="1"/>
  <c r="J53" i="1"/>
  <c r="J94" i="1" s="1"/>
  <c r="K23" i="1"/>
  <c r="L23" i="1" s="1"/>
  <c r="M23" i="1" s="1"/>
  <c r="N23" i="1" s="1"/>
  <c r="O23" i="1" s="1"/>
  <c r="P23" i="1" s="1"/>
  <c r="Q23" i="1" s="1"/>
  <c r="H78" i="1"/>
  <c r="G116" i="1" s="1"/>
  <c r="J104" i="1"/>
  <c r="M10" i="1"/>
  <c r="M70" i="1" s="1"/>
  <c r="L72" i="1"/>
  <c r="K112" i="1" s="1"/>
  <c r="L69" i="1"/>
  <c r="K104" i="1" s="1"/>
  <c r="L70" i="1"/>
  <c r="J112" i="1"/>
  <c r="I100" i="1"/>
  <c r="J100" i="1"/>
  <c r="E66" i="1"/>
  <c r="E75" i="1" s="1"/>
  <c r="E78" i="1"/>
  <c r="Q110" i="4" l="1"/>
  <c r="U66" i="4"/>
  <c r="Q103" i="4"/>
  <c r="P94" i="5"/>
  <c r="P47" i="4"/>
  <c r="P110" i="4"/>
  <c r="Q47" i="4"/>
  <c r="K128" i="4"/>
  <c r="F10" i="3" s="1"/>
  <c r="Q104" i="5"/>
  <c r="P104" i="5"/>
  <c r="Q108" i="5"/>
  <c r="P108" i="5"/>
  <c r="Q52" i="5"/>
  <c r="P78" i="5"/>
  <c r="P36" i="5"/>
  <c r="Q34" i="5"/>
  <c r="P47" i="5"/>
  <c r="Q112" i="5"/>
  <c r="P112" i="5"/>
  <c r="Q53" i="5"/>
  <c r="Q73" i="5" s="1"/>
  <c r="N75" i="5"/>
  <c r="N116" i="5"/>
  <c r="N93" i="5"/>
  <c r="M95" i="5"/>
  <c r="M96" i="5" s="1"/>
  <c r="L117" i="5" s="1"/>
  <c r="L97" i="5"/>
  <c r="Q47" i="5"/>
  <c r="P71" i="5"/>
  <c r="Q101" i="5"/>
  <c r="P101" i="5"/>
  <c r="O67" i="5"/>
  <c r="N102" i="5" s="1"/>
  <c r="O49" i="5"/>
  <c r="K119" i="5"/>
  <c r="F17" i="3" s="1"/>
  <c r="Q122" i="4"/>
  <c r="S124" i="4"/>
  <c r="Q123" i="4" s="1"/>
  <c r="M111" i="4"/>
  <c r="N75" i="4"/>
  <c r="L106" i="4"/>
  <c r="Q118" i="4"/>
  <c r="N102" i="4"/>
  <c r="P36" i="4"/>
  <c r="P78" i="4"/>
  <c r="Q34" i="4"/>
  <c r="M104" i="4"/>
  <c r="M105" i="4" s="1"/>
  <c r="L126" i="4" s="1"/>
  <c r="Q71" i="4"/>
  <c r="O67" i="4"/>
  <c r="O49" i="4"/>
  <c r="Q114" i="4"/>
  <c r="N125" i="4"/>
  <c r="Q32" i="1"/>
  <c r="Q31" i="1"/>
  <c r="M45" i="1"/>
  <c r="N39" i="1"/>
  <c r="N44" i="1"/>
  <c r="M41" i="1"/>
  <c r="M42" i="1"/>
  <c r="M43" i="1"/>
  <c r="N70" i="1"/>
  <c r="L108" i="1"/>
  <c r="L52" i="1"/>
  <c r="K108" i="1"/>
  <c r="I7" i="2"/>
  <c r="C3" i="2" s="1"/>
  <c r="K71" i="1"/>
  <c r="L53" i="1"/>
  <c r="K53" i="1"/>
  <c r="K94" i="1" s="1"/>
  <c r="J73" i="1"/>
  <c r="L18" i="1"/>
  <c r="L56" i="1" s="1"/>
  <c r="N10" i="1"/>
  <c r="M72" i="1"/>
  <c r="M69" i="1"/>
  <c r="L104" i="1" s="1"/>
  <c r="M52" i="1"/>
  <c r="S116" i="4" l="1"/>
  <c r="L71" i="1"/>
  <c r="M71" i="1" s="1"/>
  <c r="Q94" i="5"/>
  <c r="Q71" i="5"/>
  <c r="P67" i="5"/>
  <c r="O102" i="5" s="1"/>
  <c r="P49" i="5"/>
  <c r="M97" i="5"/>
  <c r="O116" i="5"/>
  <c r="Q109" i="5"/>
  <c r="O93" i="5"/>
  <c r="L119" i="5"/>
  <c r="G17" i="3" s="1"/>
  <c r="Q113" i="5"/>
  <c r="S115" i="5" s="1"/>
  <c r="Q114" i="5" s="1"/>
  <c r="O75" i="5"/>
  <c r="N95" i="5"/>
  <c r="N96" i="5" s="1"/>
  <c r="M117" i="5" s="1"/>
  <c r="Q36" i="5"/>
  <c r="Q78" i="5"/>
  <c r="Q105" i="5"/>
  <c r="Q115" i="4"/>
  <c r="V116" i="4"/>
  <c r="P49" i="4"/>
  <c r="P67" i="4"/>
  <c r="M106" i="4"/>
  <c r="N104" i="4"/>
  <c r="N105" i="4" s="1"/>
  <c r="M126" i="4" s="1"/>
  <c r="L128" i="4"/>
  <c r="G10" i="3" s="1"/>
  <c r="O102" i="4"/>
  <c r="Q78" i="4"/>
  <c r="U78" i="4" s="1"/>
  <c r="Q36" i="4"/>
  <c r="N111" i="4"/>
  <c r="O75" i="4"/>
  <c r="O125" i="4"/>
  <c r="S120" i="4"/>
  <c r="N43" i="1"/>
  <c r="O39" i="1"/>
  <c r="O45" i="1"/>
  <c r="N40" i="1"/>
  <c r="N45" i="1"/>
  <c r="N42" i="1"/>
  <c r="N41" i="1"/>
  <c r="L94" i="1"/>
  <c r="M53" i="1"/>
  <c r="L112" i="1"/>
  <c r="O70" i="1"/>
  <c r="M108" i="1"/>
  <c r="C54" i="2"/>
  <c r="C37" i="2"/>
  <c r="C55" i="2"/>
  <c r="C38" i="2"/>
  <c r="C17" i="2"/>
  <c r="C28" i="2"/>
  <c r="C8" i="2"/>
  <c r="C56" i="2"/>
  <c r="C22" i="2"/>
  <c r="C7" i="2"/>
  <c r="C50" i="2"/>
  <c r="C27" i="2"/>
  <c r="C23" i="2"/>
  <c r="C36" i="2"/>
  <c r="C39" i="2"/>
  <c r="C42" i="2"/>
  <c r="C21" i="2"/>
  <c r="C33" i="2"/>
  <c r="C12" i="2"/>
  <c r="C11" i="2"/>
  <c r="C26" i="2"/>
  <c r="C10" i="2"/>
  <c r="C40" i="2"/>
  <c r="C46" i="2"/>
  <c r="C53" i="2"/>
  <c r="C52" i="2"/>
  <c r="C51" i="2"/>
  <c r="C34" i="2"/>
  <c r="C13" i="2"/>
  <c r="C24" i="2"/>
  <c r="C6" i="2"/>
  <c r="C35" i="2"/>
  <c r="C18" i="2"/>
  <c r="C5" i="2"/>
  <c r="C45" i="2"/>
  <c r="C19" i="2"/>
  <c r="C32" i="2"/>
  <c r="C41" i="2"/>
  <c r="C49" i="2"/>
  <c r="C48" i="2"/>
  <c r="C47" i="2"/>
  <c r="C25" i="2"/>
  <c r="C9" i="2"/>
  <c r="C20" i="2"/>
  <c r="C4" i="2"/>
  <c r="C31" i="2"/>
  <c r="C14" i="2"/>
  <c r="K73" i="1"/>
  <c r="L73" i="1" s="1"/>
  <c r="M94" i="1"/>
  <c r="M18" i="1"/>
  <c r="M56" i="1" s="1"/>
  <c r="O10" i="1"/>
  <c r="N52" i="1"/>
  <c r="N72" i="1"/>
  <c r="N69" i="1"/>
  <c r="M104" i="1" s="1"/>
  <c r="E3" i="2"/>
  <c r="F3" i="2" s="1"/>
  <c r="B4" i="2" s="1"/>
  <c r="S111" i="5" l="1"/>
  <c r="M119" i="5"/>
  <c r="H17" i="3" s="1"/>
  <c r="N97" i="5"/>
  <c r="S107" i="5"/>
  <c r="Q67" i="5"/>
  <c r="Q75" i="5" s="1"/>
  <c r="Q49" i="5"/>
  <c r="P75" i="5"/>
  <c r="Q116" i="5"/>
  <c r="P116" i="5"/>
  <c r="O95" i="5"/>
  <c r="O96" i="5" s="1"/>
  <c r="N117" i="5" s="1"/>
  <c r="P93" i="5"/>
  <c r="Q119" i="4"/>
  <c r="V120" i="4"/>
  <c r="Q49" i="4"/>
  <c r="Q67" i="4"/>
  <c r="U67" i="4" s="1"/>
  <c r="U81" i="4" s="1"/>
  <c r="P125" i="4"/>
  <c r="Q125" i="4"/>
  <c r="O111" i="4"/>
  <c r="P75" i="4"/>
  <c r="N106" i="4"/>
  <c r="P102" i="4"/>
  <c r="O104" i="4"/>
  <c r="O105" i="4" s="1"/>
  <c r="N126" i="4" s="1"/>
  <c r="M128" i="4"/>
  <c r="H10" i="3" s="1"/>
  <c r="O40" i="1"/>
  <c r="O41" i="1"/>
  <c r="O42" i="1"/>
  <c r="O43" i="1"/>
  <c r="O44" i="1"/>
  <c r="P39" i="1"/>
  <c r="P41" i="1"/>
  <c r="P44" i="1"/>
  <c r="P42" i="1"/>
  <c r="P40" i="1"/>
  <c r="P45" i="1"/>
  <c r="P43" i="1"/>
  <c r="M73" i="1"/>
  <c r="N53" i="1"/>
  <c r="N94" i="1" s="1"/>
  <c r="M112" i="1"/>
  <c r="P70" i="1"/>
  <c r="N108" i="1"/>
  <c r="C15" i="2"/>
  <c r="N18" i="1"/>
  <c r="N56" i="1" s="1"/>
  <c r="P10" i="1"/>
  <c r="O72" i="1"/>
  <c r="O52" i="1"/>
  <c r="O69" i="1"/>
  <c r="N104" i="1" s="1"/>
  <c r="N71" i="1"/>
  <c r="D4" i="2"/>
  <c r="Q110" i="5" l="1"/>
  <c r="N119" i="5"/>
  <c r="I17" i="3" s="1"/>
  <c r="Q106" i="5"/>
  <c r="O97" i="5"/>
  <c r="Q102" i="5"/>
  <c r="P102" i="5"/>
  <c r="Q93" i="5"/>
  <c r="P95" i="5"/>
  <c r="P96" i="5" s="1"/>
  <c r="O117" i="5" s="1"/>
  <c r="Q111" i="4"/>
  <c r="P111" i="4"/>
  <c r="Q75" i="4"/>
  <c r="O106" i="4"/>
  <c r="P104" i="4"/>
  <c r="P105" i="4" s="1"/>
  <c r="O126" i="4" s="1"/>
  <c r="Q102" i="4"/>
  <c r="N128" i="4"/>
  <c r="I10" i="3" s="1"/>
  <c r="Q44" i="1"/>
  <c r="Q39" i="1"/>
  <c r="Q45" i="1"/>
  <c r="Q42" i="1"/>
  <c r="N73" i="1"/>
  <c r="O53" i="1"/>
  <c r="O94" i="1" s="1"/>
  <c r="N112" i="1"/>
  <c r="Q70" i="1"/>
  <c r="O108" i="1"/>
  <c r="O71" i="1"/>
  <c r="O18" i="1"/>
  <c r="O56" i="1" s="1"/>
  <c r="Q10" i="1"/>
  <c r="P72" i="1"/>
  <c r="P69" i="1"/>
  <c r="O104" i="1" s="1"/>
  <c r="P52" i="1"/>
  <c r="E4" i="2"/>
  <c r="F4" i="2" s="1"/>
  <c r="B5" i="2" s="1"/>
  <c r="O119" i="5" l="1"/>
  <c r="J17" i="3" s="1"/>
  <c r="O128" i="4"/>
  <c r="J10" i="3" s="1"/>
  <c r="P106" i="4"/>
  <c r="Q95" i="5"/>
  <c r="Q96" i="5" s="1"/>
  <c r="P97" i="5"/>
  <c r="Q104" i="4"/>
  <c r="Q105" i="4" s="1"/>
  <c r="Q41" i="1"/>
  <c r="Q40" i="1"/>
  <c r="Q43" i="1"/>
  <c r="O73" i="1"/>
  <c r="Q108" i="1"/>
  <c r="P108" i="1"/>
  <c r="P53" i="1"/>
  <c r="P94" i="1" s="1"/>
  <c r="O112" i="1"/>
  <c r="P18" i="1"/>
  <c r="P56" i="1" s="1"/>
  <c r="Q69" i="1"/>
  <c r="Q52" i="1"/>
  <c r="Q72" i="1"/>
  <c r="P71" i="1"/>
  <c r="D5" i="2"/>
  <c r="Q109" i="1" l="1"/>
  <c r="P117" i="5"/>
  <c r="P119" i="5" s="1"/>
  <c r="K17" i="3" s="1"/>
  <c r="Q117" i="5"/>
  <c r="Q97" i="5"/>
  <c r="Q126" i="4"/>
  <c r="P126" i="4"/>
  <c r="P128" i="4" s="1"/>
  <c r="K10" i="3" s="1"/>
  <c r="Q106" i="4"/>
  <c r="P73" i="1"/>
  <c r="P112" i="1"/>
  <c r="Q112" i="1"/>
  <c r="Q104" i="1"/>
  <c r="P104" i="1"/>
  <c r="Q53" i="1"/>
  <c r="Q71" i="1"/>
  <c r="Q18" i="1"/>
  <c r="E5" i="2"/>
  <c r="F5" i="2" s="1"/>
  <c r="B6" i="2" s="1"/>
  <c r="S111" i="1" l="1"/>
  <c r="V111" i="1" s="1"/>
  <c r="Q105" i="1"/>
  <c r="S106" i="1"/>
  <c r="Q113" i="1"/>
  <c r="S115" i="1"/>
  <c r="Q114" i="1" s="1"/>
  <c r="Q119" i="5"/>
  <c r="Q128" i="4"/>
  <c r="Q73" i="1"/>
  <c r="Q56" i="1"/>
  <c r="Q94" i="1"/>
  <c r="D6" i="2"/>
  <c r="G120" i="5" l="1"/>
  <c r="L17" i="3"/>
  <c r="G129" i="4"/>
  <c r="L10" i="3"/>
  <c r="S107" i="1"/>
  <c r="Q110" i="1"/>
  <c r="E6" i="2"/>
  <c r="F6" i="2" s="1"/>
  <c r="B7" i="2" s="1"/>
  <c r="Q106" i="1" l="1"/>
  <c r="V107" i="1"/>
  <c r="D7" i="2"/>
  <c r="E7" i="2" s="1"/>
  <c r="F7" i="2" s="1"/>
  <c r="B8" i="2" s="1"/>
  <c r="D8" i="2" l="1"/>
  <c r="E8" i="2" s="1"/>
  <c r="F8" i="2" s="1"/>
  <c r="B9" i="2" s="1"/>
  <c r="D9" i="2" l="1"/>
  <c r="E9" i="2" s="1"/>
  <c r="F9" i="2" s="1"/>
  <c r="B10" i="2" s="1"/>
  <c r="D10" i="2" l="1"/>
  <c r="E10" i="2" s="1"/>
  <c r="F10" i="2" s="1"/>
  <c r="B11" i="2" s="1"/>
  <c r="D11" i="2" l="1"/>
  <c r="E11" i="2" s="1"/>
  <c r="F11" i="2" s="1"/>
  <c r="B12" i="2" s="1"/>
  <c r="D12" i="2" l="1"/>
  <c r="E12" i="2" s="1"/>
  <c r="F12" i="2" s="1"/>
  <c r="B13" i="2" s="1"/>
  <c r="D13" i="2" l="1"/>
  <c r="E13" i="2" s="1"/>
  <c r="F13" i="2" s="1"/>
  <c r="B14" i="2" s="1"/>
  <c r="D14" i="2" l="1"/>
  <c r="E14" i="2" l="1"/>
  <c r="F14" i="2" s="1"/>
  <c r="D15" i="2"/>
  <c r="E81" i="5" l="1"/>
  <c r="E90" i="4"/>
  <c r="E55" i="1"/>
  <c r="E58" i="1" s="1"/>
  <c r="E59" i="1" s="1"/>
  <c r="E79" i="1" s="1"/>
  <c r="E55" i="4"/>
  <c r="E58" i="4" s="1"/>
  <c r="E55" i="5"/>
  <c r="E58" i="5" s="1"/>
  <c r="E81" i="1"/>
  <c r="B17" i="2"/>
  <c r="E59" i="5" l="1"/>
  <c r="E79" i="5" s="1"/>
  <c r="E59" i="4"/>
  <c r="E79" i="4" s="1"/>
  <c r="E60" i="4"/>
  <c r="E60" i="1"/>
  <c r="E85" i="1" s="1"/>
  <c r="E87" i="1" s="1"/>
  <c r="E89" i="1" s="1"/>
  <c r="D17" i="2"/>
  <c r="E94" i="4" l="1"/>
  <c r="E96" i="4" s="1"/>
  <c r="E98" i="4" s="1"/>
  <c r="E60" i="5"/>
  <c r="E85" i="5" s="1"/>
  <c r="E87" i="5" s="1"/>
  <c r="E89" i="5" s="1"/>
  <c r="E17" i="2"/>
  <c r="F17" i="2" s="1"/>
  <c r="B18" i="2" s="1"/>
  <c r="D18" i="2" l="1"/>
  <c r="E18" i="2" l="1"/>
  <c r="F18" i="2" s="1"/>
  <c r="B19" i="2" s="1"/>
  <c r="D19" i="2" l="1"/>
  <c r="E19" i="2" l="1"/>
  <c r="F19" i="2" s="1"/>
  <c r="B20" i="2" s="1"/>
  <c r="D20" i="2" l="1"/>
  <c r="E20" i="2" l="1"/>
  <c r="F20" i="2" s="1"/>
  <c r="B21" i="2" s="1"/>
  <c r="D21" i="2" l="1"/>
  <c r="E21" i="2" l="1"/>
  <c r="F21" i="2" s="1"/>
  <c r="B22" i="2" s="1"/>
  <c r="D22" i="2" l="1"/>
  <c r="E22" i="2" s="1"/>
  <c r="F22" i="2" s="1"/>
  <c r="B23" i="2" s="1"/>
  <c r="D23" i="2" l="1"/>
  <c r="E23" i="2" s="1"/>
  <c r="F23" i="2" s="1"/>
  <c r="B24" i="2" s="1"/>
  <c r="D24" i="2" l="1"/>
  <c r="E24" i="2" s="1"/>
  <c r="F24" i="2" s="1"/>
  <c r="B25" i="2" s="1"/>
  <c r="D25" i="2" l="1"/>
  <c r="E25" i="2" s="1"/>
  <c r="F25" i="2" s="1"/>
  <c r="B26" i="2" s="1"/>
  <c r="D26" i="2" l="1"/>
  <c r="E26" i="2" s="1"/>
  <c r="F26" i="2" s="1"/>
  <c r="B27" i="2" s="1"/>
  <c r="D27" i="2" l="1"/>
  <c r="E27" i="2" s="1"/>
  <c r="F27" i="2" s="1"/>
  <c r="B28" i="2" s="1"/>
  <c r="D28" i="2" l="1"/>
  <c r="E28" i="2" l="1"/>
  <c r="F28" i="2" s="1"/>
  <c r="D29" i="2"/>
  <c r="H81" i="5" l="1"/>
  <c r="H90" i="4"/>
  <c r="H55" i="1"/>
  <c r="H55" i="4"/>
  <c r="H55" i="5"/>
  <c r="B31" i="2"/>
  <c r="D31" i="2" s="1"/>
  <c r="H81" i="1"/>
  <c r="H58" i="5" l="1"/>
  <c r="H139" i="4"/>
  <c r="H58" i="4"/>
  <c r="G137" i="4"/>
  <c r="G140" i="4" s="1"/>
  <c r="E31" i="2"/>
  <c r="F31" i="2" s="1"/>
  <c r="B32" i="2" s="1"/>
  <c r="H59" i="4" l="1"/>
  <c r="H79" i="4" s="1"/>
  <c r="H60" i="4"/>
  <c r="H94" i="4" s="1"/>
  <c r="H59" i="5"/>
  <c r="H79" i="5" s="1"/>
  <c r="D32" i="2"/>
  <c r="H60" i="5" l="1"/>
  <c r="H85" i="5" s="1"/>
  <c r="H87" i="5"/>
  <c r="H89" i="5" s="1"/>
  <c r="H96" i="4"/>
  <c r="H98" i="4" s="1"/>
  <c r="E32" i="2"/>
  <c r="F32" i="2" s="1"/>
  <c r="B33" i="2" s="1"/>
  <c r="D33" i="2" l="1"/>
  <c r="E33" i="2" l="1"/>
  <c r="F33" i="2" s="1"/>
  <c r="B34" i="2" s="1"/>
  <c r="D34" i="2" l="1"/>
  <c r="E34" i="2" l="1"/>
  <c r="F34" i="2" s="1"/>
  <c r="B35" i="2" s="1"/>
  <c r="D35" i="2" l="1"/>
  <c r="E35" i="2" l="1"/>
  <c r="F35" i="2" s="1"/>
  <c r="B36" i="2" s="1"/>
  <c r="D36" i="2" l="1"/>
  <c r="E36" i="2" s="1"/>
  <c r="F36" i="2" s="1"/>
  <c r="B37" i="2" s="1"/>
  <c r="D37" i="2" l="1"/>
  <c r="E37" i="2" s="1"/>
  <c r="F37" i="2" s="1"/>
  <c r="B38" i="2" s="1"/>
  <c r="D38" i="2" l="1"/>
  <c r="E38" i="2" s="1"/>
  <c r="F38" i="2" s="1"/>
  <c r="B39" i="2" s="1"/>
  <c r="D39" i="2" l="1"/>
  <c r="E39" i="2" s="1"/>
  <c r="F39" i="2" s="1"/>
  <c r="B40" i="2" s="1"/>
  <c r="D40" i="2" l="1"/>
  <c r="E40" i="2" s="1"/>
  <c r="F40" i="2" s="1"/>
  <c r="B41" i="2" s="1"/>
  <c r="D41" i="2" l="1"/>
  <c r="E41" i="2" s="1"/>
  <c r="F41" i="2" s="1"/>
  <c r="B42" i="2" s="1"/>
  <c r="D42" i="2" l="1"/>
  <c r="E42" i="2" l="1"/>
  <c r="F42" i="2" s="1"/>
  <c r="D43" i="2"/>
  <c r="I81" i="5" l="1"/>
  <c r="I90" i="4"/>
  <c r="I55" i="1"/>
  <c r="I55" i="5"/>
  <c r="I55" i="4"/>
  <c r="B45" i="2"/>
  <c r="D45" i="2" s="1"/>
  <c r="I81" i="1"/>
  <c r="I139" i="4" l="1"/>
  <c r="I58" i="4"/>
  <c r="I58" i="5"/>
  <c r="H137" i="4"/>
  <c r="H140" i="4" s="1"/>
  <c r="E45" i="2"/>
  <c r="F45" i="2" s="1"/>
  <c r="B46" i="2" s="1"/>
  <c r="I59" i="5" l="1"/>
  <c r="I79" i="5" s="1"/>
  <c r="I59" i="4"/>
  <c r="I79" i="4" s="1"/>
  <c r="I60" i="4"/>
  <c r="I94" i="4" s="1"/>
  <c r="D46" i="2"/>
  <c r="I60" i="5" l="1"/>
  <c r="I85" i="5" s="1"/>
  <c r="I96" i="4"/>
  <c r="I98" i="4" s="1"/>
  <c r="E46" i="2"/>
  <c r="F46" i="2" s="1"/>
  <c r="B47" i="2" s="1"/>
  <c r="I87" i="5" l="1"/>
  <c r="I89" i="5" s="1"/>
  <c r="D47" i="2"/>
  <c r="E47" i="2" l="1"/>
  <c r="F47" i="2" s="1"/>
  <c r="B48" i="2" s="1"/>
  <c r="D48" i="2" l="1"/>
  <c r="E48" i="2" l="1"/>
  <c r="F48" i="2" s="1"/>
  <c r="B49" i="2" s="1"/>
  <c r="D49" i="2" l="1"/>
  <c r="E49" i="2" l="1"/>
  <c r="F49" i="2" s="1"/>
  <c r="B50" i="2" s="1"/>
  <c r="D50" i="2" l="1"/>
  <c r="E50" i="2" s="1"/>
  <c r="F50" i="2" s="1"/>
  <c r="B51" i="2" s="1"/>
  <c r="D51" i="2" l="1"/>
  <c r="E51" i="2" s="1"/>
  <c r="F51" i="2" s="1"/>
  <c r="B52" i="2" s="1"/>
  <c r="D52" i="2" l="1"/>
  <c r="E52" i="2" s="1"/>
  <c r="F52" i="2" s="1"/>
  <c r="B53" i="2" s="1"/>
  <c r="D53" i="2" l="1"/>
  <c r="E53" i="2" s="1"/>
  <c r="F53" i="2" s="1"/>
  <c r="B54" i="2" s="1"/>
  <c r="D54" i="2" l="1"/>
  <c r="E54" i="2" s="1"/>
  <c r="F54" i="2" s="1"/>
  <c r="B55" i="2" s="1"/>
  <c r="D55" i="2" l="1"/>
  <c r="E55" i="2" s="1"/>
  <c r="F55" i="2" s="1"/>
  <c r="B56" i="2" s="1"/>
  <c r="D56" i="2" l="1"/>
  <c r="E56" i="2" l="1"/>
  <c r="F56" i="2" s="1"/>
  <c r="D57" i="2"/>
  <c r="J81" i="1" l="1"/>
  <c r="J81" i="5"/>
  <c r="J90" i="4"/>
  <c r="J55" i="1"/>
  <c r="K55" i="1" s="1"/>
  <c r="J55" i="5"/>
  <c r="J55" i="4"/>
  <c r="K55" i="5" l="1"/>
  <c r="J58" i="5"/>
  <c r="K81" i="1"/>
  <c r="L81" i="1" s="1"/>
  <c r="K90" i="4"/>
  <c r="I137" i="4"/>
  <c r="I140" i="4" s="1"/>
  <c r="J139" i="4"/>
  <c r="K55" i="4"/>
  <c r="J58" i="4"/>
  <c r="K81" i="5"/>
  <c r="L55" i="1"/>
  <c r="H66" i="1"/>
  <c r="G101" i="1" s="1"/>
  <c r="H36" i="1"/>
  <c r="H67" i="1" s="1"/>
  <c r="L81" i="5" l="1"/>
  <c r="J59" i="4"/>
  <c r="J79" i="4" s="1"/>
  <c r="J59" i="5"/>
  <c r="J79" i="5" s="1"/>
  <c r="L55" i="4"/>
  <c r="K139" i="4"/>
  <c r="K58" i="4"/>
  <c r="L90" i="4"/>
  <c r="J137" i="4"/>
  <c r="J140" i="4" s="1"/>
  <c r="L55" i="5"/>
  <c r="K58" i="5"/>
  <c r="M55" i="1"/>
  <c r="M81" i="1"/>
  <c r="H47" i="1"/>
  <c r="H49" i="1" s="1"/>
  <c r="J60" i="5" l="1"/>
  <c r="J85" i="5" s="1"/>
  <c r="J60" i="4"/>
  <c r="J94" i="4" s="1"/>
  <c r="M55" i="5"/>
  <c r="L58" i="5"/>
  <c r="J87" i="5"/>
  <c r="J89" i="5" s="1"/>
  <c r="M81" i="5"/>
  <c r="M55" i="4"/>
  <c r="L139" i="4"/>
  <c r="L58" i="4"/>
  <c r="K59" i="5"/>
  <c r="K79" i="5" s="1"/>
  <c r="K137" i="4"/>
  <c r="K140" i="4" s="1"/>
  <c r="M90" i="4"/>
  <c r="J96" i="4"/>
  <c r="J98" i="4" s="1"/>
  <c r="K59" i="4"/>
  <c r="K79" i="4" s="1"/>
  <c r="N55" i="1"/>
  <c r="N81" i="1"/>
  <c r="H58" i="1"/>
  <c r="H59" i="1" s="1"/>
  <c r="H93" i="1"/>
  <c r="H75" i="1"/>
  <c r="G102" i="1"/>
  <c r="K60" i="4" l="1"/>
  <c r="K94" i="4" s="1"/>
  <c r="K96" i="4" s="1"/>
  <c r="K98" i="4" s="1"/>
  <c r="L59" i="5"/>
  <c r="L79" i="5" s="1"/>
  <c r="L137" i="4"/>
  <c r="L140" i="4" s="1"/>
  <c r="N90" i="4"/>
  <c r="N81" i="5"/>
  <c r="K60" i="5"/>
  <c r="K85" i="5" s="1"/>
  <c r="K87" i="5" s="1"/>
  <c r="K89" i="5" s="1"/>
  <c r="N55" i="4"/>
  <c r="M139" i="4"/>
  <c r="M58" i="4"/>
  <c r="L59" i="4"/>
  <c r="L79" i="4" s="1"/>
  <c r="L60" i="4"/>
  <c r="L94" i="4" s="1"/>
  <c r="N55" i="5"/>
  <c r="M58" i="5"/>
  <c r="O55" i="1"/>
  <c r="O81" i="1"/>
  <c r="H95" i="1"/>
  <c r="H96" i="1" s="1"/>
  <c r="G117" i="1" s="1"/>
  <c r="G119" i="1" s="1"/>
  <c r="B3" i="3" s="1"/>
  <c r="H79" i="1"/>
  <c r="L60" i="5" l="1"/>
  <c r="L85" i="5" s="1"/>
  <c r="L87" i="5" s="1"/>
  <c r="L89" i="5" s="1"/>
  <c r="L96" i="4"/>
  <c r="L98" i="4" s="1"/>
  <c r="N139" i="4"/>
  <c r="O55" i="4"/>
  <c r="N58" i="4"/>
  <c r="O90" i="4"/>
  <c r="M137" i="4"/>
  <c r="M140" i="4" s="1"/>
  <c r="M59" i="5"/>
  <c r="M79" i="5" s="1"/>
  <c r="O55" i="5"/>
  <c r="N58" i="5"/>
  <c r="M59" i="4"/>
  <c r="M79" i="4" s="1"/>
  <c r="O81" i="5"/>
  <c r="P55" i="1"/>
  <c r="P81" i="1"/>
  <c r="Q81" i="1" s="1"/>
  <c r="S75" i="1" s="1"/>
  <c r="H97" i="1"/>
  <c r="H60" i="1"/>
  <c r="H85" i="1" s="1"/>
  <c r="M60" i="5" l="1"/>
  <c r="M85" i="5" s="1"/>
  <c r="M87" i="5" s="1"/>
  <c r="M89" i="5" s="1"/>
  <c r="P81" i="5"/>
  <c r="P90" i="4"/>
  <c r="N137" i="4"/>
  <c r="N140" i="4" s="1"/>
  <c r="P55" i="5"/>
  <c r="O58" i="5"/>
  <c r="N59" i="4"/>
  <c r="N79" i="4" s="1"/>
  <c r="N60" i="4"/>
  <c r="M60" i="4"/>
  <c r="M94" i="4" s="1"/>
  <c r="O139" i="4"/>
  <c r="P55" i="4"/>
  <c r="O58" i="4"/>
  <c r="N59" i="5"/>
  <c r="N79" i="5" s="1"/>
  <c r="Q55" i="1"/>
  <c r="H87" i="1"/>
  <c r="H89" i="1" s="1"/>
  <c r="I78" i="1"/>
  <c r="Q66" i="1"/>
  <c r="K78" i="1"/>
  <c r="O36" i="1"/>
  <c r="O67" i="1" s="1"/>
  <c r="O78" i="1"/>
  <c r="N78" i="1"/>
  <c r="N66" i="1"/>
  <c r="L78" i="1"/>
  <c r="J66" i="1"/>
  <c r="P66" i="1"/>
  <c r="Q78" i="1"/>
  <c r="M78" i="1"/>
  <c r="M66" i="1"/>
  <c r="I66" i="1"/>
  <c r="H101" i="1" s="1"/>
  <c r="K36" i="1"/>
  <c r="K66" i="1"/>
  <c r="M36" i="1"/>
  <c r="M67" i="1" s="1"/>
  <c r="J36" i="1"/>
  <c r="J67" i="1" s="1"/>
  <c r="J78" i="1"/>
  <c r="N36" i="1"/>
  <c r="N67" i="1" s="1"/>
  <c r="P78" i="1"/>
  <c r="I67" i="1"/>
  <c r="Q36" i="1"/>
  <c r="Q67" i="1" s="1"/>
  <c r="O66" i="1"/>
  <c r="L36" i="1"/>
  <c r="L66" i="1"/>
  <c r="K101" i="1" l="1"/>
  <c r="N60" i="5"/>
  <c r="N85" i="5" s="1"/>
  <c r="N87" i="5" s="1"/>
  <c r="N89" i="5" s="1"/>
  <c r="O59" i="4"/>
  <c r="O79" i="4" s="1"/>
  <c r="O60" i="4"/>
  <c r="Q55" i="5"/>
  <c r="P58" i="5"/>
  <c r="N94" i="4"/>
  <c r="Q81" i="5"/>
  <c r="S75" i="5" s="1"/>
  <c r="Q55" i="4"/>
  <c r="P139" i="4"/>
  <c r="P58" i="4"/>
  <c r="O59" i="5"/>
  <c r="O79" i="5" s="1"/>
  <c r="O137" i="4"/>
  <c r="O140" i="4" s="1"/>
  <c r="Q90" i="4"/>
  <c r="M96" i="4"/>
  <c r="M98" i="4" s="1"/>
  <c r="K67" i="1"/>
  <c r="K75" i="1" s="1"/>
  <c r="L67" i="1"/>
  <c r="L102" i="1" s="1"/>
  <c r="P116" i="1"/>
  <c r="Q116" i="1"/>
  <c r="Q101" i="1"/>
  <c r="N101" i="1"/>
  <c r="P101" i="1"/>
  <c r="M47" i="1"/>
  <c r="M49" i="1" s="1"/>
  <c r="O116" i="1"/>
  <c r="L116" i="1"/>
  <c r="M116" i="1"/>
  <c r="K116" i="1"/>
  <c r="N116" i="1"/>
  <c r="M102" i="1"/>
  <c r="Q47" i="1"/>
  <c r="Q49" i="1" s="1"/>
  <c r="N47" i="1"/>
  <c r="N49" i="1" s="1"/>
  <c r="I47" i="1"/>
  <c r="I49" i="1" s="1"/>
  <c r="I93" i="1" s="1"/>
  <c r="J47" i="1"/>
  <c r="J49" i="1" s="1"/>
  <c r="J93" i="1" s="1"/>
  <c r="P47" i="1"/>
  <c r="K47" i="1"/>
  <c r="K49" i="1" s="1"/>
  <c r="L101" i="1"/>
  <c r="O101" i="1"/>
  <c r="M101" i="1"/>
  <c r="M75" i="1"/>
  <c r="I101" i="1"/>
  <c r="J101" i="1"/>
  <c r="N75" i="1"/>
  <c r="O47" i="1"/>
  <c r="O49" i="1" s="1"/>
  <c r="L47" i="1"/>
  <c r="L49" i="1" s="1"/>
  <c r="I116" i="1"/>
  <c r="H116" i="1"/>
  <c r="J75" i="1"/>
  <c r="J116" i="1"/>
  <c r="P36" i="1"/>
  <c r="P67" i="1" s="1"/>
  <c r="I102" i="1"/>
  <c r="T90" i="4" l="1"/>
  <c r="U82" i="4"/>
  <c r="U84" i="4" s="1"/>
  <c r="W68" i="4"/>
  <c r="O60" i="5"/>
  <c r="O85" i="5" s="1"/>
  <c r="O87" i="5" s="1"/>
  <c r="O89" i="5" s="1"/>
  <c r="N96" i="4"/>
  <c r="N98" i="4" s="1"/>
  <c r="O94" i="4"/>
  <c r="O96" i="4" s="1"/>
  <c r="O98" i="4" s="1"/>
  <c r="Q139" i="4"/>
  <c r="Q58" i="4"/>
  <c r="P59" i="5"/>
  <c r="P79" i="5" s="1"/>
  <c r="Q58" i="5"/>
  <c r="P137" i="4"/>
  <c r="P140" i="4" s="1"/>
  <c r="P59" i="4"/>
  <c r="P79" i="4" s="1"/>
  <c r="J102" i="1"/>
  <c r="K102" i="1"/>
  <c r="L75" i="1"/>
  <c r="Q102" i="1"/>
  <c r="I58" i="1"/>
  <c r="I59" i="1" s="1"/>
  <c r="J58" i="1"/>
  <c r="K58" i="1"/>
  <c r="K93" i="1"/>
  <c r="N58" i="1"/>
  <c r="N93" i="1"/>
  <c r="Q75" i="1"/>
  <c r="L58" i="1"/>
  <c r="L93" i="1"/>
  <c r="M58" i="1"/>
  <c r="M59" i="1" s="1"/>
  <c r="M93" i="1"/>
  <c r="O75" i="1"/>
  <c r="N102" i="1"/>
  <c r="O58" i="1"/>
  <c r="O93" i="1"/>
  <c r="Q58" i="1"/>
  <c r="Q93" i="1"/>
  <c r="P49" i="1"/>
  <c r="H102" i="1"/>
  <c r="I75" i="1"/>
  <c r="I95" i="1"/>
  <c r="I96" i="1" s="1"/>
  <c r="H117" i="1" s="1"/>
  <c r="J95" i="1"/>
  <c r="J96" i="1" s="1"/>
  <c r="J97" i="1" s="1"/>
  <c r="P60" i="5" l="1"/>
  <c r="P85" i="5" s="1"/>
  <c r="P87" i="5" s="1"/>
  <c r="P89" i="5" s="1"/>
  <c r="Y90" i="4"/>
  <c r="U90" i="4"/>
  <c r="Q59" i="5"/>
  <c r="Q79" i="5" s="1"/>
  <c r="O59" i="1"/>
  <c r="O60" i="1" s="1"/>
  <c r="Q59" i="1"/>
  <c r="Q79" i="1" s="1"/>
  <c r="P60" i="4"/>
  <c r="P94" i="4" s="1"/>
  <c r="Q59" i="4"/>
  <c r="Q79" i="4" s="1"/>
  <c r="N59" i="1"/>
  <c r="N79" i="1" s="1"/>
  <c r="L59" i="1"/>
  <c r="L79" i="1" s="1"/>
  <c r="K59" i="1"/>
  <c r="K79" i="1" s="1"/>
  <c r="J59" i="1"/>
  <c r="J79" i="1" s="1"/>
  <c r="I79" i="1"/>
  <c r="H119" i="1"/>
  <c r="C3" i="3" s="1"/>
  <c r="P58" i="1"/>
  <c r="P93" i="1"/>
  <c r="Q95" i="1"/>
  <c r="Q96" i="1" s="1"/>
  <c r="L95" i="1"/>
  <c r="L96" i="1" s="1"/>
  <c r="N95" i="1"/>
  <c r="N96" i="1" s="1"/>
  <c r="P75" i="1"/>
  <c r="O102" i="1"/>
  <c r="O95" i="1"/>
  <c r="O96" i="1" s="1"/>
  <c r="M95" i="1"/>
  <c r="M96" i="1" s="1"/>
  <c r="P102" i="1"/>
  <c r="K95" i="1"/>
  <c r="K96" i="1" s="1"/>
  <c r="K97" i="1" s="1"/>
  <c r="M79" i="1"/>
  <c r="I117" i="1"/>
  <c r="I97" i="1"/>
  <c r="J60" i="1"/>
  <c r="U92" i="4" l="1"/>
  <c r="V91" i="4" s="1"/>
  <c r="W91" i="4" s="1"/>
  <c r="X91" i="4" s="1"/>
  <c r="Y91" i="4" s="1"/>
  <c r="Q60" i="1"/>
  <c r="O79" i="1"/>
  <c r="P59" i="1"/>
  <c r="P79" i="1" s="1"/>
  <c r="Q60" i="4"/>
  <c r="Q94" i="4" s="1"/>
  <c r="W72" i="4" s="1"/>
  <c r="Q60" i="5"/>
  <c r="Q85" i="5" s="1"/>
  <c r="S79" i="5" s="1"/>
  <c r="R91" i="4"/>
  <c r="P96" i="4"/>
  <c r="P98" i="4" s="1"/>
  <c r="N60" i="1"/>
  <c r="L60" i="1"/>
  <c r="K60" i="1"/>
  <c r="I60" i="1"/>
  <c r="I85" i="1" s="1"/>
  <c r="Q97" i="1"/>
  <c r="Q117" i="1"/>
  <c r="J117" i="1"/>
  <c r="J119" i="1" s="1"/>
  <c r="E3" i="3" s="1"/>
  <c r="M60" i="1"/>
  <c r="L117" i="1"/>
  <c r="M97" i="1"/>
  <c r="N97" i="1"/>
  <c r="M117" i="1"/>
  <c r="O97" i="1"/>
  <c r="N117" i="1"/>
  <c r="L97" i="1"/>
  <c r="K117" i="1"/>
  <c r="K119" i="1" s="1"/>
  <c r="F3" i="3" s="1"/>
  <c r="I119" i="1"/>
  <c r="D3" i="3" s="1"/>
  <c r="P95" i="1"/>
  <c r="P96" i="1" s="1"/>
  <c r="P117" i="1" s="1"/>
  <c r="P60" i="1"/>
  <c r="S80" i="5" l="1"/>
  <c r="X71" i="4"/>
  <c r="W73" i="4"/>
  <c r="V90" i="4"/>
  <c r="W90" i="4" s="1"/>
  <c r="X90" i="4" s="1"/>
  <c r="Q87" i="5"/>
  <c r="Q89" i="5" s="1"/>
  <c r="Q96" i="4"/>
  <c r="Q98" i="4" s="1"/>
  <c r="Q138" i="4"/>
  <c r="Q140" i="4" s="1"/>
  <c r="G141" i="4" s="1"/>
  <c r="G143" i="4" s="1"/>
  <c r="Q147" i="4"/>
  <c r="Q149" i="4" s="1"/>
  <c r="Q119" i="1"/>
  <c r="L3" i="3" s="1"/>
  <c r="L119" i="1"/>
  <c r="G3" i="3" s="1"/>
  <c r="N119" i="1"/>
  <c r="I3" i="3" s="1"/>
  <c r="I87" i="1"/>
  <c r="I89" i="1" s="1"/>
  <c r="J85" i="1"/>
  <c r="K85" i="1" s="1"/>
  <c r="L85" i="1" s="1"/>
  <c r="P97" i="1"/>
  <c r="P119" i="1" s="1"/>
  <c r="K3" i="3" s="1"/>
  <c r="O117" i="1"/>
  <c r="O119" i="1" s="1"/>
  <c r="J3" i="3" s="1"/>
  <c r="M119" i="1"/>
  <c r="H3" i="3" s="1"/>
  <c r="X57" i="4" l="1"/>
  <c r="AA71" i="4"/>
  <c r="X69" i="4"/>
  <c r="AA69" i="4" s="1"/>
  <c r="X68" i="4"/>
  <c r="T76" i="5"/>
  <c r="W76" i="5" s="1"/>
  <c r="T75" i="5"/>
  <c r="T78" i="5"/>
  <c r="G150" i="4"/>
  <c r="G152" i="4" s="1"/>
  <c r="G120" i="1"/>
  <c r="K87" i="1"/>
  <c r="K89" i="1" s="1"/>
  <c r="J87" i="1"/>
  <c r="J89" i="1" s="1"/>
  <c r="M85" i="1"/>
  <c r="L87" i="1"/>
  <c r="L89" i="1" s="1"/>
  <c r="W78" i="5" l="1"/>
  <c r="T64" i="5"/>
  <c r="AA68" i="4"/>
  <c r="AA73" i="4" s="1"/>
  <c r="X73" i="4"/>
  <c r="X56" i="4"/>
  <c r="Y57" i="4" s="1"/>
  <c r="W75" i="5"/>
  <c r="W80" i="5" s="1"/>
  <c r="T80" i="5"/>
  <c r="T63" i="5"/>
  <c r="U64" i="5" s="1"/>
  <c r="N85" i="1"/>
  <c r="M87" i="1"/>
  <c r="M89" i="1" s="1"/>
  <c r="G123" i="5" l="1"/>
  <c r="B18" i="3"/>
  <c r="B19" i="3" s="1"/>
  <c r="G132" i="4"/>
  <c r="B11" i="3"/>
  <c r="B12" i="3" s="1"/>
  <c r="O85" i="1"/>
  <c r="N87" i="1"/>
  <c r="N89" i="1" s="1"/>
  <c r="P85" i="1" l="1"/>
  <c r="O87" i="1"/>
  <c r="O89" i="1" s="1"/>
  <c r="Q85" i="1" l="1"/>
  <c r="S79" i="1" s="1"/>
  <c r="P87" i="1"/>
  <c r="P89" i="1" s="1"/>
  <c r="S80" i="1" l="1"/>
  <c r="Q87" i="1"/>
  <c r="Q89" i="1" s="1"/>
  <c r="T76" i="1" l="1"/>
  <c r="W76" i="1" s="1"/>
  <c r="T75" i="1"/>
  <c r="T78" i="1"/>
  <c r="T63" i="1" l="1"/>
  <c r="W75" i="1"/>
  <c r="T80" i="1"/>
  <c r="T64" i="1"/>
  <c r="W78" i="1"/>
  <c r="G123" i="1"/>
  <c r="B4" i="3"/>
  <c r="B5" i="3" s="1"/>
  <c r="B22" i="3" s="1"/>
  <c r="W80" i="1" l="1"/>
  <c r="U64" i="1"/>
</calcChain>
</file>

<file path=xl/sharedStrings.xml><?xml version="1.0" encoding="utf-8"?>
<sst xmlns="http://schemas.openxmlformats.org/spreadsheetml/2006/main" count="534" uniqueCount="160">
  <si>
    <t>Actual 2013</t>
  </si>
  <si>
    <t>Forecast 2014</t>
  </si>
  <si>
    <t>Forecast 2015</t>
  </si>
  <si>
    <t>Forecast 2016</t>
  </si>
  <si>
    <t>Outside Assumptions</t>
  </si>
  <si>
    <t>Accounts Receivable Days (Credit Card Delay)</t>
  </si>
  <si>
    <t>Accounts Payable Days (COGS)</t>
  </si>
  <si>
    <t>Inventory Days</t>
  </si>
  <si>
    <t>Markup of Sales (Sales Rev/COGS)</t>
  </si>
  <si>
    <t>Mortgage Loan Years</t>
  </si>
  <si>
    <t>Mortgage Interest Rate</t>
  </si>
  <si>
    <t>Extra Bank Loan Interest Rate</t>
  </si>
  <si>
    <t>Income Tax Rate</t>
  </si>
  <si>
    <t>Maximum Loan percent of Assets</t>
  </si>
  <si>
    <t>Depreciation Years – Land Improvement</t>
  </si>
  <si>
    <t>Depreciation Years – Buildings</t>
  </si>
  <si>
    <t>Income Statement</t>
  </si>
  <si>
    <t>Cost of Goods Sold</t>
  </si>
  <si>
    <t>Gross Profit</t>
  </si>
  <si>
    <t>Operating Expenses</t>
  </si>
  <si>
    <t>General Admin (Dues, Legal, Lic)</t>
  </si>
  <si>
    <t>Labor</t>
  </si>
  <si>
    <t>Utilities</t>
  </si>
  <si>
    <t>Repairs and Maintenance</t>
  </si>
  <si>
    <t>Insurance</t>
  </si>
  <si>
    <t>Total</t>
  </si>
  <si>
    <t>Operating Profit</t>
  </si>
  <si>
    <t>Depreciation Expense</t>
  </si>
  <si>
    <t>Land Improvement</t>
  </si>
  <si>
    <t>Buildings</t>
  </si>
  <si>
    <t>Mortgage Interest Expense</t>
  </si>
  <si>
    <t>Extra Bank Loan Interest Expense</t>
  </si>
  <si>
    <t>Taxable Income</t>
  </si>
  <si>
    <t>Income Tax Expense</t>
  </si>
  <si>
    <t>Net Income</t>
  </si>
  <si>
    <t>Balance Sheet</t>
  </si>
  <si>
    <t>Assets</t>
  </si>
  <si>
    <t>Minimum Cash Balance</t>
  </si>
  <si>
    <t xml:space="preserve">Extra Cash </t>
  </si>
  <si>
    <t>Accounts Receivable</t>
  </si>
  <si>
    <t>Inventory</t>
  </si>
  <si>
    <t>Land</t>
  </si>
  <si>
    <t>Less: Accumulated Depreciation</t>
  </si>
  <si>
    <t>Total Assets</t>
  </si>
  <si>
    <t>Liabilities and Equity</t>
  </si>
  <si>
    <t>Accounts Payable</t>
  </si>
  <si>
    <t>Taxes Payable</t>
  </si>
  <si>
    <t>Mortgage Loan</t>
  </si>
  <si>
    <t>Extra Bank Loan</t>
  </si>
  <si>
    <t>Common Stock</t>
  </si>
  <si>
    <t>Retained Earnings</t>
  </si>
  <si>
    <t>Total Liabilities and Equity</t>
  </si>
  <si>
    <t>DFN</t>
  </si>
  <si>
    <t>FREE CASH FLOWS</t>
  </si>
  <si>
    <t>Cash from Operations</t>
  </si>
  <si>
    <t>Less: Depreciation</t>
  </si>
  <si>
    <t>Taxable Operating Profit</t>
  </si>
  <si>
    <t>Taxes on Operations (=Taxes Payable)</t>
  </si>
  <si>
    <t>Net Cash from Operations</t>
  </si>
  <si>
    <t>Cash in/out from Changes in Balance Sheet</t>
  </si>
  <si>
    <t>Adjustment for Resale</t>
  </si>
  <si>
    <t>Taxes on Resale</t>
  </si>
  <si>
    <t>Taxes Payable (=Taxes on Operations)</t>
  </si>
  <si>
    <t>TOTAL FREE CASH FLOWS</t>
  </si>
  <si>
    <t>IRR</t>
  </si>
  <si>
    <t>WACC COMPUTED FROM FORECAST</t>
  </si>
  <si>
    <t>NPV USING COMPUTED WACC</t>
  </si>
  <si>
    <t>Mortgage Amortization Schedule</t>
  </si>
  <si>
    <t>Mortgage Terms</t>
  </si>
  <si>
    <t>Prin Balance</t>
  </si>
  <si>
    <t>Payment</t>
  </si>
  <si>
    <t>Interest Pd</t>
  </si>
  <si>
    <t>Principle Pd</t>
  </si>
  <si>
    <t>Remaining Bal</t>
  </si>
  <si>
    <t>Years</t>
  </si>
  <si>
    <t>Rate</t>
  </si>
  <si>
    <t>Starting Prin</t>
  </si>
  <si>
    <t>Months</t>
  </si>
  <si>
    <t>Monthly Rate</t>
  </si>
  <si>
    <t>Growth of Gross Profit</t>
  </si>
  <si>
    <t>FORECAST FOR NEW BUYER</t>
  </si>
  <si>
    <t>ACTUAL RESULTS</t>
  </si>
  <si>
    <t>(-)</t>
  </si>
  <si>
    <t>(+)</t>
  </si>
  <si>
    <t xml:space="preserve">Book </t>
  </si>
  <si>
    <t>Sale at</t>
  </si>
  <si>
    <t>Gain</t>
  </si>
  <si>
    <t>Proportion</t>
  </si>
  <si>
    <t>Weighted</t>
  </si>
  <si>
    <t>S&amp;P 500</t>
  </si>
  <si>
    <t>WACC</t>
  </si>
  <si>
    <t>Total Proposed Purchase Price</t>
  </si>
  <si>
    <t>T-Bills rate</t>
  </si>
  <si>
    <t>S&amp;P 500 rate</t>
  </si>
  <si>
    <t>Unlevered Hotel/Gaming Beta (NYU table)</t>
  </si>
  <si>
    <t>Fortuna Movie Theatre</t>
  </si>
  <si>
    <t>Forecast 2017</t>
  </si>
  <si>
    <t>Forecast 2018</t>
  </si>
  <si>
    <t>Forecast 2019</t>
  </si>
  <si>
    <t>Forecast 2020</t>
  </si>
  <si>
    <t>Forecast 2021</t>
  </si>
  <si>
    <t>Forecast 2022</t>
  </si>
  <si>
    <t>Forecast 2023</t>
  </si>
  <si>
    <t>Movie Sales Revenue</t>
  </si>
  <si>
    <t>Food Sales Revenue</t>
  </si>
  <si>
    <t>Movie Rental Expense</t>
  </si>
  <si>
    <t>% total profit</t>
  </si>
  <si>
    <t>PROMISED AND EXPECTED DEBT RETURNS</t>
  </si>
  <si>
    <t>Mortgage Loan Free Cash Flows</t>
  </si>
  <si>
    <t>Principal</t>
  </si>
  <si>
    <t>Paid in Bankruptcy</t>
  </si>
  <si>
    <t>Interest Payments</t>
  </si>
  <si>
    <t>Total Free Cash Flows</t>
  </si>
  <si>
    <t>IRR in Bankruptcy</t>
  </si>
  <si>
    <t>IRR outside Bankruptcy</t>
  </si>
  <si>
    <t>Expected IRR</t>
  </si>
  <si>
    <t>Extra Bank Loan Free Cash Flows</t>
  </si>
  <si>
    <t>% Sale</t>
  </si>
  <si>
    <t>Secured Debt</t>
  </si>
  <si>
    <t>Unsecured Debt</t>
  </si>
  <si>
    <t>Extra</t>
  </si>
  <si>
    <t>Admin</t>
  </si>
  <si>
    <t>From Secured Sale</t>
  </si>
  <si>
    <t>Remaining</t>
  </si>
  <si>
    <t>Total Paid</t>
  </si>
  <si>
    <t>On the $</t>
  </si>
  <si>
    <t>From Unsecured Sale</t>
  </si>
  <si>
    <t>Probability</t>
  </si>
  <si>
    <t>Annual Percent Increase/decrease</t>
  </si>
  <si>
    <t>Population of Area</t>
  </si>
  <si>
    <t>Population Captured</t>
  </si>
  <si>
    <t>Tickets Cost</t>
  </si>
  <si>
    <t>Average visit Per Person Per Year</t>
  </si>
  <si>
    <t>Average $ Spent on Food</t>
  </si>
  <si>
    <t>Advertising Expense</t>
  </si>
  <si>
    <t>Growth %</t>
  </si>
  <si>
    <t>Inflation</t>
  </si>
  <si>
    <t>Good</t>
  </si>
  <si>
    <t>FCF</t>
  </si>
  <si>
    <t>NPV</t>
  </si>
  <si>
    <t>Medium</t>
  </si>
  <si>
    <t>Bad</t>
  </si>
  <si>
    <t>Chance</t>
  </si>
  <si>
    <t>Expected Value of Project</t>
  </si>
  <si>
    <t>Tax Rate</t>
  </si>
  <si>
    <t>T-Bill</t>
  </si>
  <si>
    <t>Equity Beta</t>
  </si>
  <si>
    <t>As is Debt %</t>
  </si>
  <si>
    <t>As is Equity %</t>
  </si>
  <si>
    <t>Unlevered</t>
  </si>
  <si>
    <t>New Debt%</t>
  </si>
  <si>
    <t>New Equity %</t>
  </si>
  <si>
    <t>Relevered</t>
  </si>
  <si>
    <t>CAPM as is:</t>
  </si>
  <si>
    <t>CAPM new %</t>
  </si>
  <si>
    <t xml:space="preserve">As is Average </t>
  </si>
  <si>
    <t>Prop</t>
  </si>
  <si>
    <t>After Tax</t>
  </si>
  <si>
    <t>New Prop</t>
  </si>
  <si>
    <t>New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</si>
</sst>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$-409]#,##0.00;[Red]\-[$$-409]#,##0.00"/>
    <numFmt numFmtId="165" formatCode="_(&quot;$&quot;* #,##0_);_(&quot;$&quot;* \(#,##0\);_(&quot;$&quot;* &quot;-&quot;??_);_(@_)"/>
    <numFmt numFmtId="166" formatCode="0.0%"/>
    <numFmt numFmtId="167" formatCode="[$$-409]#,##0;[Red]\-[$$-409]#,##0"/>
    <numFmt numFmtId="168" formatCode="0.000%"/>
    <numFmt numFmtId="169" formatCode="_(* #,##0.00_);_(* \(#,##0.00\);_(* \-??_);_(@_)"/>
    <numFmt numFmtId="170" formatCode="_(\$* #,##0.00_);_(\$* \(#,##0.00\);_(\$* \-??_);_(@_)"/>
    <numFmt numFmtId="171" formatCode="[$$-409]#,##0.00;[Red][$$-409]#,##0.00"/>
    <numFmt numFmtId="172" formatCode="_(\$* #,##0_);_(\$* \(#,##0\);_(\$* \-??_);_(@_)"/>
  </numFmts>
  <fonts count="9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  <charset val="1"/>
    </font>
    <font>
      <b/>
      <sz val="11"/>
      <color indexed="8"/>
      <name val="Calibri"/>
      <family val="2"/>
    </font>
    <font>
      <sz val="10"/>
      <name val="Arial"/>
      <family val="2"/>
      <charset val="1"/>
    </font>
    <font>
      <b/>
      <sz val="11"/>
      <color indexed="8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1">
    <xf numFmtId="0" fontId="0" fillId="0" borderId="0"/>
    <xf numFmtId="44" fontId="2" fillId="0" borderId="0" applyFill="0" applyBorder="0" applyAlignment="0" applyProtection="0"/>
    <xf numFmtId="9" fontId="2" fillId="0" borderId="0" applyFill="0" applyBorder="0" applyAlignment="0" applyProtection="0"/>
    <xf numFmtId="43" fontId="4" fillId="0" borderId="0" applyFont="0" applyFill="0" applyBorder="0" applyAlignment="0" applyProtection="0"/>
    <xf numFmtId="169" fontId="5" fillId="0" borderId="0"/>
    <xf numFmtId="170" fontId="5" fillId="0" borderId="0"/>
    <xf numFmtId="0" fontId="5" fillId="0" borderId="0"/>
    <xf numFmtId="9" fontId="5" fillId="0" borderId="0"/>
    <xf numFmtId="0" fontId="5" fillId="0" borderId="0"/>
    <xf numFmtId="9" fontId="7" fillId="0" borderId="0"/>
    <xf numFmtId="0" fontId="7" fillId="0" borderId="0"/>
  </cellStyleXfs>
  <cellXfs count="75">
    <xf numFmtId="0" fontId="0" fillId="0" borderId="0" xfId="0"/>
    <xf numFmtId="164" fontId="0" fillId="0" borderId="0" xfId="0" applyNumberFormat="1"/>
    <xf numFmtId="0" fontId="3" fillId="0" borderId="0" xfId="0" applyFont="1"/>
    <xf numFmtId="164" fontId="3" fillId="0" borderId="0" xfId="0" applyNumberFormat="1" applyFont="1"/>
    <xf numFmtId="0" fontId="0" fillId="0" borderId="0" xfId="0" applyNumberFormat="1"/>
    <xf numFmtId="10" fontId="0" fillId="0" borderId="0" xfId="0" applyNumberFormat="1"/>
    <xf numFmtId="0" fontId="0" fillId="0" borderId="1" xfId="0" applyBorder="1"/>
    <xf numFmtId="164" fontId="0" fillId="0" borderId="1" xfId="0" applyNumberFormat="1" applyBorder="1"/>
    <xf numFmtId="165" fontId="2" fillId="0" borderId="0" xfId="1" applyNumberFormat="1"/>
    <xf numFmtId="10" fontId="2" fillId="0" borderId="0" xfId="2" applyNumberFormat="1"/>
    <xf numFmtId="44" fontId="2" fillId="0" borderId="0" xfId="1" applyNumberFormat="1"/>
    <xf numFmtId="165" fontId="0" fillId="0" borderId="0" xfId="0" applyNumberFormat="1"/>
    <xf numFmtId="9" fontId="0" fillId="0" borderId="0" xfId="0" applyNumberFormat="1"/>
    <xf numFmtId="166" fontId="2" fillId="0" borderId="0" xfId="2" applyNumberFormat="1"/>
    <xf numFmtId="44" fontId="0" fillId="0" borderId="0" xfId="0" applyNumberFormat="1"/>
    <xf numFmtId="0" fontId="0" fillId="0" borderId="2" xfId="0" applyBorder="1"/>
    <xf numFmtId="10" fontId="0" fillId="0" borderId="0" xfId="0" applyNumberFormat="1" applyBorder="1"/>
    <xf numFmtId="0" fontId="0" fillId="0" borderId="0" xfId="0" applyBorder="1"/>
    <xf numFmtId="10" fontId="2" fillId="0" borderId="0" xfId="2" applyNumberFormat="1" applyBorder="1"/>
    <xf numFmtId="6" fontId="0" fillId="0" borderId="0" xfId="0" applyNumberFormat="1"/>
    <xf numFmtId="0" fontId="0" fillId="0" borderId="0" xfId="0" applyFont="1"/>
    <xf numFmtId="167" fontId="0" fillId="0" borderId="0" xfId="0" applyNumberFormat="1"/>
    <xf numFmtId="43" fontId="0" fillId="0" borderId="0" xfId="3" applyFont="1"/>
    <xf numFmtId="43" fontId="2" fillId="0" borderId="0" xfId="3" applyFont="1"/>
    <xf numFmtId="44" fontId="2" fillId="0" borderId="0" xfId="1"/>
    <xf numFmtId="9" fontId="2" fillId="0" borderId="0" xfId="2"/>
    <xf numFmtId="168" fontId="0" fillId="0" borderId="0" xfId="0" applyNumberFormat="1"/>
    <xf numFmtId="9" fontId="0" fillId="0" borderId="0" xfId="2" applyFont="1"/>
    <xf numFmtId="0" fontId="0" fillId="0" borderId="0" xfId="0"/>
    <xf numFmtId="0" fontId="5" fillId="0" borderId="0" xfId="6"/>
    <xf numFmtId="0" fontId="5" fillId="0" borderId="0" xfId="6" applyBorder="1"/>
    <xf numFmtId="0" fontId="6" fillId="0" borderId="0" xfId="6" applyFont="1" applyBorder="1"/>
    <xf numFmtId="43" fontId="0" fillId="0" borderId="0" xfId="0" applyNumberFormat="1"/>
    <xf numFmtId="165" fontId="2" fillId="2" borderId="0" xfId="1" applyNumberFormat="1" applyFill="1"/>
    <xf numFmtId="44" fontId="0" fillId="2" borderId="0" xfId="0" applyNumberFormat="1" applyFill="1"/>
    <xf numFmtId="43" fontId="0" fillId="2" borderId="0" xfId="3" applyFont="1" applyFill="1"/>
    <xf numFmtId="171" fontId="0" fillId="0" borderId="0" xfId="0" applyNumberFormat="1"/>
    <xf numFmtId="165" fontId="3" fillId="0" borderId="0" xfId="1" applyNumberFormat="1" applyFont="1"/>
    <xf numFmtId="10" fontId="0" fillId="2" borderId="0" xfId="0" applyNumberFormat="1" applyFill="1"/>
    <xf numFmtId="0" fontId="3" fillId="0" borderId="1" xfId="0" applyFont="1" applyBorder="1"/>
    <xf numFmtId="0" fontId="3" fillId="0" borderId="0" xfId="0" applyFont="1" applyFill="1" applyBorder="1"/>
    <xf numFmtId="0" fontId="3" fillId="0" borderId="1" xfId="0" applyFont="1" applyFill="1" applyBorder="1"/>
    <xf numFmtId="44" fontId="3" fillId="0" borderId="0" xfId="0" applyNumberFormat="1" applyFont="1"/>
    <xf numFmtId="0" fontId="0" fillId="0" borderId="5" xfId="0" applyBorder="1"/>
    <xf numFmtId="9" fontId="0" fillId="2" borderId="6" xfId="0" applyNumberFormat="1" applyFill="1" applyBorder="1"/>
    <xf numFmtId="0" fontId="0" fillId="0" borderId="6" xfId="0" applyBorder="1"/>
    <xf numFmtId="0" fontId="5" fillId="0" borderId="6" xfId="6" applyBorder="1"/>
    <xf numFmtId="0" fontId="5" fillId="0" borderId="7" xfId="6" applyBorder="1"/>
    <xf numFmtId="0" fontId="5" fillId="0" borderId="3" xfId="6" applyBorder="1"/>
    <xf numFmtId="166" fontId="0" fillId="2" borderId="0" xfId="0" applyNumberFormat="1" applyFill="1" applyBorder="1"/>
    <xf numFmtId="9" fontId="0" fillId="2" borderId="0" xfId="0" applyNumberFormat="1" applyFill="1" applyBorder="1"/>
    <xf numFmtId="0" fontId="0" fillId="2" borderId="0" xfId="0" applyNumberFormat="1" applyFill="1" applyBorder="1"/>
    <xf numFmtId="2" fontId="1" fillId="0" borderId="0" xfId="2" applyNumberFormat="1" applyFont="1"/>
    <xf numFmtId="9" fontId="0" fillId="0" borderId="0" xfId="0" applyNumberFormat="1" applyBorder="1"/>
    <xf numFmtId="2" fontId="0" fillId="0" borderId="0" xfId="0" applyNumberFormat="1" applyBorder="1"/>
    <xf numFmtId="10" fontId="1" fillId="0" borderId="0" xfId="2" applyNumberFormat="1" applyFont="1"/>
    <xf numFmtId="172" fontId="0" fillId="0" borderId="2" xfId="0" applyNumberFormat="1" applyBorder="1"/>
    <xf numFmtId="10" fontId="0" fillId="2" borderId="0" xfId="0" applyNumberFormat="1" applyFill="1" applyBorder="1"/>
    <xf numFmtId="9" fontId="5" fillId="2" borderId="0" xfId="6" applyNumberFormat="1" applyFill="1" applyBorder="1"/>
    <xf numFmtId="10" fontId="5" fillId="2" borderId="0" xfId="6" applyNumberFormat="1" applyFill="1" applyBorder="1"/>
    <xf numFmtId="10" fontId="5" fillId="0" borderId="3" xfId="6" applyNumberFormat="1" applyBorder="1"/>
    <xf numFmtId="0" fontId="5" fillId="2" borderId="0" xfId="6" applyFill="1" applyBorder="1"/>
    <xf numFmtId="10" fontId="1" fillId="0" borderId="3" xfId="2" applyNumberFormat="1" applyFont="1" applyBorder="1"/>
    <xf numFmtId="172" fontId="0" fillId="0" borderId="4" xfId="0" applyNumberFormat="1" applyBorder="1"/>
    <xf numFmtId="9" fontId="1" fillId="0" borderId="1" xfId="2" applyFont="1" applyBorder="1"/>
    <xf numFmtId="0" fontId="3" fillId="0" borderId="8" xfId="0" applyFont="1" applyBorder="1"/>
    <xf numFmtId="10" fontId="3" fillId="0" borderId="9" xfId="0" applyNumberFormat="1" applyFont="1" applyBorder="1"/>
    <xf numFmtId="9" fontId="5" fillId="0" borderId="1" xfId="6" applyNumberFormat="1" applyBorder="1"/>
    <xf numFmtId="0" fontId="5" fillId="0" borderId="1" xfId="6" applyBorder="1"/>
    <xf numFmtId="0" fontId="8" fillId="0" borderId="8" xfId="6" applyFont="1" applyBorder="1"/>
    <xf numFmtId="10" fontId="8" fillId="0" borderId="9" xfId="6" applyNumberFormat="1" applyFont="1" applyBorder="1"/>
    <xf numFmtId="0" fontId="3" fillId="0" borderId="0" xfId="0" applyFont="1" applyBorder="1"/>
    <xf numFmtId="165" fontId="2" fillId="0" borderId="0" xfId="1" applyNumberFormat="1" applyBorder="1"/>
    <xf numFmtId="10" fontId="3" fillId="0" borderId="0" xfId="2" applyNumberFormat="1" applyFont="1" applyBorder="1"/>
    <xf numFmtId="6" fontId="3" fillId="0" borderId="0" xfId="0" applyNumberFormat="1" applyFont="1"/>
  </cellXfs>
  <cellStyles count="11">
    <cellStyle name="Comma" xfId="3" builtinId="3"/>
    <cellStyle name="Comma 2" xfId="4"/>
    <cellStyle name="Currency" xfId="1" builtinId="4"/>
    <cellStyle name="Currency 2" xfId="5"/>
    <cellStyle name="Excel Built-in Normal" xfId="6"/>
    <cellStyle name="Excel Built-in Normal 1" xfId="8"/>
    <cellStyle name="Excel Built-in Normal 2" xfId="10"/>
    <cellStyle name="Normal" xfId="0" builtinId="0"/>
    <cellStyle name="Percent" xfId="2" builtinId="5"/>
    <cellStyle name="Percent 2" xfId="9"/>
    <cellStyle name="Percent 3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opLeftCell="B1" zoomScaleNormal="100" workbookViewId="0">
      <selection activeCell="C24" sqref="C24"/>
    </sheetView>
  </sheetViews>
  <sheetFormatPr defaultColWidth="11.5703125" defaultRowHeight="12.75" x14ac:dyDescent="0.2"/>
  <cols>
    <col min="1" max="1" width="25" bestFit="1" customWidth="1"/>
    <col min="2" max="2" width="14.7109375" bestFit="1" customWidth="1"/>
    <col min="3" max="4" width="12.28515625" bestFit="1" customWidth="1"/>
    <col min="5" max="5" width="11.85546875" bestFit="1" customWidth="1"/>
    <col min="6" max="6" width="12.85546875" bestFit="1" customWidth="1"/>
    <col min="7" max="8" width="12.42578125" bestFit="1" customWidth="1"/>
    <col min="9" max="9" width="12.28515625" bestFit="1" customWidth="1"/>
    <col min="10" max="11" width="12.42578125" bestFit="1" customWidth="1"/>
    <col min="12" max="12" width="14.140625" bestFit="1" customWidth="1"/>
  </cols>
  <sheetData>
    <row r="1" spans="1:12" x14ac:dyDescent="0.2">
      <c r="A1" s="39" t="s">
        <v>140</v>
      </c>
      <c r="B1">
        <v>0</v>
      </c>
      <c r="C1">
        <v>1</v>
      </c>
      <c r="D1">
        <v>2</v>
      </c>
      <c r="E1">
        <v>3</v>
      </c>
      <c r="F1">
        <v>4</v>
      </c>
      <c r="G1">
        <v>5</v>
      </c>
      <c r="H1">
        <v>6</v>
      </c>
      <c r="I1">
        <v>7</v>
      </c>
      <c r="J1">
        <v>8</v>
      </c>
      <c r="K1">
        <v>9</v>
      </c>
      <c r="L1">
        <v>10</v>
      </c>
    </row>
    <row r="3" spans="1:12" x14ac:dyDescent="0.2">
      <c r="A3" s="2" t="s">
        <v>138</v>
      </c>
      <c r="B3" s="24">
        <f>Medium!G119</f>
        <v>-1133903.4400946423</v>
      </c>
      <c r="C3" s="24">
        <f>Medium!H119</f>
        <v>61276.784560689724</v>
      </c>
      <c r="D3" s="24">
        <f>Medium!I119</f>
        <v>88857.638375420531</v>
      </c>
      <c r="E3" s="24">
        <f>Medium!J119</f>
        <v>37719.381432110851</v>
      </c>
      <c r="F3" s="24">
        <f>Medium!K119</f>
        <v>134677.05694020548</v>
      </c>
      <c r="G3" s="24">
        <f>Medium!L119</f>
        <v>137032.23172635731</v>
      </c>
      <c r="H3" s="24">
        <f>Medium!M119</f>
        <v>106823.8109781542</v>
      </c>
      <c r="I3" s="24">
        <f>Medium!N119</f>
        <v>77742.624564411002</v>
      </c>
      <c r="J3" s="24">
        <f>Medium!O119</f>
        <v>120760.16238961089</v>
      </c>
      <c r="K3" s="24">
        <f>Medium!P119</f>
        <v>164354.06344342878</v>
      </c>
      <c r="L3" s="24">
        <f>Medium!Q119</f>
        <v>1308970.0356392036</v>
      </c>
    </row>
    <row r="4" spans="1:12" x14ac:dyDescent="0.2">
      <c r="A4" s="2" t="s">
        <v>90</v>
      </c>
      <c r="B4" s="5">
        <f>Medium!G122</f>
        <v>8.6183425201194652E-2</v>
      </c>
    </row>
    <row r="5" spans="1:12" x14ac:dyDescent="0.2">
      <c r="A5" s="2" t="s">
        <v>139</v>
      </c>
      <c r="B5" s="14">
        <f>NPV(B4,C3:L3)+B3</f>
        <v>36382.967355753994</v>
      </c>
    </row>
    <row r="6" spans="1:12" s="28" customFormat="1" x14ac:dyDescent="0.2">
      <c r="A6" s="2" t="s">
        <v>142</v>
      </c>
      <c r="B6" s="12">
        <v>0.3</v>
      </c>
    </row>
    <row r="8" spans="1:12" x14ac:dyDescent="0.2">
      <c r="A8" s="39" t="s">
        <v>141</v>
      </c>
    </row>
    <row r="10" spans="1:12" x14ac:dyDescent="0.2">
      <c r="A10" s="40" t="s">
        <v>138</v>
      </c>
      <c r="B10" s="24">
        <f>Bad!G128</f>
        <v>-1133903.4400946423</v>
      </c>
      <c r="C10" s="24">
        <f>Bad!H128</f>
        <v>61276.784560689724</v>
      </c>
      <c r="D10" s="24">
        <f>Bad!I128</f>
        <v>88857.638375420531</v>
      </c>
      <c r="E10" s="24">
        <f>Bad!J128</f>
        <v>31142.83319632334</v>
      </c>
      <c r="F10" s="24">
        <f>Bad!K128</f>
        <v>32309.892166246133</v>
      </c>
      <c r="G10" s="24">
        <f>Bad!L128</f>
        <v>31715.878047564598</v>
      </c>
      <c r="H10" s="24">
        <f>Bad!M128</f>
        <v>16954.638735900568</v>
      </c>
      <c r="I10" s="24">
        <f>Bad!N128</f>
        <v>18817.351857712645</v>
      </c>
      <c r="J10" s="24">
        <f>Bad!O128</f>
        <v>38128.271246184311</v>
      </c>
      <c r="K10" s="24">
        <f>Bad!P128</f>
        <v>38178.95190385812</v>
      </c>
      <c r="L10" s="24">
        <f>Bad!Q128</f>
        <v>1065536.1344424069</v>
      </c>
    </row>
    <row r="11" spans="1:12" x14ac:dyDescent="0.2">
      <c r="A11" s="2" t="s">
        <v>90</v>
      </c>
      <c r="B11" s="5">
        <f>Bad!G131</f>
        <v>6.3776967693916248E-2</v>
      </c>
    </row>
    <row r="12" spans="1:12" x14ac:dyDescent="0.2">
      <c r="A12" s="40" t="s">
        <v>139</v>
      </c>
      <c r="B12" s="14">
        <f>NPV(B11,C10:L10)+B10</f>
        <v>-280151.38074433838</v>
      </c>
    </row>
    <row r="13" spans="1:12" s="28" customFormat="1" x14ac:dyDescent="0.2">
      <c r="A13" s="40" t="s">
        <v>142</v>
      </c>
      <c r="B13" s="12">
        <v>0.2</v>
      </c>
    </row>
    <row r="15" spans="1:12" x14ac:dyDescent="0.2">
      <c r="A15" s="41" t="s">
        <v>137</v>
      </c>
    </row>
    <row r="17" spans="1:12" x14ac:dyDescent="0.2">
      <c r="A17" s="40" t="s">
        <v>138</v>
      </c>
      <c r="B17" s="24">
        <f>Good!G119</f>
        <v>-1129915.680067546</v>
      </c>
      <c r="C17" s="24">
        <f>Good!H119</f>
        <v>119724.32747421524</v>
      </c>
      <c r="D17" s="24">
        <f>Good!I119</f>
        <v>149786.68545457567</v>
      </c>
      <c r="E17" s="24">
        <f>Good!J119</f>
        <v>95563.68731870706</v>
      </c>
      <c r="F17" s="24">
        <f>Good!K119</f>
        <v>-314763.35198209598</v>
      </c>
      <c r="G17" s="24">
        <f>Good!L119</f>
        <v>217050.63432039431</v>
      </c>
      <c r="H17" s="24">
        <f>Good!M119</f>
        <v>264261.43638916593</v>
      </c>
      <c r="I17" s="24">
        <f>Good!N119</f>
        <v>314940.12989723892</v>
      </c>
      <c r="J17" s="24">
        <f>Good!O119</f>
        <v>369289.72810978757</v>
      </c>
      <c r="K17" s="24">
        <f>Good!P119</f>
        <v>424155.33192684391</v>
      </c>
      <c r="L17" s="24">
        <f>Good!Q119</f>
        <v>1983515.336208005</v>
      </c>
    </row>
    <row r="18" spans="1:12" x14ac:dyDescent="0.2">
      <c r="A18" s="2" t="s">
        <v>90</v>
      </c>
      <c r="B18" s="5">
        <f>Good!G122</f>
        <v>0.10660859278197284</v>
      </c>
    </row>
    <row r="19" spans="1:12" x14ac:dyDescent="0.2">
      <c r="A19" s="40" t="s">
        <v>139</v>
      </c>
      <c r="B19" s="14">
        <f>NPV(B18,C17:L17)+B17</f>
        <v>445817.08311961894</v>
      </c>
    </row>
    <row r="20" spans="1:12" x14ac:dyDescent="0.2">
      <c r="A20" s="40" t="s">
        <v>142</v>
      </c>
      <c r="B20" s="12">
        <v>0.5</v>
      </c>
    </row>
    <row r="22" spans="1:12" x14ac:dyDescent="0.2">
      <c r="A22" s="40" t="s">
        <v>143</v>
      </c>
      <c r="B22" s="42">
        <f>B5*B6+B12*B13+B19*B20</f>
        <v>177793.155617668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orientation="portrait" horizontalDpi="300" verticalDpi="300"/>
  <headerFooter alignWithMargins="0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31"/>
  <sheetViews>
    <sheetView topLeftCell="C99" zoomScale="80" zoomScaleNormal="80" workbookViewId="0">
      <selection activeCell="G123" sqref="G123"/>
    </sheetView>
  </sheetViews>
  <sheetFormatPr defaultColWidth="11.5703125" defaultRowHeight="12.75" x14ac:dyDescent="0.2"/>
  <cols>
    <col min="1" max="1" width="4" customWidth="1"/>
    <col min="2" max="2" width="35.28515625" customWidth="1"/>
    <col min="3" max="3" width="13.28515625" customWidth="1"/>
    <col min="4" max="4" width="8.7109375" customWidth="1"/>
    <col min="5" max="5" width="16.140625" style="1" customWidth="1"/>
    <col min="6" max="6" width="2.5703125" customWidth="1"/>
    <col min="7" max="7" width="30.140625" bestFit="1" customWidth="1"/>
    <col min="8" max="8" width="14.7109375" customWidth="1"/>
    <col min="9" max="9" width="14.85546875" customWidth="1"/>
    <col min="10" max="10" width="14.5703125" customWidth="1"/>
    <col min="11" max="15" width="13.7109375" bestFit="1" customWidth="1"/>
    <col min="16" max="16" width="13.5703125" customWidth="1"/>
    <col min="17" max="17" width="14.5703125" bestFit="1" customWidth="1"/>
    <col min="19" max="19" width="12.28515625" bestFit="1" customWidth="1"/>
    <col min="20" max="20" width="18.5703125" customWidth="1"/>
    <col min="21" max="21" width="14.42578125" bestFit="1" customWidth="1"/>
    <col min="22" max="22" width="17.28515625" customWidth="1"/>
    <col min="23" max="23" width="19.7109375" customWidth="1"/>
    <col min="24" max="24" width="12.28515625" bestFit="1" customWidth="1"/>
  </cols>
  <sheetData>
    <row r="1" spans="1:17" x14ac:dyDescent="0.2">
      <c r="A1" s="2" t="s">
        <v>95</v>
      </c>
      <c r="E1" s="3" t="s">
        <v>81</v>
      </c>
      <c r="G1" s="2" t="s">
        <v>80</v>
      </c>
    </row>
    <row r="2" spans="1:17" x14ac:dyDescent="0.2">
      <c r="E2" s="3" t="s">
        <v>0</v>
      </c>
      <c r="F2" s="2"/>
      <c r="G2" s="2"/>
      <c r="H2" s="2" t="s">
        <v>1</v>
      </c>
      <c r="I2" s="2" t="s">
        <v>2</v>
      </c>
      <c r="J2" s="2" t="s">
        <v>3</v>
      </c>
      <c r="K2" s="2" t="s">
        <v>96</v>
      </c>
      <c r="L2" s="2" t="s">
        <v>97</v>
      </c>
      <c r="M2" s="2" t="s">
        <v>98</v>
      </c>
      <c r="N2" s="2" t="s">
        <v>99</v>
      </c>
      <c r="O2" s="2" t="s">
        <v>100</v>
      </c>
      <c r="P2" s="2" t="s">
        <v>101</v>
      </c>
      <c r="Q2" s="2" t="s">
        <v>102</v>
      </c>
    </row>
    <row r="3" spans="1:17" x14ac:dyDescent="0.2">
      <c r="A3" s="2" t="s">
        <v>4</v>
      </c>
    </row>
    <row r="4" spans="1:17" s="28" customFormat="1" x14ac:dyDescent="0.2">
      <c r="A4" s="20" t="s">
        <v>129</v>
      </c>
      <c r="C4" s="28" t="s">
        <v>135</v>
      </c>
      <c r="D4" s="12">
        <v>0.02</v>
      </c>
      <c r="E4" s="22">
        <v>20000</v>
      </c>
      <c r="H4" s="32">
        <f>E4*(1+D4)</f>
        <v>20400</v>
      </c>
      <c r="I4" s="32">
        <f>H4*(1+$D$4)</f>
        <v>20808</v>
      </c>
      <c r="J4" s="32">
        <f t="shared" ref="J4:Q4" si="0">I4*(1+$D$4)</f>
        <v>21224.16</v>
      </c>
      <c r="K4" s="32">
        <f t="shared" si="0"/>
        <v>21648.643199999999</v>
      </c>
      <c r="L4" s="32">
        <f t="shared" si="0"/>
        <v>22081.616063999998</v>
      </c>
      <c r="M4" s="32">
        <f t="shared" si="0"/>
        <v>22523.24838528</v>
      </c>
      <c r="N4" s="32">
        <f t="shared" si="0"/>
        <v>22973.7133529856</v>
      </c>
      <c r="O4" s="32">
        <f t="shared" si="0"/>
        <v>23433.187620045312</v>
      </c>
      <c r="P4" s="32">
        <f t="shared" si="0"/>
        <v>23901.851372446217</v>
      </c>
      <c r="Q4" s="32">
        <f t="shared" si="0"/>
        <v>24379.888399895142</v>
      </c>
    </row>
    <row r="5" spans="1:17" s="28" customFormat="1" x14ac:dyDescent="0.2">
      <c r="A5" s="20" t="s">
        <v>130</v>
      </c>
      <c r="E5" s="25">
        <v>0.02</v>
      </c>
      <c r="H5" s="9">
        <f>E5</f>
        <v>0.02</v>
      </c>
      <c r="I5" s="9">
        <f>H5+1%</f>
        <v>0.03</v>
      </c>
      <c r="J5" s="9">
        <f>I5-2%</f>
        <v>9.9999999999999985E-3</v>
      </c>
      <c r="K5" s="9">
        <f>J5+3%</f>
        <v>3.9999999999999994E-2</v>
      </c>
      <c r="L5" s="9">
        <f>K5</f>
        <v>3.9999999999999994E-2</v>
      </c>
      <c r="M5" s="9">
        <f>L5-1%</f>
        <v>2.9999999999999992E-2</v>
      </c>
      <c r="N5" s="9">
        <f>M5-1%</f>
        <v>1.999999999999999E-2</v>
      </c>
      <c r="O5" s="9">
        <f>N5+1%</f>
        <v>2.9999999999999992E-2</v>
      </c>
      <c r="P5" s="9">
        <f>O5+1%</f>
        <v>3.9999999999999994E-2</v>
      </c>
      <c r="Q5" s="9">
        <f>P5</f>
        <v>3.9999999999999994E-2</v>
      </c>
    </row>
    <row r="6" spans="1:17" s="28" customFormat="1" x14ac:dyDescent="0.2">
      <c r="A6" s="20" t="s">
        <v>132</v>
      </c>
      <c r="E6" s="22">
        <f>3*12</f>
        <v>36</v>
      </c>
      <c r="H6" s="22">
        <f t="shared" ref="H6:Q6" si="1">3*12</f>
        <v>36</v>
      </c>
      <c r="I6" s="22">
        <f t="shared" si="1"/>
        <v>36</v>
      </c>
      <c r="J6" s="22">
        <f t="shared" si="1"/>
        <v>36</v>
      </c>
      <c r="K6" s="22">
        <f t="shared" si="1"/>
        <v>36</v>
      </c>
      <c r="L6" s="22">
        <f t="shared" si="1"/>
        <v>36</v>
      </c>
      <c r="M6" s="22">
        <f t="shared" si="1"/>
        <v>36</v>
      </c>
      <c r="N6" s="22">
        <f t="shared" si="1"/>
        <v>36</v>
      </c>
      <c r="O6" s="22">
        <f t="shared" si="1"/>
        <v>36</v>
      </c>
      <c r="P6" s="22">
        <f t="shared" si="1"/>
        <v>36</v>
      </c>
      <c r="Q6" s="22">
        <f t="shared" si="1"/>
        <v>36</v>
      </c>
    </row>
    <row r="7" spans="1:17" s="28" customFormat="1" x14ac:dyDescent="0.2">
      <c r="A7" s="20" t="s">
        <v>131</v>
      </c>
      <c r="C7" s="28" t="s">
        <v>136</v>
      </c>
      <c r="D7" s="12">
        <v>0.02</v>
      </c>
      <c r="E7" s="1">
        <v>11</v>
      </c>
      <c r="H7" s="36">
        <f>E7*1.02</f>
        <v>11.22</v>
      </c>
      <c r="I7" s="24">
        <f>H7*(1+$D$7)</f>
        <v>11.444400000000002</v>
      </c>
      <c r="J7" s="24">
        <f t="shared" ref="J7:Q7" si="2">I7*(1+$D$7)</f>
        <v>11.673288000000001</v>
      </c>
      <c r="K7" s="24">
        <f t="shared" si="2"/>
        <v>11.906753760000001</v>
      </c>
      <c r="L7" s="24">
        <f t="shared" si="2"/>
        <v>12.144888835200002</v>
      </c>
      <c r="M7" s="24">
        <f t="shared" si="2"/>
        <v>12.387786611904001</v>
      </c>
      <c r="N7" s="24">
        <f t="shared" si="2"/>
        <v>12.635542344142081</v>
      </c>
      <c r="O7" s="24">
        <f t="shared" si="2"/>
        <v>12.888253191024923</v>
      </c>
      <c r="P7" s="24">
        <f t="shared" si="2"/>
        <v>13.146018254845421</v>
      </c>
      <c r="Q7" s="24">
        <f t="shared" si="2"/>
        <v>13.408938619942329</v>
      </c>
    </row>
    <row r="8" spans="1:17" s="28" customFormat="1" x14ac:dyDescent="0.2">
      <c r="A8" s="20" t="s">
        <v>133</v>
      </c>
      <c r="E8" s="1">
        <v>14</v>
      </c>
      <c r="H8" s="28">
        <f>E8*($D$7+1)</f>
        <v>14.280000000000001</v>
      </c>
      <c r="I8" s="24">
        <f>H8*(1+$D$7)</f>
        <v>14.565600000000002</v>
      </c>
      <c r="J8" s="24">
        <f>I8*(1+$D$7)</f>
        <v>14.856912000000001</v>
      </c>
      <c r="K8" s="24">
        <f t="shared" ref="K8:Q8" si="3">J8*(1+$D$7)</f>
        <v>15.154050240000002</v>
      </c>
      <c r="L8" s="24">
        <f t="shared" si="3"/>
        <v>15.457131244800003</v>
      </c>
      <c r="M8" s="24">
        <f t="shared" si="3"/>
        <v>15.766273869696004</v>
      </c>
      <c r="N8" s="24">
        <f t="shared" si="3"/>
        <v>16.081599347089924</v>
      </c>
      <c r="O8" s="24">
        <f t="shared" si="3"/>
        <v>16.403231334031723</v>
      </c>
      <c r="P8" s="24">
        <f t="shared" si="3"/>
        <v>16.731295960712359</v>
      </c>
      <c r="Q8" s="24">
        <f t="shared" si="3"/>
        <v>17.065921879926606</v>
      </c>
    </row>
    <row r="9" spans="1:17" s="28" customFormat="1" x14ac:dyDescent="0.2">
      <c r="A9" s="2"/>
      <c r="E9" s="1"/>
    </row>
    <row r="10" spans="1:17" x14ac:dyDescent="0.2">
      <c r="A10" s="20" t="s">
        <v>91</v>
      </c>
      <c r="E10" s="21">
        <v>1250000</v>
      </c>
      <c r="H10" s="21">
        <v>1250000</v>
      </c>
      <c r="I10" s="21">
        <f>H10</f>
        <v>1250000</v>
      </c>
      <c r="J10" s="21">
        <f>I10</f>
        <v>1250000</v>
      </c>
      <c r="K10" s="21">
        <f t="shared" ref="K10:Q10" si="4">J10</f>
        <v>1250000</v>
      </c>
      <c r="L10" s="21">
        <f t="shared" si="4"/>
        <v>1250000</v>
      </c>
      <c r="M10" s="21">
        <f t="shared" si="4"/>
        <v>1250000</v>
      </c>
      <c r="N10" s="21">
        <f t="shared" si="4"/>
        <v>1250000</v>
      </c>
      <c r="O10" s="21">
        <f t="shared" si="4"/>
        <v>1250000</v>
      </c>
      <c r="P10" s="21">
        <f t="shared" si="4"/>
        <v>1250000</v>
      </c>
      <c r="Q10" s="21">
        <f t="shared" si="4"/>
        <v>1250000</v>
      </c>
    </row>
    <row r="11" spans="1:17" x14ac:dyDescent="0.2">
      <c r="A11" t="s">
        <v>5</v>
      </c>
      <c r="E11" s="4">
        <v>7</v>
      </c>
      <c r="H11" s="4">
        <v>7</v>
      </c>
      <c r="I11">
        <f>H11</f>
        <v>7</v>
      </c>
      <c r="J11">
        <f>I11</f>
        <v>7</v>
      </c>
      <c r="K11">
        <f t="shared" ref="K11:Q12" si="5">J11</f>
        <v>7</v>
      </c>
      <c r="L11">
        <f t="shared" si="5"/>
        <v>7</v>
      </c>
      <c r="M11">
        <f t="shared" si="5"/>
        <v>7</v>
      </c>
      <c r="N11">
        <f t="shared" si="5"/>
        <v>7</v>
      </c>
      <c r="O11">
        <f t="shared" si="5"/>
        <v>7</v>
      </c>
      <c r="P11">
        <f t="shared" si="5"/>
        <v>7</v>
      </c>
      <c r="Q11">
        <f t="shared" si="5"/>
        <v>7</v>
      </c>
    </row>
    <row r="12" spans="1:17" x14ac:dyDescent="0.2">
      <c r="A12" t="s">
        <v>6</v>
      </c>
      <c r="E12" s="4">
        <v>20</v>
      </c>
      <c r="H12" s="4">
        <v>20</v>
      </c>
      <c r="I12">
        <f t="shared" ref="I12:J23" si="6">H12</f>
        <v>20</v>
      </c>
      <c r="J12">
        <f t="shared" si="6"/>
        <v>20</v>
      </c>
      <c r="K12">
        <f t="shared" si="5"/>
        <v>20</v>
      </c>
      <c r="L12">
        <f t="shared" si="5"/>
        <v>20</v>
      </c>
      <c r="M12">
        <f t="shared" si="5"/>
        <v>20</v>
      </c>
      <c r="N12">
        <f t="shared" si="5"/>
        <v>20</v>
      </c>
      <c r="O12">
        <f t="shared" si="5"/>
        <v>20</v>
      </c>
      <c r="P12">
        <f t="shared" si="5"/>
        <v>20</v>
      </c>
      <c r="Q12">
        <f t="shared" si="5"/>
        <v>20</v>
      </c>
    </row>
    <row r="13" spans="1:17" x14ac:dyDescent="0.2">
      <c r="A13" t="s">
        <v>7</v>
      </c>
      <c r="E13" s="4">
        <v>15</v>
      </c>
      <c r="H13" s="4">
        <f>$E$13</f>
        <v>15</v>
      </c>
      <c r="I13" s="4">
        <f t="shared" ref="I13:Q13" si="7">$E$13</f>
        <v>15</v>
      </c>
      <c r="J13" s="4">
        <f t="shared" si="7"/>
        <v>15</v>
      </c>
      <c r="K13" s="4">
        <f t="shared" si="7"/>
        <v>15</v>
      </c>
      <c r="L13" s="4">
        <f t="shared" si="7"/>
        <v>15</v>
      </c>
      <c r="M13" s="4">
        <f t="shared" si="7"/>
        <v>15</v>
      </c>
      <c r="N13" s="4">
        <f t="shared" si="7"/>
        <v>15</v>
      </c>
      <c r="O13" s="4">
        <f t="shared" si="7"/>
        <v>15</v>
      </c>
      <c r="P13" s="4">
        <f t="shared" si="7"/>
        <v>15</v>
      </c>
      <c r="Q13" s="4">
        <f t="shared" si="7"/>
        <v>15</v>
      </c>
    </row>
    <row r="14" spans="1:17" x14ac:dyDescent="0.2">
      <c r="A14" t="s">
        <v>8</v>
      </c>
      <c r="E14" s="4">
        <v>0.4</v>
      </c>
      <c r="H14" s="4">
        <f>$E$14</f>
        <v>0.4</v>
      </c>
      <c r="I14">
        <f t="shared" si="6"/>
        <v>0.4</v>
      </c>
      <c r="J14">
        <f t="shared" si="6"/>
        <v>0.4</v>
      </c>
      <c r="K14">
        <f t="shared" ref="K14:K21" si="8">J14</f>
        <v>0.4</v>
      </c>
      <c r="L14">
        <f t="shared" ref="L14:L21" si="9">K14</f>
        <v>0.4</v>
      </c>
      <c r="M14">
        <f t="shared" ref="M14:M21" si="10">L14</f>
        <v>0.4</v>
      </c>
      <c r="N14">
        <f t="shared" ref="N14:N21" si="11">M14</f>
        <v>0.4</v>
      </c>
      <c r="O14">
        <f t="shared" ref="O14:O21" si="12">N14</f>
        <v>0.4</v>
      </c>
      <c r="P14">
        <f t="shared" ref="P14:P21" si="13">O14</f>
        <v>0.4</v>
      </c>
      <c r="Q14">
        <f t="shared" ref="Q14:Q21" si="14">P14</f>
        <v>0.4</v>
      </c>
    </row>
    <row r="15" spans="1:17" s="28" customFormat="1" x14ac:dyDescent="0.2">
      <c r="E15" s="4"/>
      <c r="H15" s="4"/>
    </row>
    <row r="16" spans="1:17" x14ac:dyDescent="0.2">
      <c r="A16" t="s">
        <v>9</v>
      </c>
      <c r="E16" s="4">
        <v>30</v>
      </c>
      <c r="H16" s="4">
        <f>$E$16</f>
        <v>30</v>
      </c>
      <c r="I16">
        <f t="shared" si="6"/>
        <v>30</v>
      </c>
      <c r="J16">
        <f t="shared" si="6"/>
        <v>30</v>
      </c>
      <c r="K16">
        <f t="shared" si="8"/>
        <v>30</v>
      </c>
      <c r="L16">
        <f t="shared" si="9"/>
        <v>30</v>
      </c>
      <c r="M16">
        <f t="shared" si="10"/>
        <v>30</v>
      </c>
      <c r="N16">
        <f t="shared" si="11"/>
        <v>30</v>
      </c>
      <c r="O16">
        <f t="shared" si="12"/>
        <v>30</v>
      </c>
      <c r="P16">
        <f t="shared" si="13"/>
        <v>30</v>
      </c>
      <c r="Q16">
        <f t="shared" si="14"/>
        <v>30</v>
      </c>
    </row>
    <row r="17" spans="1:17" x14ac:dyDescent="0.2">
      <c r="A17" t="s">
        <v>10</v>
      </c>
      <c r="E17" s="9">
        <v>0.06</v>
      </c>
      <c r="H17" s="9">
        <v>0.05</v>
      </c>
      <c r="I17" s="9">
        <f t="shared" si="6"/>
        <v>0.05</v>
      </c>
      <c r="J17" s="9">
        <f t="shared" si="6"/>
        <v>0.05</v>
      </c>
      <c r="K17" s="9">
        <f t="shared" si="8"/>
        <v>0.05</v>
      </c>
      <c r="L17" s="9">
        <f t="shared" si="9"/>
        <v>0.05</v>
      </c>
      <c r="M17" s="9">
        <f t="shared" si="10"/>
        <v>0.05</v>
      </c>
      <c r="N17" s="9">
        <f t="shared" si="11"/>
        <v>0.05</v>
      </c>
      <c r="O17" s="9">
        <f t="shared" si="12"/>
        <v>0.05</v>
      </c>
      <c r="P17" s="9">
        <f t="shared" si="13"/>
        <v>0.05</v>
      </c>
      <c r="Q17" s="9">
        <f t="shared" si="14"/>
        <v>0.05</v>
      </c>
    </row>
    <row r="18" spans="1:17" x14ac:dyDescent="0.2">
      <c r="A18" t="s">
        <v>11</v>
      </c>
      <c r="E18" s="9">
        <v>0.1</v>
      </c>
      <c r="H18" s="9">
        <v>0.1</v>
      </c>
      <c r="I18" s="9">
        <f t="shared" si="6"/>
        <v>0.1</v>
      </c>
      <c r="J18" s="9">
        <f t="shared" si="6"/>
        <v>0.1</v>
      </c>
      <c r="K18" s="9">
        <f t="shared" si="8"/>
        <v>0.1</v>
      </c>
      <c r="L18" s="9">
        <f t="shared" si="9"/>
        <v>0.1</v>
      </c>
      <c r="M18" s="9">
        <f t="shared" si="10"/>
        <v>0.1</v>
      </c>
      <c r="N18" s="9">
        <f t="shared" si="11"/>
        <v>0.1</v>
      </c>
      <c r="O18" s="9">
        <f t="shared" si="12"/>
        <v>0.1</v>
      </c>
      <c r="P18" s="9">
        <f t="shared" si="13"/>
        <v>0.1</v>
      </c>
      <c r="Q18" s="9">
        <f t="shared" si="14"/>
        <v>0.1</v>
      </c>
    </row>
    <row r="19" spans="1:17" x14ac:dyDescent="0.2">
      <c r="A19" t="s">
        <v>12</v>
      </c>
      <c r="E19" s="9">
        <v>0.25</v>
      </c>
      <c r="H19" s="9">
        <v>0.25</v>
      </c>
      <c r="I19" s="9">
        <f t="shared" si="6"/>
        <v>0.25</v>
      </c>
      <c r="J19" s="9">
        <f t="shared" si="6"/>
        <v>0.25</v>
      </c>
      <c r="K19" s="9">
        <f t="shared" si="8"/>
        <v>0.25</v>
      </c>
      <c r="L19" s="9">
        <f t="shared" si="9"/>
        <v>0.25</v>
      </c>
      <c r="M19" s="9">
        <f t="shared" si="10"/>
        <v>0.25</v>
      </c>
      <c r="N19" s="9">
        <f t="shared" si="11"/>
        <v>0.25</v>
      </c>
      <c r="O19" s="9">
        <f t="shared" si="12"/>
        <v>0.25</v>
      </c>
      <c r="P19" s="9">
        <f t="shared" si="13"/>
        <v>0.25</v>
      </c>
      <c r="Q19" s="9">
        <f t="shared" si="14"/>
        <v>0.25</v>
      </c>
    </row>
    <row r="20" spans="1:17" s="28" customFormat="1" x14ac:dyDescent="0.2">
      <c r="E20" s="9"/>
      <c r="H20" s="9"/>
      <c r="I20" s="9"/>
      <c r="J20" s="9"/>
      <c r="K20" s="9"/>
      <c r="L20" s="9"/>
      <c r="M20" s="9"/>
      <c r="N20" s="9"/>
      <c r="O20" s="9"/>
      <c r="P20" s="9"/>
      <c r="Q20" s="9"/>
    </row>
    <row r="21" spans="1:17" x14ac:dyDescent="0.2">
      <c r="A21" t="s">
        <v>13</v>
      </c>
      <c r="E21" s="9">
        <v>0.88900000000000001</v>
      </c>
      <c r="H21" s="9">
        <v>0.88900000000000001</v>
      </c>
      <c r="I21" s="9">
        <f t="shared" si="6"/>
        <v>0.88900000000000001</v>
      </c>
      <c r="J21" s="9">
        <f t="shared" si="6"/>
        <v>0.88900000000000001</v>
      </c>
      <c r="K21" s="9">
        <f t="shared" si="8"/>
        <v>0.88900000000000001</v>
      </c>
      <c r="L21" s="9">
        <f t="shared" si="9"/>
        <v>0.88900000000000001</v>
      </c>
      <c r="M21" s="9">
        <f t="shared" si="10"/>
        <v>0.88900000000000001</v>
      </c>
      <c r="N21" s="9">
        <f t="shared" si="11"/>
        <v>0.88900000000000001</v>
      </c>
      <c r="O21" s="9">
        <f t="shared" si="12"/>
        <v>0.88900000000000001</v>
      </c>
      <c r="P21" s="9">
        <f t="shared" si="13"/>
        <v>0.88900000000000001</v>
      </c>
      <c r="Q21" s="9">
        <f t="shared" si="14"/>
        <v>0.88900000000000001</v>
      </c>
    </row>
    <row r="22" spans="1:17" x14ac:dyDescent="0.2">
      <c r="A22" t="s">
        <v>14</v>
      </c>
      <c r="E22" s="4">
        <v>20</v>
      </c>
      <c r="H22" s="4">
        <v>20</v>
      </c>
      <c r="I22">
        <f t="shared" si="6"/>
        <v>20</v>
      </c>
      <c r="J22">
        <f t="shared" si="6"/>
        <v>20</v>
      </c>
      <c r="K22">
        <f t="shared" ref="K22:K23" si="15">J22</f>
        <v>20</v>
      </c>
      <c r="L22">
        <f t="shared" ref="L22:L23" si="16">K22</f>
        <v>20</v>
      </c>
      <c r="M22">
        <f t="shared" ref="M22:M23" si="17">L22</f>
        <v>20</v>
      </c>
      <c r="N22">
        <f t="shared" ref="N22:N23" si="18">M22</f>
        <v>20</v>
      </c>
      <c r="O22">
        <f t="shared" ref="O22:O23" si="19">N22</f>
        <v>20</v>
      </c>
      <c r="P22">
        <f t="shared" ref="P22:Q23" si="20">O22</f>
        <v>20</v>
      </c>
      <c r="Q22">
        <f t="shared" si="20"/>
        <v>20</v>
      </c>
    </row>
    <row r="23" spans="1:17" x14ac:dyDescent="0.2">
      <c r="A23" t="s">
        <v>15</v>
      </c>
      <c r="E23" s="4">
        <v>28.75</v>
      </c>
      <c r="H23" s="4">
        <v>28.75</v>
      </c>
      <c r="I23">
        <f t="shared" si="6"/>
        <v>28.75</v>
      </c>
      <c r="J23">
        <f t="shared" si="6"/>
        <v>28.75</v>
      </c>
      <c r="K23">
        <f t="shared" si="15"/>
        <v>28.75</v>
      </c>
      <c r="L23">
        <f t="shared" si="16"/>
        <v>28.75</v>
      </c>
      <c r="M23">
        <f t="shared" si="17"/>
        <v>28.75</v>
      </c>
      <c r="N23">
        <f t="shared" si="18"/>
        <v>28.75</v>
      </c>
      <c r="O23">
        <f t="shared" si="19"/>
        <v>28.75</v>
      </c>
      <c r="P23">
        <f t="shared" si="20"/>
        <v>28.75</v>
      </c>
      <c r="Q23">
        <f t="shared" si="20"/>
        <v>28.75</v>
      </c>
    </row>
    <row r="24" spans="1:17" s="28" customFormat="1" x14ac:dyDescent="0.2">
      <c r="E24" s="4"/>
      <c r="H24" s="4"/>
    </row>
    <row r="25" spans="1:17" x14ac:dyDescent="0.2">
      <c r="A25" t="s">
        <v>79</v>
      </c>
      <c r="E25" s="4"/>
      <c r="H25" s="12">
        <v>0.03</v>
      </c>
    </row>
    <row r="26" spans="1:17" x14ac:dyDescent="0.2">
      <c r="A26" t="s">
        <v>94</v>
      </c>
      <c r="E26" s="22">
        <v>0.87</v>
      </c>
      <c r="H26" s="12"/>
    </row>
    <row r="27" spans="1:17" x14ac:dyDescent="0.2">
      <c r="A27" t="s">
        <v>92</v>
      </c>
      <c r="E27" s="5">
        <v>3.3999999999999998E-3</v>
      </c>
      <c r="H27" s="12"/>
    </row>
    <row r="28" spans="1:17" x14ac:dyDescent="0.2">
      <c r="A28" t="s">
        <v>93</v>
      </c>
      <c r="E28" s="5">
        <v>0.08</v>
      </c>
      <c r="H28" s="12"/>
    </row>
    <row r="30" spans="1:17" x14ac:dyDescent="0.2">
      <c r="A30" s="2" t="s">
        <v>16</v>
      </c>
      <c r="D30" s="24"/>
      <c r="G30" s="28" t="s">
        <v>128</v>
      </c>
    </row>
    <row r="31" spans="1:17" x14ac:dyDescent="0.2">
      <c r="A31" t="s">
        <v>103</v>
      </c>
      <c r="D31" s="9"/>
      <c r="E31" s="8">
        <f>PRODUCT(E4:E7)</f>
        <v>158400</v>
      </c>
      <c r="G31" s="25"/>
      <c r="H31" s="8">
        <f>PRODUCT(H4:H7)</f>
        <v>164799.36000000002</v>
      </c>
      <c r="I31" s="8">
        <f t="shared" ref="I31:Q31" si="21">PRODUCT(I4:I7)</f>
        <v>257185.88121600004</v>
      </c>
      <c r="J31" s="8">
        <f t="shared" si="21"/>
        <v>89192.063605708798</v>
      </c>
      <c r="K31" s="8">
        <f t="shared" si="21"/>
        <v>371181.69190151768</v>
      </c>
      <c r="L31" s="8">
        <f t="shared" si="21"/>
        <v>386177.43225433899</v>
      </c>
      <c r="M31" s="8">
        <f t="shared" si="21"/>
        <v>301334.25038806075</v>
      </c>
      <c r="N31" s="8">
        <f t="shared" si="21"/>
        <v>209005.43606915887</v>
      </c>
      <c r="O31" s="8">
        <f t="shared" si="21"/>
        <v>326173.88352952938</v>
      </c>
      <c r="P31" s="8">
        <f t="shared" si="21"/>
        <v>452468.4112321632</v>
      </c>
      <c r="Q31" s="8">
        <f t="shared" si="21"/>
        <v>470748.13504594256</v>
      </c>
    </row>
    <row r="32" spans="1:17" x14ac:dyDescent="0.2">
      <c r="A32" t="s">
        <v>104</v>
      </c>
      <c r="D32" s="5"/>
      <c r="E32" s="8">
        <f>E4*E5*E6/2*E8</f>
        <v>100800</v>
      </c>
      <c r="G32" s="25"/>
      <c r="H32" s="8">
        <f>PRODUCT(H4:H6)/2*H8</f>
        <v>104872.32000000001</v>
      </c>
      <c r="I32" s="8">
        <f t="shared" ref="I32:Q32" si="22">PRODUCT(I4:I6)/2*I8</f>
        <v>163663.74259200002</v>
      </c>
      <c r="J32" s="8">
        <f t="shared" si="22"/>
        <v>56758.585930905603</v>
      </c>
      <c r="K32" s="8">
        <f t="shared" si="22"/>
        <v>236206.53121005671</v>
      </c>
      <c r="L32" s="8">
        <f t="shared" si="22"/>
        <v>245749.275070943</v>
      </c>
      <c r="M32" s="8">
        <f t="shared" si="22"/>
        <v>191758.15933785687</v>
      </c>
      <c r="N32" s="8">
        <f t="shared" si="22"/>
        <v>133003.45931673748</v>
      </c>
      <c r="O32" s="8">
        <f t="shared" si="22"/>
        <v>207565.19860970057</v>
      </c>
      <c r="P32" s="8">
        <f t="shared" si="22"/>
        <v>287934.44351137668</v>
      </c>
      <c r="Q32" s="8">
        <f t="shared" si="22"/>
        <v>299566.99502923625</v>
      </c>
    </row>
    <row r="33" spans="1:18" x14ac:dyDescent="0.2">
      <c r="E33" s="8"/>
      <c r="H33" s="8"/>
      <c r="I33" s="8"/>
      <c r="J33" s="8"/>
    </row>
    <row r="34" spans="1:18" x14ac:dyDescent="0.2">
      <c r="A34" t="s">
        <v>17</v>
      </c>
      <c r="D34" s="9">
        <v>0.1</v>
      </c>
      <c r="E34" s="8">
        <f>E32*D34</f>
        <v>10080</v>
      </c>
      <c r="H34" s="8">
        <f>E34</f>
        <v>10080</v>
      </c>
      <c r="I34" s="10">
        <f>H34*1.02</f>
        <v>10281.6</v>
      </c>
      <c r="J34" s="10">
        <f t="shared" ref="J34:Q34" si="23">I34*1.02</f>
        <v>10487.232</v>
      </c>
      <c r="K34" s="10">
        <f t="shared" si="23"/>
        <v>10696.976640000001</v>
      </c>
      <c r="L34" s="10">
        <f t="shared" si="23"/>
        <v>10910.916172800002</v>
      </c>
      <c r="M34" s="10">
        <f t="shared" si="23"/>
        <v>11129.134496256002</v>
      </c>
      <c r="N34" s="10">
        <f t="shared" si="23"/>
        <v>11351.717186181122</v>
      </c>
      <c r="O34" s="10">
        <f t="shared" si="23"/>
        <v>11578.751529904745</v>
      </c>
      <c r="P34" s="10">
        <f t="shared" si="23"/>
        <v>11810.326560502839</v>
      </c>
      <c r="Q34" s="10">
        <f t="shared" si="23"/>
        <v>12046.533091712896</v>
      </c>
    </row>
    <row r="35" spans="1:18" x14ac:dyDescent="0.2">
      <c r="E35" s="8"/>
      <c r="H35" s="8"/>
    </row>
    <row r="36" spans="1:18" x14ac:dyDescent="0.2">
      <c r="A36" s="2" t="s">
        <v>18</v>
      </c>
      <c r="B36" s="2"/>
      <c r="C36" s="2"/>
      <c r="D36" s="2"/>
      <c r="E36" s="37">
        <f>SUM(E31:E32)-E34</f>
        <v>249120</v>
      </c>
      <c r="F36" s="2"/>
      <c r="G36" s="2"/>
      <c r="H36" s="37">
        <f>SUM(H31:H32)-H34</f>
        <v>259591.68000000005</v>
      </c>
      <c r="I36" s="37">
        <f>SUM(I31:I32)-I34</f>
        <v>410568.02380800009</v>
      </c>
      <c r="J36" s="37">
        <f t="shared" ref="J36:Q36" si="24">SUM(J31:J32)-J34</f>
        <v>135463.4175366144</v>
      </c>
      <c r="K36" s="37">
        <f t="shared" si="24"/>
        <v>596691.24647157441</v>
      </c>
      <c r="L36" s="37">
        <f t="shared" si="24"/>
        <v>621015.79115248204</v>
      </c>
      <c r="M36" s="37">
        <f t="shared" si="24"/>
        <v>481963.27522966161</v>
      </c>
      <c r="N36" s="37">
        <f t="shared" si="24"/>
        <v>330657.17819971521</v>
      </c>
      <c r="O36" s="37">
        <f t="shared" si="24"/>
        <v>522160.33060932526</v>
      </c>
      <c r="P36" s="37">
        <f t="shared" si="24"/>
        <v>728592.52818303695</v>
      </c>
      <c r="Q36" s="37">
        <f t="shared" si="24"/>
        <v>758268.59698346595</v>
      </c>
    </row>
    <row r="37" spans="1:18" x14ac:dyDescent="0.2">
      <c r="E37" s="8"/>
      <c r="H37" s="8"/>
    </row>
    <row r="38" spans="1:18" x14ac:dyDescent="0.2">
      <c r="A38" t="s">
        <v>19</v>
      </c>
      <c r="E38" s="8"/>
      <c r="H38" s="8"/>
    </row>
    <row r="39" spans="1:18" x14ac:dyDescent="0.2">
      <c r="B39" t="s">
        <v>105</v>
      </c>
      <c r="D39" s="12">
        <v>0.95</v>
      </c>
      <c r="E39" s="8">
        <f>$D$39*E31</f>
        <v>150480</v>
      </c>
      <c r="H39" s="8">
        <f t="shared" ref="H39:Q39" si="25">$D$39*H31</f>
        <v>156559.39199999999</v>
      </c>
      <c r="I39" s="8">
        <f t="shared" si="25"/>
        <v>244326.58715520002</v>
      </c>
      <c r="J39" s="8">
        <f t="shared" si="25"/>
        <v>84732.460425423356</v>
      </c>
      <c r="K39" s="8">
        <f t="shared" si="25"/>
        <v>352622.60730644176</v>
      </c>
      <c r="L39" s="8">
        <f t="shared" si="25"/>
        <v>366868.560641622</v>
      </c>
      <c r="M39" s="8">
        <f t="shared" si="25"/>
        <v>286267.53786865773</v>
      </c>
      <c r="N39" s="8">
        <f t="shared" si="25"/>
        <v>198555.16426570091</v>
      </c>
      <c r="O39" s="8">
        <f t="shared" si="25"/>
        <v>309865.18935305288</v>
      </c>
      <c r="P39" s="8">
        <f t="shared" si="25"/>
        <v>429844.99067055504</v>
      </c>
      <c r="Q39" s="8">
        <f t="shared" si="25"/>
        <v>447210.72829364543</v>
      </c>
      <c r="R39" s="13"/>
    </row>
    <row r="40" spans="1:18" x14ac:dyDescent="0.2">
      <c r="B40" t="s">
        <v>20</v>
      </c>
      <c r="C40" t="s">
        <v>106</v>
      </c>
      <c r="D40" s="9">
        <v>2.6487142857142858E-2</v>
      </c>
      <c r="E40" s="8">
        <f t="shared" ref="E40:E45" si="26">$D40*SUM(E$31:E$32)</f>
        <v>6865.4674285714291</v>
      </c>
      <c r="H40" s="8">
        <f t="shared" ref="H40:Q45" si="27">$D40*SUM(H$31:H$32)</f>
        <v>7142.8323126857158</v>
      </c>
      <c r="I40" s="8">
        <f t="shared" si="27"/>
        <v>11147.104107177327</v>
      </c>
      <c r="J40" s="8">
        <f t="shared" si="27"/>
        <v>3865.8157043690967</v>
      </c>
      <c r="K40" s="8">
        <f t="shared" si="27"/>
        <v>16087.978635302432</v>
      </c>
      <c r="L40" s="8">
        <f t="shared" si="27"/>
        <v>16737.932972168648</v>
      </c>
      <c r="M40" s="8">
        <f t="shared" si="27"/>
        <v>13060.609098183199</v>
      </c>
      <c r="N40" s="8">
        <f t="shared" si="27"/>
        <v>9058.8384704998625</v>
      </c>
      <c r="O40" s="8">
        <f t="shared" si="27"/>
        <v>14137.223317062091</v>
      </c>
      <c r="P40" s="8">
        <f t="shared" si="27"/>
        <v>19611.156185428532</v>
      </c>
      <c r="Q40" s="8">
        <f t="shared" si="27"/>
        <v>20403.446895319845</v>
      </c>
      <c r="R40" s="13"/>
    </row>
    <row r="41" spans="1:18" x14ac:dyDescent="0.2">
      <c r="B41" t="s">
        <v>21</v>
      </c>
      <c r="C41" t="s">
        <v>106</v>
      </c>
      <c r="D41" s="9">
        <v>3.1669999999999997E-2</v>
      </c>
      <c r="E41" s="8">
        <f t="shared" si="26"/>
        <v>8208.8639999999996</v>
      </c>
      <c r="H41" s="8">
        <f t="shared" si="27"/>
        <v>8540.5021056000005</v>
      </c>
      <c r="I41" s="8">
        <f t="shared" si="27"/>
        <v>13328.307585999361</v>
      </c>
      <c r="J41" s="8">
        <f t="shared" si="27"/>
        <v>4622.2570708245776</v>
      </c>
      <c r="K41" s="8">
        <f t="shared" si="27"/>
        <v>19235.985025943559</v>
      </c>
      <c r="L41" s="8">
        <f t="shared" si="27"/>
        <v>20013.11882099168</v>
      </c>
      <c r="M41" s="8">
        <f t="shared" si="27"/>
        <v>15616.236616019809</v>
      </c>
      <c r="N41" s="8">
        <f t="shared" si="27"/>
        <v>10831.421716871335</v>
      </c>
      <c r="O41" s="8">
        <f t="shared" si="27"/>
        <v>16903.516731349413</v>
      </c>
      <c r="P41" s="8">
        <f t="shared" si="27"/>
        <v>23448.558409727902</v>
      </c>
      <c r="Q41" s="8">
        <f t="shared" si="27"/>
        <v>24395.880169480912</v>
      </c>
      <c r="R41" s="13"/>
    </row>
    <row r="42" spans="1:18" x14ac:dyDescent="0.2">
      <c r="B42" t="s">
        <v>22</v>
      </c>
      <c r="C42" t="s">
        <v>106</v>
      </c>
      <c r="D42" s="9">
        <v>3.5662857142857142E-2</v>
      </c>
      <c r="E42" s="8">
        <f t="shared" si="26"/>
        <v>9243.8125714285707</v>
      </c>
      <c r="H42" s="8">
        <f t="shared" si="27"/>
        <v>9617.2625993142865</v>
      </c>
      <c r="I42" s="8">
        <f t="shared" si="27"/>
        <v>15008.700012489877</v>
      </c>
      <c r="J42" s="8">
        <f t="shared" si="27"/>
        <v>5205.0171643314879</v>
      </c>
      <c r="K42" s="8">
        <f t="shared" si="27"/>
        <v>21661.199431081921</v>
      </c>
      <c r="L42" s="8">
        <f t="shared" si="27"/>
        <v>22536.311888097629</v>
      </c>
      <c r="M42" s="8">
        <f t="shared" si="27"/>
        <v>17585.084166282581</v>
      </c>
      <c r="N42" s="8">
        <f t="shared" si="27"/>
        <v>12197.014377733594</v>
      </c>
      <c r="O42" s="8">
        <f t="shared" si="27"/>
        <v>19034.660637891055</v>
      </c>
      <c r="P42" s="8">
        <f t="shared" si="27"/>
        <v>26404.881236882469</v>
      </c>
      <c r="Q42" s="8">
        <f t="shared" si="27"/>
        <v>27471.638438852518</v>
      </c>
      <c r="R42" s="13"/>
    </row>
    <row r="43" spans="1:18" x14ac:dyDescent="0.2">
      <c r="B43" t="s">
        <v>23</v>
      </c>
      <c r="C43" t="s">
        <v>106</v>
      </c>
      <c r="D43" s="9">
        <v>7.1428571428571426E-3</v>
      </c>
      <c r="E43" s="8">
        <f t="shared" si="26"/>
        <v>1851.4285714285713</v>
      </c>
      <c r="H43" s="8">
        <f t="shared" si="27"/>
        <v>1926.226285714286</v>
      </c>
      <c r="I43" s="8">
        <f t="shared" si="27"/>
        <v>3006.0687414857148</v>
      </c>
      <c r="J43" s="8">
        <f t="shared" si="27"/>
        <v>1042.5046395472457</v>
      </c>
      <c r="K43" s="8">
        <f t="shared" si="27"/>
        <v>4338.4873079398176</v>
      </c>
      <c r="L43" s="8">
        <f t="shared" si="27"/>
        <v>4513.7621951805859</v>
      </c>
      <c r="M43" s="8">
        <f t="shared" si="27"/>
        <v>3522.0886408994115</v>
      </c>
      <c r="N43" s="8">
        <f t="shared" si="27"/>
        <v>2442.9206813278306</v>
      </c>
      <c r="O43" s="8">
        <f t="shared" si="27"/>
        <v>3812.4220152802141</v>
      </c>
      <c r="P43" s="8">
        <f t="shared" si="27"/>
        <v>5288.5918195967124</v>
      </c>
      <c r="Q43" s="8">
        <f t="shared" si="27"/>
        <v>5502.2509291084198</v>
      </c>
      <c r="R43" s="13"/>
    </row>
    <row r="44" spans="1:18" x14ac:dyDescent="0.2">
      <c r="B44" t="s">
        <v>134</v>
      </c>
      <c r="C44" t="s">
        <v>106</v>
      </c>
      <c r="D44" s="9">
        <v>6.0000000000000001E-3</v>
      </c>
      <c r="E44" s="8">
        <f t="shared" si="26"/>
        <v>1555.2</v>
      </c>
      <c r="H44" s="8">
        <f t="shared" si="27"/>
        <v>1618.0300800000005</v>
      </c>
      <c r="I44" s="8">
        <f t="shared" si="27"/>
        <v>2525.0977428480005</v>
      </c>
      <c r="J44" s="8">
        <f t="shared" si="27"/>
        <v>875.70389721968638</v>
      </c>
      <c r="K44" s="8">
        <f t="shared" si="27"/>
        <v>3644.3293386694468</v>
      </c>
      <c r="L44" s="8">
        <f t="shared" si="27"/>
        <v>3791.5602439516924</v>
      </c>
      <c r="M44" s="8">
        <f t="shared" si="27"/>
        <v>2958.5544583555056</v>
      </c>
      <c r="N44" s="8">
        <f t="shared" si="27"/>
        <v>2052.0533723153781</v>
      </c>
      <c r="O44" s="8">
        <f t="shared" si="27"/>
        <v>3202.4344928353798</v>
      </c>
      <c r="P44" s="8">
        <f t="shared" si="27"/>
        <v>4442.4171284612394</v>
      </c>
      <c r="Q44" s="8">
        <f t="shared" si="27"/>
        <v>4621.8907804510727</v>
      </c>
      <c r="R44" s="13"/>
    </row>
    <row r="45" spans="1:18" x14ac:dyDescent="0.2">
      <c r="B45" t="s">
        <v>24</v>
      </c>
      <c r="C45" t="s">
        <v>106</v>
      </c>
      <c r="D45" s="9">
        <v>1.3638571428571429E-2</v>
      </c>
      <c r="E45" s="8">
        <f t="shared" si="26"/>
        <v>3535.1177142857141</v>
      </c>
      <c r="H45" s="8">
        <f t="shared" si="27"/>
        <v>3677.9364699428579</v>
      </c>
      <c r="I45" s="8">
        <f t="shared" si="27"/>
        <v>5739.7876549928242</v>
      </c>
      <c r="J45" s="8">
        <f t="shared" si="27"/>
        <v>1990.5583587515109</v>
      </c>
      <c r="K45" s="8">
        <f t="shared" si="27"/>
        <v>8283.9076657802871</v>
      </c>
      <c r="L45" s="8">
        <f t="shared" si="27"/>
        <v>8618.5775354778107</v>
      </c>
      <c r="M45" s="8">
        <f t="shared" si="27"/>
        <v>6725.0760509333368</v>
      </c>
      <c r="N45" s="8">
        <f t="shared" si="27"/>
        <v>4664.51274892736</v>
      </c>
      <c r="O45" s="8">
        <f t="shared" si="27"/>
        <v>7279.4385959760411</v>
      </c>
      <c r="P45" s="8">
        <f t="shared" si="27"/>
        <v>10098.037220337965</v>
      </c>
      <c r="Q45" s="8">
        <f t="shared" si="27"/>
        <v>10505.997924039617</v>
      </c>
      <c r="R45" s="13"/>
    </row>
    <row r="46" spans="1:18" x14ac:dyDescent="0.2">
      <c r="E46" s="8"/>
      <c r="H46" s="8"/>
    </row>
    <row r="47" spans="1:18" x14ac:dyDescent="0.2">
      <c r="B47" t="s">
        <v>25</v>
      </c>
      <c r="E47" s="8">
        <f>SUM(E39:E45)</f>
        <v>181739.8902857143</v>
      </c>
      <c r="H47" s="8">
        <f>SUM(H39:H45)</f>
        <v>189082.18185325715</v>
      </c>
      <c r="I47" s="8">
        <f>SUM(I39:I45)</f>
        <v>295081.65300019307</v>
      </c>
      <c r="J47" s="8">
        <f>SUM(J39:J45)</f>
        <v>102334.31726046697</v>
      </c>
      <c r="K47" s="8">
        <f t="shared" ref="K47:Q47" si="28">SUM(K39:K45)</f>
        <v>425874.4947111592</v>
      </c>
      <c r="L47" s="8">
        <f t="shared" si="28"/>
        <v>443079.82429749001</v>
      </c>
      <c r="M47" s="8">
        <f t="shared" si="28"/>
        <v>345735.18689933157</v>
      </c>
      <c r="N47" s="8">
        <f t="shared" si="28"/>
        <v>239801.92563337629</v>
      </c>
      <c r="O47" s="8">
        <f t="shared" si="28"/>
        <v>374234.88514344703</v>
      </c>
      <c r="P47" s="8">
        <f t="shared" si="28"/>
        <v>519138.63267098984</v>
      </c>
      <c r="Q47" s="8">
        <f t="shared" si="28"/>
        <v>540111.83343089791</v>
      </c>
    </row>
    <row r="48" spans="1:18" x14ac:dyDescent="0.2">
      <c r="E48" s="8"/>
      <c r="H48" s="8"/>
      <c r="I48" s="8"/>
      <c r="J48" s="8"/>
    </row>
    <row r="49" spans="1:28" x14ac:dyDescent="0.2">
      <c r="A49" s="2" t="s">
        <v>26</v>
      </c>
      <c r="B49" s="2"/>
      <c r="C49" s="2"/>
      <c r="D49" s="2"/>
      <c r="E49" s="37">
        <f>E36-E47</f>
        <v>67380.109714285703</v>
      </c>
      <c r="F49" s="2"/>
      <c r="G49" s="2"/>
      <c r="H49" s="37">
        <f>H36-H47</f>
        <v>70509.498146742902</v>
      </c>
      <c r="I49" s="37">
        <f>I36-I47</f>
        <v>115486.37080780702</v>
      </c>
      <c r="J49" s="37">
        <f>J36-J47</f>
        <v>33129.100276147437</v>
      </c>
      <c r="K49" s="37">
        <f>K36-K47</f>
        <v>170816.75176041521</v>
      </c>
      <c r="L49" s="37">
        <f t="shared" ref="L49:Q49" si="29">L36-L47</f>
        <v>177935.96685499203</v>
      </c>
      <c r="M49" s="37">
        <f t="shared" si="29"/>
        <v>136228.08833033004</v>
      </c>
      <c r="N49" s="37">
        <f t="shared" si="29"/>
        <v>90855.252566338924</v>
      </c>
      <c r="O49" s="37">
        <f t="shared" si="29"/>
        <v>147925.44546587823</v>
      </c>
      <c r="P49" s="37">
        <f t="shared" si="29"/>
        <v>209453.89551204711</v>
      </c>
      <c r="Q49" s="37">
        <f t="shared" si="29"/>
        <v>218156.76355256804</v>
      </c>
    </row>
    <row r="50" spans="1:28" x14ac:dyDescent="0.2">
      <c r="E50" s="8"/>
      <c r="H50" s="8"/>
      <c r="I50" s="8"/>
      <c r="J50" s="8"/>
    </row>
    <row r="51" spans="1:28" x14ac:dyDescent="0.2">
      <c r="A51" t="s">
        <v>27</v>
      </c>
      <c r="E51" s="8"/>
      <c r="H51" s="8"/>
      <c r="I51" s="8"/>
      <c r="J51" s="8"/>
    </row>
    <row r="52" spans="1:28" x14ac:dyDescent="0.2">
      <c r="B52" t="s">
        <v>28</v>
      </c>
      <c r="E52" s="8">
        <f>E70/E22</f>
        <v>10625</v>
      </c>
      <c r="H52" s="8">
        <f t="shared" ref="H52:Q52" si="30">H70/H22</f>
        <v>10625</v>
      </c>
      <c r="I52" s="8">
        <f t="shared" si="30"/>
        <v>10625</v>
      </c>
      <c r="J52" s="8">
        <f t="shared" si="30"/>
        <v>10625</v>
      </c>
      <c r="K52" s="8">
        <f t="shared" si="30"/>
        <v>10625</v>
      </c>
      <c r="L52" s="8">
        <f t="shared" si="30"/>
        <v>10625</v>
      </c>
      <c r="M52" s="8">
        <f t="shared" si="30"/>
        <v>13125</v>
      </c>
      <c r="N52" s="8">
        <f t="shared" si="30"/>
        <v>13125</v>
      </c>
      <c r="O52" s="8">
        <f t="shared" si="30"/>
        <v>13125</v>
      </c>
      <c r="P52" s="8">
        <f t="shared" si="30"/>
        <v>13125</v>
      </c>
      <c r="Q52" s="8">
        <f t="shared" si="30"/>
        <v>13125</v>
      </c>
    </row>
    <row r="53" spans="1:28" x14ac:dyDescent="0.2">
      <c r="B53" t="s">
        <v>29</v>
      </c>
      <c r="E53" s="8">
        <f>E72/E23</f>
        <v>14347.826086956522</v>
      </c>
      <c r="H53" s="10">
        <f>H72/H23</f>
        <v>14347.826086956522</v>
      </c>
      <c r="I53" s="8">
        <f t="shared" ref="I53:Q53" si="31">I72/I23</f>
        <v>14347.826086956522</v>
      </c>
      <c r="J53" s="8">
        <f t="shared" si="31"/>
        <v>14347.826086956522</v>
      </c>
      <c r="K53" s="8">
        <f t="shared" si="31"/>
        <v>14347.826086956522</v>
      </c>
      <c r="L53" s="8">
        <f t="shared" si="31"/>
        <v>14347.826086956522</v>
      </c>
      <c r="M53" s="8">
        <f t="shared" si="31"/>
        <v>14347.826086956522</v>
      </c>
      <c r="N53" s="8">
        <f t="shared" si="31"/>
        <v>14347.826086956522</v>
      </c>
      <c r="O53" s="8">
        <f t="shared" si="31"/>
        <v>14347.826086956522</v>
      </c>
      <c r="P53" s="8">
        <f t="shared" si="31"/>
        <v>14347.826086956522</v>
      </c>
      <c r="Q53" s="8">
        <f t="shared" si="31"/>
        <v>14347.826086956522</v>
      </c>
    </row>
    <row r="54" spans="1:28" x14ac:dyDescent="0.2">
      <c r="E54" s="8"/>
      <c r="H54" s="8"/>
      <c r="I54" s="8"/>
      <c r="J54" s="8"/>
    </row>
    <row r="55" spans="1:28" x14ac:dyDescent="0.2">
      <c r="A55" t="s">
        <v>30</v>
      </c>
      <c r="E55" s="8">
        <f>Mortgage!D15</f>
        <v>29832.972947781545</v>
      </c>
      <c r="G55" s="11"/>
      <c r="H55" s="8">
        <f>Mortgage!D29</f>
        <v>29454.267570995526</v>
      </c>
      <c r="I55" s="8">
        <f>Mortgage!D43</f>
        <v>29052.204475228024</v>
      </c>
      <c r="J55" s="8">
        <f>Mortgage!D57</f>
        <v>28625.343007482101</v>
      </c>
      <c r="K55" s="8">
        <f>J55-50</f>
        <v>28575.343007482101</v>
      </c>
      <c r="L55" s="11">
        <f>K55-75</f>
        <v>28500.343007482101</v>
      </c>
      <c r="M55" s="11">
        <f>L55-100</f>
        <v>28400.343007482101</v>
      </c>
      <c r="N55" s="11">
        <f>M55-120</f>
        <v>28280.343007482101</v>
      </c>
      <c r="O55" s="11">
        <f>N55-150</f>
        <v>28130.343007482101</v>
      </c>
      <c r="P55" s="11">
        <f>O55-180</f>
        <v>27950.343007482101</v>
      </c>
      <c r="Q55" s="11">
        <f>P55-210</f>
        <v>27740.343007482101</v>
      </c>
    </row>
    <row r="56" spans="1:28" x14ac:dyDescent="0.2">
      <c r="A56" t="s">
        <v>31</v>
      </c>
      <c r="E56" s="8">
        <f>E82*E18</f>
        <v>53620.251127636424</v>
      </c>
      <c r="G56" s="11"/>
      <c r="H56" s="8">
        <f t="shared" ref="H56:Q56" si="32">H82*H18</f>
        <v>31876.800003710541</v>
      </c>
      <c r="I56" s="8">
        <f t="shared" si="32"/>
        <v>27594.15827498179</v>
      </c>
      <c r="J56" s="8">
        <f t="shared" si="32"/>
        <v>30073.704232750544</v>
      </c>
      <c r="K56" s="8">
        <f t="shared" si="32"/>
        <v>21554.244082486446</v>
      </c>
      <c r="L56" s="8">
        <f t="shared" si="32"/>
        <v>11065.990977635167</v>
      </c>
      <c r="M56" s="8">
        <f t="shared" si="32"/>
        <v>9032.4829394103745</v>
      </c>
      <c r="N56" s="8">
        <f t="shared" si="32"/>
        <v>5039.1979733001972</v>
      </c>
      <c r="O56" s="8">
        <f t="shared" si="32"/>
        <v>0</v>
      </c>
      <c r="P56" s="8">
        <f t="shared" si="32"/>
        <v>0</v>
      </c>
      <c r="Q56" s="8">
        <f t="shared" si="32"/>
        <v>0</v>
      </c>
    </row>
    <row r="57" spans="1:28" ht="15" x14ac:dyDescent="0.25">
      <c r="E57" s="8"/>
      <c r="H57" s="8"/>
      <c r="I57" s="8"/>
      <c r="J57" s="8"/>
      <c r="S57" s="43" t="s">
        <v>144</v>
      </c>
      <c r="T57" s="44">
        <f>E19</f>
        <v>0.25</v>
      </c>
      <c r="U57" s="45"/>
      <c r="V57" s="45"/>
      <c r="W57" s="45"/>
      <c r="X57" s="45"/>
      <c r="Y57" s="46"/>
      <c r="Z57" s="46"/>
      <c r="AA57" s="46"/>
      <c r="AB57" s="47"/>
    </row>
    <row r="58" spans="1:28" ht="15" x14ac:dyDescent="0.25">
      <c r="A58" t="s">
        <v>32</v>
      </c>
      <c r="E58" s="8">
        <f>E49-SUM(E52:E56)</f>
        <v>-41045.94044808879</v>
      </c>
      <c r="H58" s="8">
        <f t="shared" ref="H58:Q58" si="33">H49-SUM(H52:H56)</f>
        <v>-15794.395514919685</v>
      </c>
      <c r="I58" s="8">
        <f t="shared" si="33"/>
        <v>33867.181970640682</v>
      </c>
      <c r="J58" s="8">
        <f t="shared" si="33"/>
        <v>-50542.773051041731</v>
      </c>
      <c r="K58" s="8">
        <f t="shared" si="33"/>
        <v>95714.338583490142</v>
      </c>
      <c r="L58" s="8">
        <f t="shared" si="33"/>
        <v>113396.80678291824</v>
      </c>
      <c r="M58" s="8">
        <f t="shared" si="33"/>
        <v>71322.436296481043</v>
      </c>
      <c r="N58" s="8">
        <f t="shared" si="33"/>
        <v>30062.88549860011</v>
      </c>
      <c r="O58" s="8">
        <f t="shared" si="33"/>
        <v>92322.276371439613</v>
      </c>
      <c r="P58" s="8">
        <f t="shared" si="33"/>
        <v>154030.7264176085</v>
      </c>
      <c r="Q58" s="8">
        <f t="shared" si="33"/>
        <v>162943.59445812943</v>
      </c>
      <c r="S58" s="15"/>
      <c r="T58" s="17"/>
      <c r="U58" s="17"/>
      <c r="V58" s="17"/>
      <c r="W58" s="17"/>
      <c r="X58" s="17"/>
      <c r="Y58" s="30"/>
      <c r="Z58" s="30"/>
      <c r="AA58" s="30"/>
      <c r="AB58" s="48"/>
    </row>
    <row r="59" spans="1:28" ht="15" x14ac:dyDescent="0.25">
      <c r="A59" t="s">
        <v>33</v>
      </c>
      <c r="E59" s="8">
        <f>IF(E58&lt;0, 0, E58*E19)</f>
        <v>0</v>
      </c>
      <c r="H59" s="8">
        <f t="shared" ref="H59:Q59" si="34">IF(H58&lt;0, 0, H58*H19)</f>
        <v>0</v>
      </c>
      <c r="I59" s="8">
        <f t="shared" si="34"/>
        <v>8466.7954926601706</v>
      </c>
      <c r="J59" s="8">
        <f t="shared" si="34"/>
        <v>0</v>
      </c>
      <c r="K59" s="8">
        <f t="shared" si="34"/>
        <v>23928.584645872535</v>
      </c>
      <c r="L59" s="8">
        <f t="shared" si="34"/>
        <v>28349.20169572956</v>
      </c>
      <c r="M59" s="8">
        <f t="shared" si="34"/>
        <v>17830.609074120261</v>
      </c>
      <c r="N59" s="8">
        <f t="shared" si="34"/>
        <v>7515.7213746500274</v>
      </c>
      <c r="O59" s="8">
        <f t="shared" si="34"/>
        <v>23080.569092859903</v>
      </c>
      <c r="P59" s="8">
        <f t="shared" si="34"/>
        <v>38507.681604402125</v>
      </c>
      <c r="Q59" s="8">
        <f t="shared" si="34"/>
        <v>40735.898614532358</v>
      </c>
      <c r="S59" s="15" t="s">
        <v>145</v>
      </c>
      <c r="T59" s="49">
        <v>2.5000000000000001E-2</v>
      </c>
      <c r="U59" s="17"/>
      <c r="V59" s="17"/>
      <c r="W59" s="17"/>
      <c r="X59" s="17"/>
      <c r="Y59" s="30"/>
      <c r="Z59" s="30"/>
      <c r="AA59" s="30"/>
      <c r="AB59" s="48"/>
    </row>
    <row r="60" spans="1:28" ht="15" x14ac:dyDescent="0.25">
      <c r="A60" s="2" t="s">
        <v>34</v>
      </c>
      <c r="B60" s="2"/>
      <c r="C60" s="2"/>
      <c r="D60" s="2"/>
      <c r="E60" s="37">
        <f>E58-E59</f>
        <v>-41045.94044808879</v>
      </c>
      <c r="F60" s="2"/>
      <c r="G60" s="2"/>
      <c r="H60" s="37">
        <f>H58-H59</f>
        <v>-15794.395514919685</v>
      </c>
      <c r="I60" s="37">
        <f>I58-I59</f>
        <v>25400.386477980512</v>
      </c>
      <c r="J60" s="37">
        <f>J58-J59</f>
        <v>-50542.773051041731</v>
      </c>
      <c r="K60" s="37">
        <f t="shared" ref="K60:Q60" si="35">K58-K59</f>
        <v>71785.753937617614</v>
      </c>
      <c r="L60" s="37">
        <f t="shared" si="35"/>
        <v>85047.605087188684</v>
      </c>
      <c r="M60" s="37">
        <f t="shared" si="35"/>
        <v>53491.827222360778</v>
      </c>
      <c r="N60" s="37">
        <f t="shared" si="35"/>
        <v>22547.164123950082</v>
      </c>
      <c r="O60" s="37">
        <f t="shared" si="35"/>
        <v>69241.707278579706</v>
      </c>
      <c r="P60" s="37">
        <f t="shared" si="35"/>
        <v>115523.04481320638</v>
      </c>
      <c r="Q60" s="37">
        <f t="shared" si="35"/>
        <v>122207.69584359707</v>
      </c>
      <c r="S60" s="15" t="s">
        <v>89</v>
      </c>
      <c r="T60" s="50">
        <v>0.11</v>
      </c>
      <c r="U60" s="17"/>
      <c r="V60" s="17"/>
      <c r="W60" s="17"/>
      <c r="X60" s="17"/>
      <c r="Y60" s="30"/>
      <c r="Z60" s="30"/>
      <c r="AA60" s="30"/>
      <c r="AB60" s="48"/>
    </row>
    <row r="61" spans="1:28" ht="15" x14ac:dyDescent="0.25">
      <c r="E61" s="8"/>
      <c r="H61" s="8"/>
      <c r="S61" s="15"/>
      <c r="T61" s="17"/>
      <c r="U61" s="17"/>
      <c r="V61" s="17"/>
      <c r="W61" s="17"/>
      <c r="X61" s="17"/>
      <c r="Y61" s="30"/>
      <c r="Z61" s="30"/>
      <c r="AA61" s="30"/>
      <c r="AB61" s="48"/>
    </row>
    <row r="62" spans="1:28" ht="15" x14ac:dyDescent="0.25">
      <c r="A62" s="2" t="s">
        <v>35</v>
      </c>
      <c r="E62" s="8"/>
      <c r="H62" s="8"/>
      <c r="S62" s="15" t="s">
        <v>146</v>
      </c>
      <c r="T62" s="51">
        <v>1.3</v>
      </c>
      <c r="U62" s="17"/>
      <c r="V62" s="17"/>
      <c r="W62" s="17"/>
      <c r="X62" s="17"/>
      <c r="Y62" s="30"/>
      <c r="Z62" s="30"/>
      <c r="AA62" s="30"/>
      <c r="AB62" s="48"/>
    </row>
    <row r="63" spans="1:28" ht="15" x14ac:dyDescent="0.25">
      <c r="A63" s="2" t="s">
        <v>36</v>
      </c>
      <c r="E63" s="8"/>
      <c r="H63" s="8"/>
      <c r="S63" s="15" t="s">
        <v>147</v>
      </c>
      <c r="T63" s="16">
        <f>SUM(T75:T76)</f>
        <v>0.56879763656101801</v>
      </c>
      <c r="U63" s="17"/>
      <c r="V63" s="17"/>
      <c r="W63" s="17"/>
      <c r="X63" s="17"/>
      <c r="Y63" s="30"/>
      <c r="Z63" s="30"/>
      <c r="AA63" s="30"/>
      <c r="AB63" s="48"/>
    </row>
    <row r="64" spans="1:28" ht="15" x14ac:dyDescent="0.25">
      <c r="B64" t="s">
        <v>37</v>
      </c>
      <c r="E64" s="8">
        <v>5000</v>
      </c>
      <c r="H64" s="8">
        <f>$E$64</f>
        <v>5000</v>
      </c>
      <c r="I64" s="8">
        <f t="shared" ref="I64:Q64" si="36">$E$64</f>
        <v>5000</v>
      </c>
      <c r="J64" s="8">
        <f t="shared" si="36"/>
        <v>5000</v>
      </c>
      <c r="K64" s="8">
        <f t="shared" si="36"/>
        <v>5000</v>
      </c>
      <c r="L64" s="8">
        <f t="shared" si="36"/>
        <v>5000</v>
      </c>
      <c r="M64" s="8">
        <f t="shared" si="36"/>
        <v>5000</v>
      </c>
      <c r="N64" s="8">
        <f t="shared" si="36"/>
        <v>5000</v>
      </c>
      <c r="O64" s="8">
        <f t="shared" si="36"/>
        <v>5000</v>
      </c>
      <c r="P64" s="8">
        <f t="shared" si="36"/>
        <v>5000</v>
      </c>
      <c r="Q64" s="8">
        <f t="shared" si="36"/>
        <v>5000</v>
      </c>
      <c r="S64" s="15" t="s">
        <v>148</v>
      </c>
      <c r="T64" s="16">
        <f>T78</f>
        <v>0.43120236343898211</v>
      </c>
      <c r="U64" s="16">
        <f>T63+T64</f>
        <v>1</v>
      </c>
      <c r="V64" s="17"/>
      <c r="W64" s="17"/>
      <c r="X64" s="17"/>
      <c r="Y64" s="30"/>
      <c r="Z64" s="30"/>
      <c r="AA64" s="30"/>
      <c r="AB64" s="48"/>
    </row>
    <row r="65" spans="1:28" ht="15" x14ac:dyDescent="0.25">
      <c r="B65" t="s">
        <v>38</v>
      </c>
      <c r="E65" s="8">
        <v>199332.899997684</v>
      </c>
      <c r="H65" s="8"/>
      <c r="J65" s="24"/>
      <c r="K65" s="24"/>
      <c r="L65" s="24"/>
      <c r="M65" s="24"/>
      <c r="N65" s="24"/>
      <c r="O65" s="24">
        <v>41052.831743776696</v>
      </c>
      <c r="P65" s="24">
        <v>177341.57441240299</v>
      </c>
      <c r="Q65" s="24">
        <v>317370.03163061099</v>
      </c>
      <c r="S65" s="15" t="s">
        <v>149</v>
      </c>
      <c r="T65" s="52">
        <v>0.2</v>
      </c>
      <c r="U65" s="17"/>
      <c r="V65" s="17"/>
      <c r="W65" s="17"/>
      <c r="X65" s="17"/>
      <c r="Y65" s="30"/>
      <c r="Z65" s="30"/>
      <c r="AA65" s="30"/>
      <c r="AB65" s="48"/>
    </row>
    <row r="66" spans="1:28" ht="15" x14ac:dyDescent="0.25">
      <c r="B66" t="s">
        <v>39</v>
      </c>
      <c r="E66" s="8">
        <f>SUM(E31:E32)/365*E11</f>
        <v>4970.9589041095896</v>
      </c>
      <c r="H66" s="8">
        <f t="shared" ref="H66:Q66" si="37">SUM(H31:H32)/365*H11</f>
        <v>5171.7856438356175</v>
      </c>
      <c r="I66" s="8">
        <f t="shared" si="37"/>
        <v>8071.0886757698645</v>
      </c>
      <c r="J66" s="8">
        <f t="shared" si="37"/>
        <v>2799.0535527569882</v>
      </c>
      <c r="K66" s="8">
        <f t="shared" si="37"/>
        <v>11648.541265153483</v>
      </c>
      <c r="L66" s="8">
        <f t="shared" si="37"/>
        <v>12119.142332265685</v>
      </c>
      <c r="M66" s="8">
        <f t="shared" si="37"/>
        <v>9456.566761866914</v>
      </c>
      <c r="N66" s="8">
        <f t="shared" si="37"/>
        <v>6559.0747060308877</v>
      </c>
      <c r="O66" s="8">
        <f t="shared" si="37"/>
        <v>10236.091986231808</v>
      </c>
      <c r="P66" s="8">
        <f t="shared" si="37"/>
        <v>14199.506803300763</v>
      </c>
      <c r="Q66" s="8">
        <f t="shared" si="37"/>
        <v>14773.166878154114</v>
      </c>
      <c r="S66" s="15"/>
      <c r="T66" s="17"/>
      <c r="U66" s="17"/>
      <c r="V66" s="17"/>
      <c r="W66" s="17"/>
      <c r="X66" s="17"/>
      <c r="Y66" s="30"/>
      <c r="Z66" s="30"/>
      <c r="AA66" s="30"/>
      <c r="AB66" s="48"/>
    </row>
    <row r="67" spans="1:28" ht="15" x14ac:dyDescent="0.25">
      <c r="B67" t="s">
        <v>40</v>
      </c>
      <c r="E67" s="8">
        <f>E36/365*E13</f>
        <v>10237.808219178083</v>
      </c>
      <c r="H67" s="10">
        <f t="shared" ref="H67:Q67" si="38">IF(H36/365*H13&lt;0,0,H36/365*H13)</f>
        <v>10668.151232876715</v>
      </c>
      <c r="I67" s="10">
        <f t="shared" si="38"/>
        <v>16872.658512657537</v>
      </c>
      <c r="J67" s="10">
        <f t="shared" si="38"/>
        <v>5566.9897617786746</v>
      </c>
      <c r="K67" s="10">
        <f t="shared" si="38"/>
        <v>24521.558074174289</v>
      </c>
      <c r="L67" s="10">
        <f t="shared" si="38"/>
        <v>25521.196896677342</v>
      </c>
      <c r="M67" s="10">
        <f t="shared" si="38"/>
        <v>19806.709940944995</v>
      </c>
      <c r="N67" s="10">
        <f t="shared" si="38"/>
        <v>13588.651158892406</v>
      </c>
      <c r="O67" s="10">
        <f t="shared" si="38"/>
        <v>21458.643723670899</v>
      </c>
      <c r="P67" s="10">
        <f t="shared" si="38"/>
        <v>29942.158692453573</v>
      </c>
      <c r="Q67" s="10">
        <f t="shared" si="38"/>
        <v>31161.723163704079</v>
      </c>
      <c r="S67" s="15" t="s">
        <v>150</v>
      </c>
      <c r="T67" s="53">
        <f>SUM(Y75:Y76)</f>
        <v>0.79999999999999993</v>
      </c>
      <c r="U67" s="17"/>
      <c r="V67" s="17"/>
      <c r="W67" s="17"/>
      <c r="X67" s="17"/>
      <c r="Y67" s="30"/>
      <c r="Z67" s="30"/>
      <c r="AA67" s="30"/>
      <c r="AB67" s="48"/>
    </row>
    <row r="68" spans="1:28" ht="15" x14ac:dyDescent="0.25">
      <c r="E68" s="8"/>
      <c r="H68" s="8"/>
      <c r="I68" s="8"/>
      <c r="S68" s="15" t="s">
        <v>151</v>
      </c>
      <c r="T68" s="53">
        <f>Y78</f>
        <v>0.2</v>
      </c>
      <c r="U68" s="16">
        <f>T67+T68</f>
        <v>1</v>
      </c>
      <c r="V68" s="17"/>
      <c r="W68" s="17"/>
      <c r="X68" s="17"/>
      <c r="Y68" s="30"/>
      <c r="Z68" s="30"/>
      <c r="AA68" s="30"/>
      <c r="AB68" s="48"/>
    </row>
    <row r="69" spans="1:28" ht="15" x14ac:dyDescent="0.25">
      <c r="B69" t="s">
        <v>41</v>
      </c>
      <c r="E69" s="8">
        <f>E10*660/1650</f>
        <v>500000</v>
      </c>
      <c r="H69" s="8">
        <f t="shared" ref="H69:Q69" si="39">H10*660/1650</f>
        <v>500000</v>
      </c>
      <c r="I69" s="8">
        <f t="shared" si="39"/>
        <v>500000</v>
      </c>
      <c r="J69" s="8">
        <f t="shared" si="39"/>
        <v>500000</v>
      </c>
      <c r="K69" s="8">
        <f t="shared" si="39"/>
        <v>500000</v>
      </c>
      <c r="L69" s="8">
        <f t="shared" si="39"/>
        <v>500000</v>
      </c>
      <c r="M69" s="8">
        <f t="shared" si="39"/>
        <v>500000</v>
      </c>
      <c r="N69" s="8">
        <f t="shared" si="39"/>
        <v>500000</v>
      </c>
      <c r="O69" s="8">
        <f t="shared" si="39"/>
        <v>500000</v>
      </c>
      <c r="P69" s="8">
        <f t="shared" si="39"/>
        <v>500000</v>
      </c>
      <c r="Q69" s="8">
        <f t="shared" si="39"/>
        <v>500000</v>
      </c>
      <c r="S69" s="15" t="s">
        <v>152</v>
      </c>
      <c r="T69" s="54">
        <f>T65*(1+(1-T57)*(T67/T68))</f>
        <v>0.79999999999999993</v>
      </c>
      <c r="U69" s="17"/>
      <c r="V69" s="17"/>
      <c r="W69" s="17"/>
      <c r="X69" s="17"/>
      <c r="Y69" s="30"/>
      <c r="Z69" s="30"/>
      <c r="AA69" s="30"/>
      <c r="AB69" s="48"/>
    </row>
    <row r="70" spans="1:28" ht="15" x14ac:dyDescent="0.25">
      <c r="B70" t="s">
        <v>28</v>
      </c>
      <c r="E70" s="8">
        <f>E10*280.5/1650</f>
        <v>212500</v>
      </c>
      <c r="H70" s="8">
        <f>H10*280.5/1650</f>
        <v>212500</v>
      </c>
      <c r="I70" s="8">
        <f>I10*280.5/1650</f>
        <v>212500</v>
      </c>
      <c r="J70" s="8">
        <f>J10*280.5/1650</f>
        <v>212500</v>
      </c>
      <c r="K70" s="8">
        <f>K10*280.5/1650</f>
        <v>212500</v>
      </c>
      <c r="L70" s="8">
        <f>L10*280.5/1650</f>
        <v>212500</v>
      </c>
      <c r="M70" s="8">
        <f>M10*280.5/1650+50000</f>
        <v>262500</v>
      </c>
      <c r="N70" s="8">
        <f>M70</f>
        <v>262500</v>
      </c>
      <c r="O70" s="8">
        <f>N70</f>
        <v>262500</v>
      </c>
      <c r="P70" s="8">
        <f>O70</f>
        <v>262500</v>
      </c>
      <c r="Q70" s="8">
        <f>P70</f>
        <v>262500</v>
      </c>
      <c r="S70" s="15"/>
      <c r="T70" s="17"/>
      <c r="U70" s="17"/>
      <c r="V70" s="17"/>
      <c r="W70" s="17"/>
      <c r="X70" s="17"/>
      <c r="Y70" s="30"/>
      <c r="Z70" s="30"/>
      <c r="AA70" s="30"/>
      <c r="AB70" s="48"/>
    </row>
    <row r="71" spans="1:28" ht="15" x14ac:dyDescent="0.25">
      <c r="B71" t="s">
        <v>42</v>
      </c>
      <c r="E71" s="8">
        <f>D71+E52</f>
        <v>10625</v>
      </c>
      <c r="H71" s="8">
        <f t="shared" ref="H71:Q71" si="40">G71+H52</f>
        <v>10625</v>
      </c>
      <c r="I71" s="8">
        <f t="shared" si="40"/>
        <v>21250</v>
      </c>
      <c r="J71" s="8">
        <f t="shared" si="40"/>
        <v>31875</v>
      </c>
      <c r="K71" s="8">
        <f t="shared" si="40"/>
        <v>42500</v>
      </c>
      <c r="L71" s="8">
        <f t="shared" si="40"/>
        <v>53125</v>
      </c>
      <c r="M71" s="8">
        <f t="shared" si="40"/>
        <v>66250</v>
      </c>
      <c r="N71" s="8">
        <f t="shared" si="40"/>
        <v>79375</v>
      </c>
      <c r="O71" s="8">
        <f t="shared" si="40"/>
        <v>92500</v>
      </c>
      <c r="P71" s="8">
        <f t="shared" si="40"/>
        <v>105625</v>
      </c>
      <c r="Q71" s="8">
        <f t="shared" si="40"/>
        <v>118750</v>
      </c>
      <c r="R71" s="8"/>
      <c r="S71" s="15" t="s">
        <v>153</v>
      </c>
      <c r="T71" s="55">
        <f>T59+T62*(T60-T59)</f>
        <v>0.13549999999999998</v>
      </c>
      <c r="U71" s="17"/>
      <c r="V71" s="17"/>
      <c r="W71" s="17"/>
      <c r="X71" s="17"/>
      <c r="Y71" s="30"/>
      <c r="Z71" s="30"/>
      <c r="AA71" s="30"/>
      <c r="AB71" s="48"/>
    </row>
    <row r="72" spans="1:28" ht="15" x14ac:dyDescent="0.25">
      <c r="B72" t="s">
        <v>29</v>
      </c>
      <c r="E72" s="8">
        <f>E10*544.5/1650</f>
        <v>412500</v>
      </c>
      <c r="H72" s="8">
        <f t="shared" ref="H72:Q72" si="41">H10*544.5/1650</f>
        <v>412500</v>
      </c>
      <c r="I72" s="8">
        <f t="shared" si="41"/>
        <v>412500</v>
      </c>
      <c r="J72" s="8">
        <f t="shared" si="41"/>
        <v>412500</v>
      </c>
      <c r="K72" s="8">
        <f t="shared" si="41"/>
        <v>412500</v>
      </c>
      <c r="L72" s="8">
        <f t="shared" si="41"/>
        <v>412500</v>
      </c>
      <c r="M72" s="8">
        <f t="shared" si="41"/>
        <v>412500</v>
      </c>
      <c r="N72" s="8">
        <f t="shared" si="41"/>
        <v>412500</v>
      </c>
      <c r="O72" s="8">
        <f t="shared" si="41"/>
        <v>412500</v>
      </c>
      <c r="P72" s="8">
        <f t="shared" si="41"/>
        <v>412500</v>
      </c>
      <c r="Q72" s="8">
        <f t="shared" si="41"/>
        <v>412500</v>
      </c>
      <c r="S72" s="15" t="s">
        <v>154</v>
      </c>
      <c r="T72" s="55">
        <v>0.14000000000000001</v>
      </c>
      <c r="U72" s="17"/>
      <c r="V72" s="17"/>
      <c r="W72" s="17"/>
      <c r="X72" s="17"/>
      <c r="Y72" s="30"/>
      <c r="Z72" s="30"/>
      <c r="AA72" s="30"/>
      <c r="AB72" s="48"/>
    </row>
    <row r="73" spans="1:28" ht="15" x14ac:dyDescent="0.25">
      <c r="B73" t="s">
        <v>42</v>
      </c>
      <c r="E73" s="8">
        <f>D73+E53</f>
        <v>14347.826086956522</v>
      </c>
      <c r="H73" s="8">
        <f>G73+H53</f>
        <v>14347.826086956522</v>
      </c>
      <c r="I73" s="8">
        <f t="shared" ref="I73:Q73" si="42">H73+I53</f>
        <v>28695.652173913044</v>
      </c>
      <c r="J73" s="8">
        <f t="shared" si="42"/>
        <v>43043.478260869568</v>
      </c>
      <c r="K73" s="8">
        <f t="shared" si="42"/>
        <v>57391.304347826088</v>
      </c>
      <c r="L73" s="8">
        <f t="shared" si="42"/>
        <v>71739.130434782608</v>
      </c>
      <c r="M73" s="8">
        <f t="shared" si="42"/>
        <v>86086.956521739135</v>
      </c>
      <c r="N73" s="8">
        <f t="shared" si="42"/>
        <v>100434.78260869566</v>
      </c>
      <c r="O73" s="8">
        <f t="shared" si="42"/>
        <v>114782.60869565219</v>
      </c>
      <c r="P73" s="8">
        <f t="shared" si="42"/>
        <v>129130.43478260872</v>
      </c>
      <c r="Q73" s="8">
        <f t="shared" si="42"/>
        <v>143478.26086956525</v>
      </c>
      <c r="S73" s="15"/>
      <c r="T73" s="17"/>
      <c r="U73" s="17"/>
      <c r="V73" s="17"/>
      <c r="W73" s="17"/>
      <c r="X73" s="17"/>
      <c r="Y73" s="30"/>
      <c r="Z73" s="30"/>
      <c r="AA73" s="30"/>
      <c r="AB73" s="48"/>
    </row>
    <row r="74" spans="1:28" ht="15" x14ac:dyDescent="0.25">
      <c r="E74" s="8"/>
      <c r="H74" s="8"/>
      <c r="I74" s="8"/>
      <c r="J74" s="8"/>
      <c r="S74" s="15" t="s">
        <v>155</v>
      </c>
      <c r="T74" s="17" t="s">
        <v>156</v>
      </c>
      <c r="U74" s="17" t="s">
        <v>75</v>
      </c>
      <c r="V74" s="17" t="s">
        <v>157</v>
      </c>
      <c r="W74" s="17" t="s">
        <v>88</v>
      </c>
      <c r="X74" s="17"/>
      <c r="Y74" s="30" t="s">
        <v>158</v>
      </c>
      <c r="Z74" s="30" t="s">
        <v>159</v>
      </c>
      <c r="AA74" s="30" t="s">
        <v>157</v>
      </c>
      <c r="AB74" s="48" t="s">
        <v>88</v>
      </c>
    </row>
    <row r="75" spans="1:28" ht="15" x14ac:dyDescent="0.25">
      <c r="A75" s="2" t="s">
        <v>43</v>
      </c>
      <c r="E75" s="8">
        <f>SUM(E64:E67)+E69+E70+E72-E71-E73</f>
        <v>1319568.8410340152</v>
      </c>
      <c r="H75" s="8">
        <f t="shared" ref="H75:Q75" si="43">SUM(H64:H67)+H69+H70+H72-H71-H73</f>
        <v>1120867.1107897558</v>
      </c>
      <c r="I75" s="8">
        <f t="shared" si="43"/>
        <v>1104998.0950145144</v>
      </c>
      <c r="J75" s="8">
        <f t="shared" si="43"/>
        <v>1063447.565053666</v>
      </c>
      <c r="K75" s="8">
        <f t="shared" si="43"/>
        <v>1066278.7949915016</v>
      </c>
      <c r="L75" s="8">
        <f t="shared" si="43"/>
        <v>1042776.2087941604</v>
      </c>
      <c r="M75" s="8">
        <f t="shared" si="43"/>
        <v>1056926.3201810727</v>
      </c>
      <c r="N75" s="8">
        <f t="shared" si="43"/>
        <v>1020337.9432562276</v>
      </c>
      <c r="O75" s="8">
        <f t="shared" si="43"/>
        <v>1045464.9587580272</v>
      </c>
      <c r="P75" s="8">
        <f t="shared" si="43"/>
        <v>1166727.8051255487</v>
      </c>
      <c r="Q75" s="33">
        <f t="shared" si="43"/>
        <v>1281076.6608029041</v>
      </c>
      <c r="S75" s="56">
        <f>AVERAGE(H81:Q81)</f>
        <v>451434.28236855706</v>
      </c>
      <c r="T75" s="55">
        <f>S75/S80</f>
        <v>0.39744847431636726</v>
      </c>
      <c r="U75" s="57">
        <v>0.05</v>
      </c>
      <c r="V75" s="55">
        <f>U75*(1-$E$19)</f>
        <v>3.7500000000000006E-2</v>
      </c>
      <c r="W75" s="16">
        <f>T75*V75</f>
        <v>1.4904317786863774E-2</v>
      </c>
      <c r="X75" s="17"/>
      <c r="Y75" s="58">
        <v>0.7</v>
      </c>
      <c r="Z75" s="59">
        <v>0.06</v>
      </c>
      <c r="AA75" s="55">
        <f>Z75*(1-$T$57)</f>
        <v>4.4999999999999998E-2</v>
      </c>
      <c r="AB75" s="60">
        <f>Y75*AA75</f>
        <v>3.15E-2</v>
      </c>
    </row>
    <row r="76" spans="1:28" ht="15" x14ac:dyDescent="0.25">
      <c r="E76" s="8"/>
      <c r="H76" s="8"/>
      <c r="I76" s="8"/>
      <c r="J76" s="8"/>
      <c r="S76" s="56">
        <f>AVERAGE(H82:Q82)</f>
        <v>194623.68354896436</v>
      </c>
      <c r="T76" s="55">
        <f>S76/S80</f>
        <v>0.17134916224465072</v>
      </c>
      <c r="U76" s="57">
        <v>0.1</v>
      </c>
      <c r="V76" s="55">
        <f>U76*(1-$E$19)</f>
        <v>7.5000000000000011E-2</v>
      </c>
      <c r="W76" s="16">
        <f>T76*V76</f>
        <v>1.2851187168348805E-2</v>
      </c>
      <c r="X76" s="17"/>
      <c r="Y76" s="58">
        <v>0.1</v>
      </c>
      <c r="Z76" s="59">
        <v>0.12</v>
      </c>
      <c r="AA76" s="55">
        <f>Z76*(1-$T$57)</f>
        <v>0.09</v>
      </c>
      <c r="AB76" s="60">
        <f>Y76*AA76</f>
        <v>8.9999999999999993E-3</v>
      </c>
    </row>
    <row r="77" spans="1:28" ht="15" x14ac:dyDescent="0.25">
      <c r="A77" s="2" t="s">
        <v>44</v>
      </c>
      <c r="E77" s="8"/>
      <c r="H77" s="8"/>
      <c r="I77" s="8"/>
      <c r="J77" s="8"/>
      <c r="S77" s="15"/>
      <c r="T77" s="55"/>
      <c r="U77" s="17"/>
      <c r="V77" s="17"/>
      <c r="W77" s="17"/>
      <c r="X77" s="17"/>
      <c r="Y77" s="61"/>
      <c r="Z77" s="30"/>
      <c r="AA77" s="30"/>
      <c r="AB77" s="48"/>
    </row>
    <row r="78" spans="1:28" ht="15" x14ac:dyDescent="0.25">
      <c r="B78" t="s">
        <v>45</v>
      </c>
      <c r="E78" s="8">
        <f>E34/365*E12</f>
        <v>552.32876712328766</v>
      </c>
      <c r="H78" s="8">
        <f t="shared" ref="H78:Q78" si="44">H34/365*H12</f>
        <v>552.32876712328766</v>
      </c>
      <c r="I78" s="8">
        <f t="shared" si="44"/>
        <v>563.37534246575342</v>
      </c>
      <c r="J78" s="8">
        <f t="shared" si="44"/>
        <v>574.64284931506847</v>
      </c>
      <c r="K78" s="8">
        <f t="shared" si="44"/>
        <v>586.13570630136996</v>
      </c>
      <c r="L78" s="8">
        <f t="shared" si="44"/>
        <v>597.85842042739739</v>
      </c>
      <c r="M78" s="8">
        <f t="shared" si="44"/>
        <v>609.81558883594528</v>
      </c>
      <c r="N78" s="8">
        <f t="shared" si="44"/>
        <v>622.01190061266425</v>
      </c>
      <c r="O78" s="8">
        <f t="shared" si="44"/>
        <v>634.45213862491744</v>
      </c>
      <c r="P78" s="8">
        <f t="shared" si="44"/>
        <v>647.14118139741583</v>
      </c>
      <c r="Q78" s="8">
        <f t="shared" si="44"/>
        <v>660.08400502536415</v>
      </c>
      <c r="S78" s="56">
        <f>AVERAGE(H84:Q84)</f>
        <v>330000</v>
      </c>
      <c r="T78" s="55">
        <f>(S78+S79)/S80</f>
        <v>0.43120236343898211</v>
      </c>
      <c r="U78" s="55">
        <f>T71</f>
        <v>0.13549999999999998</v>
      </c>
      <c r="V78" s="16">
        <f>U78</f>
        <v>0.13549999999999998</v>
      </c>
      <c r="W78" s="55">
        <f>T78*V78</f>
        <v>5.8427920245982069E-2</v>
      </c>
      <c r="X78" s="17"/>
      <c r="Y78" s="58">
        <v>0.2</v>
      </c>
      <c r="Z78" s="55">
        <f>T72</f>
        <v>0.14000000000000001</v>
      </c>
      <c r="AA78" s="55">
        <f>Z78</f>
        <v>0.14000000000000001</v>
      </c>
      <c r="AB78" s="62">
        <f>Y78*AA78</f>
        <v>2.8000000000000004E-2</v>
      </c>
    </row>
    <row r="79" spans="1:28" ht="15" x14ac:dyDescent="0.25">
      <c r="B79" t="s">
        <v>46</v>
      </c>
      <c r="E79" s="8">
        <f>E59</f>
        <v>0</v>
      </c>
      <c r="H79" s="8">
        <f t="shared" ref="H79:Q79" si="45">H59</f>
        <v>0</v>
      </c>
      <c r="I79" s="8">
        <f t="shared" si="45"/>
        <v>8466.7954926601706</v>
      </c>
      <c r="J79" s="8">
        <f t="shared" si="45"/>
        <v>0</v>
      </c>
      <c r="K79" s="8">
        <f t="shared" si="45"/>
        <v>23928.584645872535</v>
      </c>
      <c r="L79" s="8">
        <f t="shared" si="45"/>
        <v>28349.20169572956</v>
      </c>
      <c r="M79" s="8">
        <f t="shared" si="45"/>
        <v>17830.609074120261</v>
      </c>
      <c r="N79" s="8">
        <f t="shared" si="45"/>
        <v>7515.7213746500274</v>
      </c>
      <c r="O79" s="8">
        <f t="shared" si="45"/>
        <v>23080.569092859903</v>
      </c>
      <c r="P79" s="8">
        <f t="shared" si="45"/>
        <v>38507.681604402125</v>
      </c>
      <c r="Q79" s="8">
        <f t="shared" si="45"/>
        <v>40735.898614532358</v>
      </c>
      <c r="S79" s="56">
        <f>AVERAGE(H85:Q85)</f>
        <v>159772.99467441026</v>
      </c>
      <c r="T79" s="55"/>
      <c r="U79" s="17"/>
      <c r="V79" s="17"/>
      <c r="W79" s="17"/>
      <c r="X79" s="17"/>
      <c r="Y79" s="30"/>
      <c r="Z79" s="30"/>
      <c r="AA79" s="30"/>
      <c r="AB79" s="48"/>
    </row>
    <row r="80" spans="1:28" ht="15" x14ac:dyDescent="0.25">
      <c r="S80" s="63">
        <f>SUM(S75:S79)</f>
        <v>1135830.9605919316</v>
      </c>
      <c r="T80" s="64">
        <f>SUM(T75:T78)</f>
        <v>1</v>
      </c>
      <c r="U80" s="6"/>
      <c r="V80" s="65" t="s">
        <v>90</v>
      </c>
      <c r="W80" s="66">
        <f>SUM(W75:W79)</f>
        <v>8.6183425201194652E-2</v>
      </c>
      <c r="X80" s="6"/>
      <c r="Y80" s="67">
        <f>SUM(Y75:Y78)</f>
        <v>1</v>
      </c>
      <c r="Z80" s="68"/>
      <c r="AA80" s="69" t="s">
        <v>90</v>
      </c>
      <c r="AB80" s="70">
        <f>SUM(AB75:AB79)</f>
        <v>6.8500000000000005E-2</v>
      </c>
    </row>
    <row r="81" spans="1:34" s="6" customFormat="1" x14ac:dyDescent="0.2">
      <c r="A81" t="s">
        <v>47</v>
      </c>
      <c r="B81"/>
      <c r="C81"/>
      <c r="D81"/>
      <c r="E81" s="8">
        <f>Mortgage!F14</f>
        <v>493859.94143861637</v>
      </c>
      <c r="F81"/>
      <c r="G81" s="14"/>
      <c r="H81" s="8">
        <f>Mortgage!F28</f>
        <v>487341.17750044685</v>
      </c>
      <c r="I81" s="14">
        <f>Mortgage!F42</f>
        <v>480420.35046650976</v>
      </c>
      <c r="J81" s="14">
        <f>Mortgage!F56</f>
        <v>473072.66196482664</v>
      </c>
      <c r="K81" s="14">
        <f>J81-7700</f>
        <v>465372.66196482664</v>
      </c>
      <c r="L81" s="14">
        <f>K81-8100</f>
        <v>457272.66196482664</v>
      </c>
      <c r="M81" s="14">
        <f>L81-8500</f>
        <v>448772.66196482664</v>
      </c>
      <c r="N81" s="14">
        <f>M81-8900</f>
        <v>439872.66196482664</v>
      </c>
      <c r="O81" s="14">
        <f>N81-9300</f>
        <v>430572.66196482664</v>
      </c>
      <c r="P81" s="14">
        <f>O81-9700</f>
        <v>420872.66196482664</v>
      </c>
      <c r="Q81" s="34">
        <f>P81-10100</f>
        <v>410772.66196482664</v>
      </c>
      <c r="R81" s="28"/>
      <c r="S81" s="27"/>
      <c r="T81" s="24"/>
      <c r="U81" s="24"/>
      <c r="V81" s="25"/>
      <c r="W81" s="4"/>
      <c r="X81" s="14"/>
      <c r="Y81" s="24"/>
      <c r="Z81"/>
      <c r="AA81"/>
      <c r="AB81"/>
      <c r="AC81"/>
      <c r="AD81"/>
      <c r="AE81"/>
      <c r="AF81"/>
      <c r="AG81"/>
      <c r="AH81"/>
    </row>
    <row r="82" spans="1:34" x14ac:dyDescent="0.2">
      <c r="A82" t="s">
        <v>48</v>
      </c>
      <c r="E82" s="8">
        <v>536202.51127636421</v>
      </c>
      <c r="G82" s="14"/>
      <c r="H82" s="23">
        <v>318768.0000371054</v>
      </c>
      <c r="I82" s="22">
        <v>275941.58274981787</v>
      </c>
      <c r="J82" s="22">
        <v>300737.04232750542</v>
      </c>
      <c r="K82" s="22">
        <v>215542.44082486446</v>
      </c>
      <c r="L82" s="22">
        <v>110659.90977635166</v>
      </c>
      <c r="M82" s="22">
        <v>90324.829394103741</v>
      </c>
      <c r="N82" s="22">
        <v>50391.979733001965</v>
      </c>
      <c r="O82" s="22"/>
      <c r="P82" s="22"/>
      <c r="Q82" s="35"/>
      <c r="S82" s="25"/>
      <c r="T82" s="32"/>
      <c r="U82" s="32"/>
      <c r="V82" s="25"/>
      <c r="W82" s="14"/>
      <c r="X82" s="14"/>
      <c r="Y82" s="24"/>
    </row>
    <row r="83" spans="1:34" x14ac:dyDescent="0.2">
      <c r="E83" s="8"/>
      <c r="H83" s="8"/>
      <c r="S83" s="25"/>
      <c r="U83" s="14"/>
    </row>
    <row r="84" spans="1:34" x14ac:dyDescent="0.2">
      <c r="A84" t="s">
        <v>49</v>
      </c>
      <c r="E84" s="8">
        <v>330000</v>
      </c>
      <c r="H84" s="8">
        <v>330000</v>
      </c>
      <c r="I84" s="11">
        <f>H84</f>
        <v>330000</v>
      </c>
      <c r="J84" s="11">
        <f>I84</f>
        <v>330000</v>
      </c>
      <c r="K84" s="11">
        <f t="shared" ref="K84:Q84" si="46">J84</f>
        <v>330000</v>
      </c>
      <c r="L84" s="11">
        <f t="shared" si="46"/>
        <v>330000</v>
      </c>
      <c r="M84" s="11">
        <f t="shared" si="46"/>
        <v>330000</v>
      </c>
      <c r="N84" s="11">
        <f t="shared" si="46"/>
        <v>330000</v>
      </c>
      <c r="O84" s="11">
        <f t="shared" si="46"/>
        <v>330000</v>
      </c>
      <c r="P84" s="11">
        <f t="shared" si="46"/>
        <v>330000</v>
      </c>
      <c r="Q84" s="11">
        <f t="shared" si="46"/>
        <v>330000</v>
      </c>
    </row>
    <row r="85" spans="1:34" x14ac:dyDescent="0.2">
      <c r="A85" t="s">
        <v>50</v>
      </c>
      <c r="E85" s="8">
        <f>D85+E60</f>
        <v>-41045.94044808879</v>
      </c>
      <c r="H85" s="8">
        <f t="shared" ref="H85:Q85" si="47">G85+H60</f>
        <v>-15794.395514919685</v>
      </c>
      <c r="I85" s="8">
        <f t="shared" si="47"/>
        <v>9605.9909630608272</v>
      </c>
      <c r="J85" s="8">
        <f t="shared" si="47"/>
        <v>-40936.782087980901</v>
      </c>
      <c r="K85" s="8">
        <f t="shared" si="47"/>
        <v>30848.971849636713</v>
      </c>
      <c r="L85" s="8">
        <f t="shared" si="47"/>
        <v>115896.5769368254</v>
      </c>
      <c r="M85" s="8">
        <f t="shared" si="47"/>
        <v>169388.40415918618</v>
      </c>
      <c r="N85" s="8">
        <f t="shared" si="47"/>
        <v>191935.56828313626</v>
      </c>
      <c r="O85" s="8">
        <f t="shared" si="47"/>
        <v>261177.27556171597</v>
      </c>
      <c r="P85" s="8">
        <f t="shared" si="47"/>
        <v>376700.32037492236</v>
      </c>
      <c r="Q85" s="8">
        <f t="shared" si="47"/>
        <v>498908.01621851942</v>
      </c>
    </row>
    <row r="86" spans="1:34" x14ac:dyDescent="0.2">
      <c r="E86" s="8"/>
      <c r="H86" s="8"/>
    </row>
    <row r="87" spans="1:34" x14ac:dyDescent="0.2">
      <c r="A87" s="2" t="s">
        <v>51</v>
      </c>
      <c r="E87" s="8">
        <f>SUM(E78:E85)</f>
        <v>1319568.8410340149</v>
      </c>
      <c r="H87" s="8">
        <f t="shared" ref="H87:Q87" si="48">SUM(H78:H85)</f>
        <v>1120867.1107897558</v>
      </c>
      <c r="I87" s="8">
        <f t="shared" si="48"/>
        <v>1104998.0950145144</v>
      </c>
      <c r="J87" s="8">
        <f t="shared" si="48"/>
        <v>1063447.5650536662</v>
      </c>
      <c r="K87" s="8">
        <f t="shared" si="48"/>
        <v>1066278.7949915016</v>
      </c>
      <c r="L87" s="8">
        <f t="shared" si="48"/>
        <v>1042776.2087941606</v>
      </c>
      <c r="M87" s="8">
        <f t="shared" si="48"/>
        <v>1056926.3201810727</v>
      </c>
      <c r="N87" s="8">
        <f t="shared" si="48"/>
        <v>1020337.9432562275</v>
      </c>
      <c r="O87" s="8">
        <f t="shared" si="48"/>
        <v>1045464.9587580274</v>
      </c>
      <c r="P87" s="8">
        <f t="shared" si="48"/>
        <v>1166727.8051255485</v>
      </c>
      <c r="Q87" s="8">
        <f t="shared" si="48"/>
        <v>1281076.6608029036</v>
      </c>
    </row>
    <row r="88" spans="1:34" x14ac:dyDescent="0.2">
      <c r="E88" s="8"/>
      <c r="H88" s="8"/>
    </row>
    <row r="89" spans="1:34" x14ac:dyDescent="0.2">
      <c r="A89" t="s">
        <v>52</v>
      </c>
      <c r="E89" s="8">
        <f>E75-E87</f>
        <v>0</v>
      </c>
      <c r="H89" s="8">
        <f t="shared" ref="H89:Q89" si="49">H75-H87</f>
        <v>0</v>
      </c>
      <c r="I89" s="8">
        <f t="shared" si="49"/>
        <v>0</v>
      </c>
      <c r="J89" s="8">
        <f t="shared" si="49"/>
        <v>0</v>
      </c>
      <c r="K89" s="8">
        <f t="shared" si="49"/>
        <v>0</v>
      </c>
      <c r="L89" s="8">
        <f t="shared" si="49"/>
        <v>0</v>
      </c>
      <c r="M89" s="8">
        <f t="shared" si="49"/>
        <v>0</v>
      </c>
      <c r="N89" s="8">
        <f t="shared" si="49"/>
        <v>0</v>
      </c>
      <c r="O89" s="8">
        <f t="shared" si="49"/>
        <v>0</v>
      </c>
      <c r="P89" s="8">
        <f t="shared" si="49"/>
        <v>0</v>
      </c>
      <c r="Q89" s="8">
        <f t="shared" si="49"/>
        <v>0</v>
      </c>
    </row>
    <row r="90" spans="1:34" x14ac:dyDescent="0.2">
      <c r="A90" s="6"/>
      <c r="B90" s="6"/>
      <c r="C90" s="6"/>
      <c r="D90" s="6"/>
      <c r="E90" s="7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</row>
    <row r="91" spans="1:34" x14ac:dyDescent="0.2">
      <c r="A91" s="2" t="s">
        <v>53</v>
      </c>
      <c r="S91" s="45"/>
      <c r="T91" s="45"/>
      <c r="U91" s="45"/>
      <c r="V91" s="45"/>
      <c r="W91" s="45"/>
      <c r="X91" s="45"/>
    </row>
    <row r="92" spans="1:34" x14ac:dyDescent="0.2">
      <c r="A92" t="s">
        <v>54</v>
      </c>
      <c r="S92" s="17"/>
      <c r="T92" s="16"/>
      <c r="U92" s="17"/>
      <c r="V92" s="17"/>
      <c r="W92" s="17"/>
      <c r="X92" s="17"/>
    </row>
    <row r="93" spans="1:34" x14ac:dyDescent="0.2">
      <c r="B93" t="s">
        <v>26</v>
      </c>
      <c r="H93" s="11">
        <f t="shared" ref="H93:Q93" si="50">H49</f>
        <v>70509.498146742902</v>
      </c>
      <c r="I93" s="11">
        <f t="shared" si="50"/>
        <v>115486.37080780702</v>
      </c>
      <c r="J93" s="11">
        <f t="shared" si="50"/>
        <v>33129.100276147437</v>
      </c>
      <c r="K93" s="11">
        <f t="shared" si="50"/>
        <v>170816.75176041521</v>
      </c>
      <c r="L93" s="11">
        <f t="shared" si="50"/>
        <v>177935.96685499203</v>
      </c>
      <c r="M93" s="11">
        <f t="shared" si="50"/>
        <v>136228.08833033004</v>
      </c>
      <c r="N93" s="11">
        <f t="shared" si="50"/>
        <v>90855.252566338924</v>
      </c>
      <c r="O93" s="11">
        <f t="shared" si="50"/>
        <v>147925.44546587823</v>
      </c>
      <c r="P93" s="11">
        <f t="shared" si="50"/>
        <v>209453.89551204711</v>
      </c>
      <c r="Q93" s="11">
        <f t="shared" si="50"/>
        <v>218156.76355256804</v>
      </c>
      <c r="S93" s="17"/>
      <c r="T93" s="16"/>
      <c r="U93" s="17"/>
      <c r="V93" s="17"/>
      <c r="W93" s="17"/>
      <c r="X93" s="17"/>
    </row>
    <row r="94" spans="1:34" x14ac:dyDescent="0.2">
      <c r="B94" t="s">
        <v>55</v>
      </c>
      <c r="H94" s="11">
        <f t="shared" ref="H94:Q94" si="51">H52+H53</f>
        <v>24972.82608695652</v>
      </c>
      <c r="I94" s="11">
        <f t="shared" si="51"/>
        <v>24972.82608695652</v>
      </c>
      <c r="J94" s="11">
        <f t="shared" si="51"/>
        <v>24972.82608695652</v>
      </c>
      <c r="K94" s="11">
        <f t="shared" si="51"/>
        <v>24972.82608695652</v>
      </c>
      <c r="L94" s="11">
        <f t="shared" si="51"/>
        <v>24972.82608695652</v>
      </c>
      <c r="M94" s="11">
        <f t="shared" si="51"/>
        <v>27472.82608695652</v>
      </c>
      <c r="N94" s="11">
        <f t="shared" si="51"/>
        <v>27472.82608695652</v>
      </c>
      <c r="O94" s="11">
        <f t="shared" si="51"/>
        <v>27472.82608695652</v>
      </c>
      <c r="P94" s="11">
        <f t="shared" si="51"/>
        <v>27472.82608695652</v>
      </c>
      <c r="Q94" s="11">
        <f t="shared" si="51"/>
        <v>27472.82608695652</v>
      </c>
      <c r="S94" s="17"/>
      <c r="T94" s="17"/>
      <c r="U94" s="17"/>
      <c r="V94" s="17"/>
      <c r="W94" s="17"/>
      <c r="X94" s="17"/>
    </row>
    <row r="95" spans="1:34" x14ac:dyDescent="0.2">
      <c r="B95" t="s">
        <v>56</v>
      </c>
      <c r="H95" s="11">
        <f t="shared" ref="H95:Q95" si="52">H93-H94</f>
        <v>45536.672059786382</v>
      </c>
      <c r="I95" s="11">
        <f t="shared" si="52"/>
        <v>90513.544720850507</v>
      </c>
      <c r="J95" s="11">
        <f t="shared" si="52"/>
        <v>8156.2741891909172</v>
      </c>
      <c r="K95" s="11">
        <f t="shared" si="52"/>
        <v>145843.9256734587</v>
      </c>
      <c r="L95" s="11">
        <f t="shared" si="52"/>
        <v>152963.14076803552</v>
      </c>
      <c r="M95" s="11">
        <f t="shared" si="52"/>
        <v>108755.26224337352</v>
      </c>
      <c r="N95" s="11">
        <f t="shared" si="52"/>
        <v>63382.426479382404</v>
      </c>
      <c r="O95" s="11">
        <f t="shared" si="52"/>
        <v>120452.61937892172</v>
      </c>
      <c r="P95" s="11">
        <f t="shared" si="52"/>
        <v>181981.06942509059</v>
      </c>
      <c r="Q95" s="11">
        <f t="shared" si="52"/>
        <v>190683.93746561153</v>
      </c>
      <c r="S95" s="17"/>
      <c r="T95" s="18"/>
      <c r="U95" s="17"/>
      <c r="V95" s="17"/>
      <c r="W95" s="17"/>
      <c r="X95" s="17"/>
    </row>
    <row r="96" spans="1:34" x14ac:dyDescent="0.2">
      <c r="B96" t="s">
        <v>57</v>
      </c>
      <c r="H96" s="14">
        <f t="shared" ref="H96:Q96" si="53">H95*H19</f>
        <v>11384.168014946596</v>
      </c>
      <c r="I96" s="14">
        <f t="shared" si="53"/>
        <v>22628.386180212627</v>
      </c>
      <c r="J96" s="14">
        <f t="shared" si="53"/>
        <v>2039.0685472977293</v>
      </c>
      <c r="K96" s="14">
        <f t="shared" si="53"/>
        <v>36460.981418364674</v>
      </c>
      <c r="L96" s="14">
        <f t="shared" si="53"/>
        <v>38240.78519200888</v>
      </c>
      <c r="M96" s="14">
        <f t="shared" si="53"/>
        <v>27188.815560843381</v>
      </c>
      <c r="N96" s="14">
        <f t="shared" si="53"/>
        <v>15845.606619845601</v>
      </c>
      <c r="O96" s="14">
        <f t="shared" si="53"/>
        <v>30113.15484473043</v>
      </c>
      <c r="P96" s="14">
        <f t="shared" si="53"/>
        <v>45495.267356272649</v>
      </c>
      <c r="Q96" s="14">
        <f t="shared" si="53"/>
        <v>47670.984366402881</v>
      </c>
      <c r="S96" s="17"/>
      <c r="T96" s="17"/>
      <c r="U96" s="17"/>
      <c r="V96" s="17"/>
      <c r="W96" s="17"/>
      <c r="X96" s="17"/>
    </row>
    <row r="97" spans="1:24" x14ac:dyDescent="0.2">
      <c r="B97" t="s">
        <v>58</v>
      </c>
      <c r="H97" s="14">
        <f t="shared" ref="H97:Q97" si="54">H93-H96</f>
        <v>59125.330131796305</v>
      </c>
      <c r="I97" s="14">
        <f t="shared" si="54"/>
        <v>92857.984627594386</v>
      </c>
      <c r="J97" s="14">
        <f t="shared" si="54"/>
        <v>31090.03172884971</v>
      </c>
      <c r="K97" s="14">
        <f t="shared" si="54"/>
        <v>134355.77034205053</v>
      </c>
      <c r="L97" s="14">
        <f t="shared" si="54"/>
        <v>139695.18166298314</v>
      </c>
      <c r="M97" s="14">
        <f t="shared" si="54"/>
        <v>109039.27276948665</v>
      </c>
      <c r="N97" s="14">
        <f t="shared" si="54"/>
        <v>75009.645946493329</v>
      </c>
      <c r="O97" s="14">
        <f t="shared" si="54"/>
        <v>117812.29062114781</v>
      </c>
      <c r="P97" s="14">
        <f t="shared" si="54"/>
        <v>163958.62815577447</v>
      </c>
      <c r="Q97" s="14">
        <f t="shared" si="54"/>
        <v>170485.77918616516</v>
      </c>
      <c r="S97" s="17"/>
      <c r="T97" s="17"/>
      <c r="U97" s="17"/>
      <c r="V97" s="17"/>
      <c r="W97" s="17"/>
      <c r="X97" s="17"/>
    </row>
    <row r="98" spans="1:24" x14ac:dyDescent="0.2">
      <c r="S98" s="72"/>
      <c r="T98" s="18"/>
      <c r="U98" s="18"/>
      <c r="V98" s="18"/>
      <c r="W98" s="18"/>
      <c r="X98" s="17"/>
    </row>
    <row r="99" spans="1:24" x14ac:dyDescent="0.2">
      <c r="A99" t="s">
        <v>59</v>
      </c>
      <c r="S99" s="72"/>
      <c r="T99" s="18"/>
      <c r="U99" s="18"/>
      <c r="V99" s="18"/>
      <c r="W99" s="18"/>
      <c r="X99" s="17"/>
    </row>
    <row r="100" spans="1:24" x14ac:dyDescent="0.2">
      <c r="A100" t="s">
        <v>82</v>
      </c>
      <c r="B100" t="s">
        <v>37</v>
      </c>
      <c r="G100" s="11">
        <f t="shared" ref="G100:Q100" si="55">-(H64-G64)</f>
        <v>-5000</v>
      </c>
      <c r="H100" s="11">
        <f t="shared" si="55"/>
        <v>0</v>
      </c>
      <c r="I100" s="11">
        <f t="shared" si="55"/>
        <v>0</v>
      </c>
      <c r="J100" s="11">
        <f t="shared" si="55"/>
        <v>0</v>
      </c>
      <c r="K100" s="11">
        <f t="shared" si="55"/>
        <v>0</v>
      </c>
      <c r="L100" s="11">
        <f t="shared" si="55"/>
        <v>0</v>
      </c>
      <c r="M100" s="11">
        <f t="shared" si="55"/>
        <v>0</v>
      </c>
      <c r="N100" s="11">
        <f t="shared" si="55"/>
        <v>0</v>
      </c>
      <c r="O100" s="11">
        <f t="shared" si="55"/>
        <v>0</v>
      </c>
      <c r="P100" s="11">
        <f t="shared" si="55"/>
        <v>0</v>
      </c>
      <c r="Q100" s="11">
        <f t="shared" si="55"/>
        <v>5000</v>
      </c>
      <c r="S100" s="72"/>
      <c r="T100" s="18"/>
      <c r="U100" s="18"/>
      <c r="V100" s="18"/>
      <c r="W100" s="18"/>
      <c r="X100" s="17"/>
    </row>
    <row r="101" spans="1:24" x14ac:dyDescent="0.2">
      <c r="A101" t="s">
        <v>82</v>
      </c>
      <c r="B101" t="s">
        <v>39</v>
      </c>
      <c r="G101" s="11">
        <f t="shared" ref="G101:Q101" si="56">-(H66-G66)</f>
        <v>-5171.7856438356175</v>
      </c>
      <c r="H101" s="11">
        <f t="shared" si="56"/>
        <v>-2899.303031934247</v>
      </c>
      <c r="I101" s="11">
        <f t="shared" si="56"/>
        <v>5272.0351230128763</v>
      </c>
      <c r="J101" s="11">
        <f t="shared" si="56"/>
        <v>-8849.4877123964943</v>
      </c>
      <c r="K101" s="11">
        <f t="shared" si="56"/>
        <v>-470.60106711220214</v>
      </c>
      <c r="L101" s="11">
        <f t="shared" si="56"/>
        <v>2662.5755703987707</v>
      </c>
      <c r="M101" s="11">
        <f t="shared" si="56"/>
        <v>2897.4920558360263</v>
      </c>
      <c r="N101" s="11">
        <f t="shared" si="56"/>
        <v>-3677.0172802009201</v>
      </c>
      <c r="O101" s="11">
        <f t="shared" si="56"/>
        <v>-3963.414817068955</v>
      </c>
      <c r="P101" s="11">
        <f t="shared" si="56"/>
        <v>-573.66007485335103</v>
      </c>
      <c r="Q101" s="11">
        <f t="shared" si="56"/>
        <v>14773.166878154114</v>
      </c>
      <c r="S101" s="72"/>
      <c r="T101" s="18"/>
      <c r="U101" s="18"/>
      <c r="V101" s="18"/>
      <c r="W101" s="18"/>
      <c r="X101" s="17"/>
    </row>
    <row r="102" spans="1:24" x14ac:dyDescent="0.2">
      <c r="A102" t="s">
        <v>82</v>
      </c>
      <c r="B102" t="s">
        <v>40</v>
      </c>
      <c r="G102" s="11">
        <f t="shared" ref="G102:Q102" si="57">-(H67-G67)</f>
        <v>-10668.151232876715</v>
      </c>
      <c r="H102" s="11">
        <f t="shared" si="57"/>
        <v>-6204.5072797808225</v>
      </c>
      <c r="I102" s="11">
        <f t="shared" si="57"/>
        <v>11305.668750878864</v>
      </c>
      <c r="J102" s="11">
        <f t="shared" si="57"/>
        <v>-18954.568312395615</v>
      </c>
      <c r="K102" s="11">
        <f t="shared" si="57"/>
        <v>-999.63882250305323</v>
      </c>
      <c r="L102" s="11">
        <f t="shared" si="57"/>
        <v>5714.4869557323473</v>
      </c>
      <c r="M102" s="11">
        <f t="shared" si="57"/>
        <v>6218.0587820525889</v>
      </c>
      <c r="N102" s="11">
        <f t="shared" si="57"/>
        <v>-7869.992564778493</v>
      </c>
      <c r="O102" s="11">
        <f t="shared" si="57"/>
        <v>-8483.5149687826743</v>
      </c>
      <c r="P102" s="11">
        <f t="shared" si="57"/>
        <v>-1219.5644712505054</v>
      </c>
      <c r="Q102" s="11">
        <f t="shared" si="57"/>
        <v>31161.723163704079</v>
      </c>
      <c r="S102" s="72"/>
      <c r="T102" s="18"/>
      <c r="U102" s="18"/>
      <c r="V102" s="18"/>
      <c r="W102" s="18"/>
      <c r="X102" s="17"/>
    </row>
    <row r="103" spans="1:24" x14ac:dyDescent="0.2">
      <c r="S103" s="72"/>
      <c r="T103" s="18"/>
      <c r="U103" s="18"/>
      <c r="V103" s="18"/>
      <c r="W103" s="73"/>
      <c r="X103" s="71"/>
    </row>
    <row r="104" spans="1:24" x14ac:dyDescent="0.2">
      <c r="A104" t="s">
        <v>82</v>
      </c>
      <c r="B104" t="s">
        <v>41</v>
      </c>
      <c r="G104" s="11">
        <f t="shared" ref="G104:Q104" si="58">-(H69-G69)</f>
        <v>-500000</v>
      </c>
      <c r="H104" s="11">
        <f t="shared" si="58"/>
        <v>0</v>
      </c>
      <c r="I104" s="11">
        <f t="shared" si="58"/>
        <v>0</v>
      </c>
      <c r="J104" s="11">
        <f t="shared" si="58"/>
        <v>0</v>
      </c>
      <c r="K104" s="11">
        <f t="shared" si="58"/>
        <v>0</v>
      </c>
      <c r="L104" s="11">
        <f t="shared" si="58"/>
        <v>0</v>
      </c>
      <c r="M104" s="11">
        <f t="shared" si="58"/>
        <v>0</v>
      </c>
      <c r="N104" s="11">
        <f t="shared" si="58"/>
        <v>0</v>
      </c>
      <c r="O104" s="11">
        <f t="shared" si="58"/>
        <v>0</v>
      </c>
      <c r="P104" s="11">
        <f t="shared" si="58"/>
        <v>0</v>
      </c>
      <c r="Q104" s="11">
        <f t="shared" si="58"/>
        <v>500000</v>
      </c>
    </row>
    <row r="105" spans="1:24" x14ac:dyDescent="0.2">
      <c r="B105" t="s">
        <v>60</v>
      </c>
      <c r="G105" s="11"/>
      <c r="H105" s="11"/>
      <c r="I105" s="11"/>
      <c r="Q105" s="8">
        <f>(S105-100%)*Q104</f>
        <v>15000.000000000013</v>
      </c>
      <c r="R105" t="s">
        <v>85</v>
      </c>
      <c r="S105" s="12">
        <v>1.03</v>
      </c>
    </row>
    <row r="106" spans="1:24" x14ac:dyDescent="0.2">
      <c r="A106" t="s">
        <v>82</v>
      </c>
      <c r="B106" t="s">
        <v>61</v>
      </c>
      <c r="Q106" s="8">
        <f>-S107*$J$19</f>
        <v>-3750</v>
      </c>
      <c r="R106" t="s">
        <v>84</v>
      </c>
      <c r="S106" s="11">
        <f>Q104</f>
        <v>500000</v>
      </c>
    </row>
    <row r="107" spans="1:24" x14ac:dyDescent="0.2">
      <c r="R107" t="s">
        <v>86</v>
      </c>
      <c r="S107" s="11">
        <f>SUM(Q104:Q105)-S106</f>
        <v>15000</v>
      </c>
      <c r="V107" s="14">
        <f>(S107+G104)*0.75</f>
        <v>-363750</v>
      </c>
    </row>
    <row r="108" spans="1:24" x14ac:dyDescent="0.2">
      <c r="A108" t="s">
        <v>82</v>
      </c>
      <c r="B108" t="s">
        <v>28</v>
      </c>
      <c r="G108" s="11">
        <f t="shared" ref="G108:Q108" si="59">-(H70-G70)</f>
        <v>-212500</v>
      </c>
      <c r="H108" s="11">
        <f t="shared" si="59"/>
        <v>0</v>
      </c>
      <c r="I108" s="11">
        <f t="shared" si="59"/>
        <v>0</v>
      </c>
      <c r="J108" s="11">
        <f t="shared" si="59"/>
        <v>0</v>
      </c>
      <c r="K108" s="11">
        <f t="shared" si="59"/>
        <v>0</v>
      </c>
      <c r="L108" s="11">
        <f t="shared" si="59"/>
        <v>-50000</v>
      </c>
      <c r="M108" s="11">
        <f t="shared" si="59"/>
        <v>0</v>
      </c>
      <c r="N108" s="11">
        <f t="shared" si="59"/>
        <v>0</v>
      </c>
      <c r="O108" s="11">
        <f t="shared" si="59"/>
        <v>0</v>
      </c>
      <c r="P108" s="11">
        <f t="shared" si="59"/>
        <v>0</v>
      </c>
      <c r="Q108" s="11">
        <f t="shared" si="59"/>
        <v>262500</v>
      </c>
    </row>
    <row r="109" spans="1:24" x14ac:dyDescent="0.2">
      <c r="B109" t="s">
        <v>60</v>
      </c>
      <c r="Q109" s="8">
        <f>(S109-100%)*Q108</f>
        <v>7875.0000000000073</v>
      </c>
      <c r="R109" t="s">
        <v>85</v>
      </c>
      <c r="S109" s="12">
        <v>1.03</v>
      </c>
    </row>
    <row r="110" spans="1:24" x14ac:dyDescent="0.2">
      <c r="A110" t="s">
        <v>82</v>
      </c>
      <c r="B110" t="s">
        <v>61</v>
      </c>
      <c r="Q110" s="8">
        <f>-S111*$J$19</f>
        <v>-31656.25</v>
      </c>
      <c r="R110" t="s">
        <v>84</v>
      </c>
      <c r="S110" s="11">
        <f>Q70-Q71</f>
        <v>143750</v>
      </c>
    </row>
    <row r="111" spans="1:24" x14ac:dyDescent="0.2">
      <c r="J111" s="8"/>
      <c r="R111" t="s">
        <v>86</v>
      </c>
      <c r="S111" s="11">
        <f>SUM(Q108:Q109)-S110</f>
        <v>126625</v>
      </c>
      <c r="V111" s="14">
        <f>(S111+G108)*0.75</f>
        <v>-64406.25</v>
      </c>
    </row>
    <row r="112" spans="1:24" x14ac:dyDescent="0.2">
      <c r="A112" t="s">
        <v>82</v>
      </c>
      <c r="B112" t="s">
        <v>29</v>
      </c>
      <c r="G112" s="11">
        <f t="shared" ref="G112:Q112" si="60">-(H72-G72)</f>
        <v>-412500</v>
      </c>
      <c r="H112" s="11">
        <f t="shared" si="60"/>
        <v>0</v>
      </c>
      <c r="I112" s="11">
        <f t="shared" si="60"/>
        <v>0</v>
      </c>
      <c r="J112" s="11">
        <f t="shared" si="60"/>
        <v>0</v>
      </c>
      <c r="K112" s="11">
        <f t="shared" si="60"/>
        <v>0</v>
      </c>
      <c r="L112" s="11">
        <f t="shared" si="60"/>
        <v>0</v>
      </c>
      <c r="M112" s="11">
        <f t="shared" si="60"/>
        <v>0</v>
      </c>
      <c r="N112" s="11">
        <f t="shared" si="60"/>
        <v>0</v>
      </c>
      <c r="O112" s="11">
        <f t="shared" si="60"/>
        <v>0</v>
      </c>
      <c r="P112" s="11">
        <f t="shared" si="60"/>
        <v>0</v>
      </c>
      <c r="Q112" s="11">
        <f t="shared" si="60"/>
        <v>412500</v>
      </c>
    </row>
    <row r="113" spans="1:22" x14ac:dyDescent="0.2">
      <c r="B113" t="s">
        <v>60</v>
      </c>
      <c r="Q113" s="8">
        <f>(S113-100%)*Q112</f>
        <v>12375.000000000011</v>
      </c>
      <c r="R113" t="s">
        <v>85</v>
      </c>
      <c r="S113" s="12">
        <v>1.03</v>
      </c>
    </row>
    <row r="114" spans="1:22" x14ac:dyDescent="0.2">
      <c r="A114" t="s">
        <v>82</v>
      </c>
      <c r="B114" t="s">
        <v>61</v>
      </c>
      <c r="Q114" s="8">
        <f>-S115*$J$19</f>
        <v>-38963.315217391311</v>
      </c>
      <c r="R114" t="s">
        <v>84</v>
      </c>
      <c r="S114" s="11">
        <f>Q72-Q73</f>
        <v>269021.73913043475</v>
      </c>
    </row>
    <row r="115" spans="1:22" x14ac:dyDescent="0.2">
      <c r="R115" t="s">
        <v>86</v>
      </c>
      <c r="S115" s="11">
        <f>SUM(Q112:Q113)-S114</f>
        <v>155853.26086956525</v>
      </c>
      <c r="V115">
        <v>0</v>
      </c>
    </row>
    <row r="116" spans="1:22" x14ac:dyDescent="0.2">
      <c r="A116" t="s">
        <v>83</v>
      </c>
      <c r="B116" t="s">
        <v>45</v>
      </c>
      <c r="G116" s="11">
        <f t="shared" ref="G116:Q116" si="61">(H78-G78)</f>
        <v>552.32876712328766</v>
      </c>
      <c r="H116" s="11">
        <f t="shared" si="61"/>
        <v>11.046575342465758</v>
      </c>
      <c r="I116" s="11">
        <f t="shared" si="61"/>
        <v>11.267506849315055</v>
      </c>
      <c r="J116" s="11">
        <f t="shared" si="61"/>
        <v>11.49285698630149</v>
      </c>
      <c r="K116" s="11">
        <f t="shared" si="61"/>
        <v>11.722714126027427</v>
      </c>
      <c r="L116" s="11">
        <f t="shared" si="61"/>
        <v>11.957168408547886</v>
      </c>
      <c r="M116" s="11">
        <f t="shared" si="61"/>
        <v>12.196311776718971</v>
      </c>
      <c r="N116" s="11">
        <f t="shared" si="61"/>
        <v>12.440238012253189</v>
      </c>
      <c r="O116" s="11">
        <f t="shared" si="61"/>
        <v>12.689042772498397</v>
      </c>
      <c r="P116" s="11">
        <f t="shared" si="61"/>
        <v>12.942823627948314</v>
      </c>
      <c r="Q116" s="11">
        <f t="shared" si="61"/>
        <v>-660.08400502536415</v>
      </c>
    </row>
    <row r="117" spans="1:22" x14ac:dyDescent="0.2">
      <c r="A117" t="s">
        <v>83</v>
      </c>
      <c r="B117" t="s">
        <v>62</v>
      </c>
      <c r="G117" s="8">
        <f t="shared" ref="G117:O117" si="62">(H96-G96)</f>
        <v>11384.168014946596</v>
      </c>
      <c r="H117" s="8">
        <f t="shared" si="62"/>
        <v>11244.218165266031</v>
      </c>
      <c r="I117" s="8">
        <f t="shared" si="62"/>
        <v>-20589.317632914899</v>
      </c>
      <c r="J117" s="8">
        <f t="shared" si="62"/>
        <v>34421.912871066947</v>
      </c>
      <c r="K117" s="8">
        <f t="shared" si="62"/>
        <v>1779.8037736442056</v>
      </c>
      <c r="L117" s="8">
        <f t="shared" si="62"/>
        <v>-11051.969631165499</v>
      </c>
      <c r="M117" s="8">
        <f t="shared" si="62"/>
        <v>-11343.20894099778</v>
      </c>
      <c r="N117" s="8">
        <f t="shared" si="62"/>
        <v>14267.548224884829</v>
      </c>
      <c r="O117" s="8">
        <f t="shared" si="62"/>
        <v>15382.112511542218</v>
      </c>
      <c r="P117" s="8">
        <f t="shared" ref="P117" si="63">(Q96-P96)</f>
        <v>2175.7170101302327</v>
      </c>
      <c r="Q117" s="8">
        <f t="shared" ref="Q117" si="64">(R96-Q96)</f>
        <v>-47670.984366402881</v>
      </c>
    </row>
    <row r="119" spans="1:22" x14ac:dyDescent="0.2">
      <c r="A119" s="2" t="s">
        <v>63</v>
      </c>
      <c r="G119" s="8">
        <f>SUM(G97:G117)</f>
        <v>-1133903.4400946423</v>
      </c>
      <c r="H119" s="8">
        <f>SUM(H97:H117)</f>
        <v>61276.784560689724</v>
      </c>
      <c r="I119" s="8">
        <f>SUM(I97:I117)</f>
        <v>88857.638375420531</v>
      </c>
      <c r="J119" s="8">
        <f>SUM(J97:J102)+SUM(J116:J117)</f>
        <v>37719.381432110851</v>
      </c>
      <c r="K119" s="8">
        <f>SUM(K97:K117)</f>
        <v>134677.05694020548</v>
      </c>
      <c r="L119" s="8">
        <f>SUM(L97:L102)+SUM(L116:L117)</f>
        <v>137032.23172635731</v>
      </c>
      <c r="M119" s="8">
        <f>SUM(M97:M117)</f>
        <v>106823.8109781542</v>
      </c>
      <c r="N119" s="8">
        <f>SUM(N97:N117)</f>
        <v>77742.624564411002</v>
      </c>
      <c r="O119" s="8">
        <f>SUM(O97:O117)</f>
        <v>120760.16238961089</v>
      </c>
      <c r="P119" s="8">
        <f t="shared" ref="P119:Q119" si="65">SUM(P97:P117)</f>
        <v>164354.06344342878</v>
      </c>
      <c r="Q119" s="8">
        <f t="shared" si="65"/>
        <v>1308970.0356392036</v>
      </c>
    </row>
    <row r="120" spans="1:22" x14ac:dyDescent="0.2">
      <c r="A120" s="2" t="s">
        <v>64</v>
      </c>
      <c r="G120" s="38">
        <f>IRR(G119:Q119)</f>
        <v>9.0788668705858333E-2</v>
      </c>
    </row>
    <row r="121" spans="1:22" x14ac:dyDescent="0.2">
      <c r="A121" s="2"/>
    </row>
    <row r="122" spans="1:22" x14ac:dyDescent="0.2">
      <c r="A122" s="2" t="s">
        <v>65</v>
      </c>
      <c r="G122" s="5">
        <f>W80</f>
        <v>8.6183425201194652E-2</v>
      </c>
    </row>
    <row r="123" spans="1:22" x14ac:dyDescent="0.2">
      <c r="A123" s="2" t="s">
        <v>66</v>
      </c>
      <c r="G123" s="74">
        <f>NPV(G122,H119:Q119)</f>
        <v>1170286.4074503963</v>
      </c>
    </row>
    <row r="125" spans="1:22" x14ac:dyDescent="0.2">
      <c r="R125" s="25"/>
    </row>
    <row r="126" spans="1:22" x14ac:dyDescent="0.2">
      <c r="R126" s="25"/>
    </row>
    <row r="127" spans="1:22" x14ac:dyDescent="0.2">
      <c r="R127" s="25"/>
    </row>
    <row r="128" spans="1:22" x14ac:dyDescent="0.2">
      <c r="R128" s="25"/>
    </row>
    <row r="129" spans="18:18" x14ac:dyDescent="0.2">
      <c r="R129" s="25"/>
    </row>
    <row r="130" spans="18:18" x14ac:dyDescent="0.2">
      <c r="R130" s="25"/>
    </row>
    <row r="131" spans="18:18" x14ac:dyDescent="0.2">
      <c r="R131" s="25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orientation="portrait" useFirstPageNumber="1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59"/>
  <sheetViews>
    <sheetView tabSelected="1" zoomScale="80" zoomScaleNormal="80" workbookViewId="0">
      <selection activeCell="G132" sqref="G132"/>
    </sheetView>
  </sheetViews>
  <sheetFormatPr defaultColWidth="11.5703125" defaultRowHeight="12.75" x14ac:dyDescent="0.2"/>
  <cols>
    <col min="1" max="1" width="4" style="28" customWidth="1"/>
    <col min="2" max="2" width="35.28515625" style="28" customWidth="1"/>
    <col min="3" max="3" width="15" style="28" customWidth="1"/>
    <col min="4" max="4" width="11.28515625" style="28" customWidth="1"/>
    <col min="5" max="5" width="20.42578125" style="1" customWidth="1"/>
    <col min="6" max="6" width="2.5703125" style="28" customWidth="1"/>
    <col min="7" max="7" width="30.140625" style="28" bestFit="1" customWidth="1"/>
    <col min="8" max="8" width="14.7109375" style="28" customWidth="1"/>
    <col min="9" max="9" width="14.85546875" style="28" customWidth="1"/>
    <col min="10" max="10" width="14.5703125" style="28" customWidth="1"/>
    <col min="11" max="15" width="13.7109375" style="28" bestFit="1" customWidth="1"/>
    <col min="16" max="16" width="13.5703125" style="28" customWidth="1"/>
    <col min="17" max="17" width="14.5703125" style="28" bestFit="1" customWidth="1"/>
    <col min="18" max="18" width="13.42578125" style="28" customWidth="1"/>
    <col min="19" max="19" width="12.28515625" style="28" bestFit="1" customWidth="1"/>
    <col min="20" max="20" width="18.5703125" style="28" customWidth="1"/>
    <col min="21" max="21" width="14.42578125" style="28" bestFit="1" customWidth="1"/>
    <col min="22" max="22" width="16.5703125" style="28" customWidth="1"/>
    <col min="23" max="23" width="19.7109375" style="28" customWidth="1"/>
    <col min="24" max="24" width="12.28515625" style="28" bestFit="1" customWidth="1"/>
    <col min="25" max="26" width="11.5703125" style="28"/>
    <col min="27" max="27" width="12.28515625" style="28" bestFit="1" customWidth="1"/>
    <col min="28" max="28" width="14.42578125" style="28" bestFit="1" customWidth="1"/>
    <col min="29" max="16384" width="11.5703125" style="28"/>
  </cols>
  <sheetData>
    <row r="1" spans="1:17" x14ac:dyDescent="0.2">
      <c r="A1" s="2" t="s">
        <v>95</v>
      </c>
      <c r="E1" s="3" t="s">
        <v>81</v>
      </c>
      <c r="G1" s="2" t="s">
        <v>80</v>
      </c>
    </row>
    <row r="2" spans="1:17" x14ac:dyDescent="0.2">
      <c r="E2" s="3" t="s">
        <v>0</v>
      </c>
      <c r="F2" s="2"/>
      <c r="G2" s="2"/>
      <c r="H2" s="2" t="s">
        <v>1</v>
      </c>
      <c r="I2" s="2" t="s">
        <v>2</v>
      </c>
      <c r="J2" s="2" t="s">
        <v>3</v>
      </c>
      <c r="K2" s="2" t="s">
        <v>96</v>
      </c>
      <c r="L2" s="2" t="s">
        <v>97</v>
      </c>
      <c r="M2" s="2" t="s">
        <v>98</v>
      </c>
      <c r="N2" s="2" t="s">
        <v>99</v>
      </c>
      <c r="O2" s="2" t="s">
        <v>100</v>
      </c>
      <c r="P2" s="2" t="s">
        <v>101</v>
      </c>
      <c r="Q2" s="2" t="s">
        <v>102</v>
      </c>
    </row>
    <row r="3" spans="1:17" x14ac:dyDescent="0.2">
      <c r="A3" s="2" t="s">
        <v>4</v>
      </c>
    </row>
    <row r="4" spans="1:17" x14ac:dyDescent="0.2">
      <c r="A4" s="20" t="s">
        <v>129</v>
      </c>
      <c r="C4" s="28" t="s">
        <v>135</v>
      </c>
      <c r="D4" s="12">
        <v>0.02</v>
      </c>
      <c r="E4" s="22">
        <v>20000</v>
      </c>
      <c r="H4" s="32">
        <f>E4*(1+D4)</f>
        <v>20400</v>
      </c>
      <c r="I4" s="32">
        <f>H4*(1+$D$4)</f>
        <v>20808</v>
      </c>
      <c r="J4" s="32">
        <f t="shared" ref="J4:Q4" si="0">I4*(1+$D$4)</f>
        <v>21224.16</v>
      </c>
      <c r="K4" s="32">
        <f t="shared" si="0"/>
        <v>21648.643199999999</v>
      </c>
      <c r="L4" s="32">
        <f t="shared" si="0"/>
        <v>22081.616063999998</v>
      </c>
      <c r="M4" s="32">
        <f t="shared" si="0"/>
        <v>22523.24838528</v>
      </c>
      <c r="N4" s="32">
        <f t="shared" si="0"/>
        <v>22973.7133529856</v>
      </c>
      <c r="O4" s="32">
        <f t="shared" si="0"/>
        <v>23433.187620045312</v>
      </c>
      <c r="P4" s="32">
        <f t="shared" si="0"/>
        <v>23901.851372446217</v>
      </c>
      <c r="Q4" s="32">
        <f t="shared" si="0"/>
        <v>24379.888399895142</v>
      </c>
    </row>
    <row r="5" spans="1:17" x14ac:dyDescent="0.2">
      <c r="A5" s="20" t="s">
        <v>130</v>
      </c>
      <c r="E5" s="25">
        <v>0.02</v>
      </c>
      <c r="H5" s="9">
        <f>E5</f>
        <v>0.02</v>
      </c>
      <c r="I5" s="9">
        <f>H5+1%</f>
        <v>0.03</v>
      </c>
      <c r="J5" s="9">
        <f>I5-2%</f>
        <v>9.9999999999999985E-3</v>
      </c>
      <c r="K5" s="9">
        <f>J5</f>
        <v>9.9999999999999985E-3</v>
      </c>
      <c r="L5" s="9">
        <f>K5</f>
        <v>9.9999999999999985E-3</v>
      </c>
      <c r="M5" s="9">
        <f>L5-0.005</f>
        <v>4.9999999999999984E-3</v>
      </c>
      <c r="N5" s="9">
        <f>M5</f>
        <v>4.9999999999999984E-3</v>
      </c>
      <c r="O5" s="9">
        <f>N5+0.005</f>
        <v>9.9999999999999985E-3</v>
      </c>
      <c r="P5" s="9">
        <f>O5</f>
        <v>9.9999999999999985E-3</v>
      </c>
      <c r="Q5" s="9">
        <f>P5-0.005</f>
        <v>4.9999999999999984E-3</v>
      </c>
    </row>
    <row r="6" spans="1:17" x14ac:dyDescent="0.2">
      <c r="A6" s="20" t="s">
        <v>132</v>
      </c>
      <c r="E6" s="22">
        <f>3*12</f>
        <v>36</v>
      </c>
      <c r="H6" s="22">
        <f t="shared" ref="H6:Q6" si="1">3*12</f>
        <v>36</v>
      </c>
      <c r="I6" s="22">
        <f t="shared" si="1"/>
        <v>36</v>
      </c>
      <c r="J6" s="22">
        <f t="shared" si="1"/>
        <v>36</v>
      </c>
      <c r="K6" s="22">
        <f t="shared" si="1"/>
        <v>36</v>
      </c>
      <c r="L6" s="22">
        <f t="shared" si="1"/>
        <v>36</v>
      </c>
      <c r="M6" s="22">
        <f t="shared" si="1"/>
        <v>36</v>
      </c>
      <c r="N6" s="22">
        <f t="shared" si="1"/>
        <v>36</v>
      </c>
      <c r="O6" s="22">
        <f t="shared" si="1"/>
        <v>36</v>
      </c>
      <c r="P6" s="22">
        <f t="shared" si="1"/>
        <v>36</v>
      </c>
      <c r="Q6" s="22">
        <f t="shared" si="1"/>
        <v>36</v>
      </c>
    </row>
    <row r="7" spans="1:17" x14ac:dyDescent="0.2">
      <c r="A7" s="20" t="s">
        <v>131</v>
      </c>
      <c r="C7" s="28" t="s">
        <v>136</v>
      </c>
      <c r="D7" s="12">
        <v>0.02</v>
      </c>
      <c r="E7" s="1">
        <v>11</v>
      </c>
      <c r="H7" s="36">
        <f>E7*1.02</f>
        <v>11.22</v>
      </c>
      <c r="I7" s="24">
        <f>H7*(1+$D$7)</f>
        <v>11.444400000000002</v>
      </c>
      <c r="J7" s="24">
        <f t="shared" ref="J7:Q8" si="2">I7*(1+$D$7)</f>
        <v>11.673288000000001</v>
      </c>
      <c r="K7" s="24">
        <f t="shared" si="2"/>
        <v>11.906753760000001</v>
      </c>
      <c r="L7" s="24">
        <f t="shared" si="2"/>
        <v>12.144888835200002</v>
      </c>
      <c r="M7" s="24">
        <f t="shared" si="2"/>
        <v>12.387786611904001</v>
      </c>
      <c r="N7" s="24">
        <f t="shared" si="2"/>
        <v>12.635542344142081</v>
      </c>
      <c r="O7" s="24">
        <f t="shared" si="2"/>
        <v>12.888253191024923</v>
      </c>
      <c r="P7" s="24">
        <f t="shared" si="2"/>
        <v>13.146018254845421</v>
      </c>
      <c r="Q7" s="24">
        <f t="shared" si="2"/>
        <v>13.408938619942329</v>
      </c>
    </row>
    <row r="8" spans="1:17" x14ac:dyDescent="0.2">
      <c r="A8" s="20" t="s">
        <v>133</v>
      </c>
      <c r="E8" s="1">
        <v>14</v>
      </c>
      <c r="H8" s="28">
        <f>E8*($D$7+1)</f>
        <v>14.280000000000001</v>
      </c>
      <c r="I8" s="24">
        <f>H8*(1+$D$7)</f>
        <v>14.565600000000002</v>
      </c>
      <c r="J8" s="24">
        <f>I8*(1+$D$7)</f>
        <v>14.856912000000001</v>
      </c>
      <c r="K8" s="24">
        <f t="shared" si="2"/>
        <v>15.154050240000002</v>
      </c>
      <c r="L8" s="24">
        <f t="shared" si="2"/>
        <v>15.457131244800003</v>
      </c>
      <c r="M8" s="24">
        <f t="shared" si="2"/>
        <v>15.766273869696004</v>
      </c>
      <c r="N8" s="24">
        <f t="shared" si="2"/>
        <v>16.081599347089924</v>
      </c>
      <c r="O8" s="24">
        <f t="shared" si="2"/>
        <v>16.403231334031723</v>
      </c>
      <c r="P8" s="24">
        <f t="shared" si="2"/>
        <v>16.731295960712359</v>
      </c>
      <c r="Q8" s="24">
        <f t="shared" si="2"/>
        <v>17.065921879926606</v>
      </c>
    </row>
    <row r="9" spans="1:17" x14ac:dyDescent="0.2">
      <c r="A9" s="2"/>
    </row>
    <row r="10" spans="1:17" x14ac:dyDescent="0.2">
      <c r="A10" s="20" t="s">
        <v>91</v>
      </c>
      <c r="E10" s="21">
        <v>1250000</v>
      </c>
      <c r="H10" s="21">
        <v>1250000</v>
      </c>
      <c r="I10" s="21">
        <f>H10</f>
        <v>1250000</v>
      </c>
      <c r="J10" s="21">
        <f>I10</f>
        <v>1250000</v>
      </c>
      <c r="K10" s="21">
        <f t="shared" ref="K10:Q12" si="3">J10</f>
        <v>1250000</v>
      </c>
      <c r="L10" s="21">
        <f t="shared" si="3"/>
        <v>1250000</v>
      </c>
      <c r="M10" s="21">
        <f t="shared" si="3"/>
        <v>1250000</v>
      </c>
      <c r="N10" s="21">
        <f t="shared" si="3"/>
        <v>1250000</v>
      </c>
      <c r="O10" s="21">
        <f t="shared" si="3"/>
        <v>1250000</v>
      </c>
      <c r="P10" s="21">
        <f t="shared" si="3"/>
        <v>1250000</v>
      </c>
      <c r="Q10" s="21">
        <f t="shared" si="3"/>
        <v>1250000</v>
      </c>
    </row>
    <row r="11" spans="1:17" x14ac:dyDescent="0.2">
      <c r="A11" s="28" t="s">
        <v>5</v>
      </c>
      <c r="E11" s="4">
        <v>7</v>
      </c>
      <c r="H11" s="4">
        <v>7</v>
      </c>
      <c r="I11" s="28">
        <f>H11</f>
        <v>7</v>
      </c>
      <c r="J11" s="28">
        <f>I11</f>
        <v>7</v>
      </c>
      <c r="K11" s="28">
        <f t="shared" si="3"/>
        <v>7</v>
      </c>
      <c r="L11" s="28">
        <f t="shared" si="3"/>
        <v>7</v>
      </c>
      <c r="M11" s="28">
        <f t="shared" si="3"/>
        <v>7</v>
      </c>
      <c r="N11" s="28">
        <f t="shared" si="3"/>
        <v>7</v>
      </c>
      <c r="O11" s="28">
        <f t="shared" si="3"/>
        <v>7</v>
      </c>
      <c r="P11" s="28">
        <f t="shared" si="3"/>
        <v>7</v>
      </c>
      <c r="Q11" s="28">
        <f t="shared" si="3"/>
        <v>7</v>
      </c>
    </row>
    <row r="12" spans="1:17" x14ac:dyDescent="0.2">
      <c r="A12" s="28" t="s">
        <v>6</v>
      </c>
      <c r="E12" s="4">
        <v>20</v>
      </c>
      <c r="H12" s="4">
        <v>20</v>
      </c>
      <c r="I12" s="28">
        <f t="shared" ref="I12:Q23" si="4">H12</f>
        <v>20</v>
      </c>
      <c r="J12" s="28">
        <f t="shared" si="4"/>
        <v>20</v>
      </c>
      <c r="K12" s="28">
        <f t="shared" si="3"/>
        <v>20</v>
      </c>
      <c r="L12" s="28">
        <f t="shared" si="3"/>
        <v>20</v>
      </c>
      <c r="M12" s="28">
        <f t="shared" si="3"/>
        <v>20</v>
      </c>
      <c r="N12" s="28">
        <f t="shared" si="3"/>
        <v>20</v>
      </c>
      <c r="O12" s="28">
        <f t="shared" si="3"/>
        <v>20</v>
      </c>
      <c r="P12" s="28">
        <f t="shared" si="3"/>
        <v>20</v>
      </c>
      <c r="Q12" s="28">
        <f t="shared" si="3"/>
        <v>20</v>
      </c>
    </row>
    <row r="13" spans="1:17" x14ac:dyDescent="0.2">
      <c r="A13" s="28" t="s">
        <v>7</v>
      </c>
      <c r="E13" s="4">
        <v>15</v>
      </c>
      <c r="H13" s="4">
        <f>$E$13</f>
        <v>15</v>
      </c>
      <c r="I13" s="4">
        <f t="shared" ref="I13:Q13" si="5">$E$13</f>
        <v>15</v>
      </c>
      <c r="J13" s="4">
        <f t="shared" si="5"/>
        <v>15</v>
      </c>
      <c r="K13" s="4">
        <f t="shared" si="5"/>
        <v>15</v>
      </c>
      <c r="L13" s="4">
        <f t="shared" si="5"/>
        <v>15</v>
      </c>
      <c r="M13" s="4">
        <f t="shared" si="5"/>
        <v>15</v>
      </c>
      <c r="N13" s="4">
        <f t="shared" si="5"/>
        <v>15</v>
      </c>
      <c r="O13" s="4">
        <f t="shared" si="5"/>
        <v>15</v>
      </c>
      <c r="P13" s="4">
        <f t="shared" si="5"/>
        <v>15</v>
      </c>
      <c r="Q13" s="4">
        <f t="shared" si="5"/>
        <v>15</v>
      </c>
    </row>
    <row r="14" spans="1:17" x14ac:dyDescent="0.2">
      <c r="A14" s="28" t="s">
        <v>8</v>
      </c>
      <c r="E14" s="4">
        <v>0.4</v>
      </c>
      <c r="H14" s="4">
        <f>$E$14</f>
        <v>0.4</v>
      </c>
      <c r="I14" s="28">
        <f t="shared" si="4"/>
        <v>0.4</v>
      </c>
      <c r="J14" s="28">
        <f t="shared" si="4"/>
        <v>0.4</v>
      </c>
      <c r="K14" s="28">
        <f t="shared" si="4"/>
        <v>0.4</v>
      </c>
      <c r="L14" s="28">
        <f t="shared" si="4"/>
        <v>0.4</v>
      </c>
      <c r="M14" s="28">
        <f t="shared" si="4"/>
        <v>0.4</v>
      </c>
      <c r="N14" s="28">
        <f t="shared" si="4"/>
        <v>0.4</v>
      </c>
      <c r="O14" s="28">
        <f t="shared" si="4"/>
        <v>0.4</v>
      </c>
      <c r="P14" s="28">
        <f t="shared" si="4"/>
        <v>0.4</v>
      </c>
      <c r="Q14" s="28">
        <f t="shared" si="4"/>
        <v>0.4</v>
      </c>
    </row>
    <row r="15" spans="1:17" x14ac:dyDescent="0.2">
      <c r="E15" s="4"/>
      <c r="H15" s="4"/>
    </row>
    <row r="16" spans="1:17" x14ac:dyDescent="0.2">
      <c r="A16" s="28" t="s">
        <v>9</v>
      </c>
      <c r="E16" s="4">
        <v>30</v>
      </c>
      <c r="H16" s="4">
        <f>$E$16</f>
        <v>30</v>
      </c>
      <c r="I16" s="28">
        <f t="shared" si="4"/>
        <v>30</v>
      </c>
      <c r="J16" s="28">
        <f t="shared" si="4"/>
        <v>30</v>
      </c>
      <c r="K16" s="28">
        <f t="shared" si="4"/>
        <v>30</v>
      </c>
      <c r="L16" s="28">
        <f t="shared" si="4"/>
        <v>30</v>
      </c>
      <c r="M16" s="28">
        <f t="shared" si="4"/>
        <v>30</v>
      </c>
      <c r="N16" s="28">
        <f t="shared" si="4"/>
        <v>30</v>
      </c>
      <c r="O16" s="28">
        <f t="shared" si="4"/>
        <v>30</v>
      </c>
      <c r="P16" s="28">
        <f t="shared" si="4"/>
        <v>30</v>
      </c>
      <c r="Q16" s="28">
        <f t="shared" si="4"/>
        <v>30</v>
      </c>
    </row>
    <row r="17" spans="1:17" x14ac:dyDescent="0.2">
      <c r="A17" s="28" t="s">
        <v>10</v>
      </c>
      <c r="E17" s="9">
        <v>0.06</v>
      </c>
      <c r="H17" s="9">
        <v>0.05</v>
      </c>
      <c r="I17" s="9">
        <f t="shared" si="4"/>
        <v>0.05</v>
      </c>
      <c r="J17" s="9">
        <f t="shared" si="4"/>
        <v>0.05</v>
      </c>
      <c r="K17" s="9">
        <f t="shared" si="4"/>
        <v>0.05</v>
      </c>
      <c r="L17" s="9">
        <f t="shared" si="4"/>
        <v>0.05</v>
      </c>
      <c r="M17" s="9">
        <f t="shared" si="4"/>
        <v>0.05</v>
      </c>
      <c r="N17" s="9">
        <f t="shared" si="4"/>
        <v>0.05</v>
      </c>
      <c r="O17" s="9">
        <f t="shared" si="4"/>
        <v>0.05</v>
      </c>
      <c r="P17" s="9">
        <f t="shared" si="4"/>
        <v>0.05</v>
      </c>
      <c r="Q17" s="9">
        <f t="shared" si="4"/>
        <v>0.05</v>
      </c>
    </row>
    <row r="18" spans="1:17" x14ac:dyDescent="0.2">
      <c r="A18" s="28" t="s">
        <v>11</v>
      </c>
      <c r="E18" s="9">
        <v>0.1</v>
      </c>
      <c r="H18" s="9">
        <v>0.1</v>
      </c>
      <c r="I18" s="9">
        <f t="shared" si="4"/>
        <v>0.1</v>
      </c>
      <c r="J18" s="9">
        <f t="shared" si="4"/>
        <v>0.1</v>
      </c>
      <c r="K18" s="9">
        <f t="shared" si="4"/>
        <v>0.1</v>
      </c>
      <c r="L18" s="9">
        <f t="shared" si="4"/>
        <v>0.1</v>
      </c>
      <c r="M18" s="9">
        <f t="shared" si="4"/>
        <v>0.1</v>
      </c>
      <c r="N18" s="9">
        <f t="shared" si="4"/>
        <v>0.1</v>
      </c>
      <c r="O18" s="9">
        <f t="shared" si="4"/>
        <v>0.1</v>
      </c>
      <c r="P18" s="9">
        <f t="shared" si="4"/>
        <v>0.1</v>
      </c>
      <c r="Q18" s="9">
        <f t="shared" si="4"/>
        <v>0.1</v>
      </c>
    </row>
    <row r="19" spans="1:17" x14ac:dyDescent="0.2">
      <c r="A19" s="28" t="s">
        <v>12</v>
      </c>
      <c r="E19" s="9">
        <v>0.25</v>
      </c>
      <c r="H19" s="9">
        <v>0.25</v>
      </c>
      <c r="I19" s="9">
        <f t="shared" si="4"/>
        <v>0.25</v>
      </c>
      <c r="J19" s="9">
        <f t="shared" si="4"/>
        <v>0.25</v>
      </c>
      <c r="K19" s="9">
        <f t="shared" si="4"/>
        <v>0.25</v>
      </c>
      <c r="L19" s="9">
        <f t="shared" si="4"/>
        <v>0.25</v>
      </c>
      <c r="M19" s="9">
        <f t="shared" si="4"/>
        <v>0.25</v>
      </c>
      <c r="N19" s="9">
        <f t="shared" si="4"/>
        <v>0.25</v>
      </c>
      <c r="O19" s="9">
        <f t="shared" si="4"/>
        <v>0.25</v>
      </c>
      <c r="P19" s="9">
        <f t="shared" si="4"/>
        <v>0.25</v>
      </c>
      <c r="Q19" s="9">
        <f t="shared" si="4"/>
        <v>0.25</v>
      </c>
    </row>
    <row r="20" spans="1:17" x14ac:dyDescent="0.2">
      <c r="E20" s="9"/>
      <c r="H20" s="9"/>
      <c r="I20" s="9"/>
      <c r="J20" s="9"/>
      <c r="K20" s="9"/>
      <c r="L20" s="9"/>
      <c r="M20" s="9"/>
      <c r="N20" s="9"/>
      <c r="O20" s="9"/>
      <c r="P20" s="9"/>
      <c r="Q20" s="9"/>
    </row>
    <row r="21" spans="1:17" x14ac:dyDescent="0.2">
      <c r="A21" s="28" t="s">
        <v>13</v>
      </c>
      <c r="E21" s="9">
        <v>0.88900000000000001</v>
      </c>
      <c r="H21" s="9">
        <v>0.88900000000000001</v>
      </c>
      <c r="I21" s="9">
        <f t="shared" si="4"/>
        <v>0.88900000000000001</v>
      </c>
      <c r="J21" s="9">
        <f t="shared" si="4"/>
        <v>0.88900000000000001</v>
      </c>
      <c r="K21" s="9">
        <f t="shared" si="4"/>
        <v>0.88900000000000001</v>
      </c>
      <c r="L21" s="9">
        <f t="shared" si="4"/>
        <v>0.88900000000000001</v>
      </c>
      <c r="M21" s="9">
        <f t="shared" si="4"/>
        <v>0.88900000000000001</v>
      </c>
      <c r="N21" s="9">
        <f t="shared" si="4"/>
        <v>0.88900000000000001</v>
      </c>
      <c r="O21" s="9">
        <f t="shared" si="4"/>
        <v>0.88900000000000001</v>
      </c>
      <c r="P21" s="9">
        <f t="shared" si="4"/>
        <v>0.88900000000000001</v>
      </c>
      <c r="Q21" s="9">
        <f t="shared" si="4"/>
        <v>0.88900000000000001</v>
      </c>
    </row>
    <row r="22" spans="1:17" x14ac:dyDescent="0.2">
      <c r="A22" s="28" t="s">
        <v>14</v>
      </c>
      <c r="E22" s="4">
        <v>20</v>
      </c>
      <c r="H22" s="4">
        <v>20</v>
      </c>
      <c r="I22" s="28">
        <f t="shared" si="4"/>
        <v>20</v>
      </c>
      <c r="J22" s="28">
        <f t="shared" si="4"/>
        <v>20</v>
      </c>
      <c r="K22" s="28">
        <f t="shared" si="4"/>
        <v>20</v>
      </c>
      <c r="L22" s="28">
        <f t="shared" si="4"/>
        <v>20</v>
      </c>
      <c r="M22" s="28">
        <f t="shared" si="4"/>
        <v>20</v>
      </c>
      <c r="N22" s="28">
        <f t="shared" si="4"/>
        <v>20</v>
      </c>
      <c r="O22" s="28">
        <f t="shared" si="4"/>
        <v>20</v>
      </c>
      <c r="P22" s="28">
        <f t="shared" si="4"/>
        <v>20</v>
      </c>
      <c r="Q22" s="28">
        <f t="shared" si="4"/>
        <v>20</v>
      </c>
    </row>
    <row r="23" spans="1:17" x14ac:dyDescent="0.2">
      <c r="A23" s="28" t="s">
        <v>15</v>
      </c>
      <c r="E23" s="4">
        <v>28.75</v>
      </c>
      <c r="H23" s="4">
        <v>28.75</v>
      </c>
      <c r="I23" s="28">
        <f t="shared" si="4"/>
        <v>28.75</v>
      </c>
      <c r="J23" s="28">
        <f t="shared" si="4"/>
        <v>28.75</v>
      </c>
      <c r="K23" s="28">
        <f t="shared" si="4"/>
        <v>28.75</v>
      </c>
      <c r="L23" s="28">
        <f t="shared" si="4"/>
        <v>28.75</v>
      </c>
      <c r="M23" s="28">
        <f t="shared" si="4"/>
        <v>28.75</v>
      </c>
      <c r="N23" s="28">
        <f t="shared" si="4"/>
        <v>28.75</v>
      </c>
      <c r="O23" s="28">
        <f t="shared" si="4"/>
        <v>28.75</v>
      </c>
      <c r="P23" s="28">
        <f t="shared" si="4"/>
        <v>28.75</v>
      </c>
      <c r="Q23" s="28">
        <f t="shared" si="4"/>
        <v>28.75</v>
      </c>
    </row>
    <row r="24" spans="1:17" x14ac:dyDescent="0.2">
      <c r="E24" s="4"/>
      <c r="H24" s="4"/>
    </row>
    <row r="25" spans="1:17" x14ac:dyDescent="0.2">
      <c r="A25" s="28" t="s">
        <v>79</v>
      </c>
      <c r="E25" s="4"/>
      <c r="H25" s="12">
        <v>0.03</v>
      </c>
    </row>
    <row r="26" spans="1:17" x14ac:dyDescent="0.2">
      <c r="A26" s="28" t="s">
        <v>94</v>
      </c>
      <c r="E26" s="22">
        <v>0.87</v>
      </c>
      <c r="H26" s="12"/>
    </row>
    <row r="27" spans="1:17" x14ac:dyDescent="0.2">
      <c r="A27" s="28" t="s">
        <v>92</v>
      </c>
      <c r="E27" s="5">
        <v>3.3999999999999998E-3</v>
      </c>
      <c r="H27" s="12"/>
    </row>
    <row r="28" spans="1:17" x14ac:dyDescent="0.2">
      <c r="A28" s="28" t="s">
        <v>93</v>
      </c>
      <c r="E28" s="5">
        <v>0.08</v>
      </c>
      <c r="H28" s="12"/>
    </row>
    <row r="30" spans="1:17" x14ac:dyDescent="0.2">
      <c r="A30" s="2" t="s">
        <v>16</v>
      </c>
      <c r="D30" s="24"/>
      <c r="G30" s="28" t="s">
        <v>128</v>
      </c>
    </row>
    <row r="31" spans="1:17" x14ac:dyDescent="0.2">
      <c r="A31" s="28" t="s">
        <v>103</v>
      </c>
      <c r="D31" s="9"/>
      <c r="E31" s="8">
        <f>PRODUCT(E4:E7)</f>
        <v>158400</v>
      </c>
      <c r="G31" s="25"/>
      <c r="H31" s="8">
        <f>PRODUCT(H4:H7)</f>
        <v>164799.36000000002</v>
      </c>
      <c r="I31" s="8">
        <f t="shared" ref="I31:Q31" si="6">PRODUCT(I4:I7)</f>
        <v>257185.88121600004</v>
      </c>
      <c r="J31" s="8">
        <f t="shared" si="6"/>
        <v>89192.063605708798</v>
      </c>
      <c r="K31" s="8">
        <f t="shared" si="6"/>
        <v>92795.422975379421</v>
      </c>
      <c r="L31" s="8">
        <f t="shared" si="6"/>
        <v>96544.358063584747</v>
      </c>
      <c r="M31" s="8">
        <f t="shared" si="6"/>
        <v>50222.375064676788</v>
      </c>
      <c r="N31" s="8">
        <f t="shared" si="6"/>
        <v>52251.359017289724</v>
      </c>
      <c r="O31" s="8">
        <f t="shared" si="6"/>
        <v>108724.62784317648</v>
      </c>
      <c r="P31" s="8">
        <f t="shared" si="6"/>
        <v>113117.1028080408</v>
      </c>
      <c r="Q31" s="8">
        <f t="shared" si="6"/>
        <v>58843.516880742813</v>
      </c>
    </row>
    <row r="32" spans="1:17" x14ac:dyDescent="0.2">
      <c r="A32" s="28" t="s">
        <v>104</v>
      </c>
      <c r="D32" s="5"/>
      <c r="E32" s="8">
        <f>E4*E5*E6/2*E8</f>
        <v>100800</v>
      </c>
      <c r="G32" s="25"/>
      <c r="H32" s="8">
        <f>PRODUCT(H4:H6)/2*H8</f>
        <v>104872.32000000001</v>
      </c>
      <c r="I32" s="8">
        <f t="shared" ref="I32:Q32" si="7">PRODUCT(I4:I6)/2*I8</f>
        <v>163663.74259200002</v>
      </c>
      <c r="J32" s="8">
        <f t="shared" si="7"/>
        <v>56758.585930905603</v>
      </c>
      <c r="K32" s="8">
        <f t="shared" si="7"/>
        <v>59051.632802514177</v>
      </c>
      <c r="L32" s="8">
        <f t="shared" si="7"/>
        <v>61437.318767735749</v>
      </c>
      <c r="M32" s="8">
        <f t="shared" si="7"/>
        <v>31959.693222976141</v>
      </c>
      <c r="N32" s="8">
        <f t="shared" si="7"/>
        <v>33250.864829184378</v>
      </c>
      <c r="O32" s="8">
        <f t="shared" si="7"/>
        <v>69188.399536566867</v>
      </c>
      <c r="P32" s="8">
        <f t="shared" si="7"/>
        <v>71983.61087784417</v>
      </c>
      <c r="Q32" s="8">
        <f t="shared" si="7"/>
        <v>37445.874378654524</v>
      </c>
    </row>
    <row r="33" spans="1:18" x14ac:dyDescent="0.2">
      <c r="E33" s="8"/>
      <c r="H33" s="8"/>
      <c r="I33" s="8"/>
      <c r="J33" s="8"/>
    </row>
    <row r="34" spans="1:18" x14ac:dyDescent="0.2">
      <c r="A34" s="28" t="s">
        <v>17</v>
      </c>
      <c r="D34" s="9">
        <v>0.1</v>
      </c>
      <c r="E34" s="8">
        <f>E32*D34</f>
        <v>10080</v>
      </c>
      <c r="H34" s="8">
        <f>E34</f>
        <v>10080</v>
      </c>
      <c r="I34" s="10">
        <f>H34*1.02</f>
        <v>10281.6</v>
      </c>
      <c r="J34" s="10">
        <f t="shared" ref="J34:Q34" si="8">I34*1.02</f>
        <v>10487.232</v>
      </c>
      <c r="K34" s="10">
        <f t="shared" si="8"/>
        <v>10696.976640000001</v>
      </c>
      <c r="L34" s="10">
        <f t="shared" si="8"/>
        <v>10910.916172800002</v>
      </c>
      <c r="M34" s="10">
        <f t="shared" si="8"/>
        <v>11129.134496256002</v>
      </c>
      <c r="N34" s="10">
        <f t="shared" si="8"/>
        <v>11351.717186181122</v>
      </c>
      <c r="O34" s="10">
        <f t="shared" si="8"/>
        <v>11578.751529904745</v>
      </c>
      <c r="P34" s="10">
        <f t="shared" si="8"/>
        <v>11810.326560502839</v>
      </c>
      <c r="Q34" s="10">
        <f t="shared" si="8"/>
        <v>12046.533091712896</v>
      </c>
    </row>
    <row r="35" spans="1:18" x14ac:dyDescent="0.2">
      <c r="E35" s="8"/>
      <c r="H35" s="8"/>
    </row>
    <row r="36" spans="1:18" x14ac:dyDescent="0.2">
      <c r="A36" s="2" t="s">
        <v>18</v>
      </c>
      <c r="B36" s="2"/>
      <c r="C36" s="2"/>
      <c r="D36" s="2"/>
      <c r="E36" s="37">
        <f>SUM(E31:E32)-E34</f>
        <v>249120</v>
      </c>
      <c r="F36" s="2"/>
      <c r="G36" s="2"/>
      <c r="H36" s="37">
        <f>SUM(H31:H32)-H34</f>
        <v>259591.68000000005</v>
      </c>
      <c r="I36" s="37">
        <f>SUM(I31:I32)-I34</f>
        <v>410568.02380800009</v>
      </c>
      <c r="J36" s="37">
        <f t="shared" ref="J36:Q36" si="9">SUM(J31:J32)-J34</f>
        <v>135463.4175366144</v>
      </c>
      <c r="K36" s="37">
        <f t="shared" si="9"/>
        <v>141150.0791378936</v>
      </c>
      <c r="L36" s="37">
        <f t="shared" si="9"/>
        <v>147070.76065852051</v>
      </c>
      <c r="M36" s="37">
        <f t="shared" si="9"/>
        <v>71052.933791396936</v>
      </c>
      <c r="N36" s="37">
        <f t="shared" si="9"/>
        <v>74150.506660292987</v>
      </c>
      <c r="O36" s="37">
        <f t="shared" si="9"/>
        <v>166334.2758498386</v>
      </c>
      <c r="P36" s="37">
        <f t="shared" si="9"/>
        <v>173290.38712538211</v>
      </c>
      <c r="Q36" s="37">
        <f t="shared" si="9"/>
        <v>84242.858167684433</v>
      </c>
    </row>
    <row r="37" spans="1:18" x14ac:dyDescent="0.2">
      <c r="E37" s="8"/>
      <c r="H37" s="8"/>
    </row>
    <row r="38" spans="1:18" x14ac:dyDescent="0.2">
      <c r="A38" s="28" t="s">
        <v>19</v>
      </c>
      <c r="E38" s="8"/>
      <c r="H38" s="8"/>
    </row>
    <row r="39" spans="1:18" x14ac:dyDescent="0.2">
      <c r="B39" s="28" t="s">
        <v>105</v>
      </c>
      <c r="D39" s="12">
        <v>0.95</v>
      </c>
      <c r="E39" s="8">
        <f>$D$39*E31</f>
        <v>150480</v>
      </c>
      <c r="H39" s="8">
        <f t="shared" ref="H39:Q39" si="10">$D$39*H31</f>
        <v>156559.39199999999</v>
      </c>
      <c r="I39" s="8">
        <f t="shared" si="10"/>
        <v>244326.58715520002</v>
      </c>
      <c r="J39" s="8">
        <f t="shared" si="10"/>
        <v>84732.460425423356</v>
      </c>
      <c r="K39" s="8">
        <f t="shared" si="10"/>
        <v>88155.651826610439</v>
      </c>
      <c r="L39" s="8">
        <f t="shared" si="10"/>
        <v>91717.140160405499</v>
      </c>
      <c r="M39" s="8">
        <f t="shared" si="10"/>
        <v>47711.256311442943</v>
      </c>
      <c r="N39" s="8">
        <f t="shared" si="10"/>
        <v>49638.791066425234</v>
      </c>
      <c r="O39" s="8">
        <f t="shared" si="10"/>
        <v>103288.39645101764</v>
      </c>
      <c r="P39" s="8">
        <f t="shared" si="10"/>
        <v>107461.24766763876</v>
      </c>
      <c r="Q39" s="8">
        <f t="shared" si="10"/>
        <v>55901.341036705671</v>
      </c>
      <c r="R39" s="13"/>
    </row>
    <row r="40" spans="1:18" x14ac:dyDescent="0.2">
      <c r="B40" s="28" t="s">
        <v>20</v>
      </c>
      <c r="C40" s="28" t="s">
        <v>106</v>
      </c>
      <c r="D40" s="9">
        <v>2.6487142857142858E-2</v>
      </c>
      <c r="E40" s="8">
        <f t="shared" ref="E40:E45" si="11">$D40*SUM(E$31:E$32)</f>
        <v>6865.4674285714291</v>
      </c>
      <c r="H40" s="8">
        <f t="shared" ref="H40:Q45" si="12">$D40*SUM(H$31:H$32)</f>
        <v>7142.8323126857158</v>
      </c>
      <c r="I40" s="8">
        <f t="shared" si="12"/>
        <v>11147.104107177327</v>
      </c>
      <c r="J40" s="8">
        <f t="shared" si="12"/>
        <v>3865.8157043690967</v>
      </c>
      <c r="K40" s="8">
        <f t="shared" si="12"/>
        <v>4021.994658825608</v>
      </c>
      <c r="L40" s="8">
        <f t="shared" si="12"/>
        <v>4184.483243042162</v>
      </c>
      <c r="M40" s="8">
        <f t="shared" si="12"/>
        <v>2176.7681830305328</v>
      </c>
      <c r="N40" s="8">
        <f t="shared" si="12"/>
        <v>2264.7096176249665</v>
      </c>
      <c r="O40" s="8">
        <f t="shared" si="12"/>
        <v>4712.4077723540304</v>
      </c>
      <c r="P40" s="8">
        <f t="shared" si="12"/>
        <v>4902.789046357133</v>
      </c>
      <c r="Q40" s="8">
        <f t="shared" si="12"/>
        <v>2550.4308619149801</v>
      </c>
      <c r="R40" s="13"/>
    </row>
    <row r="41" spans="1:18" x14ac:dyDescent="0.2">
      <c r="B41" s="28" t="s">
        <v>21</v>
      </c>
      <c r="C41" s="28" t="s">
        <v>106</v>
      </c>
      <c r="D41" s="9">
        <v>3.1669999999999997E-2</v>
      </c>
      <c r="E41" s="8">
        <f t="shared" si="11"/>
        <v>8208.8639999999996</v>
      </c>
      <c r="H41" s="8">
        <f t="shared" si="12"/>
        <v>8540.5021056000005</v>
      </c>
      <c r="I41" s="8">
        <f t="shared" si="12"/>
        <v>13328.307585999361</v>
      </c>
      <c r="J41" s="8">
        <f t="shared" si="12"/>
        <v>4622.2570708245776</v>
      </c>
      <c r="K41" s="8">
        <f t="shared" si="12"/>
        <v>4808.9962564858897</v>
      </c>
      <c r="L41" s="8">
        <f t="shared" si="12"/>
        <v>5003.27970524792</v>
      </c>
      <c r="M41" s="8">
        <f t="shared" si="12"/>
        <v>2602.706102669968</v>
      </c>
      <c r="N41" s="8">
        <f t="shared" si="12"/>
        <v>2707.8554292178346</v>
      </c>
      <c r="O41" s="8">
        <f t="shared" si="12"/>
        <v>5634.5055771164716</v>
      </c>
      <c r="P41" s="8">
        <f t="shared" si="12"/>
        <v>5862.1396024319756</v>
      </c>
      <c r="Q41" s="8">
        <f t="shared" si="12"/>
        <v>3049.4850211851135</v>
      </c>
      <c r="R41" s="13"/>
    </row>
    <row r="42" spans="1:18" x14ac:dyDescent="0.2">
      <c r="B42" s="28" t="s">
        <v>22</v>
      </c>
      <c r="C42" s="28" t="s">
        <v>106</v>
      </c>
      <c r="D42" s="9">
        <v>3.5662857142857142E-2</v>
      </c>
      <c r="E42" s="8">
        <f t="shared" si="11"/>
        <v>9243.8125714285707</v>
      </c>
      <c r="H42" s="8">
        <f t="shared" si="12"/>
        <v>9617.2625993142865</v>
      </c>
      <c r="I42" s="8">
        <f t="shared" si="12"/>
        <v>15008.700012489877</v>
      </c>
      <c r="J42" s="8">
        <f t="shared" si="12"/>
        <v>5205.0171643314879</v>
      </c>
      <c r="K42" s="8">
        <f t="shared" si="12"/>
        <v>5415.2998577704802</v>
      </c>
      <c r="L42" s="8">
        <f t="shared" si="12"/>
        <v>5634.0779720244072</v>
      </c>
      <c r="M42" s="8">
        <f t="shared" si="12"/>
        <v>2930.8473610470969</v>
      </c>
      <c r="N42" s="8">
        <f t="shared" si="12"/>
        <v>3049.2535944333995</v>
      </c>
      <c r="O42" s="8">
        <f t="shared" si="12"/>
        <v>6344.8868792970179</v>
      </c>
      <c r="P42" s="8">
        <f t="shared" si="12"/>
        <v>6601.2203092206173</v>
      </c>
      <c r="Q42" s="8">
        <f t="shared" si="12"/>
        <v>3433.9548048565644</v>
      </c>
      <c r="R42" s="13"/>
    </row>
    <row r="43" spans="1:18" x14ac:dyDescent="0.2">
      <c r="B43" s="28" t="s">
        <v>23</v>
      </c>
      <c r="C43" s="28" t="s">
        <v>106</v>
      </c>
      <c r="D43" s="9">
        <v>7.1428571428571426E-3</v>
      </c>
      <c r="E43" s="8">
        <f t="shared" si="11"/>
        <v>1851.4285714285713</v>
      </c>
      <c r="H43" s="8">
        <f t="shared" si="12"/>
        <v>1926.226285714286</v>
      </c>
      <c r="I43" s="8">
        <f t="shared" si="12"/>
        <v>3006.0687414857148</v>
      </c>
      <c r="J43" s="8">
        <f t="shared" si="12"/>
        <v>1042.5046395472457</v>
      </c>
      <c r="K43" s="8">
        <f t="shared" si="12"/>
        <v>1084.6218269849544</v>
      </c>
      <c r="L43" s="8">
        <f t="shared" si="12"/>
        <v>1128.4405487951465</v>
      </c>
      <c r="M43" s="8">
        <f t="shared" si="12"/>
        <v>587.01477348323522</v>
      </c>
      <c r="N43" s="8">
        <f t="shared" si="12"/>
        <v>610.73017033195788</v>
      </c>
      <c r="O43" s="8">
        <f t="shared" si="12"/>
        <v>1270.8073384267382</v>
      </c>
      <c r="P43" s="8">
        <f t="shared" si="12"/>
        <v>1322.1479548991781</v>
      </c>
      <c r="Q43" s="8">
        <f t="shared" si="12"/>
        <v>687.78136613855236</v>
      </c>
      <c r="R43" s="13"/>
    </row>
    <row r="44" spans="1:18" x14ac:dyDescent="0.2">
      <c r="B44" s="28" t="s">
        <v>134</v>
      </c>
      <c r="C44" s="28" t="s">
        <v>106</v>
      </c>
      <c r="D44" s="9">
        <v>6.0000000000000001E-3</v>
      </c>
      <c r="E44" s="8">
        <f t="shared" si="11"/>
        <v>1555.2</v>
      </c>
      <c r="H44" s="8">
        <f t="shared" si="12"/>
        <v>1618.0300800000005</v>
      </c>
      <c r="I44" s="8">
        <f t="shared" si="12"/>
        <v>2525.0977428480005</v>
      </c>
      <c r="J44" s="8">
        <f t="shared" si="12"/>
        <v>875.70389721968638</v>
      </c>
      <c r="K44" s="8">
        <f t="shared" si="12"/>
        <v>911.08233466736169</v>
      </c>
      <c r="L44" s="8">
        <f t="shared" si="12"/>
        <v>947.89006098792311</v>
      </c>
      <c r="M44" s="8">
        <f t="shared" si="12"/>
        <v>493.09240972591761</v>
      </c>
      <c r="N44" s="8">
        <f t="shared" si="12"/>
        <v>513.01334307884463</v>
      </c>
      <c r="O44" s="8">
        <f t="shared" si="12"/>
        <v>1067.4781642784601</v>
      </c>
      <c r="P44" s="8">
        <f t="shared" si="12"/>
        <v>1110.6042821153098</v>
      </c>
      <c r="Q44" s="8">
        <f t="shared" si="12"/>
        <v>577.73634755638398</v>
      </c>
      <c r="R44" s="13"/>
    </row>
    <row r="45" spans="1:18" x14ac:dyDescent="0.2">
      <c r="B45" s="28" t="s">
        <v>24</v>
      </c>
      <c r="C45" s="28" t="s">
        <v>106</v>
      </c>
      <c r="D45" s="9">
        <v>1.3638571428571429E-2</v>
      </c>
      <c r="E45" s="8">
        <f t="shared" si="11"/>
        <v>3535.1177142857141</v>
      </c>
      <c r="H45" s="8">
        <f t="shared" si="12"/>
        <v>3677.9364699428579</v>
      </c>
      <c r="I45" s="8">
        <f t="shared" si="12"/>
        <v>5739.7876549928242</v>
      </c>
      <c r="J45" s="8">
        <f t="shared" si="12"/>
        <v>1990.5583587515109</v>
      </c>
      <c r="K45" s="8">
        <f t="shared" si="12"/>
        <v>2070.9769164450718</v>
      </c>
      <c r="L45" s="8">
        <f t="shared" si="12"/>
        <v>2154.6443838694527</v>
      </c>
      <c r="M45" s="8">
        <f t="shared" si="12"/>
        <v>1120.8460084888893</v>
      </c>
      <c r="N45" s="8">
        <f t="shared" si="12"/>
        <v>1166.1281872318405</v>
      </c>
      <c r="O45" s="8">
        <f t="shared" si="12"/>
        <v>2426.479531992014</v>
      </c>
      <c r="P45" s="8">
        <f t="shared" si="12"/>
        <v>2524.5093050844912</v>
      </c>
      <c r="Q45" s="8">
        <f t="shared" si="12"/>
        <v>1313.2497405049519</v>
      </c>
      <c r="R45" s="13"/>
    </row>
    <row r="46" spans="1:18" x14ac:dyDescent="0.2">
      <c r="E46" s="8"/>
      <c r="H46" s="8"/>
    </row>
    <row r="47" spans="1:18" x14ac:dyDescent="0.2">
      <c r="B47" s="28" t="s">
        <v>25</v>
      </c>
      <c r="E47" s="8">
        <f>SUM(E39:E45)</f>
        <v>181739.8902857143</v>
      </c>
      <c r="H47" s="8">
        <f>SUM(H39:H45)</f>
        <v>189082.18185325715</v>
      </c>
      <c r="I47" s="8">
        <f>SUM(I39:I45)</f>
        <v>295081.65300019307</v>
      </c>
      <c r="J47" s="8">
        <f>SUM(J39:J45)</f>
        <v>102334.31726046697</v>
      </c>
      <c r="K47" s="8">
        <f t="shared" ref="K47:Q47" si="13">SUM(K39:K45)</f>
        <v>106468.6236777898</v>
      </c>
      <c r="L47" s="8">
        <f t="shared" si="13"/>
        <v>110769.9560743725</v>
      </c>
      <c r="M47" s="8">
        <f t="shared" si="13"/>
        <v>57622.531149888579</v>
      </c>
      <c r="N47" s="8">
        <f t="shared" si="13"/>
        <v>59950.481408344094</v>
      </c>
      <c r="O47" s="8">
        <f t="shared" si="13"/>
        <v>124744.96171448237</v>
      </c>
      <c r="P47" s="8">
        <f t="shared" si="13"/>
        <v>129784.65816774746</v>
      </c>
      <c r="Q47" s="8">
        <f t="shared" si="13"/>
        <v>67513.979178862224</v>
      </c>
    </row>
    <row r="48" spans="1:18" x14ac:dyDescent="0.2">
      <c r="E48" s="8"/>
      <c r="H48" s="8"/>
      <c r="I48" s="8"/>
      <c r="J48" s="8"/>
    </row>
    <row r="49" spans="1:32" x14ac:dyDescent="0.2">
      <c r="A49" s="2" t="s">
        <v>26</v>
      </c>
      <c r="B49" s="2"/>
      <c r="C49" s="2"/>
      <c r="D49" s="2"/>
      <c r="E49" s="37">
        <f>E36-E47</f>
        <v>67380.109714285703</v>
      </c>
      <c r="F49" s="2"/>
      <c r="G49" s="2"/>
      <c r="H49" s="37">
        <f>H36-H47</f>
        <v>70509.498146742902</v>
      </c>
      <c r="I49" s="37">
        <f>I36-I47</f>
        <v>115486.37080780702</v>
      </c>
      <c r="J49" s="37">
        <f>J36-J47</f>
        <v>33129.100276147437</v>
      </c>
      <c r="K49" s="37">
        <f>K36-K47</f>
        <v>34681.455460103796</v>
      </c>
      <c r="L49" s="37">
        <f t="shared" ref="L49:Q49" si="14">L36-L47</f>
        <v>36300.804584148005</v>
      </c>
      <c r="M49" s="37">
        <f t="shared" si="14"/>
        <v>13430.402641508357</v>
      </c>
      <c r="N49" s="37">
        <f t="shared" si="14"/>
        <v>14200.025251948893</v>
      </c>
      <c r="O49" s="37">
        <f t="shared" si="14"/>
        <v>41589.314135356224</v>
      </c>
      <c r="P49" s="37">
        <f t="shared" si="14"/>
        <v>43505.728957634652</v>
      </c>
      <c r="Q49" s="37">
        <f t="shared" si="14"/>
        <v>16728.878988822209</v>
      </c>
    </row>
    <row r="50" spans="1:32" ht="15" x14ac:dyDescent="0.25">
      <c r="E50" s="8"/>
      <c r="H50" s="8"/>
      <c r="I50" s="8"/>
      <c r="J50" s="8"/>
      <c r="W50" s="43" t="s">
        <v>144</v>
      </c>
      <c r="X50" s="44">
        <v>0.25</v>
      </c>
      <c r="Y50" s="45"/>
      <c r="Z50" s="45"/>
      <c r="AA50" s="45"/>
      <c r="AB50" s="45"/>
      <c r="AC50" s="46"/>
      <c r="AD50" s="46"/>
      <c r="AE50" s="46"/>
      <c r="AF50" s="47"/>
    </row>
    <row r="51" spans="1:32" ht="15" x14ac:dyDescent="0.25">
      <c r="A51" s="28" t="s">
        <v>27</v>
      </c>
      <c r="E51" s="8"/>
      <c r="H51" s="8"/>
      <c r="I51" s="8"/>
      <c r="J51" s="8"/>
      <c r="W51" s="15"/>
      <c r="X51" s="17"/>
      <c r="Y51" s="17"/>
      <c r="Z51" s="17"/>
      <c r="AA51" s="17"/>
      <c r="AB51" s="17"/>
      <c r="AC51" s="30"/>
      <c r="AD51" s="30"/>
      <c r="AE51" s="30"/>
      <c r="AF51" s="48"/>
    </row>
    <row r="52" spans="1:32" ht="15" x14ac:dyDescent="0.25">
      <c r="B52" s="28" t="s">
        <v>28</v>
      </c>
      <c r="E52" s="8">
        <f>E70/E22</f>
        <v>10625</v>
      </c>
      <c r="H52" s="8">
        <f t="shared" ref="H52:Q52" si="15">H70/H22</f>
        <v>10625</v>
      </c>
      <c r="I52" s="8">
        <f t="shared" si="15"/>
        <v>10625</v>
      </c>
      <c r="J52" s="8">
        <f t="shared" si="15"/>
        <v>10625</v>
      </c>
      <c r="K52" s="8">
        <f t="shared" si="15"/>
        <v>10625</v>
      </c>
      <c r="L52" s="8">
        <f t="shared" si="15"/>
        <v>10625</v>
      </c>
      <c r="M52" s="8">
        <f t="shared" si="15"/>
        <v>13125</v>
      </c>
      <c r="N52" s="8">
        <f t="shared" si="15"/>
        <v>13125</v>
      </c>
      <c r="O52" s="8">
        <f t="shared" si="15"/>
        <v>13125</v>
      </c>
      <c r="P52" s="8">
        <f t="shared" si="15"/>
        <v>13125</v>
      </c>
      <c r="Q52" s="8">
        <f t="shared" si="15"/>
        <v>13125</v>
      </c>
      <c r="W52" s="15" t="s">
        <v>145</v>
      </c>
      <c r="X52" s="49">
        <v>2.5000000000000001E-2</v>
      </c>
      <c r="Y52" s="17"/>
      <c r="Z52" s="17"/>
      <c r="AA52" s="17"/>
      <c r="AB52" s="17"/>
      <c r="AC52" s="30"/>
      <c r="AD52" s="30"/>
      <c r="AE52" s="30"/>
      <c r="AF52" s="48"/>
    </row>
    <row r="53" spans="1:32" ht="15" x14ac:dyDescent="0.25">
      <c r="B53" s="28" t="s">
        <v>29</v>
      </c>
      <c r="E53" s="8">
        <f>E72/E23</f>
        <v>14347.826086956522</v>
      </c>
      <c r="H53" s="10">
        <f>H72/H23</f>
        <v>14347.826086956522</v>
      </c>
      <c r="I53" s="8">
        <f t="shared" ref="I53:Q53" si="16">I72/I23</f>
        <v>14347.826086956522</v>
      </c>
      <c r="J53" s="8">
        <f t="shared" si="16"/>
        <v>14347.826086956522</v>
      </c>
      <c r="K53" s="8">
        <f t="shared" si="16"/>
        <v>14347.826086956522</v>
      </c>
      <c r="L53" s="8">
        <f t="shared" si="16"/>
        <v>14347.826086956522</v>
      </c>
      <c r="M53" s="8">
        <f t="shared" si="16"/>
        <v>14347.826086956522</v>
      </c>
      <c r="N53" s="8">
        <f t="shared" si="16"/>
        <v>14347.826086956522</v>
      </c>
      <c r="O53" s="8">
        <f t="shared" si="16"/>
        <v>14347.826086956522</v>
      </c>
      <c r="P53" s="8">
        <f t="shared" si="16"/>
        <v>14347.826086956522</v>
      </c>
      <c r="Q53" s="8">
        <f t="shared" si="16"/>
        <v>14347.826086956522</v>
      </c>
      <c r="W53" s="15" t="s">
        <v>89</v>
      </c>
      <c r="X53" s="50">
        <v>0.11</v>
      </c>
      <c r="Y53" s="17"/>
      <c r="Z53" s="17"/>
      <c r="AA53" s="17"/>
      <c r="AB53" s="17"/>
      <c r="AC53" s="30"/>
      <c r="AD53" s="30"/>
      <c r="AE53" s="30"/>
      <c r="AF53" s="48"/>
    </row>
    <row r="54" spans="1:32" ht="15" x14ac:dyDescent="0.25">
      <c r="E54" s="8"/>
      <c r="H54" s="8"/>
      <c r="I54" s="8"/>
      <c r="J54" s="8"/>
      <c r="W54" s="15"/>
      <c r="X54" s="17"/>
      <c r="Y54" s="17"/>
      <c r="Z54" s="17"/>
      <c r="AA54" s="17"/>
      <c r="AB54" s="17"/>
      <c r="AC54" s="30"/>
      <c r="AD54" s="30"/>
      <c r="AE54" s="30"/>
      <c r="AF54" s="48"/>
    </row>
    <row r="55" spans="1:32" ht="15" x14ac:dyDescent="0.25">
      <c r="A55" s="28" t="s">
        <v>30</v>
      </c>
      <c r="E55" s="8">
        <f>Mortgage!D15</f>
        <v>29832.972947781545</v>
      </c>
      <c r="G55" s="11"/>
      <c r="H55" s="8">
        <f>Mortgage!D29</f>
        <v>29454.267570995526</v>
      </c>
      <c r="I55" s="8">
        <f>Mortgage!D43</f>
        <v>29052.204475228024</v>
      </c>
      <c r="J55" s="8">
        <f>Mortgage!D57</f>
        <v>28625.343007482101</v>
      </c>
      <c r="K55" s="8">
        <f>J55-50</f>
        <v>28575.343007482101</v>
      </c>
      <c r="L55" s="11">
        <f>K55-75</f>
        <v>28500.343007482101</v>
      </c>
      <c r="M55" s="11">
        <f>L55-100</f>
        <v>28400.343007482101</v>
      </c>
      <c r="N55" s="11">
        <f>M55-120</f>
        <v>28280.343007482101</v>
      </c>
      <c r="O55" s="11">
        <f>N55-150</f>
        <v>28130.343007482101</v>
      </c>
      <c r="P55" s="11">
        <f>O55-180</f>
        <v>27950.343007482101</v>
      </c>
      <c r="Q55" s="11">
        <f>P55-210</f>
        <v>27740.343007482101</v>
      </c>
      <c r="W55" s="15" t="s">
        <v>146</v>
      </c>
      <c r="X55" s="51">
        <v>1.3</v>
      </c>
      <c r="Y55" s="17"/>
      <c r="Z55" s="17"/>
      <c r="AA55" s="17"/>
      <c r="AB55" s="17"/>
      <c r="AC55" s="30"/>
      <c r="AD55" s="30"/>
      <c r="AE55" s="30"/>
      <c r="AF55" s="48"/>
    </row>
    <row r="56" spans="1:32" ht="15" x14ac:dyDescent="0.25">
      <c r="A56" s="28" t="s">
        <v>31</v>
      </c>
      <c r="E56" s="8">
        <f>E91*E18</f>
        <v>53620.251127636424</v>
      </c>
      <c r="G56" s="11"/>
      <c r="H56" s="8">
        <f t="shared" ref="H56:Q56" si="17">H91*H18</f>
        <v>31876.800003710541</v>
      </c>
      <c r="I56" s="8">
        <f t="shared" si="17"/>
        <v>27594.158274981801</v>
      </c>
      <c r="J56" s="8">
        <f t="shared" si="17"/>
        <v>30073.704232750519</v>
      </c>
      <c r="K56" s="8">
        <f t="shared" si="17"/>
        <v>33629.57968926656</v>
      </c>
      <c r="L56" s="8">
        <f t="shared" si="17"/>
        <v>37438.286505286844</v>
      </c>
      <c r="M56" s="8">
        <f t="shared" si="17"/>
        <v>49251.459649496435</v>
      </c>
      <c r="N56" s="8">
        <f t="shared" si="17"/>
        <v>57297.076630008582</v>
      </c>
      <c r="O56" s="8">
        <f t="shared" si="17"/>
        <v>63817.776777339081</v>
      </c>
      <c r="P56" s="8">
        <f t="shared" si="17"/>
        <v>70303.711822875572</v>
      </c>
      <c r="Q56" s="8">
        <f t="shared" si="17"/>
        <v>79863.657899035519</v>
      </c>
      <c r="W56" s="15" t="s">
        <v>147</v>
      </c>
      <c r="X56" s="16">
        <f>SUM(X68:X69)</f>
        <v>0.91189621122015185</v>
      </c>
      <c r="Y56" s="17"/>
      <c r="Z56" s="17"/>
      <c r="AA56" s="17"/>
      <c r="AB56" s="17"/>
      <c r="AC56" s="30"/>
      <c r="AD56" s="30"/>
      <c r="AE56" s="30"/>
      <c r="AF56" s="48"/>
    </row>
    <row r="57" spans="1:32" ht="15" x14ac:dyDescent="0.25">
      <c r="E57" s="8"/>
      <c r="H57" s="8"/>
      <c r="I57" s="8"/>
      <c r="J57" s="8"/>
      <c r="W57" s="15" t="s">
        <v>148</v>
      </c>
      <c r="X57" s="16">
        <f>X71</f>
        <v>8.8103788779848188E-2</v>
      </c>
      <c r="Y57" s="16">
        <f>X56+X57</f>
        <v>1</v>
      </c>
      <c r="Z57" s="17"/>
      <c r="AA57" s="17"/>
      <c r="AB57" s="17"/>
      <c r="AC57" s="30"/>
      <c r="AD57" s="30"/>
      <c r="AE57" s="30"/>
      <c r="AF57" s="48"/>
    </row>
    <row r="58" spans="1:32" ht="15" x14ac:dyDescent="0.25">
      <c r="A58" s="28" t="s">
        <v>32</v>
      </c>
      <c r="E58" s="8">
        <f>E49-SUM(E52:E56)</f>
        <v>-41045.94044808879</v>
      </c>
      <c r="H58" s="8">
        <f t="shared" ref="H58:Q58" si="18">H49-SUM(H52:H56)</f>
        <v>-15794.395514919685</v>
      </c>
      <c r="I58" s="8">
        <f t="shared" si="18"/>
        <v>33867.181970640668</v>
      </c>
      <c r="J58" s="8">
        <f t="shared" si="18"/>
        <v>-50542.773051041702</v>
      </c>
      <c r="K58" s="8">
        <f t="shared" si="18"/>
        <v>-52496.293323601378</v>
      </c>
      <c r="L58" s="8">
        <f t="shared" si="18"/>
        <v>-54610.651015577459</v>
      </c>
      <c r="M58" s="8">
        <f t="shared" si="18"/>
        <v>-91694.226102426706</v>
      </c>
      <c r="N58" s="8">
        <f t="shared" si="18"/>
        <v>-98850.220472498302</v>
      </c>
      <c r="O58" s="8">
        <f t="shared" si="18"/>
        <v>-77831.631736421477</v>
      </c>
      <c r="P58" s="8">
        <f t="shared" si="18"/>
        <v>-82221.151959679541</v>
      </c>
      <c r="Q58" s="8">
        <f t="shared" si="18"/>
        <v>-118347.94800465195</v>
      </c>
      <c r="W58" s="15" t="s">
        <v>149</v>
      </c>
      <c r="X58" s="52">
        <v>0.2</v>
      </c>
      <c r="Y58" s="17"/>
      <c r="Z58" s="17"/>
      <c r="AA58" s="17"/>
      <c r="AB58" s="17"/>
      <c r="AC58" s="30"/>
      <c r="AD58" s="30"/>
      <c r="AE58" s="30"/>
      <c r="AF58" s="48"/>
    </row>
    <row r="59" spans="1:32" ht="15" x14ac:dyDescent="0.25">
      <c r="A59" s="28" t="s">
        <v>33</v>
      </c>
      <c r="E59" s="8">
        <f>IF(E58&lt;0, 0, E58*E19)</f>
        <v>0</v>
      </c>
      <c r="H59" s="8">
        <f t="shared" ref="H59:Q59" si="19">IF(H58&lt;0, 0, H58*H19)</f>
        <v>0</v>
      </c>
      <c r="I59" s="8">
        <f t="shared" si="19"/>
        <v>8466.7954926601669</v>
      </c>
      <c r="J59" s="8">
        <f t="shared" si="19"/>
        <v>0</v>
      </c>
      <c r="K59" s="8">
        <f t="shared" si="19"/>
        <v>0</v>
      </c>
      <c r="L59" s="8">
        <f t="shared" si="19"/>
        <v>0</v>
      </c>
      <c r="M59" s="8">
        <f t="shared" si="19"/>
        <v>0</v>
      </c>
      <c r="N59" s="8">
        <f t="shared" si="19"/>
        <v>0</v>
      </c>
      <c r="O59" s="8">
        <f t="shared" si="19"/>
        <v>0</v>
      </c>
      <c r="P59" s="8">
        <f t="shared" si="19"/>
        <v>0</v>
      </c>
      <c r="Q59" s="8">
        <f t="shared" si="19"/>
        <v>0</v>
      </c>
      <c r="W59" s="15"/>
      <c r="X59" s="17"/>
      <c r="Y59" s="17"/>
      <c r="Z59" s="17"/>
      <c r="AA59" s="17"/>
      <c r="AB59" s="17"/>
      <c r="AC59" s="30"/>
      <c r="AD59" s="30"/>
      <c r="AE59" s="30"/>
      <c r="AF59" s="48"/>
    </row>
    <row r="60" spans="1:32" ht="15" x14ac:dyDescent="0.25">
      <c r="A60" s="2" t="s">
        <v>34</v>
      </c>
      <c r="B60" s="2"/>
      <c r="C60" s="2"/>
      <c r="D60" s="2"/>
      <c r="E60" s="37">
        <f>E58-E59</f>
        <v>-41045.94044808879</v>
      </c>
      <c r="F60" s="2"/>
      <c r="G60" s="2"/>
      <c r="H60" s="37">
        <f>H58-H59</f>
        <v>-15794.395514919685</v>
      </c>
      <c r="I60" s="37">
        <f>I58-I59</f>
        <v>25400.386477980501</v>
      </c>
      <c r="J60" s="37">
        <f>J58-J59</f>
        <v>-50542.773051041702</v>
      </c>
      <c r="K60" s="37">
        <f t="shared" ref="K60:Q60" si="20">K58-K59</f>
        <v>-52496.293323601378</v>
      </c>
      <c r="L60" s="37">
        <f t="shared" si="20"/>
        <v>-54610.651015577459</v>
      </c>
      <c r="M60" s="37">
        <f t="shared" si="20"/>
        <v>-91694.226102426706</v>
      </c>
      <c r="N60" s="37">
        <f t="shared" si="20"/>
        <v>-98850.220472498302</v>
      </c>
      <c r="O60" s="37">
        <f t="shared" si="20"/>
        <v>-77831.631736421477</v>
      </c>
      <c r="P60" s="37">
        <f t="shared" si="20"/>
        <v>-82221.151959679541</v>
      </c>
      <c r="Q60" s="37">
        <f t="shared" si="20"/>
        <v>-118347.94800465195</v>
      </c>
      <c r="W60" s="15" t="s">
        <v>150</v>
      </c>
      <c r="X60" s="53">
        <f>SUM(AC68:AC69)</f>
        <v>0.79999999999999993</v>
      </c>
      <c r="Y60" s="17"/>
      <c r="Z60" s="17"/>
      <c r="AA60" s="17"/>
      <c r="AB60" s="17"/>
      <c r="AC60" s="30"/>
      <c r="AD60" s="30"/>
      <c r="AE60" s="30"/>
      <c r="AF60" s="48"/>
    </row>
    <row r="61" spans="1:32" ht="15" x14ac:dyDescent="0.25">
      <c r="E61" s="8"/>
      <c r="H61" s="8"/>
      <c r="W61" s="15" t="s">
        <v>151</v>
      </c>
      <c r="X61" s="53">
        <f>AC71</f>
        <v>0.2</v>
      </c>
      <c r="Y61" s="16">
        <f>X60+X61</f>
        <v>1</v>
      </c>
      <c r="Z61" s="17"/>
      <c r="AA61" s="17"/>
      <c r="AB61" s="17"/>
      <c r="AC61" s="30"/>
      <c r="AD61" s="30"/>
      <c r="AE61" s="30"/>
      <c r="AF61" s="48"/>
    </row>
    <row r="62" spans="1:32" ht="15" x14ac:dyDescent="0.25">
      <c r="A62" s="2" t="s">
        <v>35</v>
      </c>
      <c r="E62" s="8"/>
      <c r="H62" s="8"/>
      <c r="W62" s="15" t="s">
        <v>152</v>
      </c>
      <c r="X62" s="54">
        <f>X58*(1+(1-X50)*(X60/X61))</f>
        <v>0.79999999999999993</v>
      </c>
      <c r="Y62" s="17"/>
      <c r="Z62" s="17"/>
      <c r="AA62" s="17"/>
      <c r="AB62" s="17"/>
      <c r="AC62" s="30"/>
      <c r="AD62" s="30"/>
      <c r="AE62" s="30"/>
      <c r="AF62" s="48"/>
    </row>
    <row r="63" spans="1:32" ht="15" x14ac:dyDescent="0.25">
      <c r="A63" s="2" t="s">
        <v>36</v>
      </c>
      <c r="E63" s="8"/>
      <c r="H63" s="8"/>
      <c r="S63" s="28" t="s">
        <v>117</v>
      </c>
      <c r="T63" s="28" t="s">
        <v>118</v>
      </c>
      <c r="U63" s="28" t="s">
        <v>119</v>
      </c>
      <c r="W63" s="15"/>
      <c r="X63" s="17"/>
      <c r="Y63" s="17"/>
      <c r="Z63" s="17"/>
      <c r="AA63" s="17"/>
      <c r="AB63" s="17"/>
      <c r="AC63" s="30"/>
      <c r="AD63" s="30"/>
      <c r="AE63" s="30"/>
      <c r="AF63" s="48"/>
    </row>
    <row r="64" spans="1:32" ht="15" x14ac:dyDescent="0.25">
      <c r="B64" s="28" t="s">
        <v>37</v>
      </c>
      <c r="E64" s="8">
        <v>5000</v>
      </c>
      <c r="H64" s="8">
        <f>$E$64</f>
        <v>5000</v>
      </c>
      <c r="I64" s="8">
        <f t="shared" ref="I64:Q64" si="21">$E$64</f>
        <v>5000</v>
      </c>
      <c r="J64" s="8">
        <f t="shared" si="21"/>
        <v>5000</v>
      </c>
      <c r="K64" s="8">
        <f t="shared" si="21"/>
        <v>5000</v>
      </c>
      <c r="L64" s="8">
        <f t="shared" si="21"/>
        <v>5000</v>
      </c>
      <c r="M64" s="8">
        <f t="shared" si="21"/>
        <v>5000</v>
      </c>
      <c r="N64" s="8">
        <f t="shared" si="21"/>
        <v>5000</v>
      </c>
      <c r="O64" s="8">
        <f t="shared" si="21"/>
        <v>5000</v>
      </c>
      <c r="P64" s="8">
        <f t="shared" si="21"/>
        <v>5000</v>
      </c>
      <c r="Q64" s="8">
        <f t="shared" si="21"/>
        <v>5000</v>
      </c>
      <c r="S64" s="25">
        <v>1</v>
      </c>
      <c r="U64" s="11">
        <f>S64*Q64</f>
        <v>5000</v>
      </c>
      <c r="W64" s="15" t="s">
        <v>153</v>
      </c>
      <c r="X64" s="55">
        <f>X52+X55*(X53-X52)</f>
        <v>0.13549999999999998</v>
      </c>
      <c r="Y64" s="17"/>
      <c r="Z64" s="17"/>
      <c r="AA64" s="17"/>
      <c r="AB64" s="17"/>
      <c r="AC64" s="30"/>
      <c r="AD64" s="30"/>
      <c r="AE64" s="30"/>
      <c r="AF64" s="48"/>
    </row>
    <row r="65" spans="1:32" ht="15" x14ac:dyDescent="0.25">
      <c r="B65" s="28" t="s">
        <v>38</v>
      </c>
      <c r="E65" s="8">
        <v>199333</v>
      </c>
      <c r="H65" s="8"/>
      <c r="J65" s="24"/>
      <c r="K65" s="24"/>
      <c r="L65" s="24"/>
      <c r="M65" s="24"/>
      <c r="N65" s="24"/>
      <c r="O65" s="24"/>
      <c r="P65" s="24"/>
      <c r="Q65" s="24"/>
      <c r="S65" s="25"/>
      <c r="W65" s="15" t="s">
        <v>154</v>
      </c>
      <c r="X65" s="55">
        <v>0.14000000000000001</v>
      </c>
      <c r="Y65" s="17"/>
      <c r="Z65" s="17"/>
      <c r="AA65" s="17"/>
      <c r="AB65" s="17"/>
      <c r="AC65" s="30"/>
      <c r="AD65" s="30"/>
      <c r="AE65" s="30"/>
      <c r="AF65" s="48"/>
    </row>
    <row r="66" spans="1:32" ht="15" x14ac:dyDescent="0.25">
      <c r="B66" s="28" t="s">
        <v>39</v>
      </c>
      <c r="E66" s="8">
        <f>SUM(E31:E32)/365*E11</f>
        <v>4970.9589041095896</v>
      </c>
      <c r="H66" s="8">
        <f t="shared" ref="H66:Q66" si="22">SUM(H31:H32)/365*H11</f>
        <v>5171.7856438356175</v>
      </c>
      <c r="I66" s="8">
        <f t="shared" si="22"/>
        <v>8071.0886757698645</v>
      </c>
      <c r="J66" s="8">
        <f t="shared" si="22"/>
        <v>2799.0535527569882</v>
      </c>
      <c r="K66" s="8">
        <f t="shared" si="22"/>
        <v>2912.1353162883706</v>
      </c>
      <c r="L66" s="8">
        <f t="shared" si="22"/>
        <v>3029.7855830664212</v>
      </c>
      <c r="M66" s="8">
        <f t="shared" si="22"/>
        <v>1576.0944603111523</v>
      </c>
      <c r="N66" s="8">
        <f t="shared" si="22"/>
        <v>1639.7686765077226</v>
      </c>
      <c r="O66" s="8">
        <f t="shared" si="22"/>
        <v>3412.0306620772699</v>
      </c>
      <c r="P66" s="8">
        <f t="shared" si="22"/>
        <v>3549.8767008251907</v>
      </c>
      <c r="Q66" s="8">
        <f t="shared" si="22"/>
        <v>1846.6458597692638</v>
      </c>
      <c r="S66" s="25">
        <v>0.5</v>
      </c>
      <c r="U66" s="14">
        <f>S66*Q66</f>
        <v>923.32292988463189</v>
      </c>
      <c r="W66" s="15"/>
      <c r="X66" s="17"/>
      <c r="Y66" s="17"/>
      <c r="Z66" s="17"/>
      <c r="AA66" s="17"/>
      <c r="AB66" s="17"/>
      <c r="AC66" s="30"/>
      <c r="AD66" s="30"/>
      <c r="AE66" s="30"/>
      <c r="AF66" s="48"/>
    </row>
    <row r="67" spans="1:32" ht="15" x14ac:dyDescent="0.25">
      <c r="B67" s="28" t="s">
        <v>40</v>
      </c>
      <c r="E67" s="8">
        <f>E36/365*E13</f>
        <v>10237.808219178083</v>
      </c>
      <c r="H67" s="10">
        <f t="shared" ref="H67:Q67" si="23">IF(H36/365*H13&lt;0,0,H36/365*H13)</f>
        <v>10668.151232876715</v>
      </c>
      <c r="I67" s="10">
        <f t="shared" si="23"/>
        <v>16872.658512657537</v>
      </c>
      <c r="J67" s="10">
        <f t="shared" si="23"/>
        <v>5566.9897617786746</v>
      </c>
      <c r="K67" s="10">
        <f t="shared" si="23"/>
        <v>5800.6881837490519</v>
      </c>
      <c r="L67" s="10">
        <f t="shared" si="23"/>
        <v>6044.0038626789255</v>
      </c>
      <c r="M67" s="10">
        <f t="shared" si="23"/>
        <v>2919.9835804683671</v>
      </c>
      <c r="N67" s="10">
        <f t="shared" si="23"/>
        <v>3047.2810956284789</v>
      </c>
      <c r="O67" s="10">
        <f t="shared" si="23"/>
        <v>6835.6551719111758</v>
      </c>
      <c r="P67" s="10">
        <f t="shared" si="23"/>
        <v>7121.5227585773473</v>
      </c>
      <c r="Q67" s="10">
        <f t="shared" si="23"/>
        <v>3462.035267165114</v>
      </c>
      <c r="S67" s="25">
        <v>0.5</v>
      </c>
      <c r="U67" s="14">
        <f>S67*Q67</f>
        <v>1731.017633582557</v>
      </c>
      <c r="W67" s="15" t="s">
        <v>155</v>
      </c>
      <c r="X67" s="17" t="s">
        <v>156</v>
      </c>
      <c r="Y67" s="17" t="s">
        <v>75</v>
      </c>
      <c r="Z67" s="17" t="s">
        <v>157</v>
      </c>
      <c r="AA67" s="17" t="s">
        <v>88</v>
      </c>
      <c r="AB67" s="17"/>
      <c r="AC67" s="30" t="s">
        <v>158</v>
      </c>
      <c r="AD67" s="30" t="s">
        <v>159</v>
      </c>
      <c r="AE67" s="30" t="s">
        <v>157</v>
      </c>
      <c r="AF67" s="48" t="s">
        <v>88</v>
      </c>
    </row>
    <row r="68" spans="1:32" ht="15" x14ac:dyDescent="0.25">
      <c r="E68" s="8"/>
      <c r="H68" s="8"/>
      <c r="I68" s="8"/>
      <c r="S68" s="25"/>
      <c r="W68" s="56">
        <f>AVERAGE(H90:Q90)</f>
        <v>451434.28236855706</v>
      </c>
      <c r="X68" s="55">
        <f>W68/W73</f>
        <v>0.44142164072705575</v>
      </c>
      <c r="Y68" s="57">
        <v>0.05</v>
      </c>
      <c r="Z68" s="55">
        <f>Y68*(1-$Q$19)</f>
        <v>3.7500000000000006E-2</v>
      </c>
      <c r="AA68" s="16">
        <f>X68*Z68</f>
        <v>1.6553311527264594E-2</v>
      </c>
      <c r="AB68" s="17"/>
      <c r="AC68" s="58">
        <v>0.7</v>
      </c>
      <c r="AD68" s="59">
        <v>0.06</v>
      </c>
      <c r="AE68" s="55">
        <f>AD68*(1-$X$52)</f>
        <v>5.8499999999999996E-2</v>
      </c>
      <c r="AF68" s="60">
        <f>AC68*AE68</f>
        <v>4.0949999999999993E-2</v>
      </c>
    </row>
    <row r="69" spans="1:32" ht="15" x14ac:dyDescent="0.25">
      <c r="B69" s="28" t="s">
        <v>41</v>
      </c>
      <c r="E69" s="8">
        <f>E10*660/1650</f>
        <v>500000</v>
      </c>
      <c r="H69" s="8">
        <f t="shared" ref="H69:Q69" si="24">H10*660/1650</f>
        <v>500000</v>
      </c>
      <c r="I69" s="8">
        <f t="shared" si="24"/>
        <v>500000</v>
      </c>
      <c r="J69" s="8">
        <f t="shared" si="24"/>
        <v>500000</v>
      </c>
      <c r="K69" s="8">
        <f t="shared" si="24"/>
        <v>500000</v>
      </c>
      <c r="L69" s="8">
        <f t="shared" si="24"/>
        <v>500000</v>
      </c>
      <c r="M69" s="8">
        <f t="shared" si="24"/>
        <v>500000</v>
      </c>
      <c r="N69" s="8">
        <f t="shared" si="24"/>
        <v>500000</v>
      </c>
      <c r="O69" s="8">
        <f t="shared" si="24"/>
        <v>500000</v>
      </c>
      <c r="P69" s="8">
        <f t="shared" si="24"/>
        <v>500000</v>
      </c>
      <c r="Q69" s="8">
        <f t="shared" si="24"/>
        <v>500000</v>
      </c>
      <c r="S69" s="25">
        <v>0.75</v>
      </c>
      <c r="T69" s="11">
        <f>S69*Q69</f>
        <v>375000</v>
      </c>
      <c r="W69" s="56">
        <f>AVERAGE(H91:Q91)</f>
        <v>481146.21148475149</v>
      </c>
      <c r="X69" s="55">
        <f>W69/W73</f>
        <v>0.47047457049309616</v>
      </c>
      <c r="Y69" s="57">
        <v>0.1</v>
      </c>
      <c r="Z69" s="55">
        <f>Y69*(1-$Q$19)</f>
        <v>7.5000000000000011E-2</v>
      </c>
      <c r="AA69" s="16">
        <f>X69*Z69</f>
        <v>3.528559278698222E-2</v>
      </c>
      <c r="AB69" s="17"/>
      <c r="AC69" s="58">
        <v>0.1</v>
      </c>
      <c r="AD69" s="59">
        <v>0.12</v>
      </c>
      <c r="AE69" s="55">
        <f>AD69*(1-$X$52)</f>
        <v>0.11699999999999999</v>
      </c>
      <c r="AF69" s="60">
        <f>AC69*AE69</f>
        <v>1.17E-2</v>
      </c>
    </row>
    <row r="70" spans="1:32" ht="15" x14ac:dyDescent="0.25">
      <c r="B70" s="28" t="s">
        <v>28</v>
      </c>
      <c r="E70" s="8">
        <f>E10*280.5/1650</f>
        <v>212500</v>
      </c>
      <c r="H70" s="8">
        <f>H10*280.5/1650</f>
        <v>212500</v>
      </c>
      <c r="I70" s="8">
        <f>I10*280.5/1650</f>
        <v>212500</v>
      </c>
      <c r="J70" s="8">
        <f>J10*280.5/1650</f>
        <v>212500</v>
      </c>
      <c r="K70" s="8">
        <f>K10*280.5/1650</f>
        <v>212500</v>
      </c>
      <c r="L70" s="8">
        <f>L10*280.5/1650</f>
        <v>212500</v>
      </c>
      <c r="M70" s="8">
        <f>M10*280.5/1650+50000</f>
        <v>262500</v>
      </c>
      <c r="N70" s="8">
        <f>M70</f>
        <v>262500</v>
      </c>
      <c r="O70" s="8">
        <f>N70</f>
        <v>262500</v>
      </c>
      <c r="P70" s="8">
        <f>O70</f>
        <v>262500</v>
      </c>
      <c r="Q70" s="8">
        <f>P70</f>
        <v>262500</v>
      </c>
      <c r="S70" s="25">
        <v>0.75</v>
      </c>
      <c r="T70" s="11">
        <f>S70*Q70</f>
        <v>196875</v>
      </c>
      <c r="W70" s="15"/>
      <c r="X70" s="55"/>
      <c r="Y70" s="17"/>
      <c r="Z70" s="17"/>
      <c r="AA70" s="17"/>
      <c r="AB70" s="17"/>
      <c r="AC70" s="61"/>
      <c r="AD70" s="30"/>
      <c r="AE70" s="30"/>
      <c r="AF70" s="48"/>
    </row>
    <row r="71" spans="1:32" ht="15" x14ac:dyDescent="0.25">
      <c r="B71" s="28" t="s">
        <v>42</v>
      </c>
      <c r="E71" s="8">
        <f>D71+E52</f>
        <v>10625</v>
      </c>
      <c r="H71" s="8">
        <f t="shared" ref="H71:Q71" si="25">G71+H52</f>
        <v>10625</v>
      </c>
      <c r="I71" s="8">
        <f t="shared" si="25"/>
        <v>21250</v>
      </c>
      <c r="J71" s="8">
        <f t="shared" si="25"/>
        <v>31875</v>
      </c>
      <c r="K71" s="8">
        <f t="shared" si="25"/>
        <v>42500</v>
      </c>
      <c r="L71" s="8">
        <f t="shared" si="25"/>
        <v>53125</v>
      </c>
      <c r="M71" s="8">
        <f t="shared" si="25"/>
        <v>66250</v>
      </c>
      <c r="N71" s="8">
        <f t="shared" si="25"/>
        <v>79375</v>
      </c>
      <c r="O71" s="8">
        <f t="shared" si="25"/>
        <v>92500</v>
      </c>
      <c r="P71" s="8">
        <f t="shared" si="25"/>
        <v>105625</v>
      </c>
      <c r="Q71" s="8">
        <f t="shared" si="25"/>
        <v>118750</v>
      </c>
      <c r="R71" s="8"/>
      <c r="S71" s="25"/>
      <c r="W71" s="56">
        <f>AVERAGE(H93:Q93)</f>
        <v>330000</v>
      </c>
      <c r="X71" s="55">
        <f>(W71+W72)/W73</f>
        <v>8.8103788779848188E-2</v>
      </c>
      <c r="Y71" s="55">
        <f>X64</f>
        <v>0.13549999999999998</v>
      </c>
      <c r="Z71" s="16">
        <f>Y71</f>
        <v>0.13549999999999998</v>
      </c>
      <c r="AA71" s="55">
        <f>X71*Z71</f>
        <v>1.1938063379669428E-2</v>
      </c>
      <c r="AB71" s="17"/>
      <c r="AC71" s="58">
        <v>0.2</v>
      </c>
      <c r="AD71" s="55">
        <f>X65</f>
        <v>0.14000000000000001</v>
      </c>
      <c r="AE71" s="55">
        <f>AD71</f>
        <v>0.14000000000000001</v>
      </c>
      <c r="AF71" s="62">
        <f>AC71*AE71</f>
        <v>2.8000000000000004E-2</v>
      </c>
    </row>
    <row r="72" spans="1:32" ht="15" x14ac:dyDescent="0.25">
      <c r="B72" s="28" t="s">
        <v>29</v>
      </c>
      <c r="E72" s="8">
        <f>E10*544.5/1650</f>
        <v>412500</v>
      </c>
      <c r="H72" s="8">
        <f t="shared" ref="H72:Q72" si="26">H10*544.5/1650</f>
        <v>412500</v>
      </c>
      <c r="I72" s="8">
        <f t="shared" si="26"/>
        <v>412500</v>
      </c>
      <c r="J72" s="8">
        <f t="shared" si="26"/>
        <v>412500</v>
      </c>
      <c r="K72" s="8">
        <f t="shared" si="26"/>
        <v>412500</v>
      </c>
      <c r="L72" s="8">
        <f t="shared" si="26"/>
        <v>412500</v>
      </c>
      <c r="M72" s="8">
        <f t="shared" si="26"/>
        <v>412500</v>
      </c>
      <c r="N72" s="8">
        <f t="shared" si="26"/>
        <v>412500</v>
      </c>
      <c r="O72" s="8">
        <f t="shared" si="26"/>
        <v>412500</v>
      </c>
      <c r="P72" s="8">
        <f t="shared" si="26"/>
        <v>412500</v>
      </c>
      <c r="Q72" s="8">
        <f t="shared" si="26"/>
        <v>412500</v>
      </c>
      <c r="S72" s="25">
        <v>0.75</v>
      </c>
      <c r="T72" s="11">
        <f>S72*Q72</f>
        <v>309375</v>
      </c>
      <c r="W72" s="56">
        <f>AVERAGE(H94:Q94)</f>
        <v>-239897.77801497825</v>
      </c>
      <c r="X72" s="55"/>
      <c r="Y72" s="17"/>
      <c r="Z72" s="17"/>
      <c r="AA72" s="17"/>
      <c r="AB72" s="17"/>
      <c r="AC72" s="30"/>
      <c r="AD72" s="30"/>
      <c r="AE72" s="30"/>
      <c r="AF72" s="48"/>
    </row>
    <row r="73" spans="1:32" ht="15" x14ac:dyDescent="0.25">
      <c r="B73" s="28" t="s">
        <v>42</v>
      </c>
      <c r="E73" s="8">
        <f>D73+E53</f>
        <v>14347.826086956522</v>
      </c>
      <c r="H73" s="8">
        <f>G73+H53</f>
        <v>14347.826086956522</v>
      </c>
      <c r="I73" s="8">
        <f t="shared" ref="I73:Q73" si="27">H73+I53</f>
        <v>28695.652173913044</v>
      </c>
      <c r="J73" s="8">
        <f t="shared" si="27"/>
        <v>43043.478260869568</v>
      </c>
      <c r="K73" s="8">
        <f t="shared" si="27"/>
        <v>57391.304347826088</v>
      </c>
      <c r="L73" s="8">
        <f t="shared" si="27"/>
        <v>71739.130434782608</v>
      </c>
      <c r="M73" s="8">
        <f t="shared" si="27"/>
        <v>86086.956521739135</v>
      </c>
      <c r="N73" s="8">
        <f t="shared" si="27"/>
        <v>100434.78260869566</v>
      </c>
      <c r="O73" s="8">
        <f t="shared" si="27"/>
        <v>114782.60869565219</v>
      </c>
      <c r="P73" s="8">
        <f t="shared" si="27"/>
        <v>129130.43478260872</v>
      </c>
      <c r="Q73" s="8">
        <f t="shared" si="27"/>
        <v>143478.26086956525</v>
      </c>
      <c r="S73" s="25"/>
      <c r="W73" s="63">
        <f>SUM(W68:W72)</f>
        <v>1022682.7158383302</v>
      </c>
      <c r="X73" s="64">
        <f>SUM(X68:X71)</f>
        <v>1</v>
      </c>
      <c r="Y73" s="6"/>
      <c r="Z73" s="65" t="s">
        <v>90</v>
      </c>
      <c r="AA73" s="66">
        <f>SUM(AA68:AA72)</f>
        <v>6.3776967693916248E-2</v>
      </c>
      <c r="AB73" s="6"/>
      <c r="AC73" s="67">
        <f>SUM(AC68:AC71)</f>
        <v>1</v>
      </c>
      <c r="AD73" s="68"/>
      <c r="AE73" s="69" t="s">
        <v>90</v>
      </c>
      <c r="AF73" s="70">
        <f>SUM(AF68:AF72)</f>
        <v>8.0649999999999999E-2</v>
      </c>
    </row>
    <row r="74" spans="1:32" x14ac:dyDescent="0.2">
      <c r="E74" s="8"/>
      <c r="H74" s="8"/>
      <c r="I74" s="8"/>
      <c r="J74" s="8"/>
      <c r="S74" s="25"/>
    </row>
    <row r="75" spans="1:32" x14ac:dyDescent="0.2">
      <c r="A75" s="2" t="s">
        <v>43</v>
      </c>
      <c r="E75" s="8">
        <f>SUM(E64:E67)+E69+E70+E72-E71-E73</f>
        <v>1319568.941036331</v>
      </c>
      <c r="H75" s="8">
        <f t="shared" ref="H75:Q75" si="28">SUM(H64:H67)+H69+H70+H72-H71-H73</f>
        <v>1120867.1107897558</v>
      </c>
      <c r="I75" s="8">
        <f t="shared" si="28"/>
        <v>1104998.0950145144</v>
      </c>
      <c r="J75" s="8">
        <f t="shared" si="28"/>
        <v>1063447.565053666</v>
      </c>
      <c r="K75" s="8">
        <f t="shared" si="28"/>
        <v>1038821.5191522114</v>
      </c>
      <c r="L75" s="8">
        <f t="shared" si="28"/>
        <v>1014209.6590109627</v>
      </c>
      <c r="M75" s="8">
        <f t="shared" si="28"/>
        <v>1032159.1215190404</v>
      </c>
      <c r="N75" s="8">
        <f t="shared" si="28"/>
        <v>1004877.2671634405</v>
      </c>
      <c r="O75" s="8">
        <f t="shared" si="28"/>
        <v>982965.07713833626</v>
      </c>
      <c r="P75" s="8">
        <f t="shared" si="28"/>
        <v>955915.96467679378</v>
      </c>
      <c r="Q75" s="33">
        <f t="shared" si="28"/>
        <v>923080.42025736929</v>
      </c>
      <c r="S75" s="25"/>
    </row>
    <row r="76" spans="1:32" x14ac:dyDescent="0.2">
      <c r="E76" s="8"/>
      <c r="H76" s="8"/>
      <c r="I76" s="8"/>
      <c r="J76" s="8"/>
      <c r="S76" s="25"/>
    </row>
    <row r="77" spans="1:32" x14ac:dyDescent="0.2">
      <c r="A77" s="2" t="s">
        <v>44</v>
      </c>
      <c r="E77" s="8"/>
      <c r="H77" s="8"/>
      <c r="I77" s="8"/>
      <c r="J77" s="8"/>
      <c r="S77" s="25"/>
    </row>
    <row r="78" spans="1:32" x14ac:dyDescent="0.2">
      <c r="B78" s="28" t="s">
        <v>45</v>
      </c>
      <c r="E78" s="8">
        <f>E34/365*E12</f>
        <v>552.32876712328766</v>
      </c>
      <c r="H78" s="8">
        <f t="shared" ref="H78:Q78" si="29">H34/365*H12</f>
        <v>552.32876712328766</v>
      </c>
      <c r="I78" s="8">
        <f t="shared" si="29"/>
        <v>563.37534246575342</v>
      </c>
      <c r="J78" s="8">
        <f t="shared" si="29"/>
        <v>574.64284931506847</v>
      </c>
      <c r="K78" s="8">
        <f t="shared" si="29"/>
        <v>586.13570630136996</v>
      </c>
      <c r="L78" s="8">
        <f t="shared" si="29"/>
        <v>597.85842042739739</v>
      </c>
      <c r="M78" s="8">
        <f t="shared" si="29"/>
        <v>609.81558883594528</v>
      </c>
      <c r="N78" s="8">
        <f t="shared" si="29"/>
        <v>622.01190061266425</v>
      </c>
      <c r="O78" s="8">
        <f t="shared" si="29"/>
        <v>634.45213862491744</v>
      </c>
      <c r="P78" s="8">
        <f t="shared" si="29"/>
        <v>647.14118139741583</v>
      </c>
      <c r="Q78" s="8">
        <f t="shared" si="29"/>
        <v>660.08400502536415</v>
      </c>
      <c r="S78" s="25">
        <v>-1</v>
      </c>
      <c r="U78" s="14">
        <f>S78*Q78</f>
        <v>-660.08400502536415</v>
      </c>
    </row>
    <row r="79" spans="1:32" x14ac:dyDescent="0.2">
      <c r="B79" s="28" t="s">
        <v>46</v>
      </c>
      <c r="E79" s="8">
        <f>E59</f>
        <v>0</v>
      </c>
      <c r="H79" s="8">
        <f t="shared" ref="H79:Q79" si="30">H59</f>
        <v>0</v>
      </c>
      <c r="I79" s="8">
        <f t="shared" si="30"/>
        <v>8466.7954926601669</v>
      </c>
      <c r="J79" s="8">
        <f t="shared" si="30"/>
        <v>0</v>
      </c>
      <c r="K79" s="8">
        <f t="shared" si="30"/>
        <v>0</v>
      </c>
      <c r="L79" s="8">
        <f t="shared" si="30"/>
        <v>0</v>
      </c>
      <c r="M79" s="8">
        <f t="shared" si="30"/>
        <v>0</v>
      </c>
      <c r="N79" s="8">
        <f t="shared" si="30"/>
        <v>0</v>
      </c>
      <c r="O79" s="8">
        <f t="shared" si="30"/>
        <v>0</v>
      </c>
      <c r="P79" s="8">
        <f t="shared" si="30"/>
        <v>0</v>
      </c>
      <c r="Q79" s="8">
        <f t="shared" si="30"/>
        <v>0</v>
      </c>
      <c r="S79" s="25"/>
    </row>
    <row r="80" spans="1:32" x14ac:dyDescent="0.2">
      <c r="E80" s="8"/>
      <c r="H80" s="8"/>
      <c r="S80" s="25"/>
    </row>
    <row r="81" spans="1:34" x14ac:dyDescent="0.2">
      <c r="S81" s="28" t="s">
        <v>25</v>
      </c>
      <c r="T81" s="24">
        <f>SUM(T64:T78)</f>
        <v>881250</v>
      </c>
      <c r="U81" s="24">
        <f>SUM(U64:U78)</f>
        <v>6994.2565584418244</v>
      </c>
      <c r="Z81" s="25"/>
    </row>
    <row r="82" spans="1:34" x14ac:dyDescent="0.2">
      <c r="S82" s="28" t="s">
        <v>120</v>
      </c>
      <c r="T82" s="24"/>
      <c r="U82" s="24">
        <f>T81-Q90</f>
        <v>470477.33803517336</v>
      </c>
      <c r="Z82" s="25"/>
      <c r="AA82" s="11"/>
    </row>
    <row r="83" spans="1:34" x14ac:dyDescent="0.2">
      <c r="S83" s="28" t="s">
        <v>121</v>
      </c>
      <c r="T83" s="24"/>
      <c r="U83" s="24">
        <v>10000</v>
      </c>
      <c r="Z83" s="25"/>
      <c r="AA83" s="11"/>
    </row>
    <row r="84" spans="1:34" x14ac:dyDescent="0.2">
      <c r="S84" s="28" t="s">
        <v>25</v>
      </c>
      <c r="T84" s="24"/>
      <c r="U84" s="24">
        <f>U81+U82-U83</f>
        <v>467471.59459361521</v>
      </c>
      <c r="Z84" s="25"/>
    </row>
    <row r="85" spans="1:34" x14ac:dyDescent="0.2">
      <c r="Z85" s="25"/>
      <c r="AA85" s="11"/>
    </row>
    <row r="86" spans="1:34" x14ac:dyDescent="0.2">
      <c r="Z86" s="25"/>
    </row>
    <row r="87" spans="1:34" x14ac:dyDescent="0.2">
      <c r="Z87" s="25"/>
    </row>
    <row r="88" spans="1:34" x14ac:dyDescent="0.2">
      <c r="Z88" s="25"/>
    </row>
    <row r="89" spans="1:34" x14ac:dyDescent="0.2">
      <c r="T89" s="28" t="s">
        <v>122</v>
      </c>
      <c r="U89" s="28" t="s">
        <v>123</v>
      </c>
      <c r="V89" s="28" t="s">
        <v>87</v>
      </c>
      <c r="W89" s="28" t="s">
        <v>126</v>
      </c>
      <c r="X89" s="28" t="s">
        <v>124</v>
      </c>
      <c r="Y89" s="28" t="s">
        <v>125</v>
      </c>
      <c r="Z89" s="25"/>
    </row>
    <row r="90" spans="1:34" s="6" customFormat="1" x14ac:dyDescent="0.2">
      <c r="A90" s="28" t="s">
        <v>47</v>
      </c>
      <c r="B90" s="28"/>
      <c r="C90" s="28"/>
      <c r="D90" s="28"/>
      <c r="E90" s="8">
        <f>Mortgage!F14</f>
        <v>493859.94143861637</v>
      </c>
      <c r="F90" s="28"/>
      <c r="G90" s="14"/>
      <c r="H90" s="8">
        <f>Mortgage!F28</f>
        <v>487341.17750044685</v>
      </c>
      <c r="I90" s="14">
        <f>Mortgage!F42</f>
        <v>480420.35046650976</v>
      </c>
      <c r="J90" s="14">
        <f>Mortgage!F56</f>
        <v>473072.66196482664</v>
      </c>
      <c r="K90" s="14">
        <f>J90-7700</f>
        <v>465372.66196482664</v>
      </c>
      <c r="L90" s="14">
        <f>K90-8100</f>
        <v>457272.66196482664</v>
      </c>
      <c r="M90" s="14">
        <f>L90-8500</f>
        <v>448772.66196482664</v>
      </c>
      <c r="N90" s="14">
        <f>M90-8900</f>
        <v>439872.66196482664</v>
      </c>
      <c r="O90" s="14">
        <f>N90-9300</f>
        <v>430572.66196482664</v>
      </c>
      <c r="P90" s="14">
        <f>O90-9700</f>
        <v>420872.66196482664</v>
      </c>
      <c r="Q90" s="34">
        <f>P90-10100</f>
        <v>410772.66196482664</v>
      </c>
      <c r="R90" s="28"/>
      <c r="S90" s="27"/>
      <c r="T90" s="24">
        <f>Q90</f>
        <v>410772.66196482664</v>
      </c>
      <c r="U90" s="24">
        <f>T90-Q90</f>
        <v>0</v>
      </c>
      <c r="V90" s="25">
        <f>U90/U92</f>
        <v>0</v>
      </c>
      <c r="W90" s="4">
        <f>V90*$U$84</f>
        <v>0</v>
      </c>
      <c r="X90" s="14">
        <f>W90+T90</f>
        <v>410772.66196482664</v>
      </c>
      <c r="Y90" s="24">
        <f>T90/Q90</f>
        <v>1</v>
      </c>
      <c r="Z90" s="25"/>
      <c r="AA90" s="28"/>
      <c r="AB90" s="28"/>
      <c r="AC90" s="28"/>
      <c r="AD90" s="28"/>
      <c r="AE90" s="28"/>
      <c r="AF90" s="28"/>
      <c r="AG90" s="28"/>
      <c r="AH90" s="28"/>
    </row>
    <row r="91" spans="1:34" x14ac:dyDescent="0.2">
      <c r="A91" s="28" t="s">
        <v>48</v>
      </c>
      <c r="E91" s="8">
        <v>536202.51127636421</v>
      </c>
      <c r="G91" s="14"/>
      <c r="H91" s="23">
        <v>318768.0000371054</v>
      </c>
      <c r="I91" s="22">
        <v>275941.58274981799</v>
      </c>
      <c r="J91" s="22">
        <v>300737.04232750519</v>
      </c>
      <c r="K91" s="22">
        <v>336295.79689266562</v>
      </c>
      <c r="L91" s="22">
        <v>374382.86505286844</v>
      </c>
      <c r="M91" s="22">
        <v>492514.59649496432</v>
      </c>
      <c r="N91" s="22">
        <v>572970.76630008582</v>
      </c>
      <c r="O91" s="22">
        <v>638177.76777339075</v>
      </c>
      <c r="P91" s="22">
        <v>703037.11822875566</v>
      </c>
      <c r="Q91" s="35">
        <v>798636.57899035513</v>
      </c>
      <c r="R91" s="11">
        <f>SUM(Q78:Q91)</f>
        <v>1210069.3249602071</v>
      </c>
      <c r="S91" s="25"/>
      <c r="T91" s="32"/>
      <c r="U91" s="32">
        <f>Q91-T91</f>
        <v>798636.57899035513</v>
      </c>
      <c r="V91" s="25">
        <f>U91/U92</f>
        <v>1</v>
      </c>
      <c r="W91" s="14">
        <f>V91*$U$84</f>
        <v>467471.59459361521</v>
      </c>
      <c r="X91" s="14">
        <f>W91+T91</f>
        <v>467471.59459361521</v>
      </c>
      <c r="Y91" s="24">
        <f>X91/Q91</f>
        <v>0.58533706931455332</v>
      </c>
      <c r="Z91" s="25"/>
      <c r="AB91" s="14"/>
    </row>
    <row r="92" spans="1:34" x14ac:dyDescent="0.2">
      <c r="E92" s="8"/>
      <c r="H92" s="8"/>
      <c r="S92" s="25"/>
      <c r="U92" s="14">
        <f>SUM(U90:U91)</f>
        <v>798636.57899035513</v>
      </c>
      <c r="Z92" s="25"/>
    </row>
    <row r="93" spans="1:34" x14ac:dyDescent="0.2">
      <c r="A93" s="28" t="s">
        <v>49</v>
      </c>
      <c r="E93" s="8">
        <v>330000</v>
      </c>
      <c r="H93" s="8">
        <v>330000</v>
      </c>
      <c r="I93" s="11">
        <f>H93</f>
        <v>330000</v>
      </c>
      <c r="J93" s="11">
        <f>I93</f>
        <v>330000</v>
      </c>
      <c r="K93" s="11">
        <f t="shared" ref="K93:Q93" si="31">J93</f>
        <v>330000</v>
      </c>
      <c r="L93" s="11">
        <f t="shared" si="31"/>
        <v>330000</v>
      </c>
      <c r="M93" s="11">
        <f t="shared" si="31"/>
        <v>330000</v>
      </c>
      <c r="N93" s="11">
        <f t="shared" si="31"/>
        <v>330000</v>
      </c>
      <c r="O93" s="11">
        <f t="shared" si="31"/>
        <v>330000</v>
      </c>
      <c r="P93" s="11">
        <f t="shared" si="31"/>
        <v>330000</v>
      </c>
      <c r="Q93" s="11">
        <f t="shared" si="31"/>
        <v>330000</v>
      </c>
      <c r="Z93" s="25"/>
    </row>
    <row r="94" spans="1:34" x14ac:dyDescent="0.2">
      <c r="A94" s="28" t="s">
        <v>50</v>
      </c>
      <c r="E94" s="8">
        <f>D94+E60</f>
        <v>-41045.94044808879</v>
      </c>
      <c r="H94" s="8">
        <f>G94+H60</f>
        <v>-15794.395514919685</v>
      </c>
      <c r="I94" s="8">
        <f>H94+I60</f>
        <v>9605.9909630608163</v>
      </c>
      <c r="J94" s="8">
        <f t="shared" ref="J94:Q94" si="32">I94+J60</f>
        <v>-40936.782087980886</v>
      </c>
      <c r="K94" s="8">
        <f t="shared" si="32"/>
        <v>-93433.075411582264</v>
      </c>
      <c r="L94" s="8">
        <f t="shared" si="32"/>
        <v>-148043.72642715974</v>
      </c>
      <c r="M94" s="8">
        <f t="shared" si="32"/>
        <v>-239737.95252958644</v>
      </c>
      <c r="N94" s="8">
        <f t="shared" si="32"/>
        <v>-338588.17300208472</v>
      </c>
      <c r="O94" s="8">
        <f t="shared" si="32"/>
        <v>-416419.80473850621</v>
      </c>
      <c r="P94" s="8">
        <f t="shared" si="32"/>
        <v>-498640.95669818576</v>
      </c>
      <c r="Q94" s="8">
        <f t="shared" si="32"/>
        <v>-616988.9047028377</v>
      </c>
      <c r="AA94" s="24"/>
      <c r="AB94" s="24"/>
    </row>
    <row r="95" spans="1:34" x14ac:dyDescent="0.2">
      <c r="E95" s="8"/>
      <c r="H95" s="8"/>
      <c r="AA95" s="24"/>
      <c r="AB95" s="24"/>
    </row>
    <row r="96" spans="1:34" x14ac:dyDescent="0.2">
      <c r="A96" s="2" t="s">
        <v>51</v>
      </c>
      <c r="E96" s="8">
        <f>SUM(E78:E94)</f>
        <v>1319568.8410340149</v>
      </c>
      <c r="H96" s="8">
        <f t="shared" ref="H96:Q96" si="33">SUM(H78:H94)</f>
        <v>1120867.1107897558</v>
      </c>
      <c r="I96" s="8">
        <f t="shared" si="33"/>
        <v>1104998.0950145144</v>
      </c>
      <c r="J96" s="8">
        <f t="shared" si="33"/>
        <v>1063447.565053666</v>
      </c>
      <c r="K96" s="8">
        <f t="shared" si="33"/>
        <v>1038821.5191522114</v>
      </c>
      <c r="L96" s="8">
        <f t="shared" si="33"/>
        <v>1014209.6590109628</v>
      </c>
      <c r="M96" s="8">
        <f t="shared" si="33"/>
        <v>1032159.1215190405</v>
      </c>
      <c r="N96" s="8">
        <f t="shared" si="33"/>
        <v>1004877.2671634404</v>
      </c>
      <c r="O96" s="8">
        <f t="shared" si="33"/>
        <v>982965.07713833614</v>
      </c>
      <c r="P96" s="8">
        <f t="shared" si="33"/>
        <v>955915.9646767939</v>
      </c>
      <c r="Q96" s="8">
        <f t="shared" si="33"/>
        <v>923080.42025736941</v>
      </c>
      <c r="AA96" s="24"/>
      <c r="AB96" s="24"/>
    </row>
    <row r="97" spans="1:34" x14ac:dyDescent="0.2">
      <c r="E97" s="8"/>
      <c r="H97" s="8"/>
      <c r="AA97" s="24"/>
      <c r="AB97" s="24"/>
    </row>
    <row r="98" spans="1:34" x14ac:dyDescent="0.2">
      <c r="A98" s="28" t="s">
        <v>52</v>
      </c>
      <c r="E98" s="8">
        <f>E75-E96</f>
        <v>0.10000231605954468</v>
      </c>
      <c r="H98" s="8">
        <f t="shared" ref="H98:Q98" si="34">H75-H96</f>
        <v>0</v>
      </c>
      <c r="I98" s="8">
        <f>I75-I96</f>
        <v>0</v>
      </c>
      <c r="J98" s="8">
        <f>J75-J96</f>
        <v>0</v>
      </c>
      <c r="K98" s="8">
        <f t="shared" si="34"/>
        <v>0</v>
      </c>
      <c r="L98" s="8">
        <f t="shared" si="34"/>
        <v>0</v>
      </c>
      <c r="M98" s="8">
        <f t="shared" si="34"/>
        <v>0</v>
      </c>
      <c r="N98" s="8">
        <f t="shared" si="34"/>
        <v>0</v>
      </c>
      <c r="O98" s="8">
        <f t="shared" si="34"/>
        <v>0</v>
      </c>
      <c r="P98" s="8">
        <f t="shared" si="34"/>
        <v>0</v>
      </c>
      <c r="Q98" s="8">
        <f t="shared" si="34"/>
        <v>0</v>
      </c>
    </row>
    <row r="99" spans="1:34" x14ac:dyDescent="0.2">
      <c r="A99" s="6"/>
      <c r="B99" s="6"/>
      <c r="C99" s="6"/>
      <c r="D99" s="6"/>
      <c r="E99" s="7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</row>
    <row r="100" spans="1:34" x14ac:dyDescent="0.2">
      <c r="A100" s="2" t="s">
        <v>53</v>
      </c>
      <c r="S100" s="45"/>
      <c r="T100" s="45"/>
      <c r="U100" s="45"/>
      <c r="V100" s="45"/>
      <c r="W100" s="45"/>
      <c r="X100" s="45"/>
    </row>
    <row r="101" spans="1:34" x14ac:dyDescent="0.2">
      <c r="A101" s="28" t="s">
        <v>54</v>
      </c>
      <c r="S101" s="17"/>
      <c r="T101" s="16"/>
      <c r="U101" s="17"/>
      <c r="V101" s="17"/>
      <c r="W101" s="17"/>
      <c r="X101" s="17"/>
    </row>
    <row r="102" spans="1:34" x14ac:dyDescent="0.2">
      <c r="B102" s="28" t="s">
        <v>26</v>
      </c>
      <c r="H102" s="11">
        <f t="shared" ref="H102:Q102" si="35">H49</f>
        <v>70509.498146742902</v>
      </c>
      <c r="I102" s="11">
        <f t="shared" si="35"/>
        <v>115486.37080780702</v>
      </c>
      <c r="J102" s="11">
        <f t="shared" si="35"/>
        <v>33129.100276147437</v>
      </c>
      <c r="K102" s="11">
        <f t="shared" si="35"/>
        <v>34681.455460103796</v>
      </c>
      <c r="L102" s="11">
        <f t="shared" si="35"/>
        <v>36300.804584148005</v>
      </c>
      <c r="M102" s="11">
        <f t="shared" si="35"/>
        <v>13430.402641508357</v>
      </c>
      <c r="N102" s="11">
        <f t="shared" si="35"/>
        <v>14200.025251948893</v>
      </c>
      <c r="O102" s="11">
        <f t="shared" si="35"/>
        <v>41589.314135356224</v>
      </c>
      <c r="P102" s="11">
        <f t="shared" si="35"/>
        <v>43505.728957634652</v>
      </c>
      <c r="Q102" s="11">
        <f t="shared" si="35"/>
        <v>16728.878988822209</v>
      </c>
      <c r="S102" s="17"/>
      <c r="T102" s="16"/>
      <c r="U102" s="17"/>
      <c r="V102" s="17"/>
      <c r="W102" s="17"/>
      <c r="X102" s="17"/>
    </row>
    <row r="103" spans="1:34" x14ac:dyDescent="0.2">
      <c r="B103" s="28" t="s">
        <v>55</v>
      </c>
      <c r="H103" s="11">
        <f t="shared" ref="H103:Q103" si="36">H52+H53</f>
        <v>24972.82608695652</v>
      </c>
      <c r="I103" s="11">
        <f t="shared" si="36"/>
        <v>24972.82608695652</v>
      </c>
      <c r="J103" s="11">
        <f t="shared" si="36"/>
        <v>24972.82608695652</v>
      </c>
      <c r="K103" s="11">
        <f t="shared" si="36"/>
        <v>24972.82608695652</v>
      </c>
      <c r="L103" s="11">
        <f t="shared" si="36"/>
        <v>24972.82608695652</v>
      </c>
      <c r="M103" s="11">
        <f t="shared" si="36"/>
        <v>27472.82608695652</v>
      </c>
      <c r="N103" s="11">
        <f t="shared" si="36"/>
        <v>27472.82608695652</v>
      </c>
      <c r="O103" s="11">
        <f t="shared" si="36"/>
        <v>27472.82608695652</v>
      </c>
      <c r="P103" s="11">
        <f t="shared" si="36"/>
        <v>27472.82608695652</v>
      </c>
      <c r="Q103" s="11">
        <f t="shared" si="36"/>
        <v>27472.82608695652</v>
      </c>
      <c r="S103" s="17"/>
      <c r="T103" s="17"/>
      <c r="U103" s="17"/>
      <c r="V103" s="17"/>
      <c r="W103" s="17"/>
      <c r="X103" s="17"/>
    </row>
    <row r="104" spans="1:34" x14ac:dyDescent="0.2">
      <c r="B104" s="28" t="s">
        <v>56</v>
      </c>
      <c r="H104" s="11">
        <f t="shared" ref="H104:Q104" si="37">H102-H103</f>
        <v>45536.672059786382</v>
      </c>
      <c r="I104" s="11">
        <f t="shared" si="37"/>
        <v>90513.544720850507</v>
      </c>
      <c r="J104" s="11">
        <f t="shared" si="37"/>
        <v>8156.2741891909172</v>
      </c>
      <c r="K104" s="11">
        <f t="shared" si="37"/>
        <v>9708.6293731472761</v>
      </c>
      <c r="L104" s="11">
        <f t="shared" si="37"/>
        <v>11327.978497191485</v>
      </c>
      <c r="M104" s="11">
        <f t="shared" si="37"/>
        <v>-14042.423445448163</v>
      </c>
      <c r="N104" s="11">
        <f t="shared" si="37"/>
        <v>-13272.800835007627</v>
      </c>
      <c r="O104" s="11">
        <f t="shared" si="37"/>
        <v>14116.488048399704</v>
      </c>
      <c r="P104" s="11">
        <f t="shared" si="37"/>
        <v>16032.902870678132</v>
      </c>
      <c r="Q104" s="11">
        <f t="shared" si="37"/>
        <v>-10743.947098134311</v>
      </c>
      <c r="S104" s="17"/>
      <c r="T104" s="18"/>
      <c r="U104" s="17"/>
      <c r="V104" s="17"/>
      <c r="W104" s="17"/>
      <c r="X104" s="17"/>
    </row>
    <row r="105" spans="1:34" x14ac:dyDescent="0.2">
      <c r="B105" s="28" t="s">
        <v>57</v>
      </c>
      <c r="H105" s="14">
        <f t="shared" ref="H105:Q105" si="38">H104*H19</f>
        <v>11384.168014946596</v>
      </c>
      <c r="I105" s="14">
        <f t="shared" si="38"/>
        <v>22628.386180212627</v>
      </c>
      <c r="J105" s="14">
        <f t="shared" si="38"/>
        <v>2039.0685472977293</v>
      </c>
      <c r="K105" s="14">
        <f t="shared" si="38"/>
        <v>2427.157343286819</v>
      </c>
      <c r="L105" s="14">
        <f t="shared" si="38"/>
        <v>2831.9946242978713</v>
      </c>
      <c r="M105" s="14">
        <f t="shared" si="38"/>
        <v>-3510.6058613620407</v>
      </c>
      <c r="N105" s="14">
        <f t="shared" si="38"/>
        <v>-3318.2002087519068</v>
      </c>
      <c r="O105" s="14">
        <f t="shared" si="38"/>
        <v>3529.122012099926</v>
      </c>
      <c r="P105" s="14">
        <f t="shared" si="38"/>
        <v>4008.225717669533</v>
      </c>
      <c r="Q105" s="14">
        <f t="shared" si="38"/>
        <v>-2685.9867745335778</v>
      </c>
      <c r="S105" s="17"/>
      <c r="T105" s="17"/>
      <c r="U105" s="17"/>
      <c r="V105" s="17"/>
      <c r="W105" s="17"/>
      <c r="X105" s="17"/>
    </row>
    <row r="106" spans="1:34" x14ac:dyDescent="0.2">
      <c r="B106" s="28" t="s">
        <v>58</v>
      </c>
      <c r="H106" s="14">
        <f t="shared" ref="H106:Q106" si="39">H102-H105</f>
        <v>59125.330131796305</v>
      </c>
      <c r="I106" s="14">
        <f t="shared" si="39"/>
        <v>92857.984627594386</v>
      </c>
      <c r="J106" s="14">
        <f t="shared" si="39"/>
        <v>31090.03172884971</v>
      </c>
      <c r="K106" s="14">
        <f t="shared" si="39"/>
        <v>32254.298116816979</v>
      </c>
      <c r="L106" s="14">
        <f t="shared" si="39"/>
        <v>33468.809959850136</v>
      </c>
      <c r="M106" s="14">
        <f t="shared" si="39"/>
        <v>16941.008502870398</v>
      </c>
      <c r="N106" s="14">
        <f t="shared" si="39"/>
        <v>17518.2254607008</v>
      </c>
      <c r="O106" s="14">
        <f t="shared" si="39"/>
        <v>38060.192123256296</v>
      </c>
      <c r="P106" s="14">
        <f t="shared" si="39"/>
        <v>39497.503239965117</v>
      </c>
      <c r="Q106" s="14">
        <f t="shared" si="39"/>
        <v>19414.865763355789</v>
      </c>
      <c r="S106" s="17"/>
      <c r="T106" s="17"/>
      <c r="U106" s="17"/>
      <c r="V106" s="17"/>
      <c r="W106" s="17"/>
      <c r="X106" s="17"/>
    </row>
    <row r="107" spans="1:34" x14ac:dyDescent="0.2">
      <c r="S107" s="72"/>
      <c r="T107" s="18"/>
      <c r="U107" s="18"/>
      <c r="V107" s="18"/>
      <c r="W107" s="18"/>
      <c r="X107" s="17"/>
    </row>
    <row r="108" spans="1:34" x14ac:dyDescent="0.2">
      <c r="A108" s="28" t="s">
        <v>59</v>
      </c>
      <c r="S108" s="72"/>
      <c r="T108" s="18"/>
      <c r="U108" s="18"/>
      <c r="V108" s="18"/>
      <c r="W108" s="18"/>
      <c r="X108" s="17"/>
    </row>
    <row r="109" spans="1:34" x14ac:dyDescent="0.2">
      <c r="A109" s="28" t="s">
        <v>82</v>
      </c>
      <c r="B109" s="28" t="s">
        <v>37</v>
      </c>
      <c r="G109" s="11">
        <f t="shared" ref="G109:Q109" si="40">-(H64-G64)</f>
        <v>-5000</v>
      </c>
      <c r="H109" s="11">
        <f t="shared" si="40"/>
        <v>0</v>
      </c>
      <c r="I109" s="11">
        <f t="shared" si="40"/>
        <v>0</v>
      </c>
      <c r="J109" s="11">
        <f t="shared" si="40"/>
        <v>0</v>
      </c>
      <c r="K109" s="11">
        <f t="shared" si="40"/>
        <v>0</v>
      </c>
      <c r="L109" s="11">
        <f t="shared" si="40"/>
        <v>0</v>
      </c>
      <c r="M109" s="11">
        <f t="shared" si="40"/>
        <v>0</v>
      </c>
      <c r="N109" s="11">
        <f t="shared" si="40"/>
        <v>0</v>
      </c>
      <c r="O109" s="11">
        <f t="shared" si="40"/>
        <v>0</v>
      </c>
      <c r="P109" s="11">
        <f t="shared" si="40"/>
        <v>0</v>
      </c>
      <c r="Q109" s="11">
        <f t="shared" si="40"/>
        <v>5000</v>
      </c>
      <c r="S109" s="72"/>
      <c r="T109" s="18"/>
      <c r="U109" s="18"/>
      <c r="V109" s="18"/>
      <c r="W109" s="18"/>
      <c r="X109" s="17"/>
    </row>
    <row r="110" spans="1:34" x14ac:dyDescent="0.2">
      <c r="A110" s="28" t="s">
        <v>82</v>
      </c>
      <c r="B110" s="28" t="s">
        <v>39</v>
      </c>
      <c r="G110" s="11">
        <f t="shared" ref="G110:Q111" si="41">-(H66-G66)</f>
        <v>-5171.7856438356175</v>
      </c>
      <c r="H110" s="11">
        <f t="shared" si="41"/>
        <v>-2899.303031934247</v>
      </c>
      <c r="I110" s="11">
        <f t="shared" si="41"/>
        <v>5272.0351230128763</v>
      </c>
      <c r="J110" s="11">
        <f t="shared" si="41"/>
        <v>-113.08176353138242</v>
      </c>
      <c r="K110" s="11">
        <f t="shared" si="41"/>
        <v>-117.65026677805054</v>
      </c>
      <c r="L110" s="11">
        <f t="shared" si="41"/>
        <v>1453.6911227552689</v>
      </c>
      <c r="M110" s="11">
        <f t="shared" si="41"/>
        <v>-63.674216196570342</v>
      </c>
      <c r="N110" s="11">
        <f t="shared" si="41"/>
        <v>-1772.2619855695473</v>
      </c>
      <c r="O110" s="11">
        <f t="shared" si="41"/>
        <v>-137.84603874792083</v>
      </c>
      <c r="P110" s="11">
        <f t="shared" si="41"/>
        <v>1703.2308410559269</v>
      </c>
      <c r="Q110" s="11">
        <f t="shared" si="41"/>
        <v>1846.6458597692638</v>
      </c>
      <c r="S110" s="72"/>
      <c r="T110" s="18"/>
      <c r="U110" s="18"/>
      <c r="V110" s="18"/>
      <c r="W110" s="18"/>
      <c r="X110" s="17"/>
    </row>
    <row r="111" spans="1:34" x14ac:dyDescent="0.2">
      <c r="A111" s="28" t="s">
        <v>82</v>
      </c>
      <c r="B111" s="28" t="s">
        <v>40</v>
      </c>
      <c r="G111" s="11">
        <f t="shared" si="41"/>
        <v>-10668.151232876715</v>
      </c>
      <c r="H111" s="11">
        <f t="shared" si="41"/>
        <v>-6204.5072797808225</v>
      </c>
      <c r="I111" s="11">
        <f t="shared" si="41"/>
        <v>11305.668750878864</v>
      </c>
      <c r="J111" s="11">
        <f t="shared" si="41"/>
        <v>-233.69842197037724</v>
      </c>
      <c r="K111" s="11">
        <f t="shared" si="41"/>
        <v>-243.31567892987368</v>
      </c>
      <c r="L111" s="11">
        <f t="shared" si="41"/>
        <v>3124.0202822105584</v>
      </c>
      <c r="M111" s="11">
        <f t="shared" si="41"/>
        <v>-127.29751516011174</v>
      </c>
      <c r="N111" s="11">
        <f t="shared" si="41"/>
        <v>-3788.3740762826969</v>
      </c>
      <c r="O111" s="11">
        <f t="shared" si="41"/>
        <v>-285.86758666617152</v>
      </c>
      <c r="P111" s="11">
        <f t="shared" si="41"/>
        <v>3659.4874914122333</v>
      </c>
      <c r="Q111" s="11">
        <f t="shared" si="41"/>
        <v>3462.035267165114</v>
      </c>
      <c r="S111" s="72"/>
      <c r="T111" s="18"/>
      <c r="U111" s="18"/>
      <c r="V111" s="18"/>
      <c r="W111" s="18"/>
      <c r="X111" s="17"/>
    </row>
    <row r="112" spans="1:34" x14ac:dyDescent="0.2">
      <c r="S112" s="72"/>
      <c r="T112" s="18"/>
      <c r="U112" s="18"/>
      <c r="V112" s="18"/>
      <c r="W112" s="73"/>
      <c r="X112" s="71"/>
    </row>
    <row r="113" spans="1:22" x14ac:dyDescent="0.2">
      <c r="A113" s="28" t="s">
        <v>82</v>
      </c>
      <c r="B113" s="28" t="s">
        <v>41</v>
      </c>
      <c r="G113" s="11">
        <f>-(H69-G69)</f>
        <v>-500000</v>
      </c>
      <c r="H113" s="11">
        <f>-(I69-H69)</f>
        <v>0</v>
      </c>
      <c r="I113" s="11">
        <f>-(J69-I69)</f>
        <v>0</v>
      </c>
      <c r="J113" s="11">
        <f>-(K69-J69)</f>
        <v>0</v>
      </c>
      <c r="K113" s="11">
        <f t="shared" ref="K113:Q113" si="42">-(L69-K69)</f>
        <v>0</v>
      </c>
      <c r="L113" s="11">
        <f t="shared" si="42"/>
        <v>0</v>
      </c>
      <c r="M113" s="11">
        <f t="shared" si="42"/>
        <v>0</v>
      </c>
      <c r="N113" s="11">
        <f t="shared" si="42"/>
        <v>0</v>
      </c>
      <c r="O113" s="11">
        <f t="shared" si="42"/>
        <v>0</v>
      </c>
      <c r="P113" s="11">
        <f t="shared" si="42"/>
        <v>0</v>
      </c>
      <c r="Q113" s="11">
        <f t="shared" si="42"/>
        <v>500000</v>
      </c>
    </row>
    <row r="114" spans="1:22" x14ac:dyDescent="0.2">
      <c r="B114" s="28" t="s">
        <v>60</v>
      </c>
      <c r="G114" s="11"/>
      <c r="H114" s="11"/>
      <c r="I114" s="11"/>
      <c r="Q114" s="8">
        <f>(S114-100%)*Q113</f>
        <v>15000.000000000013</v>
      </c>
      <c r="R114" s="28" t="s">
        <v>85</v>
      </c>
      <c r="S114" s="12">
        <v>1.03</v>
      </c>
    </row>
    <row r="115" spans="1:22" x14ac:dyDescent="0.2">
      <c r="A115" s="28" t="s">
        <v>82</v>
      </c>
      <c r="B115" s="28" t="s">
        <v>61</v>
      </c>
      <c r="Q115" s="8">
        <f>-S116*$J$19</f>
        <v>-3750</v>
      </c>
      <c r="R115" s="28" t="s">
        <v>84</v>
      </c>
      <c r="S115" s="11">
        <f>Q113</f>
        <v>500000</v>
      </c>
    </row>
    <row r="116" spans="1:22" x14ac:dyDescent="0.2">
      <c r="R116" s="28" t="s">
        <v>86</v>
      </c>
      <c r="S116" s="11">
        <f>SUM(Q113:Q114)-S115</f>
        <v>15000</v>
      </c>
      <c r="V116" s="14">
        <f>(S116+G113)*0.75</f>
        <v>-363750</v>
      </c>
    </row>
    <row r="117" spans="1:22" x14ac:dyDescent="0.2">
      <c r="A117" s="28" t="s">
        <v>82</v>
      </c>
      <c r="B117" s="28" t="s">
        <v>28</v>
      </c>
      <c r="G117" s="11">
        <f>-(H70-G70)</f>
        <v>-212500</v>
      </c>
      <c r="H117" s="11">
        <f>-(I70-H70)</f>
        <v>0</v>
      </c>
      <c r="I117" s="11">
        <f>-(J70-I70)</f>
        <v>0</v>
      </c>
      <c r="J117" s="11">
        <f>-(K70-J70)</f>
        <v>0</v>
      </c>
      <c r="K117" s="11">
        <f t="shared" ref="K117:P117" si="43">-(L70-K70)</f>
        <v>0</v>
      </c>
      <c r="L117" s="11">
        <f t="shared" si="43"/>
        <v>-50000</v>
      </c>
      <c r="M117" s="11">
        <f t="shared" si="43"/>
        <v>0</v>
      </c>
      <c r="N117" s="11">
        <f t="shared" si="43"/>
        <v>0</v>
      </c>
      <c r="O117" s="11">
        <f t="shared" si="43"/>
        <v>0</v>
      </c>
      <c r="P117" s="11">
        <f t="shared" si="43"/>
        <v>0</v>
      </c>
      <c r="Q117" s="11">
        <f>-(R70-Q70)</f>
        <v>262500</v>
      </c>
    </row>
    <row r="118" spans="1:22" x14ac:dyDescent="0.2">
      <c r="B118" s="28" t="s">
        <v>60</v>
      </c>
      <c r="Q118" s="8">
        <f>(S118-100%)*Q117</f>
        <v>7875.0000000000073</v>
      </c>
      <c r="R118" s="28" t="s">
        <v>85</v>
      </c>
      <c r="S118" s="12">
        <v>1.03</v>
      </c>
    </row>
    <row r="119" spans="1:22" x14ac:dyDescent="0.2">
      <c r="A119" s="28" t="s">
        <v>82</v>
      </c>
      <c r="B119" s="28" t="s">
        <v>61</v>
      </c>
      <c r="Q119" s="8">
        <f>-S120*$J$19</f>
        <v>-31656.25</v>
      </c>
      <c r="R119" s="28" t="s">
        <v>84</v>
      </c>
      <c r="S119" s="11">
        <f>Q70-Q71</f>
        <v>143750</v>
      </c>
    </row>
    <row r="120" spans="1:22" x14ac:dyDescent="0.2">
      <c r="J120" s="8"/>
      <c r="R120" s="28" t="s">
        <v>86</v>
      </c>
      <c r="S120" s="11">
        <f>SUM(Q117:Q118)-S119</f>
        <v>126625</v>
      </c>
      <c r="V120" s="14">
        <f>(S120+G117)*0.75</f>
        <v>-64406.25</v>
      </c>
    </row>
    <row r="121" spans="1:22" x14ac:dyDescent="0.2">
      <c r="A121" s="28" t="s">
        <v>82</v>
      </c>
      <c r="B121" s="28" t="s">
        <v>29</v>
      </c>
      <c r="G121" s="11">
        <f>-(H72-G72)</f>
        <v>-412500</v>
      </c>
      <c r="H121" s="11">
        <f>-(I72-H72)</f>
        <v>0</v>
      </c>
      <c r="I121" s="11">
        <f>-(J72-I72)</f>
        <v>0</v>
      </c>
      <c r="J121" s="11">
        <f>-(K72-J72)</f>
        <v>0</v>
      </c>
      <c r="K121" s="11">
        <f t="shared" ref="K121:Q121" si="44">-(L72-K72)</f>
        <v>0</v>
      </c>
      <c r="L121" s="11">
        <f t="shared" si="44"/>
        <v>0</v>
      </c>
      <c r="M121" s="11">
        <f t="shared" si="44"/>
        <v>0</v>
      </c>
      <c r="N121" s="11">
        <f t="shared" si="44"/>
        <v>0</v>
      </c>
      <c r="O121" s="11">
        <f t="shared" si="44"/>
        <v>0</v>
      </c>
      <c r="P121" s="11">
        <f t="shared" si="44"/>
        <v>0</v>
      </c>
      <c r="Q121" s="11">
        <f t="shared" si="44"/>
        <v>412500</v>
      </c>
    </row>
    <row r="122" spans="1:22" x14ac:dyDescent="0.2">
      <c r="B122" s="28" t="s">
        <v>60</v>
      </c>
      <c r="Q122" s="8">
        <f>(S122-100%)*Q121</f>
        <v>-123750.00000000001</v>
      </c>
      <c r="R122" s="28" t="s">
        <v>85</v>
      </c>
      <c r="S122" s="12">
        <v>0.7</v>
      </c>
    </row>
    <row r="123" spans="1:22" x14ac:dyDescent="0.2">
      <c r="A123" s="28" t="s">
        <v>82</v>
      </c>
      <c r="B123" s="28" t="s">
        <v>61</v>
      </c>
      <c r="Q123" s="8">
        <f>-S124*$J$19</f>
        <v>-4932.0652173913113</v>
      </c>
      <c r="R123" s="28" t="s">
        <v>84</v>
      </c>
      <c r="S123" s="11">
        <f>Q72-Q73</f>
        <v>269021.73913043475</v>
      </c>
    </row>
    <row r="124" spans="1:22" x14ac:dyDescent="0.2">
      <c r="R124" s="28" t="s">
        <v>86</v>
      </c>
      <c r="S124" s="11">
        <f>SUM(Q121:Q122)-S123</f>
        <v>19728.260869565245</v>
      </c>
      <c r="V124" s="28">
        <v>0</v>
      </c>
    </row>
    <row r="125" spans="1:22" x14ac:dyDescent="0.2">
      <c r="A125" s="28" t="s">
        <v>83</v>
      </c>
      <c r="B125" s="28" t="s">
        <v>45</v>
      </c>
      <c r="G125" s="11">
        <f t="shared" ref="G125:Q125" si="45">(H78-G78)</f>
        <v>552.32876712328766</v>
      </c>
      <c r="H125" s="11">
        <f t="shared" si="45"/>
        <v>11.046575342465758</v>
      </c>
      <c r="I125" s="11">
        <f t="shared" si="45"/>
        <v>11.267506849315055</v>
      </c>
      <c r="J125" s="11">
        <f t="shared" si="45"/>
        <v>11.49285698630149</v>
      </c>
      <c r="K125" s="11">
        <f t="shared" si="45"/>
        <v>11.722714126027427</v>
      </c>
      <c r="L125" s="11">
        <f t="shared" si="45"/>
        <v>11.957168408547886</v>
      </c>
      <c r="M125" s="11">
        <f t="shared" si="45"/>
        <v>12.196311776718971</v>
      </c>
      <c r="N125" s="11">
        <f t="shared" si="45"/>
        <v>12.440238012253189</v>
      </c>
      <c r="O125" s="11">
        <f t="shared" si="45"/>
        <v>12.689042772498397</v>
      </c>
      <c r="P125" s="11">
        <f t="shared" si="45"/>
        <v>12.942823627948314</v>
      </c>
      <c r="Q125" s="11">
        <f t="shared" si="45"/>
        <v>-660.08400502536415</v>
      </c>
    </row>
    <row r="126" spans="1:22" x14ac:dyDescent="0.2">
      <c r="A126" s="28" t="s">
        <v>83</v>
      </c>
      <c r="B126" s="28" t="s">
        <v>62</v>
      </c>
      <c r="G126" s="8">
        <f t="shared" ref="G126:Q126" si="46">(H105-G105)</f>
        <v>11384.168014946596</v>
      </c>
      <c r="H126" s="8">
        <f t="shared" si="46"/>
        <v>11244.218165266031</v>
      </c>
      <c r="I126" s="8">
        <f t="shared" si="46"/>
        <v>-20589.317632914899</v>
      </c>
      <c r="J126" s="8">
        <f t="shared" si="46"/>
        <v>388.0887959890897</v>
      </c>
      <c r="K126" s="8">
        <f t="shared" si="46"/>
        <v>404.83728101105226</v>
      </c>
      <c r="L126" s="8">
        <f t="shared" si="46"/>
        <v>-6342.600485659912</v>
      </c>
      <c r="M126" s="8">
        <f t="shared" si="46"/>
        <v>192.40565261013398</v>
      </c>
      <c r="N126" s="8">
        <f t="shared" si="46"/>
        <v>6847.3222208518328</v>
      </c>
      <c r="O126" s="8">
        <f t="shared" si="46"/>
        <v>479.10370556960697</v>
      </c>
      <c r="P126" s="8">
        <f t="shared" si="46"/>
        <v>-6694.2124922031107</v>
      </c>
      <c r="Q126" s="8">
        <f t="shared" si="46"/>
        <v>2685.9867745335778</v>
      </c>
    </row>
    <row r="128" spans="1:22" x14ac:dyDescent="0.2">
      <c r="A128" s="2" t="s">
        <v>63</v>
      </c>
      <c r="G128" s="8">
        <f>SUM(G106:G126)</f>
        <v>-1133903.4400946423</v>
      </c>
      <c r="H128" s="8">
        <f>SUM(H106:H126)</f>
        <v>61276.784560689724</v>
      </c>
      <c r="I128" s="8">
        <f>SUM(I106:I126)</f>
        <v>88857.638375420531</v>
      </c>
      <c r="J128" s="8">
        <f>SUM(J106:J111)+SUM(J125:J126)</f>
        <v>31142.83319632334</v>
      </c>
      <c r="K128" s="8">
        <f>SUM(K106:K126)</f>
        <v>32309.892166246133</v>
      </c>
      <c r="L128" s="8">
        <f>SUM(L106:L111)+SUM(L125:L126)</f>
        <v>31715.878047564598</v>
      </c>
      <c r="M128" s="8">
        <f>SUM(M106:M126)</f>
        <v>16954.638735900568</v>
      </c>
      <c r="N128" s="8">
        <f>SUM(N106:N126)</f>
        <v>18817.351857712645</v>
      </c>
      <c r="O128" s="8">
        <f>SUM(O106:O126)</f>
        <v>38128.271246184311</v>
      </c>
      <c r="P128" s="8">
        <f t="shared" ref="P128:Q128" si="47">SUM(P106:P126)</f>
        <v>38178.95190385812</v>
      </c>
      <c r="Q128" s="8">
        <f t="shared" si="47"/>
        <v>1065536.1344424069</v>
      </c>
    </row>
    <row r="129" spans="1:18" x14ac:dyDescent="0.2">
      <c r="A129" s="2" t="s">
        <v>64</v>
      </c>
      <c r="G129" s="38">
        <f>IRR(G128:Q128)</f>
        <v>2.730542895672361E-2</v>
      </c>
    </row>
    <row r="130" spans="1:18" x14ac:dyDescent="0.2">
      <c r="A130" s="2"/>
    </row>
    <row r="131" spans="1:18" x14ac:dyDescent="0.2">
      <c r="A131" s="2" t="s">
        <v>65</v>
      </c>
      <c r="G131" s="5">
        <f>AA73</f>
        <v>6.3776967693916248E-2</v>
      </c>
    </row>
    <row r="132" spans="1:18" x14ac:dyDescent="0.2">
      <c r="A132" s="2" t="s">
        <v>66</v>
      </c>
      <c r="G132" s="19">
        <f>NPV(G131,H128:Q128)</f>
        <v>853752.05935030396</v>
      </c>
    </row>
    <row r="134" spans="1:18" ht="15" x14ac:dyDescent="0.25">
      <c r="A134" s="31" t="s">
        <v>107</v>
      </c>
      <c r="B134" s="30"/>
    </row>
    <row r="136" spans="1:18" ht="15" x14ac:dyDescent="0.25">
      <c r="A136" s="29" t="s">
        <v>108</v>
      </c>
      <c r="R136" s="28" t="s">
        <v>127</v>
      </c>
    </row>
    <row r="137" spans="1:18" ht="15" x14ac:dyDescent="0.25">
      <c r="B137" s="29" t="s">
        <v>109</v>
      </c>
      <c r="G137" s="11">
        <f t="shared" ref="G137:P137" si="48">-(H90-G90)</f>
        <v>-487341.17750044685</v>
      </c>
      <c r="H137" s="11">
        <f t="shared" si="48"/>
        <v>6920.8270339370938</v>
      </c>
      <c r="I137" s="11">
        <f t="shared" si="48"/>
        <v>7347.688501683122</v>
      </c>
      <c r="J137" s="11">
        <f t="shared" si="48"/>
        <v>7700</v>
      </c>
      <c r="K137" s="11">
        <f t="shared" si="48"/>
        <v>8100</v>
      </c>
      <c r="L137" s="11">
        <f t="shared" si="48"/>
        <v>8500</v>
      </c>
      <c r="M137" s="11">
        <f t="shared" si="48"/>
        <v>8900</v>
      </c>
      <c r="N137" s="11">
        <f t="shared" si="48"/>
        <v>9300</v>
      </c>
      <c r="O137" s="11">
        <f t="shared" si="48"/>
        <v>9700</v>
      </c>
      <c r="P137" s="11">
        <f t="shared" si="48"/>
        <v>10100</v>
      </c>
      <c r="R137" s="25"/>
    </row>
    <row r="138" spans="1:18" ht="15" x14ac:dyDescent="0.25">
      <c r="B138" s="29" t="s">
        <v>110</v>
      </c>
      <c r="Q138" s="14">
        <f>X90</f>
        <v>410772.66196482664</v>
      </c>
      <c r="R138" s="25"/>
    </row>
    <row r="139" spans="1:18" ht="15" x14ac:dyDescent="0.25">
      <c r="A139" s="29"/>
      <c r="B139" s="29" t="s">
        <v>111</v>
      </c>
      <c r="G139" s="11"/>
      <c r="H139" s="11">
        <f>H55</f>
        <v>29454.267570995526</v>
      </c>
      <c r="I139" s="11">
        <f t="shared" ref="I139:Q139" si="49">I55</f>
        <v>29052.204475228024</v>
      </c>
      <c r="J139" s="11">
        <f t="shared" si="49"/>
        <v>28625.343007482101</v>
      </c>
      <c r="K139" s="11">
        <f t="shared" si="49"/>
        <v>28575.343007482101</v>
      </c>
      <c r="L139" s="11">
        <f t="shared" si="49"/>
        <v>28500.343007482101</v>
      </c>
      <c r="M139" s="11">
        <f t="shared" si="49"/>
        <v>28400.343007482101</v>
      </c>
      <c r="N139" s="11">
        <f t="shared" si="49"/>
        <v>28280.343007482101</v>
      </c>
      <c r="O139" s="11">
        <f t="shared" si="49"/>
        <v>28130.343007482101</v>
      </c>
      <c r="P139" s="11">
        <f t="shared" si="49"/>
        <v>27950.343007482101</v>
      </c>
      <c r="Q139" s="11">
        <f t="shared" si="49"/>
        <v>27740.343007482101</v>
      </c>
      <c r="R139" s="25"/>
    </row>
    <row r="140" spans="1:18" ht="15" x14ac:dyDescent="0.25">
      <c r="A140" s="29" t="s">
        <v>112</v>
      </c>
      <c r="G140" s="11">
        <f>SUM(G137:G139)</f>
        <v>-487341.17750044685</v>
      </c>
      <c r="H140" s="11">
        <f t="shared" ref="H140:Q140" si="50">SUM(H137:H139)</f>
        <v>36375.094604932616</v>
      </c>
      <c r="I140" s="11">
        <f t="shared" si="50"/>
        <v>36399.892976911142</v>
      </c>
      <c r="J140" s="11">
        <f t="shared" si="50"/>
        <v>36325.343007482101</v>
      </c>
      <c r="K140" s="11">
        <f t="shared" si="50"/>
        <v>36675.343007482101</v>
      </c>
      <c r="L140" s="11">
        <f t="shared" si="50"/>
        <v>37000.343007482101</v>
      </c>
      <c r="M140" s="11">
        <f t="shared" si="50"/>
        <v>37300.343007482101</v>
      </c>
      <c r="N140" s="11">
        <f t="shared" si="50"/>
        <v>37580.343007482101</v>
      </c>
      <c r="O140" s="11">
        <f t="shared" si="50"/>
        <v>37830.343007482101</v>
      </c>
      <c r="P140" s="11">
        <f t="shared" si="50"/>
        <v>38050.343007482101</v>
      </c>
      <c r="Q140" s="11">
        <f t="shared" si="50"/>
        <v>438513.00497230876</v>
      </c>
      <c r="R140" s="25"/>
    </row>
    <row r="141" spans="1:18" ht="15" x14ac:dyDescent="0.25">
      <c r="B141" s="29" t="s">
        <v>113</v>
      </c>
      <c r="G141" s="5">
        <f>IRR(G140:Q140)</f>
        <v>6.266192417237848E-2</v>
      </c>
      <c r="R141" s="25">
        <v>0.1</v>
      </c>
    </row>
    <row r="142" spans="1:18" ht="15" x14ac:dyDescent="0.25">
      <c r="A142" s="29"/>
      <c r="B142" s="29" t="s">
        <v>114</v>
      </c>
      <c r="G142" s="5">
        <f>Mortgage!I3</f>
        <v>0.06</v>
      </c>
      <c r="R142" s="25">
        <v>0.9</v>
      </c>
    </row>
    <row r="143" spans="1:18" ht="15" x14ac:dyDescent="0.25">
      <c r="A143" s="29" t="s">
        <v>115</v>
      </c>
      <c r="B143" s="29"/>
      <c r="G143" s="26">
        <f>G141*R141+G142*R142</f>
        <v>6.0266192417237852E-2</v>
      </c>
      <c r="R143" s="25"/>
    </row>
    <row r="144" spans="1:18" ht="15" x14ac:dyDescent="0.25">
      <c r="A144" s="29"/>
      <c r="B144" s="29"/>
    </row>
    <row r="145" spans="1:18" ht="15" x14ac:dyDescent="0.25">
      <c r="A145" s="29" t="s">
        <v>116</v>
      </c>
      <c r="R145" s="25"/>
    </row>
    <row r="146" spans="1:18" ht="15" x14ac:dyDescent="0.25">
      <c r="B146" s="29" t="s">
        <v>109</v>
      </c>
      <c r="G146" s="32">
        <f>-(H91-G91)</f>
        <v>-318768.0000371054</v>
      </c>
      <c r="H146" s="32">
        <f t="shared" ref="H146:P146" si="51">-(I91-H91)</f>
        <v>42826.417287287419</v>
      </c>
      <c r="I146" s="32">
        <f t="shared" si="51"/>
        <v>-24795.459577687201</v>
      </c>
      <c r="J146" s="32">
        <f t="shared" si="51"/>
        <v>-35558.754565160431</v>
      </c>
      <c r="K146" s="32">
        <f t="shared" si="51"/>
        <v>-38087.06816020282</v>
      </c>
      <c r="L146" s="32">
        <f t="shared" si="51"/>
        <v>-118131.73144209589</v>
      </c>
      <c r="M146" s="32">
        <f t="shared" si="51"/>
        <v>-80456.169805121492</v>
      </c>
      <c r="N146" s="32">
        <f t="shared" si="51"/>
        <v>-65207.001473304932</v>
      </c>
      <c r="O146" s="32">
        <f t="shared" si="51"/>
        <v>-64859.350455364911</v>
      </c>
      <c r="P146" s="32">
        <f t="shared" si="51"/>
        <v>-95599.460761599476</v>
      </c>
      <c r="R146" s="25"/>
    </row>
    <row r="147" spans="1:18" ht="15" x14ac:dyDescent="0.25">
      <c r="B147" s="29" t="s">
        <v>110</v>
      </c>
      <c r="Q147" s="32">
        <f>X91</f>
        <v>467471.59459361521</v>
      </c>
      <c r="R147" s="25"/>
    </row>
    <row r="148" spans="1:18" ht="15" x14ac:dyDescent="0.25">
      <c r="B148" s="29" t="s">
        <v>111</v>
      </c>
      <c r="H148" s="11">
        <f>H56</f>
        <v>31876.800003710541</v>
      </c>
      <c r="I148" s="11">
        <f t="shared" ref="I148:Q148" si="52">I56</f>
        <v>27594.158274981801</v>
      </c>
      <c r="J148" s="11">
        <f t="shared" si="52"/>
        <v>30073.704232750519</v>
      </c>
      <c r="K148" s="11">
        <f t="shared" si="52"/>
        <v>33629.57968926656</v>
      </c>
      <c r="L148" s="11">
        <f t="shared" si="52"/>
        <v>37438.286505286844</v>
      </c>
      <c r="M148" s="11">
        <f t="shared" si="52"/>
        <v>49251.459649496435</v>
      </c>
      <c r="N148" s="11">
        <f t="shared" si="52"/>
        <v>57297.076630008582</v>
      </c>
      <c r="O148" s="11">
        <f t="shared" si="52"/>
        <v>63817.776777339081</v>
      </c>
      <c r="P148" s="11">
        <f t="shared" si="52"/>
        <v>70303.711822875572</v>
      </c>
      <c r="Q148" s="11">
        <f t="shared" si="52"/>
        <v>79863.657899035519</v>
      </c>
      <c r="R148" s="25"/>
    </row>
    <row r="149" spans="1:18" ht="15" x14ac:dyDescent="0.25">
      <c r="A149" s="29" t="s">
        <v>112</v>
      </c>
      <c r="G149" s="32">
        <f>SUM(G146:G148)</f>
        <v>-318768.0000371054</v>
      </c>
      <c r="H149" s="32">
        <f t="shared" ref="H149:Q149" si="53">SUM(H146:H148)</f>
        <v>74703.217290997956</v>
      </c>
      <c r="I149" s="32">
        <f t="shared" si="53"/>
        <v>2798.6986972945997</v>
      </c>
      <c r="J149" s="32">
        <f t="shared" si="53"/>
        <v>-5485.0503324099118</v>
      </c>
      <c r="K149" s="32">
        <f t="shared" si="53"/>
        <v>-4457.4884709362595</v>
      </c>
      <c r="L149" s="32">
        <f t="shared" si="53"/>
        <v>-80693.444936809043</v>
      </c>
      <c r="M149" s="32">
        <f t="shared" si="53"/>
        <v>-31204.710155625056</v>
      </c>
      <c r="N149" s="32">
        <f t="shared" si="53"/>
        <v>-7909.9248432963504</v>
      </c>
      <c r="O149" s="32">
        <f t="shared" si="53"/>
        <v>-1041.5736780258303</v>
      </c>
      <c r="P149" s="32">
        <f t="shared" si="53"/>
        <v>-25295.748938723904</v>
      </c>
      <c r="Q149" s="32">
        <f t="shared" si="53"/>
        <v>547335.25249265076</v>
      </c>
      <c r="R149" s="25"/>
    </row>
    <row r="150" spans="1:18" ht="15" x14ac:dyDescent="0.25">
      <c r="A150" s="29"/>
      <c r="B150" s="29" t="s">
        <v>113</v>
      </c>
      <c r="G150" s="5">
        <f>IRR(G149:Q149,-50%)</f>
        <v>4.0406820158406243E-2</v>
      </c>
      <c r="R150" s="25">
        <v>0.1</v>
      </c>
    </row>
    <row r="151" spans="1:18" ht="15" x14ac:dyDescent="0.25">
      <c r="A151" s="29"/>
      <c r="B151" s="29" t="s">
        <v>114</v>
      </c>
      <c r="G151" s="5">
        <f>$H$18</f>
        <v>0.1</v>
      </c>
      <c r="R151" s="25">
        <v>0.9</v>
      </c>
    </row>
    <row r="152" spans="1:18" ht="15" x14ac:dyDescent="0.25">
      <c r="A152" s="29" t="s">
        <v>115</v>
      </c>
      <c r="B152" s="29"/>
      <c r="G152" s="5">
        <f>G150*R150+G151*R151</f>
        <v>9.4040682015840635E-2</v>
      </c>
      <c r="R152" s="25"/>
    </row>
    <row r="153" spans="1:18" x14ac:dyDescent="0.2">
      <c r="R153" s="25"/>
    </row>
    <row r="154" spans="1:18" x14ac:dyDescent="0.2">
      <c r="R154" s="25"/>
    </row>
    <row r="155" spans="1:18" x14ac:dyDescent="0.2">
      <c r="R155" s="25"/>
    </row>
    <row r="156" spans="1:18" x14ac:dyDescent="0.2">
      <c r="R156" s="25"/>
    </row>
    <row r="157" spans="1:18" x14ac:dyDescent="0.2">
      <c r="R157" s="25"/>
    </row>
    <row r="158" spans="1:18" x14ac:dyDescent="0.2">
      <c r="R158" s="25"/>
    </row>
    <row r="159" spans="1:18" x14ac:dyDescent="0.2">
      <c r="R159" s="25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orientation="portrait" useFirstPageNumber="1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32"/>
  <sheetViews>
    <sheetView topLeftCell="G91" zoomScale="80" zoomScaleNormal="80" workbookViewId="0">
      <selection activeCell="G123" sqref="G123"/>
    </sheetView>
  </sheetViews>
  <sheetFormatPr defaultColWidth="11.5703125" defaultRowHeight="12.75" x14ac:dyDescent="0.2"/>
  <cols>
    <col min="1" max="1" width="4" style="28" customWidth="1"/>
    <col min="2" max="2" width="35.28515625" style="28" customWidth="1"/>
    <col min="3" max="3" width="23.42578125" style="28" customWidth="1"/>
    <col min="4" max="4" width="14.28515625" style="28" customWidth="1"/>
    <col min="5" max="5" width="20.42578125" style="1" customWidth="1"/>
    <col min="6" max="6" width="2.5703125" style="28" customWidth="1"/>
    <col min="7" max="7" width="30.140625" style="28" bestFit="1" customWidth="1"/>
    <col min="8" max="8" width="14.7109375" style="28" customWidth="1"/>
    <col min="9" max="9" width="14.85546875" style="28" customWidth="1"/>
    <col min="10" max="10" width="14.5703125" style="28" customWidth="1"/>
    <col min="11" max="15" width="13.7109375" style="28" bestFit="1" customWidth="1"/>
    <col min="16" max="16" width="17" style="28" customWidth="1"/>
    <col min="17" max="17" width="14.5703125" style="28" bestFit="1" customWidth="1"/>
    <col min="18" max="18" width="11.5703125" style="28"/>
    <col min="19" max="19" width="12.28515625" style="28" bestFit="1" customWidth="1"/>
    <col min="20" max="20" width="18.5703125" style="28" customWidth="1"/>
    <col min="21" max="21" width="14.42578125" style="28" bestFit="1" customWidth="1"/>
    <col min="22" max="22" width="12.28515625" style="28" bestFit="1" customWidth="1"/>
    <col min="23" max="23" width="19.7109375" style="28" customWidth="1"/>
    <col min="24" max="24" width="12.28515625" style="28" bestFit="1" customWidth="1"/>
    <col min="25" max="16384" width="11.5703125" style="28"/>
  </cols>
  <sheetData>
    <row r="1" spans="1:17" x14ac:dyDescent="0.2">
      <c r="A1" s="2" t="s">
        <v>95</v>
      </c>
      <c r="E1" s="3" t="s">
        <v>81</v>
      </c>
      <c r="G1" s="2" t="s">
        <v>80</v>
      </c>
    </row>
    <row r="2" spans="1:17" x14ac:dyDescent="0.2">
      <c r="E2" s="3" t="s">
        <v>0</v>
      </c>
      <c r="F2" s="2"/>
      <c r="G2" s="2"/>
      <c r="H2" s="2" t="s">
        <v>1</v>
      </c>
      <c r="I2" s="2" t="s">
        <v>2</v>
      </c>
      <c r="J2" s="2" t="s">
        <v>3</v>
      </c>
      <c r="K2" s="2" t="s">
        <v>96</v>
      </c>
      <c r="L2" s="2" t="s">
        <v>97</v>
      </c>
      <c r="M2" s="2" t="s">
        <v>98</v>
      </c>
      <c r="N2" s="2" t="s">
        <v>99</v>
      </c>
      <c r="O2" s="2" t="s">
        <v>100</v>
      </c>
      <c r="P2" s="2" t="s">
        <v>101</v>
      </c>
      <c r="Q2" s="2" t="s">
        <v>102</v>
      </c>
    </row>
    <row r="3" spans="1:17" x14ac:dyDescent="0.2">
      <c r="A3" s="2" t="s">
        <v>4</v>
      </c>
    </row>
    <row r="4" spans="1:17" x14ac:dyDescent="0.2">
      <c r="A4" s="20" t="s">
        <v>129</v>
      </c>
      <c r="C4" s="28" t="s">
        <v>135</v>
      </c>
      <c r="D4" s="12">
        <v>0.02</v>
      </c>
      <c r="E4" s="22">
        <v>20000</v>
      </c>
      <c r="H4" s="32">
        <f>E4*(1+D4)</f>
        <v>20400</v>
      </c>
      <c r="I4" s="32">
        <f>H4*(1+$D$4)</f>
        <v>20808</v>
      </c>
      <c r="J4" s="32">
        <f t="shared" ref="J4:Q4" si="0">I4*(1+$D$4)</f>
        <v>21224.16</v>
      </c>
      <c r="K4" s="32">
        <f t="shared" si="0"/>
        <v>21648.643199999999</v>
      </c>
      <c r="L4" s="32">
        <f t="shared" si="0"/>
        <v>22081.616063999998</v>
      </c>
      <c r="M4" s="32">
        <f t="shared" si="0"/>
        <v>22523.24838528</v>
      </c>
      <c r="N4" s="32">
        <f t="shared" si="0"/>
        <v>22973.7133529856</v>
      </c>
      <c r="O4" s="32">
        <f t="shared" si="0"/>
        <v>23433.187620045312</v>
      </c>
      <c r="P4" s="32">
        <f t="shared" si="0"/>
        <v>23901.851372446217</v>
      </c>
      <c r="Q4" s="32">
        <f t="shared" si="0"/>
        <v>24379.888399895142</v>
      </c>
    </row>
    <row r="5" spans="1:17" x14ac:dyDescent="0.2">
      <c r="A5" s="20" t="s">
        <v>130</v>
      </c>
      <c r="E5" s="25">
        <v>0.04</v>
      </c>
      <c r="H5" s="9">
        <f>E5</f>
        <v>0.04</v>
      </c>
      <c r="I5" s="9">
        <f>H5+1%</f>
        <v>0.05</v>
      </c>
      <c r="J5" s="9">
        <f>I5-2%</f>
        <v>3.0000000000000002E-2</v>
      </c>
      <c r="K5" s="9">
        <f>J5+1%</f>
        <v>0.04</v>
      </c>
      <c r="L5" s="9">
        <f>K5+2%</f>
        <v>0.06</v>
      </c>
      <c r="M5" s="9">
        <f>L5+1%</f>
        <v>6.9999999999999993E-2</v>
      </c>
      <c r="N5" s="9">
        <f>M5+1%</f>
        <v>7.9999999999999988E-2</v>
      </c>
      <c r="O5" s="9">
        <f>N5+1%</f>
        <v>8.9999999999999983E-2</v>
      </c>
      <c r="P5" s="9">
        <f>O5+1%</f>
        <v>9.9999999999999978E-2</v>
      </c>
      <c r="Q5" s="9">
        <f>P5</f>
        <v>9.9999999999999978E-2</v>
      </c>
    </row>
    <row r="6" spans="1:17" x14ac:dyDescent="0.2">
      <c r="A6" s="20" t="s">
        <v>132</v>
      </c>
      <c r="E6" s="22">
        <f>3*12</f>
        <v>36</v>
      </c>
      <c r="H6" s="22">
        <f t="shared" ref="H6:Q6" si="1">3*12</f>
        <v>36</v>
      </c>
      <c r="I6" s="22">
        <f t="shared" si="1"/>
        <v>36</v>
      </c>
      <c r="J6" s="22">
        <f t="shared" si="1"/>
        <v>36</v>
      </c>
      <c r="K6" s="22">
        <f t="shared" si="1"/>
        <v>36</v>
      </c>
      <c r="L6" s="22">
        <f t="shared" si="1"/>
        <v>36</v>
      </c>
      <c r="M6" s="22">
        <f t="shared" si="1"/>
        <v>36</v>
      </c>
      <c r="N6" s="22">
        <f t="shared" si="1"/>
        <v>36</v>
      </c>
      <c r="O6" s="22">
        <f t="shared" si="1"/>
        <v>36</v>
      </c>
      <c r="P6" s="22">
        <f t="shared" si="1"/>
        <v>36</v>
      </c>
      <c r="Q6" s="22">
        <f t="shared" si="1"/>
        <v>36</v>
      </c>
    </row>
    <row r="7" spans="1:17" x14ac:dyDescent="0.2">
      <c r="A7" s="20" t="s">
        <v>131</v>
      </c>
      <c r="C7" s="28" t="s">
        <v>136</v>
      </c>
      <c r="D7" s="12">
        <v>0.02</v>
      </c>
      <c r="E7" s="1">
        <v>11</v>
      </c>
      <c r="H7" s="36">
        <f>E7*1.02</f>
        <v>11.22</v>
      </c>
      <c r="I7" s="24">
        <f>H7*(1+$D$7)</f>
        <v>11.444400000000002</v>
      </c>
      <c r="J7" s="24">
        <f t="shared" ref="J7:Q8" si="2">I7*(1+$D$7)</f>
        <v>11.673288000000001</v>
      </c>
      <c r="K7" s="24">
        <f t="shared" si="2"/>
        <v>11.906753760000001</v>
      </c>
      <c r="L7" s="24">
        <f t="shared" si="2"/>
        <v>12.144888835200002</v>
      </c>
      <c r="M7" s="24">
        <f t="shared" si="2"/>
        <v>12.387786611904001</v>
      </c>
      <c r="N7" s="24">
        <f t="shared" si="2"/>
        <v>12.635542344142081</v>
      </c>
      <c r="O7" s="24">
        <f t="shared" si="2"/>
        <v>12.888253191024923</v>
      </c>
      <c r="P7" s="24">
        <f t="shared" si="2"/>
        <v>13.146018254845421</v>
      </c>
      <c r="Q7" s="24">
        <f t="shared" si="2"/>
        <v>13.408938619942329</v>
      </c>
    </row>
    <row r="8" spans="1:17" x14ac:dyDescent="0.2">
      <c r="A8" s="20" t="s">
        <v>133</v>
      </c>
      <c r="E8" s="1">
        <v>14</v>
      </c>
      <c r="H8" s="28">
        <f>E8*($D$7+1)</f>
        <v>14.280000000000001</v>
      </c>
      <c r="I8" s="24">
        <f>H8*(1+$D$7)</f>
        <v>14.565600000000002</v>
      </c>
      <c r="J8" s="24">
        <f>I8*(1+$D$7)</f>
        <v>14.856912000000001</v>
      </c>
      <c r="K8" s="24">
        <f t="shared" si="2"/>
        <v>15.154050240000002</v>
      </c>
      <c r="L8" s="24">
        <f t="shared" si="2"/>
        <v>15.457131244800003</v>
      </c>
      <c r="M8" s="24">
        <f t="shared" si="2"/>
        <v>15.766273869696004</v>
      </c>
      <c r="N8" s="24">
        <f t="shared" si="2"/>
        <v>16.081599347089924</v>
      </c>
      <c r="O8" s="24">
        <f t="shared" si="2"/>
        <v>16.403231334031723</v>
      </c>
      <c r="P8" s="24">
        <f t="shared" si="2"/>
        <v>16.731295960712359</v>
      </c>
      <c r="Q8" s="24">
        <f t="shared" si="2"/>
        <v>17.065921879926606</v>
      </c>
    </row>
    <row r="9" spans="1:17" x14ac:dyDescent="0.2">
      <c r="A9" s="2"/>
    </row>
    <row r="10" spans="1:17" x14ac:dyDescent="0.2">
      <c r="A10" s="20" t="s">
        <v>91</v>
      </c>
      <c r="E10" s="21">
        <v>1250000</v>
      </c>
      <c r="H10" s="21">
        <v>1250000</v>
      </c>
      <c r="I10" s="21">
        <f>H10</f>
        <v>1250000</v>
      </c>
      <c r="J10" s="21">
        <f>I10</f>
        <v>1250000</v>
      </c>
      <c r="K10" s="21">
        <f t="shared" ref="K10:Q12" si="3">J10</f>
        <v>1250000</v>
      </c>
      <c r="L10" s="21">
        <f t="shared" si="3"/>
        <v>1250000</v>
      </c>
      <c r="M10" s="21">
        <f t="shared" si="3"/>
        <v>1250000</v>
      </c>
      <c r="N10" s="21">
        <f t="shared" si="3"/>
        <v>1250000</v>
      </c>
      <c r="O10" s="21">
        <f t="shared" si="3"/>
        <v>1250000</v>
      </c>
      <c r="P10" s="21">
        <f t="shared" si="3"/>
        <v>1250000</v>
      </c>
      <c r="Q10" s="21">
        <f t="shared" si="3"/>
        <v>1250000</v>
      </c>
    </row>
    <row r="11" spans="1:17" x14ac:dyDescent="0.2">
      <c r="A11" s="28" t="s">
        <v>5</v>
      </c>
      <c r="E11" s="4">
        <v>7</v>
      </c>
      <c r="H11" s="4">
        <v>7</v>
      </c>
      <c r="I11" s="28">
        <f>H11</f>
        <v>7</v>
      </c>
      <c r="J11" s="28">
        <f>I11</f>
        <v>7</v>
      </c>
      <c r="K11" s="28">
        <f t="shared" si="3"/>
        <v>7</v>
      </c>
      <c r="L11" s="28">
        <f t="shared" si="3"/>
        <v>7</v>
      </c>
      <c r="M11" s="28">
        <f t="shared" si="3"/>
        <v>7</v>
      </c>
      <c r="N11" s="28">
        <f t="shared" si="3"/>
        <v>7</v>
      </c>
      <c r="O11" s="28">
        <f t="shared" si="3"/>
        <v>7</v>
      </c>
      <c r="P11" s="28">
        <f t="shared" si="3"/>
        <v>7</v>
      </c>
      <c r="Q11" s="28">
        <f t="shared" si="3"/>
        <v>7</v>
      </c>
    </row>
    <row r="12" spans="1:17" x14ac:dyDescent="0.2">
      <c r="A12" s="28" t="s">
        <v>6</v>
      </c>
      <c r="E12" s="4">
        <v>20</v>
      </c>
      <c r="H12" s="4">
        <v>20</v>
      </c>
      <c r="I12" s="28">
        <f t="shared" ref="I12:Q23" si="4">H12</f>
        <v>20</v>
      </c>
      <c r="J12" s="28">
        <f t="shared" si="4"/>
        <v>20</v>
      </c>
      <c r="K12" s="28">
        <f t="shared" si="3"/>
        <v>20</v>
      </c>
      <c r="L12" s="28">
        <f t="shared" si="3"/>
        <v>20</v>
      </c>
      <c r="M12" s="28">
        <f t="shared" si="3"/>
        <v>20</v>
      </c>
      <c r="N12" s="28">
        <f t="shared" si="3"/>
        <v>20</v>
      </c>
      <c r="O12" s="28">
        <f t="shared" si="3"/>
        <v>20</v>
      </c>
      <c r="P12" s="28">
        <f t="shared" si="3"/>
        <v>20</v>
      </c>
      <c r="Q12" s="28">
        <f t="shared" si="3"/>
        <v>20</v>
      </c>
    </row>
    <row r="13" spans="1:17" x14ac:dyDescent="0.2">
      <c r="A13" s="28" t="s">
        <v>7</v>
      </c>
      <c r="E13" s="4">
        <v>15</v>
      </c>
      <c r="H13" s="4">
        <f>$E$13</f>
        <v>15</v>
      </c>
      <c r="I13" s="4">
        <f t="shared" ref="I13:Q13" si="5">$E$13</f>
        <v>15</v>
      </c>
      <c r="J13" s="4">
        <f t="shared" si="5"/>
        <v>15</v>
      </c>
      <c r="K13" s="4">
        <f t="shared" si="5"/>
        <v>15</v>
      </c>
      <c r="L13" s="4">
        <f t="shared" si="5"/>
        <v>15</v>
      </c>
      <c r="M13" s="4">
        <f t="shared" si="5"/>
        <v>15</v>
      </c>
      <c r="N13" s="4">
        <f t="shared" si="5"/>
        <v>15</v>
      </c>
      <c r="O13" s="4">
        <f t="shared" si="5"/>
        <v>15</v>
      </c>
      <c r="P13" s="4">
        <f t="shared" si="5"/>
        <v>15</v>
      </c>
      <c r="Q13" s="4">
        <f t="shared" si="5"/>
        <v>15</v>
      </c>
    </row>
    <row r="14" spans="1:17" x14ac:dyDescent="0.2">
      <c r="A14" s="28" t="s">
        <v>8</v>
      </c>
      <c r="E14" s="4">
        <v>0.4</v>
      </c>
      <c r="H14" s="4">
        <f>$E$14</f>
        <v>0.4</v>
      </c>
      <c r="I14" s="28">
        <f t="shared" si="4"/>
        <v>0.4</v>
      </c>
      <c r="J14" s="28">
        <f t="shared" si="4"/>
        <v>0.4</v>
      </c>
      <c r="K14" s="28">
        <f t="shared" si="4"/>
        <v>0.4</v>
      </c>
      <c r="L14" s="28">
        <f t="shared" si="4"/>
        <v>0.4</v>
      </c>
      <c r="M14" s="28">
        <f t="shared" si="4"/>
        <v>0.4</v>
      </c>
      <c r="N14" s="28">
        <f t="shared" si="4"/>
        <v>0.4</v>
      </c>
      <c r="O14" s="28">
        <f t="shared" si="4"/>
        <v>0.4</v>
      </c>
      <c r="P14" s="28">
        <f t="shared" si="4"/>
        <v>0.4</v>
      </c>
      <c r="Q14" s="28">
        <f t="shared" si="4"/>
        <v>0.4</v>
      </c>
    </row>
    <row r="15" spans="1:17" x14ac:dyDescent="0.2">
      <c r="E15" s="4"/>
      <c r="H15" s="4"/>
    </row>
    <row r="16" spans="1:17" x14ac:dyDescent="0.2">
      <c r="A16" s="28" t="s">
        <v>9</v>
      </c>
      <c r="E16" s="4">
        <v>30</v>
      </c>
      <c r="H16" s="4">
        <f>$E$16</f>
        <v>30</v>
      </c>
      <c r="I16" s="28">
        <f t="shared" si="4"/>
        <v>30</v>
      </c>
      <c r="J16" s="28">
        <f t="shared" si="4"/>
        <v>30</v>
      </c>
      <c r="K16" s="28">
        <f t="shared" si="4"/>
        <v>30</v>
      </c>
      <c r="L16" s="28">
        <f t="shared" si="4"/>
        <v>30</v>
      </c>
      <c r="M16" s="28">
        <f t="shared" si="4"/>
        <v>30</v>
      </c>
      <c r="N16" s="28">
        <f t="shared" si="4"/>
        <v>30</v>
      </c>
      <c r="O16" s="28">
        <f t="shared" si="4"/>
        <v>30</v>
      </c>
      <c r="P16" s="28">
        <f t="shared" si="4"/>
        <v>30</v>
      </c>
      <c r="Q16" s="28">
        <f t="shared" si="4"/>
        <v>30</v>
      </c>
    </row>
    <row r="17" spans="1:17" x14ac:dyDescent="0.2">
      <c r="A17" s="28" t="s">
        <v>10</v>
      </c>
      <c r="E17" s="9">
        <v>0.06</v>
      </c>
      <c r="H17" s="9">
        <v>0.05</v>
      </c>
      <c r="I17" s="9">
        <f t="shared" si="4"/>
        <v>0.05</v>
      </c>
      <c r="J17" s="9">
        <f t="shared" si="4"/>
        <v>0.05</v>
      </c>
      <c r="K17" s="9">
        <f t="shared" si="4"/>
        <v>0.05</v>
      </c>
      <c r="L17" s="9">
        <f t="shared" si="4"/>
        <v>0.05</v>
      </c>
      <c r="M17" s="9">
        <f t="shared" si="4"/>
        <v>0.05</v>
      </c>
      <c r="N17" s="9">
        <f t="shared" si="4"/>
        <v>0.05</v>
      </c>
      <c r="O17" s="9">
        <f t="shared" si="4"/>
        <v>0.05</v>
      </c>
      <c r="P17" s="9">
        <f t="shared" si="4"/>
        <v>0.05</v>
      </c>
      <c r="Q17" s="9">
        <f t="shared" si="4"/>
        <v>0.05</v>
      </c>
    </row>
    <row r="18" spans="1:17" x14ac:dyDescent="0.2">
      <c r="A18" s="28" t="s">
        <v>11</v>
      </c>
      <c r="E18" s="9">
        <v>0.1</v>
      </c>
      <c r="H18" s="9">
        <v>0.1</v>
      </c>
      <c r="I18" s="9">
        <f t="shared" si="4"/>
        <v>0.1</v>
      </c>
      <c r="J18" s="9">
        <f t="shared" si="4"/>
        <v>0.1</v>
      </c>
      <c r="K18" s="9">
        <f t="shared" si="4"/>
        <v>0.1</v>
      </c>
      <c r="L18" s="9">
        <f t="shared" si="4"/>
        <v>0.1</v>
      </c>
      <c r="M18" s="9">
        <f t="shared" si="4"/>
        <v>0.1</v>
      </c>
      <c r="N18" s="9">
        <f t="shared" si="4"/>
        <v>0.1</v>
      </c>
      <c r="O18" s="9">
        <f t="shared" si="4"/>
        <v>0.1</v>
      </c>
      <c r="P18" s="9">
        <f t="shared" si="4"/>
        <v>0.1</v>
      </c>
      <c r="Q18" s="9">
        <f t="shared" si="4"/>
        <v>0.1</v>
      </c>
    </row>
    <row r="19" spans="1:17" x14ac:dyDescent="0.2">
      <c r="A19" s="28" t="s">
        <v>12</v>
      </c>
      <c r="E19" s="9">
        <v>0.25</v>
      </c>
      <c r="H19" s="9">
        <v>0.25</v>
      </c>
      <c r="I19" s="9">
        <f t="shared" si="4"/>
        <v>0.25</v>
      </c>
      <c r="J19" s="9">
        <f t="shared" si="4"/>
        <v>0.25</v>
      </c>
      <c r="K19" s="9">
        <f t="shared" si="4"/>
        <v>0.25</v>
      </c>
      <c r="L19" s="9">
        <f t="shared" si="4"/>
        <v>0.25</v>
      </c>
      <c r="M19" s="9">
        <f t="shared" si="4"/>
        <v>0.25</v>
      </c>
      <c r="N19" s="9">
        <f t="shared" si="4"/>
        <v>0.25</v>
      </c>
      <c r="O19" s="9">
        <f t="shared" si="4"/>
        <v>0.25</v>
      </c>
      <c r="P19" s="9">
        <f t="shared" si="4"/>
        <v>0.25</v>
      </c>
      <c r="Q19" s="9">
        <f t="shared" si="4"/>
        <v>0.25</v>
      </c>
    </row>
    <row r="20" spans="1:17" x14ac:dyDescent="0.2">
      <c r="E20" s="9"/>
      <c r="H20" s="9"/>
      <c r="I20" s="9"/>
      <c r="J20" s="9"/>
      <c r="K20" s="9"/>
      <c r="L20" s="9"/>
      <c r="M20" s="9"/>
      <c r="N20" s="9"/>
      <c r="O20" s="9"/>
      <c r="P20" s="9"/>
      <c r="Q20" s="9"/>
    </row>
    <row r="21" spans="1:17" x14ac:dyDescent="0.2">
      <c r="A21" s="28" t="s">
        <v>13</v>
      </c>
      <c r="E21" s="9">
        <v>0.88900000000000001</v>
      </c>
      <c r="H21" s="9">
        <v>0.88900000000000001</v>
      </c>
      <c r="I21" s="9">
        <f t="shared" si="4"/>
        <v>0.88900000000000001</v>
      </c>
      <c r="J21" s="9">
        <f t="shared" si="4"/>
        <v>0.88900000000000001</v>
      </c>
      <c r="K21" s="9">
        <f t="shared" si="4"/>
        <v>0.88900000000000001</v>
      </c>
      <c r="L21" s="9">
        <f t="shared" si="4"/>
        <v>0.88900000000000001</v>
      </c>
      <c r="M21" s="9">
        <f t="shared" si="4"/>
        <v>0.88900000000000001</v>
      </c>
      <c r="N21" s="9">
        <f t="shared" si="4"/>
        <v>0.88900000000000001</v>
      </c>
      <c r="O21" s="9">
        <f t="shared" si="4"/>
        <v>0.88900000000000001</v>
      </c>
      <c r="P21" s="9">
        <f t="shared" si="4"/>
        <v>0.88900000000000001</v>
      </c>
      <c r="Q21" s="9">
        <f t="shared" si="4"/>
        <v>0.88900000000000001</v>
      </c>
    </row>
    <row r="22" spans="1:17" x14ac:dyDescent="0.2">
      <c r="A22" s="28" t="s">
        <v>14</v>
      </c>
      <c r="E22" s="4">
        <v>20</v>
      </c>
      <c r="H22" s="4">
        <v>20</v>
      </c>
      <c r="I22" s="28">
        <f t="shared" si="4"/>
        <v>20</v>
      </c>
      <c r="J22" s="28">
        <f t="shared" si="4"/>
        <v>20</v>
      </c>
      <c r="K22" s="28">
        <f t="shared" si="4"/>
        <v>20</v>
      </c>
      <c r="L22" s="28">
        <f t="shared" si="4"/>
        <v>20</v>
      </c>
      <c r="M22" s="28">
        <f t="shared" si="4"/>
        <v>20</v>
      </c>
      <c r="N22" s="28">
        <f t="shared" si="4"/>
        <v>20</v>
      </c>
      <c r="O22" s="28">
        <f t="shared" si="4"/>
        <v>20</v>
      </c>
      <c r="P22" s="28">
        <f t="shared" si="4"/>
        <v>20</v>
      </c>
      <c r="Q22" s="28">
        <f t="shared" si="4"/>
        <v>20</v>
      </c>
    </row>
    <row r="23" spans="1:17" x14ac:dyDescent="0.2">
      <c r="A23" s="28" t="s">
        <v>15</v>
      </c>
      <c r="E23" s="4">
        <v>28.75</v>
      </c>
      <c r="H23" s="4">
        <v>28.75</v>
      </c>
      <c r="I23" s="28">
        <f t="shared" si="4"/>
        <v>28.75</v>
      </c>
      <c r="J23" s="28">
        <f t="shared" si="4"/>
        <v>28.75</v>
      </c>
      <c r="K23" s="28">
        <f t="shared" si="4"/>
        <v>28.75</v>
      </c>
      <c r="L23" s="28">
        <f t="shared" si="4"/>
        <v>28.75</v>
      </c>
      <c r="M23" s="28">
        <f t="shared" si="4"/>
        <v>28.75</v>
      </c>
      <c r="N23" s="28">
        <f t="shared" si="4"/>
        <v>28.75</v>
      </c>
      <c r="O23" s="28">
        <f t="shared" si="4"/>
        <v>28.75</v>
      </c>
      <c r="P23" s="28">
        <f t="shared" si="4"/>
        <v>28.75</v>
      </c>
      <c r="Q23" s="28">
        <f t="shared" si="4"/>
        <v>28.75</v>
      </c>
    </row>
    <row r="24" spans="1:17" x14ac:dyDescent="0.2">
      <c r="E24" s="4"/>
      <c r="H24" s="4"/>
    </row>
    <row r="25" spans="1:17" x14ac:dyDescent="0.2">
      <c r="A25" s="28" t="s">
        <v>79</v>
      </c>
      <c r="E25" s="4"/>
      <c r="H25" s="12">
        <v>0.03</v>
      </c>
    </row>
    <row r="26" spans="1:17" x14ac:dyDescent="0.2">
      <c r="A26" s="28" t="s">
        <v>94</v>
      </c>
      <c r="E26" s="22">
        <v>0.87</v>
      </c>
      <c r="H26" s="12"/>
    </row>
    <row r="27" spans="1:17" x14ac:dyDescent="0.2">
      <c r="A27" s="28" t="s">
        <v>92</v>
      </c>
      <c r="E27" s="5">
        <v>3.3999999999999998E-3</v>
      </c>
      <c r="H27" s="12"/>
    </row>
    <row r="28" spans="1:17" x14ac:dyDescent="0.2">
      <c r="A28" s="28" t="s">
        <v>93</v>
      </c>
      <c r="E28" s="5">
        <v>0.08</v>
      </c>
      <c r="H28" s="12"/>
    </row>
    <row r="30" spans="1:17" x14ac:dyDescent="0.2">
      <c r="A30" s="2" t="s">
        <v>16</v>
      </c>
      <c r="D30" s="24"/>
      <c r="G30" s="28" t="s">
        <v>128</v>
      </c>
    </row>
    <row r="31" spans="1:17" x14ac:dyDescent="0.2">
      <c r="A31" s="28" t="s">
        <v>103</v>
      </c>
      <c r="D31" s="9"/>
      <c r="E31" s="8">
        <f>PRODUCT(E4:E7)</f>
        <v>316800</v>
      </c>
      <c r="G31" s="25"/>
      <c r="H31" s="8">
        <f>PRODUCT(H4:H7)</f>
        <v>329598.72000000003</v>
      </c>
      <c r="I31" s="8">
        <f t="shared" ref="I31:Q31" si="6">PRODUCT(I4:I7)</f>
        <v>428643.13536000007</v>
      </c>
      <c r="J31" s="8">
        <f t="shared" si="6"/>
        <v>267576.19081712648</v>
      </c>
      <c r="K31" s="8">
        <f t="shared" si="6"/>
        <v>371181.69190151774</v>
      </c>
      <c r="L31" s="8">
        <f t="shared" si="6"/>
        <v>579266.14838150854</v>
      </c>
      <c r="M31" s="8">
        <f t="shared" si="6"/>
        <v>703113.25090547511</v>
      </c>
      <c r="N31" s="8">
        <f t="shared" si="6"/>
        <v>836021.74427663558</v>
      </c>
      <c r="O31" s="8">
        <f t="shared" si="6"/>
        <v>978521.65058858832</v>
      </c>
      <c r="P31" s="8">
        <f t="shared" si="6"/>
        <v>1131171.028080408</v>
      </c>
      <c r="Q31" s="8">
        <f t="shared" si="6"/>
        <v>1176870.3376148564</v>
      </c>
    </row>
    <row r="32" spans="1:17" x14ac:dyDescent="0.2">
      <c r="A32" s="28" t="s">
        <v>104</v>
      </c>
      <c r="D32" s="5"/>
      <c r="E32" s="8">
        <f>E4*E5*E6/2*E8</f>
        <v>201600</v>
      </c>
      <c r="G32" s="25"/>
      <c r="H32" s="8">
        <f>PRODUCT(H4:H6)/2*H8</f>
        <v>209744.64000000001</v>
      </c>
      <c r="I32" s="8">
        <f t="shared" ref="I32:Q32" si="7">PRODUCT(I4:I6)/2*I8</f>
        <v>272772.90432000003</v>
      </c>
      <c r="J32" s="8">
        <f t="shared" si="7"/>
        <v>170275.75779271682</v>
      </c>
      <c r="K32" s="8">
        <f t="shared" si="7"/>
        <v>236206.53121005674</v>
      </c>
      <c r="L32" s="8">
        <f t="shared" si="7"/>
        <v>368623.91260641458</v>
      </c>
      <c r="M32" s="8">
        <f t="shared" si="7"/>
        <v>447435.70512166608</v>
      </c>
      <c r="N32" s="8">
        <f t="shared" si="7"/>
        <v>532013.83726695005</v>
      </c>
      <c r="O32" s="8">
        <f t="shared" si="7"/>
        <v>622695.59582910175</v>
      </c>
      <c r="P32" s="8">
        <f t="shared" si="7"/>
        <v>719836.10877844167</v>
      </c>
      <c r="Q32" s="8">
        <f t="shared" si="7"/>
        <v>748917.48757309059</v>
      </c>
    </row>
    <row r="33" spans="1:18" x14ac:dyDescent="0.2">
      <c r="E33" s="8"/>
      <c r="H33" s="8"/>
      <c r="I33" s="8"/>
      <c r="J33" s="8"/>
    </row>
    <row r="34" spans="1:18" x14ac:dyDescent="0.2">
      <c r="A34" s="28" t="s">
        <v>17</v>
      </c>
      <c r="D34" s="9">
        <v>0.1</v>
      </c>
      <c r="E34" s="8">
        <f>E32*D34</f>
        <v>20160</v>
      </c>
      <c r="H34" s="8">
        <f>E34</f>
        <v>20160</v>
      </c>
      <c r="I34" s="10">
        <f>H34*1.02</f>
        <v>20563.2</v>
      </c>
      <c r="J34" s="10">
        <f t="shared" ref="J34:Q34" si="8">I34*1.02</f>
        <v>20974.464</v>
      </c>
      <c r="K34" s="10">
        <f t="shared" si="8"/>
        <v>21393.953280000002</v>
      </c>
      <c r="L34" s="10">
        <f t="shared" si="8"/>
        <v>21821.832345600003</v>
      </c>
      <c r="M34" s="10">
        <f t="shared" si="8"/>
        <v>22258.268992512003</v>
      </c>
      <c r="N34" s="10">
        <f t="shared" si="8"/>
        <v>22703.434372362244</v>
      </c>
      <c r="O34" s="10">
        <f t="shared" si="8"/>
        <v>23157.503059809489</v>
      </c>
      <c r="P34" s="10">
        <f t="shared" si="8"/>
        <v>23620.653121005678</v>
      </c>
      <c r="Q34" s="10">
        <f t="shared" si="8"/>
        <v>24093.066183425792</v>
      </c>
    </row>
    <row r="35" spans="1:18" x14ac:dyDescent="0.2">
      <c r="E35" s="8"/>
      <c r="H35" s="8"/>
    </row>
    <row r="36" spans="1:18" x14ac:dyDescent="0.2">
      <c r="A36" s="2" t="s">
        <v>18</v>
      </c>
      <c r="B36" s="2"/>
      <c r="C36" s="2"/>
      <c r="D36" s="2"/>
      <c r="E36" s="37">
        <f>SUM(E31:E32)-E34</f>
        <v>498240</v>
      </c>
      <c r="F36" s="2"/>
      <c r="G36" s="2"/>
      <c r="H36" s="37">
        <f>SUM(H31:H32)-H34</f>
        <v>519183.3600000001</v>
      </c>
      <c r="I36" s="37">
        <f>SUM(I31:I32)-I34</f>
        <v>680852.83968000021</v>
      </c>
      <c r="J36" s="37">
        <f t="shared" ref="J36:Q36" si="9">SUM(J31:J32)-J34</f>
        <v>416877.48460984329</v>
      </c>
      <c r="K36" s="37">
        <f t="shared" si="9"/>
        <v>585994.26983157452</v>
      </c>
      <c r="L36" s="37">
        <f t="shared" si="9"/>
        <v>926068.22864232305</v>
      </c>
      <c r="M36" s="37">
        <f t="shared" si="9"/>
        <v>1128290.6870346293</v>
      </c>
      <c r="N36" s="37">
        <f t="shared" si="9"/>
        <v>1345332.1471712235</v>
      </c>
      <c r="O36" s="37">
        <f t="shared" si="9"/>
        <v>1578059.7433578805</v>
      </c>
      <c r="P36" s="37">
        <f t="shared" si="9"/>
        <v>1827386.483737844</v>
      </c>
      <c r="Q36" s="37">
        <f t="shared" si="9"/>
        <v>1901694.7590045214</v>
      </c>
    </row>
    <row r="37" spans="1:18" x14ac:dyDescent="0.2">
      <c r="E37" s="8"/>
      <c r="H37" s="8"/>
    </row>
    <row r="38" spans="1:18" x14ac:dyDescent="0.2">
      <c r="A38" s="28" t="s">
        <v>19</v>
      </c>
      <c r="E38" s="8"/>
      <c r="H38" s="8"/>
    </row>
    <row r="39" spans="1:18" x14ac:dyDescent="0.2">
      <c r="B39" s="28" t="s">
        <v>105</v>
      </c>
      <c r="D39" s="12">
        <v>0.93</v>
      </c>
      <c r="E39" s="8">
        <f>$D$39*E31</f>
        <v>294624</v>
      </c>
      <c r="H39" s="8">
        <f t="shared" ref="H39:Q39" si="10">$D$39*H31</f>
        <v>306526.80960000004</v>
      </c>
      <c r="I39" s="8">
        <f t="shared" si="10"/>
        <v>398638.11588480009</v>
      </c>
      <c r="J39" s="8">
        <f t="shared" si="10"/>
        <v>248845.85745992765</v>
      </c>
      <c r="K39" s="8">
        <f t="shared" si="10"/>
        <v>345198.97346841154</v>
      </c>
      <c r="L39" s="8">
        <f t="shared" si="10"/>
        <v>538717.51799480291</v>
      </c>
      <c r="M39" s="8">
        <f t="shared" si="10"/>
        <v>653895.32334209187</v>
      </c>
      <c r="N39" s="8">
        <f t="shared" si="10"/>
        <v>777500.22217727115</v>
      </c>
      <c r="O39" s="8">
        <f t="shared" si="10"/>
        <v>910025.13504738722</v>
      </c>
      <c r="P39" s="8">
        <f t="shared" si="10"/>
        <v>1051989.0561147796</v>
      </c>
      <c r="Q39" s="8">
        <f t="shared" si="10"/>
        <v>1094489.4139818165</v>
      </c>
      <c r="R39" s="13"/>
    </row>
    <row r="40" spans="1:18" x14ac:dyDescent="0.2">
      <c r="B40" s="28" t="s">
        <v>20</v>
      </c>
      <c r="C40" s="28" t="s">
        <v>106</v>
      </c>
      <c r="D40" s="9">
        <v>2.6487142857142858E-2</v>
      </c>
      <c r="E40" s="8">
        <f t="shared" ref="E40:E45" si="11">$D40*SUM(E$31:E$32)</f>
        <v>13730.934857142858</v>
      </c>
      <c r="H40" s="8">
        <f t="shared" ref="H40:Q45" si="12">$D40*SUM(H$31:H$32)</f>
        <v>14285.664625371432</v>
      </c>
      <c r="I40" s="8">
        <f t="shared" si="12"/>
        <v>18578.506845295549</v>
      </c>
      <c r="J40" s="8">
        <f t="shared" si="12"/>
        <v>11597.447113107291</v>
      </c>
      <c r="K40" s="8">
        <f t="shared" si="12"/>
        <v>16087.978635302434</v>
      </c>
      <c r="L40" s="8">
        <f t="shared" si="12"/>
        <v>25106.899458252974</v>
      </c>
      <c r="M40" s="8">
        <f t="shared" si="12"/>
        <v>30474.754562427468</v>
      </c>
      <c r="N40" s="8">
        <f t="shared" si="12"/>
        <v>36235.353881999465</v>
      </c>
      <c r="O40" s="8">
        <f t="shared" si="12"/>
        <v>42411.669951186275</v>
      </c>
      <c r="P40" s="8">
        <f t="shared" si="12"/>
        <v>49027.890463571333</v>
      </c>
      <c r="Q40" s="8">
        <f t="shared" si="12"/>
        <v>51008.617238299616</v>
      </c>
      <c r="R40" s="13"/>
    </row>
    <row r="41" spans="1:18" x14ac:dyDescent="0.2">
      <c r="B41" s="28" t="s">
        <v>21</v>
      </c>
      <c r="C41" s="28" t="s">
        <v>106</v>
      </c>
      <c r="D41" s="9">
        <v>3.1669999999999997E-2</v>
      </c>
      <c r="E41" s="8">
        <f t="shared" si="11"/>
        <v>16417.727999999999</v>
      </c>
      <c r="H41" s="8">
        <f t="shared" si="12"/>
        <v>17081.004211200001</v>
      </c>
      <c r="I41" s="8">
        <f t="shared" si="12"/>
        <v>22213.845976665601</v>
      </c>
      <c r="J41" s="8">
        <f t="shared" si="12"/>
        <v>13866.771212473735</v>
      </c>
      <c r="K41" s="8">
        <f t="shared" si="12"/>
        <v>19235.985025943563</v>
      </c>
      <c r="L41" s="8">
        <f t="shared" si="12"/>
        <v>30019.67823148752</v>
      </c>
      <c r="M41" s="8">
        <f t="shared" si="12"/>
        <v>36437.885437379562</v>
      </c>
      <c r="N41" s="8">
        <f t="shared" si="12"/>
        <v>43325.686867485354</v>
      </c>
      <c r="O41" s="8">
        <f t="shared" si="12"/>
        <v>50710.550194048243</v>
      </c>
      <c r="P41" s="8">
        <f t="shared" si="12"/>
        <v>58621.396024319765</v>
      </c>
      <c r="Q41" s="8">
        <f t="shared" si="12"/>
        <v>60989.700423702277</v>
      </c>
      <c r="R41" s="13"/>
    </row>
    <row r="42" spans="1:18" x14ac:dyDescent="0.2">
      <c r="B42" s="28" t="s">
        <v>22</v>
      </c>
      <c r="C42" s="28" t="s">
        <v>106</v>
      </c>
      <c r="D42" s="9">
        <v>3.5662857142857142E-2</v>
      </c>
      <c r="E42" s="8">
        <f t="shared" si="11"/>
        <v>18487.625142857141</v>
      </c>
      <c r="H42" s="8">
        <f t="shared" si="12"/>
        <v>19234.525198628573</v>
      </c>
      <c r="I42" s="8">
        <f t="shared" si="12"/>
        <v>25014.500020816464</v>
      </c>
      <c r="J42" s="8">
        <f t="shared" si="12"/>
        <v>15615.051492994467</v>
      </c>
      <c r="K42" s="8">
        <f t="shared" si="12"/>
        <v>21661.199431081925</v>
      </c>
      <c r="L42" s="8">
        <f t="shared" si="12"/>
        <v>33804.467832146445</v>
      </c>
      <c r="M42" s="8">
        <f t="shared" si="12"/>
        <v>41031.863054659363</v>
      </c>
      <c r="N42" s="8">
        <f t="shared" si="12"/>
        <v>48788.057510934392</v>
      </c>
      <c r="O42" s="8">
        <f t="shared" si="12"/>
        <v>57103.98191367316</v>
      </c>
      <c r="P42" s="8">
        <f t="shared" si="12"/>
        <v>66012.203092206182</v>
      </c>
      <c r="Q42" s="8">
        <f t="shared" si="12"/>
        <v>68679.096097131303</v>
      </c>
      <c r="R42" s="13"/>
    </row>
    <row r="43" spans="1:18" x14ac:dyDescent="0.2">
      <c r="B43" s="28" t="s">
        <v>23</v>
      </c>
      <c r="C43" s="28" t="s">
        <v>106</v>
      </c>
      <c r="D43" s="9">
        <v>7.1428571428571426E-3</v>
      </c>
      <c r="E43" s="8">
        <f t="shared" si="11"/>
        <v>3702.8571428571427</v>
      </c>
      <c r="H43" s="8">
        <f t="shared" si="12"/>
        <v>3852.4525714285719</v>
      </c>
      <c r="I43" s="8">
        <f t="shared" si="12"/>
        <v>5010.1145691428583</v>
      </c>
      <c r="J43" s="8">
        <f t="shared" si="12"/>
        <v>3127.5139186417377</v>
      </c>
      <c r="K43" s="8">
        <f t="shared" si="12"/>
        <v>4338.4873079398176</v>
      </c>
      <c r="L43" s="8">
        <f t="shared" si="12"/>
        <v>6770.6432927708784</v>
      </c>
      <c r="M43" s="8">
        <f t="shared" si="12"/>
        <v>8218.2068287652946</v>
      </c>
      <c r="N43" s="8">
        <f t="shared" si="12"/>
        <v>9771.6827253113261</v>
      </c>
      <c r="O43" s="8">
        <f t="shared" si="12"/>
        <v>11437.266045840643</v>
      </c>
      <c r="P43" s="8">
        <f t="shared" si="12"/>
        <v>13221.479548991783</v>
      </c>
      <c r="Q43" s="8">
        <f t="shared" si="12"/>
        <v>13755.62732277105</v>
      </c>
      <c r="R43" s="13"/>
    </row>
    <row r="44" spans="1:18" x14ac:dyDescent="0.2">
      <c r="B44" s="28" t="s">
        <v>134</v>
      </c>
      <c r="C44" s="28" t="s">
        <v>106</v>
      </c>
      <c r="D44" s="9">
        <v>6.0000000000000001E-3</v>
      </c>
      <c r="E44" s="8">
        <f t="shared" si="11"/>
        <v>3110.4</v>
      </c>
      <c r="H44" s="8">
        <f t="shared" si="12"/>
        <v>3236.0601600000009</v>
      </c>
      <c r="I44" s="8">
        <f t="shared" si="12"/>
        <v>4208.4962380800007</v>
      </c>
      <c r="J44" s="8">
        <f t="shared" si="12"/>
        <v>2627.1116916590595</v>
      </c>
      <c r="K44" s="8">
        <f t="shared" si="12"/>
        <v>3644.3293386694472</v>
      </c>
      <c r="L44" s="8">
        <f t="shared" si="12"/>
        <v>5687.3403659275382</v>
      </c>
      <c r="M44" s="8">
        <f t="shared" si="12"/>
        <v>6903.2937361628483</v>
      </c>
      <c r="N44" s="8">
        <f t="shared" si="12"/>
        <v>8208.213489261514</v>
      </c>
      <c r="O44" s="8">
        <f t="shared" si="12"/>
        <v>9607.3034785061409</v>
      </c>
      <c r="P44" s="8">
        <f t="shared" si="12"/>
        <v>11106.0428211531</v>
      </c>
      <c r="Q44" s="8">
        <f t="shared" si="12"/>
        <v>11554.726951127683</v>
      </c>
      <c r="R44" s="13"/>
    </row>
    <row r="45" spans="1:18" x14ac:dyDescent="0.2">
      <c r="B45" s="28" t="s">
        <v>24</v>
      </c>
      <c r="C45" s="28" t="s">
        <v>106</v>
      </c>
      <c r="D45" s="9">
        <v>1.3638571428571429E-2</v>
      </c>
      <c r="E45" s="8">
        <f t="shared" si="11"/>
        <v>7070.2354285714282</v>
      </c>
      <c r="H45" s="8">
        <f t="shared" si="12"/>
        <v>7355.8729398857158</v>
      </c>
      <c r="I45" s="8">
        <f t="shared" si="12"/>
        <v>9566.3127583213736</v>
      </c>
      <c r="J45" s="8">
        <f t="shared" si="12"/>
        <v>5971.6750762545335</v>
      </c>
      <c r="K45" s="8">
        <f t="shared" si="12"/>
        <v>8283.9076657802889</v>
      </c>
      <c r="L45" s="8">
        <f t="shared" si="12"/>
        <v>12927.866303216717</v>
      </c>
      <c r="M45" s="8">
        <f t="shared" si="12"/>
        <v>15691.844118844454</v>
      </c>
      <c r="N45" s="8">
        <f t="shared" si="12"/>
        <v>18658.050995709447</v>
      </c>
      <c r="O45" s="8">
        <f t="shared" si="12"/>
        <v>21838.315787928124</v>
      </c>
      <c r="P45" s="8">
        <f t="shared" si="12"/>
        <v>25245.093050844913</v>
      </c>
      <c r="Q45" s="8">
        <f t="shared" si="12"/>
        <v>26264.994810099044</v>
      </c>
      <c r="R45" s="13"/>
    </row>
    <row r="46" spans="1:18" x14ac:dyDescent="0.2">
      <c r="E46" s="8"/>
      <c r="H46" s="8"/>
    </row>
    <row r="47" spans="1:18" x14ac:dyDescent="0.2">
      <c r="B47" s="28" t="s">
        <v>25</v>
      </c>
      <c r="E47" s="8">
        <f>SUM(E39:E45)</f>
        <v>357143.78057142859</v>
      </c>
      <c r="H47" s="8">
        <f>SUM(H39:H45)</f>
        <v>371572.38930651435</v>
      </c>
      <c r="I47" s="8">
        <f>SUM(I39:I45)</f>
        <v>483229.89229312196</v>
      </c>
      <c r="J47" s="8">
        <f>SUM(J39:J45)</f>
        <v>301651.42796505848</v>
      </c>
      <c r="K47" s="8">
        <f t="shared" ref="K47:Q47" si="13">SUM(K39:K45)</f>
        <v>418450.86087312899</v>
      </c>
      <c r="L47" s="8">
        <f t="shared" si="13"/>
        <v>653034.41347860487</v>
      </c>
      <c r="M47" s="8">
        <f t="shared" si="13"/>
        <v>792653.17108033097</v>
      </c>
      <c r="N47" s="8">
        <f t="shared" si="13"/>
        <v>942487.26764797291</v>
      </c>
      <c r="O47" s="8">
        <f t="shared" si="13"/>
        <v>1103134.22241857</v>
      </c>
      <c r="P47" s="8">
        <f t="shared" si="13"/>
        <v>1275223.1611158669</v>
      </c>
      <c r="Q47" s="8">
        <f t="shared" si="13"/>
        <v>1326742.1768249476</v>
      </c>
    </row>
    <row r="48" spans="1:18" x14ac:dyDescent="0.2">
      <c r="E48" s="8"/>
      <c r="H48" s="8"/>
      <c r="I48" s="8"/>
      <c r="J48" s="8"/>
    </row>
    <row r="49" spans="1:28" x14ac:dyDescent="0.2">
      <c r="A49" s="2" t="s">
        <v>26</v>
      </c>
      <c r="B49" s="2"/>
      <c r="C49" s="2"/>
      <c r="D49" s="2"/>
      <c r="E49" s="37">
        <f>E36-E47</f>
        <v>141096.21942857141</v>
      </c>
      <c r="F49" s="2"/>
      <c r="G49" s="2"/>
      <c r="H49" s="37">
        <f>H36-H47</f>
        <v>147610.97069348575</v>
      </c>
      <c r="I49" s="37">
        <f>I36-I47</f>
        <v>197622.94738687825</v>
      </c>
      <c r="J49" s="37">
        <f>J36-J47</f>
        <v>115226.05664478481</v>
      </c>
      <c r="K49" s="37">
        <f>K36-K47</f>
        <v>167543.40895844554</v>
      </c>
      <c r="L49" s="37">
        <f t="shared" ref="L49:Q49" si="14">L36-L47</f>
        <v>273033.81516371819</v>
      </c>
      <c r="M49" s="37">
        <f t="shared" si="14"/>
        <v>335637.51595429832</v>
      </c>
      <c r="N49" s="37">
        <f t="shared" si="14"/>
        <v>402844.87952325062</v>
      </c>
      <c r="O49" s="37">
        <f t="shared" si="14"/>
        <v>474925.52093931055</v>
      </c>
      <c r="P49" s="37">
        <f t="shared" si="14"/>
        <v>552163.32262197719</v>
      </c>
      <c r="Q49" s="37">
        <f t="shared" si="14"/>
        <v>574952.58217957383</v>
      </c>
    </row>
    <row r="50" spans="1:28" x14ac:dyDescent="0.2">
      <c r="E50" s="8"/>
      <c r="H50" s="8"/>
      <c r="I50" s="8"/>
      <c r="J50" s="8"/>
    </row>
    <row r="51" spans="1:28" x14ac:dyDescent="0.2">
      <c r="A51" s="28" t="s">
        <v>27</v>
      </c>
      <c r="E51" s="8"/>
      <c r="H51" s="8"/>
      <c r="I51" s="8"/>
      <c r="J51" s="8"/>
    </row>
    <row r="52" spans="1:28" x14ac:dyDescent="0.2">
      <c r="B52" s="28" t="s">
        <v>28</v>
      </c>
      <c r="E52" s="8">
        <f>E70/E22</f>
        <v>10625</v>
      </c>
      <c r="H52" s="8">
        <f t="shared" ref="H52:Q52" si="15">H70/H22</f>
        <v>10625</v>
      </c>
      <c r="I52" s="8">
        <f t="shared" si="15"/>
        <v>10625</v>
      </c>
      <c r="J52" s="8">
        <f t="shared" si="15"/>
        <v>10625</v>
      </c>
      <c r="K52" s="8">
        <f t="shared" si="15"/>
        <v>10625</v>
      </c>
      <c r="L52" s="8">
        <f t="shared" si="15"/>
        <v>15625</v>
      </c>
      <c r="M52" s="8">
        <f t="shared" si="15"/>
        <v>15625</v>
      </c>
      <c r="N52" s="8">
        <f t="shared" si="15"/>
        <v>15625</v>
      </c>
      <c r="O52" s="8">
        <f t="shared" si="15"/>
        <v>15625</v>
      </c>
      <c r="P52" s="8">
        <f t="shared" si="15"/>
        <v>15625</v>
      </c>
      <c r="Q52" s="8">
        <f t="shared" si="15"/>
        <v>15625</v>
      </c>
    </row>
    <row r="53" spans="1:28" x14ac:dyDescent="0.2">
      <c r="B53" s="28" t="s">
        <v>29</v>
      </c>
      <c r="E53" s="8">
        <f>E72/E23</f>
        <v>14347.826086956522</v>
      </c>
      <c r="H53" s="10">
        <f>H72/H23</f>
        <v>14347.826086956522</v>
      </c>
      <c r="I53" s="8">
        <f t="shared" ref="I53:Q53" si="16">I72/I23</f>
        <v>14347.826086956522</v>
      </c>
      <c r="J53" s="8">
        <f t="shared" si="16"/>
        <v>14347.826086956522</v>
      </c>
      <c r="K53" s="8">
        <f t="shared" si="16"/>
        <v>14347.826086956522</v>
      </c>
      <c r="L53" s="8">
        <f t="shared" si="16"/>
        <v>19565.217391304348</v>
      </c>
      <c r="M53" s="8">
        <f t="shared" si="16"/>
        <v>19565.217391304348</v>
      </c>
      <c r="N53" s="8">
        <f t="shared" si="16"/>
        <v>19565.217391304348</v>
      </c>
      <c r="O53" s="8">
        <f t="shared" si="16"/>
        <v>19565.217391304348</v>
      </c>
      <c r="P53" s="8">
        <f t="shared" si="16"/>
        <v>19565.217391304348</v>
      </c>
      <c r="Q53" s="8">
        <f t="shared" si="16"/>
        <v>19565.217391304348</v>
      </c>
    </row>
    <row r="54" spans="1:28" x14ac:dyDescent="0.2">
      <c r="E54" s="8"/>
      <c r="H54" s="8"/>
      <c r="I54" s="8"/>
      <c r="J54" s="8"/>
    </row>
    <row r="55" spans="1:28" x14ac:dyDescent="0.2">
      <c r="A55" s="28" t="s">
        <v>30</v>
      </c>
      <c r="E55" s="8">
        <f>Mortgage!D15</f>
        <v>29832.972947781545</v>
      </c>
      <c r="G55" s="11"/>
      <c r="H55" s="8">
        <f>Mortgage!D29</f>
        <v>29454.267570995526</v>
      </c>
      <c r="I55" s="8">
        <f>Mortgage!D43</f>
        <v>29052.204475228024</v>
      </c>
      <c r="J55" s="8">
        <f>Mortgage!D57</f>
        <v>28625.343007482101</v>
      </c>
      <c r="K55" s="8">
        <f>J55-50</f>
        <v>28575.343007482101</v>
      </c>
      <c r="L55" s="11">
        <f>K55-75</f>
        <v>28500.343007482101</v>
      </c>
      <c r="M55" s="11">
        <f>L55-100</f>
        <v>28400.343007482101</v>
      </c>
      <c r="N55" s="11">
        <f>M55-120</f>
        <v>28280.343007482101</v>
      </c>
      <c r="O55" s="11">
        <f>N55-150</f>
        <v>28130.343007482101</v>
      </c>
      <c r="P55" s="11">
        <f>O55-180</f>
        <v>27950.343007482101</v>
      </c>
      <c r="Q55" s="11">
        <f>P55-210</f>
        <v>27740.343007482101</v>
      </c>
    </row>
    <row r="56" spans="1:28" x14ac:dyDescent="0.2">
      <c r="A56" s="28" t="s">
        <v>31</v>
      </c>
      <c r="E56" s="8">
        <f>E82*E18</f>
        <v>47058.0654211785</v>
      </c>
      <c r="G56" s="11"/>
      <c r="H56" s="8">
        <f t="shared" ref="H56:Q56" si="17">H82*H18</f>
        <v>25008.592844026789</v>
      </c>
      <c r="I56" s="8">
        <f t="shared" si="17"/>
        <v>12801.103872379717</v>
      </c>
      <c r="J56" s="8">
        <f t="shared" si="17"/>
        <v>7281.3028608950153</v>
      </c>
      <c r="K56" s="8">
        <f t="shared" si="17"/>
        <v>0</v>
      </c>
      <c r="L56" s="8">
        <f t="shared" si="17"/>
        <v>0</v>
      </c>
      <c r="M56" s="8">
        <f t="shared" si="17"/>
        <v>0</v>
      </c>
      <c r="N56" s="8">
        <f t="shared" si="17"/>
        <v>0</v>
      </c>
      <c r="O56" s="8">
        <f t="shared" si="17"/>
        <v>0</v>
      </c>
      <c r="P56" s="8">
        <f t="shared" si="17"/>
        <v>0</v>
      </c>
      <c r="Q56" s="8">
        <f t="shared" si="17"/>
        <v>0</v>
      </c>
    </row>
    <row r="57" spans="1:28" ht="15" x14ac:dyDescent="0.25">
      <c r="E57" s="8"/>
      <c r="H57" s="8"/>
      <c r="I57" s="8"/>
      <c r="J57" s="8"/>
      <c r="S57" s="43" t="s">
        <v>144</v>
      </c>
      <c r="T57" s="44">
        <f>$E$19</f>
        <v>0.25</v>
      </c>
      <c r="U57" s="45"/>
      <c r="V57" s="45"/>
      <c r="W57" s="45"/>
      <c r="X57" s="45"/>
      <c r="Y57" s="46"/>
      <c r="Z57" s="46"/>
      <c r="AA57" s="46"/>
      <c r="AB57" s="47"/>
    </row>
    <row r="58" spans="1:28" ht="15" x14ac:dyDescent="0.25">
      <c r="A58" s="28" t="s">
        <v>32</v>
      </c>
      <c r="E58" s="8">
        <f>E49-SUM(E52:E56)</f>
        <v>39232.354972654837</v>
      </c>
      <c r="H58" s="8">
        <f>H49-SUM(H52:H56)</f>
        <v>68175.284191506915</v>
      </c>
      <c r="I58" s="8">
        <f t="shared" ref="I58:Q58" si="18">I49-SUM(I52:I56)</f>
        <v>130796.81295231398</v>
      </c>
      <c r="J58" s="8">
        <f t="shared" si="18"/>
        <v>54346.584689451178</v>
      </c>
      <c r="K58" s="8">
        <f t="shared" si="18"/>
        <v>113995.23986400692</v>
      </c>
      <c r="L58" s="8">
        <f t="shared" si="18"/>
        <v>209343.25476493174</v>
      </c>
      <c r="M58" s="8">
        <f t="shared" si="18"/>
        <v>272046.95555551187</v>
      </c>
      <c r="N58" s="8">
        <f t="shared" si="18"/>
        <v>339374.31912446418</v>
      </c>
      <c r="O58" s="8">
        <f t="shared" si="18"/>
        <v>411604.9605405241</v>
      </c>
      <c r="P58" s="8">
        <f t="shared" si="18"/>
        <v>489022.76222319074</v>
      </c>
      <c r="Q58" s="8">
        <f t="shared" si="18"/>
        <v>512022.02178078739</v>
      </c>
      <c r="S58" s="15"/>
      <c r="T58" s="17"/>
      <c r="U58" s="17"/>
      <c r="V58" s="17"/>
      <c r="W58" s="17"/>
      <c r="X58" s="17"/>
      <c r="Y58" s="30"/>
      <c r="Z58" s="30"/>
      <c r="AA58" s="30"/>
      <c r="AB58" s="48"/>
    </row>
    <row r="59" spans="1:28" ht="15" x14ac:dyDescent="0.25">
      <c r="A59" s="28" t="s">
        <v>33</v>
      </c>
      <c r="E59" s="8">
        <f>IF(E58&lt;0, 0, E58*E19)</f>
        <v>9808.0887431637093</v>
      </c>
      <c r="H59" s="8">
        <f t="shared" ref="H59:Q59" si="19">IF(H58&lt;0, 0, H58*H19)</f>
        <v>17043.821047876729</v>
      </c>
      <c r="I59" s="8">
        <f t="shared" si="19"/>
        <v>32699.203238078495</v>
      </c>
      <c r="J59" s="8">
        <f t="shared" si="19"/>
        <v>13586.646172362794</v>
      </c>
      <c r="K59" s="8">
        <f t="shared" si="19"/>
        <v>28498.809966001729</v>
      </c>
      <c r="L59" s="8">
        <f t="shared" si="19"/>
        <v>52335.813691232936</v>
      </c>
      <c r="M59" s="8">
        <f t="shared" si="19"/>
        <v>68011.738888877968</v>
      </c>
      <c r="N59" s="8">
        <f t="shared" si="19"/>
        <v>84843.579781116045</v>
      </c>
      <c r="O59" s="8">
        <f t="shared" si="19"/>
        <v>102901.24013513103</v>
      </c>
      <c r="P59" s="8">
        <f t="shared" si="19"/>
        <v>122255.69055579769</v>
      </c>
      <c r="Q59" s="8">
        <f t="shared" si="19"/>
        <v>128005.50544519685</v>
      </c>
      <c r="S59" s="15" t="s">
        <v>145</v>
      </c>
      <c r="T59" s="49">
        <v>2.5000000000000001E-2</v>
      </c>
      <c r="U59" s="17"/>
      <c r="V59" s="17"/>
      <c r="W59" s="17"/>
      <c r="X59" s="17"/>
      <c r="Y59" s="30"/>
      <c r="Z59" s="30"/>
      <c r="AA59" s="30"/>
      <c r="AB59" s="48"/>
    </row>
    <row r="60" spans="1:28" ht="15" x14ac:dyDescent="0.25">
      <c r="A60" s="2" t="s">
        <v>34</v>
      </c>
      <c r="B60" s="2"/>
      <c r="C60" s="2"/>
      <c r="D60" s="2"/>
      <c r="E60" s="37">
        <f>E58-E59</f>
        <v>29424.266229491128</v>
      </c>
      <c r="F60" s="2"/>
      <c r="G60" s="2"/>
      <c r="H60" s="37">
        <f>H58-H59</f>
        <v>51131.463143630186</v>
      </c>
      <c r="I60" s="37">
        <f>I58-I59</f>
        <v>98097.609714235485</v>
      </c>
      <c r="J60" s="37">
        <f>J58-J59</f>
        <v>40759.938517088383</v>
      </c>
      <c r="K60" s="37">
        <f t="shared" ref="K60:Q60" si="20">K58-K59</f>
        <v>85496.429898005183</v>
      </c>
      <c r="L60" s="37">
        <f t="shared" si="20"/>
        <v>157007.44107369881</v>
      </c>
      <c r="M60" s="37">
        <f t="shared" si="20"/>
        <v>204035.2166666339</v>
      </c>
      <c r="N60" s="37">
        <f t="shared" si="20"/>
        <v>254530.73934334813</v>
      </c>
      <c r="O60" s="37">
        <f t="shared" si="20"/>
        <v>308703.72040539305</v>
      </c>
      <c r="P60" s="37">
        <f t="shared" si="20"/>
        <v>366767.07166739309</v>
      </c>
      <c r="Q60" s="37">
        <f t="shared" si="20"/>
        <v>384016.51633559051</v>
      </c>
      <c r="S60" s="15" t="s">
        <v>89</v>
      </c>
      <c r="T60" s="50">
        <v>0.11</v>
      </c>
      <c r="U60" s="17"/>
      <c r="V60" s="17"/>
      <c r="W60" s="17"/>
      <c r="X60" s="17"/>
      <c r="Y60" s="30"/>
      <c r="Z60" s="30"/>
      <c r="AA60" s="30"/>
      <c r="AB60" s="48"/>
    </row>
    <row r="61" spans="1:28" ht="15" x14ac:dyDescent="0.25">
      <c r="E61" s="8"/>
      <c r="H61" s="8"/>
      <c r="S61" s="15"/>
      <c r="T61" s="17"/>
      <c r="U61" s="17"/>
      <c r="V61" s="17"/>
      <c r="W61" s="17"/>
      <c r="X61" s="17"/>
      <c r="Y61" s="30"/>
      <c r="Z61" s="30"/>
      <c r="AA61" s="30"/>
      <c r="AB61" s="48"/>
    </row>
    <row r="62" spans="1:28" ht="15" x14ac:dyDescent="0.25">
      <c r="A62" s="2" t="s">
        <v>35</v>
      </c>
      <c r="E62" s="8"/>
      <c r="H62" s="8"/>
      <c r="S62" s="15" t="s">
        <v>146</v>
      </c>
      <c r="T62" s="51">
        <v>1.3</v>
      </c>
      <c r="U62" s="17"/>
      <c r="V62" s="17"/>
      <c r="W62" s="17"/>
      <c r="X62" s="17"/>
      <c r="Y62" s="30"/>
      <c r="Z62" s="30"/>
      <c r="AA62" s="30"/>
      <c r="AB62" s="48"/>
    </row>
    <row r="63" spans="1:28" ht="15" x14ac:dyDescent="0.25">
      <c r="A63" s="2" t="s">
        <v>36</v>
      </c>
      <c r="E63" s="8"/>
      <c r="H63" s="8"/>
      <c r="S63" s="15" t="s">
        <v>147</v>
      </c>
      <c r="T63" s="16">
        <f>SUM(T75:T76)</f>
        <v>0.32596608882282074</v>
      </c>
      <c r="U63" s="17"/>
      <c r="V63" s="17"/>
      <c r="W63" s="17"/>
      <c r="X63" s="17"/>
      <c r="Y63" s="30"/>
      <c r="Z63" s="30"/>
      <c r="AA63" s="30"/>
      <c r="AB63" s="48"/>
    </row>
    <row r="64" spans="1:28" ht="15" x14ac:dyDescent="0.25">
      <c r="B64" s="28" t="s">
        <v>37</v>
      </c>
      <c r="E64" s="8">
        <v>5000</v>
      </c>
      <c r="H64" s="8">
        <f>$E$64</f>
        <v>5000</v>
      </c>
      <c r="I64" s="8">
        <f t="shared" ref="I64:Q64" si="21">$E$64</f>
        <v>5000</v>
      </c>
      <c r="J64" s="8">
        <f t="shared" si="21"/>
        <v>5000</v>
      </c>
      <c r="K64" s="8">
        <f t="shared" si="21"/>
        <v>5000</v>
      </c>
      <c r="L64" s="8">
        <f t="shared" si="21"/>
        <v>5000</v>
      </c>
      <c r="M64" s="8">
        <f t="shared" si="21"/>
        <v>5000</v>
      </c>
      <c r="N64" s="8">
        <f t="shared" si="21"/>
        <v>5000</v>
      </c>
      <c r="O64" s="8">
        <f t="shared" si="21"/>
        <v>5000</v>
      </c>
      <c r="P64" s="8">
        <f t="shared" si="21"/>
        <v>5000</v>
      </c>
      <c r="Q64" s="8">
        <f t="shared" si="21"/>
        <v>5000</v>
      </c>
      <c r="S64" s="15" t="s">
        <v>148</v>
      </c>
      <c r="T64" s="16">
        <f>T78</f>
        <v>0.67403391117717926</v>
      </c>
      <c r="U64" s="16">
        <f>T63+T64</f>
        <v>1</v>
      </c>
      <c r="V64" s="17"/>
      <c r="W64" s="17"/>
      <c r="X64" s="17"/>
      <c r="Y64" s="30"/>
      <c r="Z64" s="30"/>
      <c r="AA64" s="30"/>
      <c r="AB64" s="48"/>
    </row>
    <row r="65" spans="1:28" ht="15" x14ac:dyDescent="0.25">
      <c r="B65" s="28" t="s">
        <v>38</v>
      </c>
      <c r="E65" s="8">
        <v>199333</v>
      </c>
      <c r="H65" s="8"/>
      <c r="J65" s="24"/>
      <c r="K65" s="24">
        <v>34689.991404614397</v>
      </c>
      <c r="L65" s="24">
        <v>72142.284646948596</v>
      </c>
      <c r="M65" s="24">
        <v>306370.43730466597</v>
      </c>
      <c r="N65" s="24">
        <v>590957.13911493495</v>
      </c>
      <c r="O65" s="24">
        <v>929597.49281860702</v>
      </c>
      <c r="P65" s="24">
        <v>1326197.8149347799</v>
      </c>
      <c r="Q65" s="24">
        <v>1736592.33427421</v>
      </c>
      <c r="S65" s="15" t="s">
        <v>149</v>
      </c>
      <c r="T65" s="52">
        <v>0.2</v>
      </c>
      <c r="U65" s="17"/>
      <c r="V65" s="17"/>
      <c r="W65" s="17"/>
      <c r="X65" s="17"/>
      <c r="Y65" s="30"/>
      <c r="Z65" s="30"/>
      <c r="AA65" s="30"/>
      <c r="AB65" s="48"/>
    </row>
    <row r="66" spans="1:28" ht="15" x14ac:dyDescent="0.25">
      <c r="B66" s="28" t="s">
        <v>39</v>
      </c>
      <c r="E66" s="8">
        <f>SUM(E31:E32)/365*E11</f>
        <v>9941.9178082191793</v>
      </c>
      <c r="H66" s="8">
        <f t="shared" ref="H66:Q66" si="22">SUM(H31:H32)/365*H11</f>
        <v>10343.571287671235</v>
      </c>
      <c r="I66" s="8">
        <f t="shared" si="22"/>
        <v>13451.814459616442</v>
      </c>
      <c r="J66" s="8">
        <f t="shared" si="22"/>
        <v>8397.1606582709683</v>
      </c>
      <c r="K66" s="8">
        <f t="shared" si="22"/>
        <v>11648.541265153484</v>
      </c>
      <c r="L66" s="8">
        <f t="shared" si="22"/>
        <v>18178.713498398527</v>
      </c>
      <c r="M66" s="8">
        <f t="shared" si="22"/>
        <v>22065.322444356134</v>
      </c>
      <c r="N66" s="8">
        <f t="shared" si="22"/>
        <v>26236.298824123562</v>
      </c>
      <c r="O66" s="8">
        <f t="shared" si="22"/>
        <v>30708.275958695427</v>
      </c>
      <c r="P66" s="8">
        <f t="shared" si="22"/>
        <v>35498.767008251911</v>
      </c>
      <c r="Q66" s="8">
        <f t="shared" si="22"/>
        <v>36932.917195385286</v>
      </c>
      <c r="S66" s="15"/>
      <c r="T66" s="17"/>
      <c r="U66" s="17"/>
      <c r="V66" s="17"/>
      <c r="W66" s="17"/>
      <c r="X66" s="17"/>
      <c r="Y66" s="30"/>
      <c r="Z66" s="30"/>
      <c r="AA66" s="30"/>
      <c r="AB66" s="48"/>
    </row>
    <row r="67" spans="1:28" ht="15" x14ac:dyDescent="0.25">
      <c r="B67" s="28" t="s">
        <v>40</v>
      </c>
      <c r="E67" s="8">
        <f>E36/365*E13</f>
        <v>20475.616438356166</v>
      </c>
      <c r="H67" s="10">
        <f t="shared" ref="H67:Q67" si="23">IF(H36/365*H13&lt;0,0,H36/365*H13)</f>
        <v>21336.30246575343</v>
      </c>
      <c r="I67" s="10">
        <f t="shared" si="23"/>
        <v>27980.25368547946</v>
      </c>
      <c r="J67" s="10">
        <f t="shared" si="23"/>
        <v>17131.951422322327</v>
      </c>
      <c r="K67" s="10">
        <f t="shared" si="23"/>
        <v>24081.956294448268</v>
      </c>
      <c r="L67" s="10">
        <f t="shared" si="23"/>
        <v>38057.598437355737</v>
      </c>
      <c r="M67" s="10">
        <f t="shared" si="23"/>
        <v>46368.110426080661</v>
      </c>
      <c r="N67" s="10">
        <f t="shared" si="23"/>
        <v>55287.622486488632</v>
      </c>
      <c r="O67" s="10">
        <f t="shared" si="23"/>
        <v>64851.770274981391</v>
      </c>
      <c r="P67" s="10">
        <f t="shared" si="23"/>
        <v>75098.074674157964</v>
      </c>
      <c r="Q67" s="10">
        <f t="shared" si="23"/>
        <v>78151.839411144727</v>
      </c>
      <c r="S67" s="15" t="s">
        <v>150</v>
      </c>
      <c r="T67" s="53">
        <f>SUM(Y75:Y76)</f>
        <v>0.79999999999999993</v>
      </c>
      <c r="U67" s="17"/>
      <c r="V67" s="17"/>
      <c r="W67" s="17"/>
      <c r="X67" s="17"/>
      <c r="Y67" s="30"/>
      <c r="Z67" s="30"/>
      <c r="AA67" s="30"/>
      <c r="AB67" s="48"/>
    </row>
    <row r="68" spans="1:28" ht="15" x14ac:dyDescent="0.25">
      <c r="E68" s="8"/>
      <c r="H68" s="8"/>
      <c r="I68" s="8"/>
      <c r="S68" s="15" t="s">
        <v>151</v>
      </c>
      <c r="T68" s="53">
        <f>Y78</f>
        <v>0.2</v>
      </c>
      <c r="U68" s="16">
        <f>T67+T68</f>
        <v>1</v>
      </c>
      <c r="V68" s="17"/>
      <c r="W68" s="17"/>
      <c r="X68" s="17"/>
      <c r="Y68" s="30"/>
      <c r="Z68" s="30"/>
      <c r="AA68" s="30"/>
      <c r="AB68" s="48"/>
    </row>
    <row r="69" spans="1:28" ht="15" x14ac:dyDescent="0.25">
      <c r="B69" s="28" t="s">
        <v>41</v>
      </c>
      <c r="E69" s="8">
        <v>500000</v>
      </c>
      <c r="H69" s="8">
        <f>E69</f>
        <v>500000</v>
      </c>
      <c r="I69" s="8">
        <f>H69</f>
        <v>500000</v>
      </c>
      <c r="J69" s="8">
        <f t="shared" ref="J69:Q69" si="24">I69</f>
        <v>500000</v>
      </c>
      <c r="K69" s="8">
        <f t="shared" si="24"/>
        <v>500000</v>
      </c>
      <c r="L69" s="8">
        <f>K69+200000</f>
        <v>700000</v>
      </c>
      <c r="M69" s="8">
        <f t="shared" si="24"/>
        <v>700000</v>
      </c>
      <c r="N69" s="8">
        <f t="shared" si="24"/>
        <v>700000</v>
      </c>
      <c r="O69" s="8">
        <f t="shared" si="24"/>
        <v>700000</v>
      </c>
      <c r="P69" s="8">
        <f t="shared" si="24"/>
        <v>700000</v>
      </c>
      <c r="Q69" s="8">
        <f t="shared" si="24"/>
        <v>700000</v>
      </c>
      <c r="S69" s="15" t="s">
        <v>152</v>
      </c>
      <c r="T69" s="54">
        <f>T65*(1+(1-T57)*(T67/T68))</f>
        <v>0.79999999999999993</v>
      </c>
      <c r="U69" s="17"/>
      <c r="V69" s="17"/>
      <c r="W69" s="17"/>
      <c r="X69" s="17"/>
      <c r="Y69" s="30"/>
      <c r="Z69" s="30"/>
      <c r="AA69" s="30"/>
      <c r="AB69" s="48"/>
    </row>
    <row r="70" spans="1:28" ht="15" x14ac:dyDescent="0.25">
      <c r="B70" s="28" t="s">
        <v>28</v>
      </c>
      <c r="E70" s="8">
        <v>212500</v>
      </c>
      <c r="H70" s="8">
        <f>E70</f>
        <v>212500</v>
      </c>
      <c r="I70" s="8">
        <f>H70</f>
        <v>212500</v>
      </c>
      <c r="J70" s="8">
        <f t="shared" ref="J70:Q70" si="25">I70</f>
        <v>212500</v>
      </c>
      <c r="K70" s="8">
        <f t="shared" si="25"/>
        <v>212500</v>
      </c>
      <c r="L70" s="8">
        <f>K70+100000</f>
        <v>312500</v>
      </c>
      <c r="M70" s="8">
        <f t="shared" si="25"/>
        <v>312500</v>
      </c>
      <c r="N70" s="8">
        <f t="shared" si="25"/>
        <v>312500</v>
      </c>
      <c r="O70" s="8">
        <f t="shared" si="25"/>
        <v>312500</v>
      </c>
      <c r="P70" s="8">
        <f t="shared" si="25"/>
        <v>312500</v>
      </c>
      <c r="Q70" s="8">
        <f t="shared" si="25"/>
        <v>312500</v>
      </c>
      <c r="S70" s="15"/>
      <c r="T70" s="17"/>
      <c r="U70" s="17"/>
      <c r="V70" s="17"/>
      <c r="W70" s="17"/>
      <c r="X70" s="17"/>
      <c r="Y70" s="30"/>
      <c r="Z70" s="30"/>
      <c r="AA70" s="30"/>
      <c r="AB70" s="48"/>
    </row>
    <row r="71" spans="1:28" ht="15" x14ac:dyDescent="0.25">
      <c r="B71" s="28" t="s">
        <v>42</v>
      </c>
      <c r="E71" s="8">
        <f>D71+E52</f>
        <v>10625</v>
      </c>
      <c r="H71" s="8">
        <f t="shared" ref="H71:Q71" si="26">G71+H52</f>
        <v>10625</v>
      </c>
      <c r="I71" s="8">
        <f t="shared" si="26"/>
        <v>21250</v>
      </c>
      <c r="J71" s="8">
        <f t="shared" si="26"/>
        <v>31875</v>
      </c>
      <c r="K71" s="8">
        <f t="shared" si="26"/>
        <v>42500</v>
      </c>
      <c r="L71" s="8">
        <f t="shared" si="26"/>
        <v>58125</v>
      </c>
      <c r="M71" s="8">
        <f t="shared" si="26"/>
        <v>73750</v>
      </c>
      <c r="N71" s="8">
        <f t="shared" si="26"/>
        <v>89375</v>
      </c>
      <c r="O71" s="8">
        <f t="shared" si="26"/>
        <v>105000</v>
      </c>
      <c r="P71" s="8">
        <f t="shared" si="26"/>
        <v>120625</v>
      </c>
      <c r="Q71" s="8">
        <f t="shared" si="26"/>
        <v>136250</v>
      </c>
      <c r="R71" s="8"/>
      <c r="S71" s="15" t="s">
        <v>153</v>
      </c>
      <c r="T71" s="55">
        <f>T59+T62*(T60-T59)</f>
        <v>0.13549999999999998</v>
      </c>
      <c r="U71" s="17"/>
      <c r="V71" s="17"/>
      <c r="W71" s="17"/>
      <c r="X71" s="17"/>
      <c r="Y71" s="30"/>
      <c r="Z71" s="30"/>
      <c r="AA71" s="30"/>
      <c r="AB71" s="48"/>
    </row>
    <row r="72" spans="1:28" ht="15" x14ac:dyDescent="0.25">
      <c r="B72" s="28" t="s">
        <v>29</v>
      </c>
      <c r="E72" s="8">
        <v>412500</v>
      </c>
      <c r="H72" s="8">
        <f>E72</f>
        <v>412500</v>
      </c>
      <c r="I72" s="8">
        <f>H72</f>
        <v>412500</v>
      </c>
      <c r="J72" s="8">
        <f>I72</f>
        <v>412500</v>
      </c>
      <c r="K72" s="8">
        <f t="shared" ref="K72:Q72" si="27">J72</f>
        <v>412500</v>
      </c>
      <c r="L72" s="8">
        <f>K72+150000</f>
        <v>562500</v>
      </c>
      <c r="M72" s="8">
        <f t="shared" si="27"/>
        <v>562500</v>
      </c>
      <c r="N72" s="8">
        <f t="shared" si="27"/>
        <v>562500</v>
      </c>
      <c r="O72" s="8">
        <f t="shared" si="27"/>
        <v>562500</v>
      </c>
      <c r="P72" s="8">
        <f t="shared" si="27"/>
        <v>562500</v>
      </c>
      <c r="Q72" s="8">
        <f t="shared" si="27"/>
        <v>562500</v>
      </c>
      <c r="S72" s="15" t="s">
        <v>154</v>
      </c>
      <c r="T72" s="55">
        <v>0.14000000000000001</v>
      </c>
      <c r="U72" s="17"/>
      <c r="V72" s="17"/>
      <c r="W72" s="17"/>
      <c r="X72" s="17"/>
      <c r="Y72" s="30"/>
      <c r="Z72" s="30"/>
      <c r="AA72" s="30"/>
      <c r="AB72" s="48"/>
    </row>
    <row r="73" spans="1:28" ht="15" x14ac:dyDescent="0.25">
      <c r="B73" s="28" t="s">
        <v>42</v>
      </c>
      <c r="E73" s="8">
        <f>D73+E53</f>
        <v>14347.826086956522</v>
      </c>
      <c r="H73" s="8">
        <f>G73+H53</f>
        <v>14347.826086956522</v>
      </c>
      <c r="I73" s="8">
        <f t="shared" ref="I73:Q73" si="28">H73+I53</f>
        <v>28695.652173913044</v>
      </c>
      <c r="J73" s="8">
        <f t="shared" si="28"/>
        <v>43043.478260869568</v>
      </c>
      <c r="K73" s="8">
        <f t="shared" si="28"/>
        <v>57391.304347826088</v>
      </c>
      <c r="L73" s="8">
        <f t="shared" si="28"/>
        <v>76956.521739130432</v>
      </c>
      <c r="M73" s="8">
        <f t="shared" si="28"/>
        <v>96521.739130434784</v>
      </c>
      <c r="N73" s="8">
        <f t="shared" si="28"/>
        <v>116086.95652173914</v>
      </c>
      <c r="O73" s="8">
        <f t="shared" si="28"/>
        <v>135652.17391304349</v>
      </c>
      <c r="P73" s="8">
        <f t="shared" si="28"/>
        <v>155217.39130434784</v>
      </c>
      <c r="Q73" s="8">
        <f t="shared" si="28"/>
        <v>174782.60869565219</v>
      </c>
      <c r="S73" s="15"/>
      <c r="T73" s="17"/>
      <c r="U73" s="17"/>
      <c r="V73" s="17"/>
      <c r="W73" s="17"/>
      <c r="X73" s="17"/>
      <c r="Y73" s="30"/>
      <c r="Z73" s="30"/>
      <c r="AA73" s="30"/>
      <c r="AB73" s="48"/>
    </row>
    <row r="74" spans="1:28" ht="15" x14ac:dyDescent="0.25">
      <c r="E74" s="8"/>
      <c r="H74" s="8"/>
      <c r="I74" s="8"/>
      <c r="J74" s="8"/>
      <c r="S74" s="15" t="s">
        <v>155</v>
      </c>
      <c r="T74" s="17" t="s">
        <v>156</v>
      </c>
      <c r="U74" s="17" t="s">
        <v>75</v>
      </c>
      <c r="V74" s="17" t="s">
        <v>157</v>
      </c>
      <c r="W74" s="17" t="s">
        <v>88</v>
      </c>
      <c r="X74" s="17"/>
      <c r="Y74" s="30" t="s">
        <v>158</v>
      </c>
      <c r="Z74" s="30" t="s">
        <v>159</v>
      </c>
      <c r="AA74" s="30" t="s">
        <v>157</v>
      </c>
      <c r="AB74" s="48" t="s">
        <v>88</v>
      </c>
    </row>
    <row r="75" spans="1:28" ht="15" x14ac:dyDescent="0.25">
      <c r="A75" s="2" t="s">
        <v>43</v>
      </c>
      <c r="E75" s="8">
        <f>SUM(E64:E67)+E69+E70+E72-E71-E73</f>
        <v>1334777.7081596188</v>
      </c>
      <c r="H75" s="8">
        <f t="shared" ref="H75:Q75" si="29">SUM(H64:H67)+H69+H70+H72-H71-H73</f>
        <v>1136707.0476664682</v>
      </c>
      <c r="I75" s="8">
        <f t="shared" si="29"/>
        <v>1121486.4159711828</v>
      </c>
      <c r="J75" s="8">
        <f t="shared" si="29"/>
        <v>1080610.6338197235</v>
      </c>
      <c r="K75" s="8">
        <f t="shared" si="29"/>
        <v>1100529.1846163899</v>
      </c>
      <c r="L75" s="8">
        <f t="shared" si="29"/>
        <v>1573297.0748435725</v>
      </c>
      <c r="M75" s="8">
        <f t="shared" si="29"/>
        <v>1784532.1310446679</v>
      </c>
      <c r="N75" s="8">
        <f t="shared" si="29"/>
        <v>2047019.1039038077</v>
      </c>
      <c r="O75" s="8">
        <f t="shared" si="29"/>
        <v>2364505.3651392404</v>
      </c>
      <c r="P75" s="8">
        <f t="shared" si="29"/>
        <v>2740952.2653128421</v>
      </c>
      <c r="Q75" s="33">
        <f t="shared" si="29"/>
        <v>3120644.4821850876</v>
      </c>
      <c r="S75" s="56">
        <f>AVERAGE(H81:Q81)</f>
        <v>451434.28236855706</v>
      </c>
      <c r="T75" s="55">
        <f>S75/S80</f>
        <v>0.24454556917990694</v>
      </c>
      <c r="U75" s="57">
        <v>0.05</v>
      </c>
      <c r="V75" s="55">
        <f>U75*(1-$Q$19)</f>
        <v>3.7500000000000006E-2</v>
      </c>
      <c r="W75" s="16">
        <f>T75*V75</f>
        <v>9.1704588442465124E-3</v>
      </c>
      <c r="X75" s="17"/>
      <c r="Y75" s="58">
        <v>0.7</v>
      </c>
      <c r="Z75" s="59">
        <v>0.06</v>
      </c>
      <c r="AA75" s="55">
        <f>Z75*(1-$T$57)</f>
        <v>4.4999999999999998E-2</v>
      </c>
      <c r="AB75" s="60">
        <f>Y75*AA75</f>
        <v>3.15E-2</v>
      </c>
    </row>
    <row r="76" spans="1:28" ht="15" x14ac:dyDescent="0.25">
      <c r="E76" s="8"/>
      <c r="H76" s="8"/>
      <c r="I76" s="8"/>
      <c r="J76" s="8"/>
      <c r="S76" s="56">
        <f>AVERAGE(H82:Q82)</f>
        <v>150303.33192433839</v>
      </c>
      <c r="T76" s="55">
        <f>S76/S80</f>
        <v>8.142051964291383E-2</v>
      </c>
      <c r="U76" s="57">
        <v>0.1</v>
      </c>
      <c r="V76" s="55">
        <f>U76*(1-$Q$19)</f>
        <v>7.5000000000000011E-2</v>
      </c>
      <c r="W76" s="16">
        <f>T76*V76</f>
        <v>6.1065389732185378E-3</v>
      </c>
      <c r="X76" s="17"/>
      <c r="Y76" s="58">
        <v>0.1</v>
      </c>
      <c r="Z76" s="59">
        <v>0.12</v>
      </c>
      <c r="AA76" s="55">
        <f>Z76*(1-$T$57)</f>
        <v>0.09</v>
      </c>
      <c r="AB76" s="60">
        <f>Y76*AA76</f>
        <v>8.9999999999999993E-3</v>
      </c>
    </row>
    <row r="77" spans="1:28" ht="15" x14ac:dyDescent="0.25">
      <c r="A77" s="2" t="s">
        <v>44</v>
      </c>
      <c r="E77" s="8"/>
      <c r="H77" s="8"/>
      <c r="I77" s="8"/>
      <c r="J77" s="8"/>
      <c r="S77" s="15"/>
      <c r="T77" s="55"/>
      <c r="U77" s="17"/>
      <c r="V77" s="17"/>
      <c r="W77" s="17"/>
      <c r="X77" s="17"/>
      <c r="Y77" s="61"/>
      <c r="Z77" s="30"/>
      <c r="AA77" s="30"/>
      <c r="AB77" s="48"/>
    </row>
    <row r="78" spans="1:28" ht="15" x14ac:dyDescent="0.25">
      <c r="B78" s="28" t="s">
        <v>45</v>
      </c>
      <c r="E78" s="8">
        <f>E34/365*E12</f>
        <v>1104.6575342465753</v>
      </c>
      <c r="H78" s="8">
        <f t="shared" ref="H78:Q78" si="30">H34/365*H12</f>
        <v>1104.6575342465753</v>
      </c>
      <c r="I78" s="8">
        <f t="shared" si="30"/>
        <v>1126.7506849315068</v>
      </c>
      <c r="J78" s="8">
        <f t="shared" si="30"/>
        <v>1149.2856986301369</v>
      </c>
      <c r="K78" s="8">
        <f t="shared" si="30"/>
        <v>1172.2714126027399</v>
      </c>
      <c r="L78" s="8">
        <f t="shared" si="30"/>
        <v>1195.7168408547948</v>
      </c>
      <c r="M78" s="8">
        <f t="shared" si="30"/>
        <v>1219.6311776718906</v>
      </c>
      <c r="N78" s="8">
        <f t="shared" si="30"/>
        <v>1244.0238012253285</v>
      </c>
      <c r="O78" s="8">
        <f t="shared" si="30"/>
        <v>1268.9042772498349</v>
      </c>
      <c r="P78" s="8">
        <f t="shared" si="30"/>
        <v>1294.2823627948317</v>
      </c>
      <c r="Q78" s="8">
        <f t="shared" si="30"/>
        <v>1320.1680100507283</v>
      </c>
      <c r="S78" s="56">
        <f>AVERAGE(H84:Q84)</f>
        <v>510000</v>
      </c>
      <c r="T78" s="55">
        <f>(S78+S79)/S80</f>
        <v>0.67403391117717926</v>
      </c>
      <c r="U78" s="55">
        <f>T71</f>
        <v>0.13549999999999998</v>
      </c>
      <c r="V78" s="16">
        <f>U78</f>
        <v>0.13549999999999998</v>
      </c>
      <c r="W78" s="55">
        <f>T78*V78</f>
        <v>9.1331594964507781E-2</v>
      </c>
      <c r="X78" s="17"/>
      <c r="Y78" s="58">
        <v>0.2</v>
      </c>
      <c r="Z78" s="55">
        <f>T72</f>
        <v>0.14000000000000001</v>
      </c>
      <c r="AA78" s="55">
        <f>Z78</f>
        <v>0.14000000000000001</v>
      </c>
      <c r="AB78" s="62">
        <f>Y78*AA78</f>
        <v>2.8000000000000004E-2</v>
      </c>
    </row>
    <row r="79" spans="1:28" ht="15" x14ac:dyDescent="0.25">
      <c r="B79" s="28" t="s">
        <v>46</v>
      </c>
      <c r="E79" s="8">
        <f>E59</f>
        <v>9808.0887431637093</v>
      </c>
      <c r="H79" s="8">
        <f t="shared" ref="H79:Q79" si="31">H59</f>
        <v>17043.821047876729</v>
      </c>
      <c r="I79" s="8">
        <f t="shared" si="31"/>
        <v>32699.203238078495</v>
      </c>
      <c r="J79" s="8">
        <f t="shared" si="31"/>
        <v>13586.646172362794</v>
      </c>
      <c r="K79" s="8">
        <f t="shared" si="31"/>
        <v>28498.809966001729</v>
      </c>
      <c r="L79" s="8">
        <f t="shared" si="31"/>
        <v>52335.813691232936</v>
      </c>
      <c r="M79" s="8">
        <f t="shared" si="31"/>
        <v>68011.738888877968</v>
      </c>
      <c r="N79" s="8">
        <f t="shared" si="31"/>
        <v>84843.579781116045</v>
      </c>
      <c r="O79" s="8">
        <f t="shared" si="31"/>
        <v>102901.24013513103</v>
      </c>
      <c r="P79" s="8">
        <f t="shared" si="31"/>
        <v>122255.69055579769</v>
      </c>
      <c r="Q79" s="8">
        <f t="shared" si="31"/>
        <v>128005.50544519685</v>
      </c>
      <c r="S79" s="56">
        <f>AVERAGE(H85:Q85)</f>
        <v>734275.31443224766</v>
      </c>
      <c r="T79" s="55"/>
      <c r="U79" s="17"/>
      <c r="V79" s="17"/>
      <c r="W79" s="17"/>
      <c r="X79" s="17"/>
      <c r="Y79" s="30"/>
      <c r="Z79" s="30"/>
      <c r="AA79" s="30"/>
      <c r="AB79" s="48"/>
    </row>
    <row r="80" spans="1:28" ht="15" x14ac:dyDescent="0.25">
      <c r="S80" s="63">
        <f>SUM(S75:S79)</f>
        <v>1846012.928725143</v>
      </c>
      <c r="T80" s="64">
        <f>SUM(T75:T78)</f>
        <v>1</v>
      </c>
      <c r="U80" s="6"/>
      <c r="V80" s="65" t="s">
        <v>90</v>
      </c>
      <c r="W80" s="66">
        <f>SUM(W75:W79)</f>
        <v>0.10660859278197284</v>
      </c>
      <c r="X80" s="6"/>
      <c r="Y80" s="67">
        <f>SUM(Y75:Y78)</f>
        <v>1</v>
      </c>
      <c r="Z80" s="68"/>
      <c r="AA80" s="69" t="s">
        <v>90</v>
      </c>
      <c r="AB80" s="70">
        <f>SUM(AB75:AB79)</f>
        <v>6.8500000000000005E-2</v>
      </c>
    </row>
    <row r="81" spans="1:34" s="6" customFormat="1" x14ac:dyDescent="0.2">
      <c r="A81" s="28" t="s">
        <v>47</v>
      </c>
      <c r="B81" s="28"/>
      <c r="C81" s="28"/>
      <c r="D81" s="28"/>
      <c r="E81" s="8">
        <f>Mortgage!F14</f>
        <v>493859.94143861637</v>
      </c>
      <c r="F81" s="28"/>
      <c r="G81" s="14"/>
      <c r="H81" s="8">
        <f>Mortgage!F28</f>
        <v>487341.17750044685</v>
      </c>
      <c r="I81" s="14">
        <f>Mortgage!F42</f>
        <v>480420.35046650976</v>
      </c>
      <c r="J81" s="14">
        <f>Mortgage!F56</f>
        <v>473072.66196482664</v>
      </c>
      <c r="K81" s="14">
        <f>J81-7700</f>
        <v>465372.66196482664</v>
      </c>
      <c r="L81" s="14">
        <f>K81-8100</f>
        <v>457272.66196482664</v>
      </c>
      <c r="M81" s="14">
        <f>L81-8500</f>
        <v>448772.66196482664</v>
      </c>
      <c r="N81" s="14">
        <f>M81-8900</f>
        <v>439872.66196482664</v>
      </c>
      <c r="O81" s="14">
        <f>N81-9300</f>
        <v>430572.66196482664</v>
      </c>
      <c r="P81" s="14">
        <f>O81-9700</f>
        <v>420872.66196482664</v>
      </c>
      <c r="Q81" s="34">
        <f>P81-10100</f>
        <v>410772.66196482664</v>
      </c>
      <c r="R81" s="28"/>
      <c r="S81" s="27"/>
      <c r="T81" s="24"/>
      <c r="U81" s="24"/>
      <c r="V81" s="25"/>
      <c r="W81" s="4"/>
      <c r="X81" s="14"/>
      <c r="Y81" s="24"/>
      <c r="Z81" s="28"/>
      <c r="AA81" s="28"/>
      <c r="AB81" s="28"/>
      <c r="AC81" s="28"/>
      <c r="AD81" s="28"/>
      <c r="AE81" s="28"/>
      <c r="AF81" s="28"/>
      <c r="AG81" s="28"/>
      <c r="AH81" s="28"/>
    </row>
    <row r="82" spans="1:34" x14ac:dyDescent="0.2">
      <c r="A82" s="28" t="s">
        <v>48</v>
      </c>
      <c r="E82" s="8">
        <v>470580.65421178495</v>
      </c>
      <c r="G82" s="14"/>
      <c r="H82" s="23">
        <v>250085.92844026789</v>
      </c>
      <c r="I82" s="22">
        <v>128011.03872379716</v>
      </c>
      <c r="J82" s="22">
        <v>72813.028608950146</v>
      </c>
      <c r="K82" s="22"/>
      <c r="L82" s="22"/>
      <c r="M82" s="22"/>
      <c r="N82" s="22"/>
      <c r="O82" s="22"/>
      <c r="P82" s="22"/>
      <c r="Q82" s="35"/>
      <c r="S82" s="25"/>
      <c r="T82" s="32"/>
      <c r="U82" s="32"/>
      <c r="V82" s="25"/>
      <c r="W82" s="14"/>
      <c r="X82" s="14"/>
      <c r="Y82" s="24"/>
    </row>
    <row r="83" spans="1:34" x14ac:dyDescent="0.2">
      <c r="E83" s="8"/>
      <c r="H83" s="8"/>
      <c r="S83" s="25"/>
      <c r="U83" s="14"/>
    </row>
    <row r="84" spans="1:34" x14ac:dyDescent="0.2">
      <c r="A84" s="28" t="s">
        <v>49</v>
      </c>
      <c r="E84" s="8">
        <v>330000</v>
      </c>
      <c r="H84" s="8">
        <v>330000</v>
      </c>
      <c r="I84" s="11">
        <f>H84</f>
        <v>330000</v>
      </c>
      <c r="J84" s="11">
        <f>I84</f>
        <v>330000</v>
      </c>
      <c r="K84" s="11">
        <f t="shared" ref="K84:Q84" si="32">J84</f>
        <v>330000</v>
      </c>
      <c r="L84" s="11">
        <f>K84+300000</f>
        <v>630000</v>
      </c>
      <c r="M84" s="11">
        <f t="shared" si="32"/>
        <v>630000</v>
      </c>
      <c r="N84" s="11">
        <f t="shared" si="32"/>
        <v>630000</v>
      </c>
      <c r="O84" s="11">
        <f t="shared" si="32"/>
        <v>630000</v>
      </c>
      <c r="P84" s="11">
        <f t="shared" si="32"/>
        <v>630000</v>
      </c>
      <c r="Q84" s="11">
        <f t="shared" si="32"/>
        <v>630000</v>
      </c>
    </row>
    <row r="85" spans="1:34" x14ac:dyDescent="0.2">
      <c r="A85" s="28" t="s">
        <v>50</v>
      </c>
      <c r="E85" s="8">
        <f>D85+E60</f>
        <v>29424.266229491128</v>
      </c>
      <c r="H85" s="8">
        <f t="shared" ref="H85:Q85" si="33">G85+H60</f>
        <v>51131.463143630186</v>
      </c>
      <c r="I85" s="8">
        <f t="shared" si="33"/>
        <v>149229.07285786566</v>
      </c>
      <c r="J85" s="8">
        <f t="shared" si="33"/>
        <v>189989.01137495405</v>
      </c>
      <c r="K85" s="8">
        <f t="shared" si="33"/>
        <v>275485.44127295923</v>
      </c>
      <c r="L85" s="8">
        <f t="shared" si="33"/>
        <v>432492.88234665804</v>
      </c>
      <c r="M85" s="8">
        <f t="shared" si="33"/>
        <v>636528.099013292</v>
      </c>
      <c r="N85" s="8">
        <f t="shared" si="33"/>
        <v>891058.83835664019</v>
      </c>
      <c r="O85" s="8">
        <f t="shared" si="33"/>
        <v>1199762.5587620332</v>
      </c>
      <c r="P85" s="8">
        <f t="shared" si="33"/>
        <v>1566529.6304294262</v>
      </c>
      <c r="Q85" s="8">
        <f t="shared" si="33"/>
        <v>1950546.1467650167</v>
      </c>
    </row>
    <row r="86" spans="1:34" x14ac:dyDescent="0.2">
      <c r="E86" s="8"/>
      <c r="H86" s="8"/>
    </row>
    <row r="87" spans="1:34" x14ac:dyDescent="0.2">
      <c r="A87" s="2" t="s">
        <v>51</v>
      </c>
      <c r="E87" s="8">
        <f>SUM(E78:E85)</f>
        <v>1334777.6081573027</v>
      </c>
      <c r="H87" s="8">
        <f t="shared" ref="H87:Q87" si="34">SUM(H78:H85)</f>
        <v>1136707.0476664682</v>
      </c>
      <c r="I87" s="8">
        <f t="shared" si="34"/>
        <v>1121486.4159711825</v>
      </c>
      <c r="J87" s="8">
        <f t="shared" si="34"/>
        <v>1080610.6338197237</v>
      </c>
      <c r="K87" s="8">
        <f t="shared" si="34"/>
        <v>1100529.1846163902</v>
      </c>
      <c r="L87" s="8">
        <f t="shared" si="34"/>
        <v>1573297.0748435725</v>
      </c>
      <c r="M87" s="8">
        <f t="shared" si="34"/>
        <v>1784532.1310446684</v>
      </c>
      <c r="N87" s="8">
        <f t="shared" si="34"/>
        <v>2047019.1039038082</v>
      </c>
      <c r="O87" s="8">
        <f t="shared" si="34"/>
        <v>2364505.3651392404</v>
      </c>
      <c r="P87" s="8">
        <f t="shared" si="34"/>
        <v>2740952.2653128454</v>
      </c>
      <c r="Q87" s="8">
        <f t="shared" si="34"/>
        <v>3120644.4821850909</v>
      </c>
    </row>
    <row r="88" spans="1:34" x14ac:dyDescent="0.2">
      <c r="E88" s="8"/>
      <c r="H88" s="8"/>
    </row>
    <row r="89" spans="1:34" x14ac:dyDescent="0.2">
      <c r="A89" s="28" t="s">
        <v>52</v>
      </c>
      <c r="E89" s="8">
        <f>E75-E87</f>
        <v>0.10000231605954468</v>
      </c>
      <c r="H89" s="8">
        <f t="shared" ref="H89:Q89" si="35">H75-H87</f>
        <v>0</v>
      </c>
      <c r="I89" s="8">
        <f t="shared" si="35"/>
        <v>0</v>
      </c>
      <c r="J89" s="8">
        <f t="shared" si="35"/>
        <v>0</v>
      </c>
      <c r="K89" s="8">
        <f t="shared" si="35"/>
        <v>0</v>
      </c>
      <c r="L89" s="8">
        <f t="shared" si="35"/>
        <v>0</v>
      </c>
      <c r="M89" s="8">
        <f t="shared" si="35"/>
        <v>0</v>
      </c>
      <c r="N89" s="8">
        <f t="shared" si="35"/>
        <v>0</v>
      </c>
      <c r="O89" s="8">
        <f t="shared" si="35"/>
        <v>0</v>
      </c>
      <c r="P89" s="8">
        <f t="shared" si="35"/>
        <v>0</v>
      </c>
      <c r="Q89" s="8">
        <f t="shared" si="35"/>
        <v>0</v>
      </c>
    </row>
    <row r="90" spans="1:34" x14ac:dyDescent="0.2">
      <c r="A90" s="6"/>
      <c r="B90" s="6"/>
      <c r="C90" s="6"/>
      <c r="D90" s="6"/>
      <c r="E90" s="7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</row>
    <row r="91" spans="1:34" x14ac:dyDescent="0.2">
      <c r="A91" s="2" t="s">
        <v>53</v>
      </c>
      <c r="S91" s="45"/>
      <c r="T91" s="45"/>
      <c r="U91" s="45"/>
      <c r="V91" s="45"/>
      <c r="W91" s="45"/>
      <c r="X91" s="45"/>
    </row>
    <row r="92" spans="1:34" x14ac:dyDescent="0.2">
      <c r="A92" s="28" t="s">
        <v>54</v>
      </c>
      <c r="S92" s="17"/>
      <c r="T92" s="16"/>
      <c r="U92" s="17"/>
      <c r="V92" s="17"/>
      <c r="W92" s="17"/>
      <c r="X92" s="17"/>
    </row>
    <row r="93" spans="1:34" x14ac:dyDescent="0.2">
      <c r="B93" s="28" t="s">
        <v>26</v>
      </c>
      <c r="H93" s="11">
        <f t="shared" ref="H93:Q93" si="36">H49</f>
        <v>147610.97069348575</v>
      </c>
      <c r="I93" s="11">
        <f t="shared" si="36"/>
        <v>197622.94738687825</v>
      </c>
      <c r="J93" s="11">
        <f t="shared" si="36"/>
        <v>115226.05664478481</v>
      </c>
      <c r="K93" s="11">
        <f t="shared" si="36"/>
        <v>167543.40895844554</v>
      </c>
      <c r="L93" s="11">
        <f t="shared" si="36"/>
        <v>273033.81516371819</v>
      </c>
      <c r="M93" s="11">
        <f t="shared" si="36"/>
        <v>335637.51595429832</v>
      </c>
      <c r="N93" s="11">
        <f t="shared" si="36"/>
        <v>402844.87952325062</v>
      </c>
      <c r="O93" s="11">
        <f t="shared" si="36"/>
        <v>474925.52093931055</v>
      </c>
      <c r="P93" s="11">
        <f t="shared" si="36"/>
        <v>552163.32262197719</v>
      </c>
      <c r="Q93" s="11">
        <f t="shared" si="36"/>
        <v>574952.58217957383</v>
      </c>
      <c r="S93" s="17"/>
      <c r="T93" s="16"/>
      <c r="U93" s="17"/>
      <c r="V93" s="17"/>
      <c r="W93" s="17"/>
      <c r="X93" s="17"/>
    </row>
    <row r="94" spans="1:34" x14ac:dyDescent="0.2">
      <c r="B94" s="28" t="s">
        <v>55</v>
      </c>
      <c r="H94" s="11">
        <f t="shared" ref="H94:Q94" si="37">H52+H53</f>
        <v>24972.82608695652</v>
      </c>
      <c r="I94" s="11">
        <f t="shared" si="37"/>
        <v>24972.82608695652</v>
      </c>
      <c r="J94" s="11">
        <f t="shared" si="37"/>
        <v>24972.82608695652</v>
      </c>
      <c r="K94" s="11">
        <f t="shared" si="37"/>
        <v>24972.82608695652</v>
      </c>
      <c r="L94" s="11">
        <f t="shared" si="37"/>
        <v>35190.217391304352</v>
      </c>
      <c r="M94" s="11">
        <f t="shared" si="37"/>
        <v>35190.217391304352</v>
      </c>
      <c r="N94" s="11">
        <f t="shared" si="37"/>
        <v>35190.217391304352</v>
      </c>
      <c r="O94" s="11">
        <f t="shared" si="37"/>
        <v>35190.217391304352</v>
      </c>
      <c r="P94" s="11">
        <f t="shared" si="37"/>
        <v>35190.217391304352</v>
      </c>
      <c r="Q94" s="11">
        <f t="shared" si="37"/>
        <v>35190.217391304352</v>
      </c>
      <c r="S94" s="17"/>
      <c r="T94" s="17"/>
      <c r="U94" s="17"/>
      <c r="V94" s="17"/>
      <c r="W94" s="17"/>
      <c r="X94" s="17"/>
    </row>
    <row r="95" spans="1:34" x14ac:dyDescent="0.2">
      <c r="B95" s="28" t="s">
        <v>56</v>
      </c>
      <c r="H95" s="11">
        <f t="shared" ref="H95:Q95" si="38">H93-H94</f>
        <v>122638.14460652924</v>
      </c>
      <c r="I95" s="11">
        <f t="shared" si="38"/>
        <v>172650.12129992174</v>
      </c>
      <c r="J95" s="11">
        <f t="shared" si="38"/>
        <v>90253.230557828298</v>
      </c>
      <c r="K95" s="11">
        <f t="shared" si="38"/>
        <v>142570.58287148902</v>
      </c>
      <c r="L95" s="11">
        <f t="shared" si="38"/>
        <v>237843.59777241384</v>
      </c>
      <c r="M95" s="11">
        <f t="shared" si="38"/>
        <v>300447.29856299399</v>
      </c>
      <c r="N95" s="11">
        <f t="shared" si="38"/>
        <v>367654.6621319463</v>
      </c>
      <c r="O95" s="11">
        <f t="shared" si="38"/>
        <v>439735.30354800622</v>
      </c>
      <c r="P95" s="11">
        <f t="shared" si="38"/>
        <v>516973.10523067287</v>
      </c>
      <c r="Q95" s="11">
        <f t="shared" si="38"/>
        <v>539762.36478826951</v>
      </c>
      <c r="S95" s="17"/>
      <c r="T95" s="18"/>
      <c r="U95" s="17"/>
      <c r="V95" s="17"/>
      <c r="W95" s="17"/>
      <c r="X95" s="17"/>
    </row>
    <row r="96" spans="1:34" x14ac:dyDescent="0.2">
      <c r="B96" s="28" t="s">
        <v>57</v>
      </c>
      <c r="H96" s="14">
        <f t="shared" ref="H96:Q96" si="39">H95*H19</f>
        <v>30659.53615163231</v>
      </c>
      <c r="I96" s="14">
        <f t="shared" si="39"/>
        <v>43162.530324980435</v>
      </c>
      <c r="J96" s="14">
        <f t="shared" si="39"/>
        <v>22563.307639457074</v>
      </c>
      <c r="K96" s="14">
        <f t="shared" si="39"/>
        <v>35642.645717872256</v>
      </c>
      <c r="L96" s="14">
        <f t="shared" si="39"/>
        <v>59460.899443103459</v>
      </c>
      <c r="M96" s="14">
        <f t="shared" si="39"/>
        <v>75111.824640748498</v>
      </c>
      <c r="N96" s="14">
        <f t="shared" si="39"/>
        <v>91913.665532986575</v>
      </c>
      <c r="O96" s="14">
        <f t="shared" si="39"/>
        <v>109933.82588700156</v>
      </c>
      <c r="P96" s="14">
        <f t="shared" si="39"/>
        <v>129243.27630766822</v>
      </c>
      <c r="Q96" s="14">
        <f t="shared" si="39"/>
        <v>134940.59119706738</v>
      </c>
      <c r="S96" s="17"/>
      <c r="T96" s="17"/>
      <c r="U96" s="17"/>
      <c r="V96" s="17"/>
      <c r="W96" s="17"/>
      <c r="X96" s="17"/>
    </row>
    <row r="97" spans="1:24" x14ac:dyDescent="0.2">
      <c r="B97" s="28" t="s">
        <v>58</v>
      </c>
      <c r="H97" s="14">
        <f t="shared" ref="H97:Q97" si="40">H93-H96</f>
        <v>116951.43454185344</v>
      </c>
      <c r="I97" s="14">
        <f t="shared" si="40"/>
        <v>154460.41706189781</v>
      </c>
      <c r="J97" s="14">
        <f t="shared" si="40"/>
        <v>92662.749005327729</v>
      </c>
      <c r="K97" s="14">
        <f t="shared" si="40"/>
        <v>131900.76324057329</v>
      </c>
      <c r="L97" s="14">
        <f t="shared" si="40"/>
        <v>213572.91572061472</v>
      </c>
      <c r="M97" s="14">
        <f t="shared" si="40"/>
        <v>260525.69131354982</v>
      </c>
      <c r="N97" s="14">
        <f t="shared" si="40"/>
        <v>310931.21399026405</v>
      </c>
      <c r="O97" s="14">
        <f t="shared" si="40"/>
        <v>364991.69505230896</v>
      </c>
      <c r="P97" s="14">
        <f t="shared" si="40"/>
        <v>422920.046314309</v>
      </c>
      <c r="Q97" s="14">
        <f t="shared" si="40"/>
        <v>440011.99098250642</v>
      </c>
      <c r="S97" s="17"/>
      <c r="T97" s="17"/>
      <c r="U97" s="17"/>
      <c r="V97" s="17"/>
      <c r="W97" s="17"/>
      <c r="X97" s="17"/>
    </row>
    <row r="98" spans="1:24" x14ac:dyDescent="0.2">
      <c r="S98" s="72"/>
      <c r="T98" s="18"/>
      <c r="U98" s="18"/>
      <c r="V98" s="18"/>
      <c r="W98" s="18"/>
      <c r="X98" s="17"/>
    </row>
    <row r="99" spans="1:24" x14ac:dyDescent="0.2">
      <c r="A99" s="28" t="s">
        <v>59</v>
      </c>
      <c r="S99" s="72"/>
      <c r="T99" s="18"/>
      <c r="U99" s="18"/>
      <c r="V99" s="18"/>
      <c r="W99" s="18"/>
      <c r="X99" s="17"/>
    </row>
    <row r="100" spans="1:24" x14ac:dyDescent="0.2">
      <c r="A100" s="28" t="s">
        <v>82</v>
      </c>
      <c r="B100" s="28" t="s">
        <v>37</v>
      </c>
      <c r="G100" s="11">
        <f t="shared" ref="G100:Q100" si="41">-(H64-G64)</f>
        <v>-5000</v>
      </c>
      <c r="H100" s="11">
        <f t="shared" si="41"/>
        <v>0</v>
      </c>
      <c r="I100" s="11">
        <f t="shared" si="41"/>
        <v>0</v>
      </c>
      <c r="J100" s="11">
        <f t="shared" si="41"/>
        <v>0</v>
      </c>
      <c r="K100" s="11">
        <f t="shared" si="41"/>
        <v>0</v>
      </c>
      <c r="L100" s="11">
        <f t="shared" si="41"/>
        <v>0</v>
      </c>
      <c r="M100" s="11">
        <f t="shared" si="41"/>
        <v>0</v>
      </c>
      <c r="N100" s="11">
        <f t="shared" si="41"/>
        <v>0</v>
      </c>
      <c r="O100" s="11">
        <f t="shared" si="41"/>
        <v>0</v>
      </c>
      <c r="P100" s="11">
        <f t="shared" si="41"/>
        <v>0</v>
      </c>
      <c r="Q100" s="11">
        <f t="shared" si="41"/>
        <v>5000</v>
      </c>
      <c r="S100" s="72"/>
      <c r="T100" s="18"/>
      <c r="U100" s="18"/>
      <c r="V100" s="18"/>
      <c r="W100" s="18"/>
      <c r="X100" s="17"/>
    </row>
    <row r="101" spans="1:24" x14ac:dyDescent="0.2">
      <c r="A101" s="28" t="s">
        <v>82</v>
      </c>
      <c r="B101" s="28" t="s">
        <v>39</v>
      </c>
      <c r="G101" s="11">
        <f t="shared" ref="G101:Q101" si="42">-(H66-G66)</f>
        <v>-10343.571287671235</v>
      </c>
      <c r="H101" s="11">
        <f t="shared" si="42"/>
        <v>-3108.243171945207</v>
      </c>
      <c r="I101" s="11">
        <f t="shared" si="42"/>
        <v>5054.6538013454738</v>
      </c>
      <c r="J101" s="11">
        <f t="shared" si="42"/>
        <v>-3251.3806068825161</v>
      </c>
      <c r="K101" s="11">
        <f t="shared" si="42"/>
        <v>-6530.1722332450427</v>
      </c>
      <c r="L101" s="11">
        <f t="shared" si="42"/>
        <v>-3886.6089459576069</v>
      </c>
      <c r="M101" s="11">
        <f t="shared" si="42"/>
        <v>-4170.9763797674277</v>
      </c>
      <c r="N101" s="11">
        <f t="shared" si="42"/>
        <v>-4471.9771345718655</v>
      </c>
      <c r="O101" s="11">
        <f t="shared" si="42"/>
        <v>-4790.4910495564836</v>
      </c>
      <c r="P101" s="11">
        <f t="shared" si="42"/>
        <v>-1434.1501871333749</v>
      </c>
      <c r="Q101" s="11">
        <f t="shared" si="42"/>
        <v>36932.917195385286</v>
      </c>
      <c r="S101" s="72"/>
      <c r="T101" s="18"/>
      <c r="U101" s="18"/>
      <c r="V101" s="18"/>
      <c r="W101" s="18"/>
      <c r="X101" s="17"/>
    </row>
    <row r="102" spans="1:24" x14ac:dyDescent="0.2">
      <c r="A102" s="28" t="s">
        <v>82</v>
      </c>
      <c r="B102" s="28" t="s">
        <v>40</v>
      </c>
      <c r="G102" s="11">
        <f t="shared" ref="G102:Q102" si="43">-(H67-G67)</f>
        <v>-21336.30246575343</v>
      </c>
      <c r="H102" s="11">
        <f t="shared" si="43"/>
        <v>-6643.9512197260301</v>
      </c>
      <c r="I102" s="11">
        <f t="shared" si="43"/>
        <v>10848.302263157133</v>
      </c>
      <c r="J102" s="11">
        <f t="shared" si="43"/>
        <v>-6950.0048721259409</v>
      </c>
      <c r="K102" s="11">
        <f t="shared" si="43"/>
        <v>-13975.642142907469</v>
      </c>
      <c r="L102" s="11">
        <f t="shared" si="43"/>
        <v>-8310.5119887249239</v>
      </c>
      <c r="M102" s="11">
        <f t="shared" si="43"/>
        <v>-8919.5120604079711</v>
      </c>
      <c r="N102" s="11">
        <f t="shared" si="43"/>
        <v>-9564.147788492759</v>
      </c>
      <c r="O102" s="11">
        <f t="shared" si="43"/>
        <v>-10246.304399176573</v>
      </c>
      <c r="P102" s="11">
        <f t="shared" si="43"/>
        <v>-3053.7647369867627</v>
      </c>
      <c r="Q102" s="11">
        <f t="shared" si="43"/>
        <v>78151.839411144727</v>
      </c>
      <c r="S102" s="72"/>
      <c r="T102" s="18"/>
      <c r="U102" s="18"/>
      <c r="V102" s="18"/>
      <c r="W102" s="18"/>
      <c r="X102" s="17"/>
    </row>
    <row r="103" spans="1:24" x14ac:dyDescent="0.2">
      <c r="S103" s="72"/>
      <c r="T103" s="18"/>
      <c r="U103" s="18"/>
      <c r="V103" s="18"/>
      <c r="W103" s="73"/>
      <c r="X103" s="71"/>
    </row>
    <row r="104" spans="1:24" x14ac:dyDescent="0.2">
      <c r="A104" s="28" t="s">
        <v>82</v>
      </c>
      <c r="B104" s="28" t="s">
        <v>41</v>
      </c>
      <c r="G104" s="11">
        <f t="shared" ref="G104:Q104" si="44">-(H69-G69)</f>
        <v>-500000</v>
      </c>
      <c r="H104" s="11">
        <f t="shared" si="44"/>
        <v>0</v>
      </c>
      <c r="I104" s="11">
        <f t="shared" si="44"/>
        <v>0</v>
      </c>
      <c r="J104" s="11">
        <f t="shared" si="44"/>
        <v>0</v>
      </c>
      <c r="K104" s="11">
        <f t="shared" si="44"/>
        <v>-200000</v>
      </c>
      <c r="L104" s="11">
        <f t="shared" si="44"/>
        <v>0</v>
      </c>
      <c r="M104" s="11">
        <f t="shared" si="44"/>
        <v>0</v>
      </c>
      <c r="N104" s="11">
        <f t="shared" si="44"/>
        <v>0</v>
      </c>
      <c r="O104" s="11">
        <f t="shared" si="44"/>
        <v>0</v>
      </c>
      <c r="P104" s="11">
        <f t="shared" si="44"/>
        <v>0</v>
      </c>
      <c r="Q104" s="11">
        <f t="shared" si="44"/>
        <v>700000</v>
      </c>
    </row>
    <row r="105" spans="1:24" x14ac:dyDescent="0.2">
      <c r="B105" s="28" t="s">
        <v>60</v>
      </c>
      <c r="G105" s="11"/>
      <c r="H105" s="11"/>
      <c r="I105" s="11"/>
      <c r="Q105" s="8">
        <f>(S105-100%)*Q104</f>
        <v>42000.000000000036</v>
      </c>
      <c r="R105" s="28" t="s">
        <v>85</v>
      </c>
      <c r="S105" s="12">
        <v>1.06</v>
      </c>
    </row>
    <row r="106" spans="1:24" x14ac:dyDescent="0.2">
      <c r="A106" s="28" t="s">
        <v>82</v>
      </c>
      <c r="B106" s="28" t="s">
        <v>61</v>
      </c>
      <c r="Q106" s="8">
        <f>-S107*$J$19</f>
        <v>-10500</v>
      </c>
      <c r="R106" s="28" t="s">
        <v>84</v>
      </c>
      <c r="S106" s="11">
        <f>Q104</f>
        <v>700000</v>
      </c>
    </row>
    <row r="107" spans="1:24" x14ac:dyDescent="0.2">
      <c r="R107" s="28" t="s">
        <v>86</v>
      </c>
      <c r="S107" s="11">
        <f>SUM(Q104:Q105)-S106</f>
        <v>42000</v>
      </c>
      <c r="V107" s="14"/>
    </row>
    <row r="108" spans="1:24" x14ac:dyDescent="0.2">
      <c r="A108" s="28" t="s">
        <v>82</v>
      </c>
      <c r="B108" s="28" t="s">
        <v>28</v>
      </c>
      <c r="G108" s="11">
        <f t="shared" ref="G108:Q108" si="45">-(H70-G70)</f>
        <v>-212500</v>
      </c>
      <c r="H108" s="11">
        <f t="shared" si="45"/>
        <v>0</v>
      </c>
      <c r="I108" s="11">
        <f t="shared" si="45"/>
        <v>0</v>
      </c>
      <c r="J108" s="11">
        <f t="shared" si="45"/>
        <v>0</v>
      </c>
      <c r="K108" s="11">
        <f t="shared" si="45"/>
        <v>-100000</v>
      </c>
      <c r="L108" s="11">
        <f t="shared" si="45"/>
        <v>0</v>
      </c>
      <c r="M108" s="11">
        <f t="shared" si="45"/>
        <v>0</v>
      </c>
      <c r="N108" s="11">
        <f t="shared" si="45"/>
        <v>0</v>
      </c>
      <c r="O108" s="11">
        <f t="shared" si="45"/>
        <v>0</v>
      </c>
      <c r="P108" s="11">
        <f t="shared" si="45"/>
        <v>0</v>
      </c>
      <c r="Q108" s="11">
        <f t="shared" si="45"/>
        <v>312500</v>
      </c>
    </row>
    <row r="109" spans="1:24" x14ac:dyDescent="0.2">
      <c r="B109" s="28" t="s">
        <v>60</v>
      </c>
      <c r="Q109" s="8">
        <f>(S109-100%)*Q108</f>
        <v>18750.000000000018</v>
      </c>
      <c r="R109" s="28" t="s">
        <v>85</v>
      </c>
      <c r="S109" s="12">
        <v>1.06</v>
      </c>
    </row>
    <row r="110" spans="1:24" x14ac:dyDescent="0.2">
      <c r="A110" s="28" t="s">
        <v>82</v>
      </c>
      <c r="B110" s="28" t="s">
        <v>61</v>
      </c>
      <c r="Q110" s="8">
        <f>-S111*$J$19</f>
        <v>-38750</v>
      </c>
      <c r="R110" s="28" t="s">
        <v>84</v>
      </c>
      <c r="S110" s="11">
        <f>Q70-Q71</f>
        <v>176250</v>
      </c>
    </row>
    <row r="111" spans="1:24" x14ac:dyDescent="0.2">
      <c r="J111" s="8"/>
      <c r="R111" s="28" t="s">
        <v>86</v>
      </c>
      <c r="S111" s="11">
        <f>SUM(Q108:Q109)-S110</f>
        <v>155000</v>
      </c>
      <c r="V111" s="14"/>
    </row>
    <row r="112" spans="1:24" x14ac:dyDescent="0.2">
      <c r="A112" s="28" t="s">
        <v>82</v>
      </c>
      <c r="B112" s="28" t="s">
        <v>29</v>
      </c>
      <c r="G112" s="11">
        <f t="shared" ref="G112:Q112" si="46">-(H72-G72)</f>
        <v>-412500</v>
      </c>
      <c r="H112" s="11">
        <f t="shared" si="46"/>
        <v>0</v>
      </c>
      <c r="I112" s="11">
        <f t="shared" si="46"/>
        <v>0</v>
      </c>
      <c r="J112" s="11">
        <f t="shared" si="46"/>
        <v>0</v>
      </c>
      <c r="K112" s="11">
        <f t="shared" si="46"/>
        <v>-150000</v>
      </c>
      <c r="L112" s="11">
        <f t="shared" si="46"/>
        <v>0</v>
      </c>
      <c r="M112" s="11">
        <f t="shared" si="46"/>
        <v>0</v>
      </c>
      <c r="N112" s="11">
        <f t="shared" si="46"/>
        <v>0</v>
      </c>
      <c r="O112" s="11">
        <f t="shared" si="46"/>
        <v>0</v>
      </c>
      <c r="P112" s="11">
        <f t="shared" si="46"/>
        <v>0</v>
      </c>
      <c r="Q112" s="11">
        <f t="shared" si="46"/>
        <v>562500</v>
      </c>
    </row>
    <row r="113" spans="1:19" x14ac:dyDescent="0.2">
      <c r="B113" s="28" t="s">
        <v>60</v>
      </c>
      <c r="Q113" s="8">
        <f>(S113-100%)*Q112</f>
        <v>22500.000000000018</v>
      </c>
      <c r="R113" s="28" t="s">
        <v>85</v>
      </c>
      <c r="S113" s="12">
        <v>1.04</v>
      </c>
    </row>
    <row r="114" spans="1:19" x14ac:dyDescent="0.2">
      <c r="A114" s="28" t="s">
        <v>82</v>
      </c>
      <c r="B114" s="28" t="s">
        <v>61</v>
      </c>
      <c r="Q114" s="8">
        <f>-S115*$J$19</f>
        <v>-49320.652173913055</v>
      </c>
      <c r="R114" s="28" t="s">
        <v>84</v>
      </c>
      <c r="S114" s="11">
        <f>Q72-Q73</f>
        <v>387717.39130434778</v>
      </c>
    </row>
    <row r="115" spans="1:19" x14ac:dyDescent="0.2">
      <c r="R115" s="28" t="s">
        <v>86</v>
      </c>
      <c r="S115" s="11">
        <f>SUM(Q112:Q113)-S114</f>
        <v>197282.60869565222</v>
      </c>
    </row>
    <row r="116" spans="1:19" x14ac:dyDescent="0.2">
      <c r="A116" s="28" t="s">
        <v>83</v>
      </c>
      <c r="B116" s="28" t="s">
        <v>45</v>
      </c>
      <c r="G116" s="11">
        <f t="shared" ref="G116:Q116" si="47">(H78-G78)</f>
        <v>1104.6575342465753</v>
      </c>
      <c r="H116" s="11">
        <f t="shared" si="47"/>
        <v>22.093150684931516</v>
      </c>
      <c r="I116" s="11">
        <f t="shared" si="47"/>
        <v>22.53501369863011</v>
      </c>
      <c r="J116" s="11">
        <f t="shared" si="47"/>
        <v>22.98571397260298</v>
      </c>
      <c r="K116" s="11">
        <f t="shared" si="47"/>
        <v>23.445428252054853</v>
      </c>
      <c r="L116" s="11">
        <f t="shared" si="47"/>
        <v>23.914336817095773</v>
      </c>
      <c r="M116" s="11">
        <f t="shared" si="47"/>
        <v>24.392623553437943</v>
      </c>
      <c r="N116" s="11">
        <f t="shared" si="47"/>
        <v>24.880476024506379</v>
      </c>
      <c r="O116" s="11">
        <f t="shared" si="47"/>
        <v>25.378085544996793</v>
      </c>
      <c r="P116" s="11">
        <f t="shared" si="47"/>
        <v>25.885647255896629</v>
      </c>
      <c r="Q116" s="11">
        <f t="shared" si="47"/>
        <v>-1320.1680100507283</v>
      </c>
    </row>
    <row r="117" spans="1:19" x14ac:dyDescent="0.2">
      <c r="A117" s="28" t="s">
        <v>83</v>
      </c>
      <c r="B117" s="28" t="s">
        <v>62</v>
      </c>
      <c r="G117" s="8">
        <f t="shared" ref="G117:Q117" si="48">(H96-G96)</f>
        <v>30659.53615163231</v>
      </c>
      <c r="H117" s="8">
        <f t="shared" si="48"/>
        <v>12502.994173348125</v>
      </c>
      <c r="I117" s="8">
        <f t="shared" si="48"/>
        <v>-20599.22268552336</v>
      </c>
      <c r="J117" s="8">
        <f t="shared" si="48"/>
        <v>13079.338078415181</v>
      </c>
      <c r="K117" s="8">
        <f t="shared" si="48"/>
        <v>23818.253725231203</v>
      </c>
      <c r="L117" s="8">
        <f t="shared" si="48"/>
        <v>15650.92519764504</v>
      </c>
      <c r="M117" s="8">
        <f t="shared" si="48"/>
        <v>16801.840892238077</v>
      </c>
      <c r="N117" s="8">
        <f t="shared" si="48"/>
        <v>18020.160354014981</v>
      </c>
      <c r="O117" s="8">
        <f t="shared" si="48"/>
        <v>19309.450420666661</v>
      </c>
      <c r="P117" s="8">
        <f t="shared" si="48"/>
        <v>5697.3148893991602</v>
      </c>
      <c r="Q117" s="8">
        <f t="shared" si="48"/>
        <v>-134940.59119706738</v>
      </c>
    </row>
    <row r="119" spans="1:19" x14ac:dyDescent="0.2">
      <c r="A119" s="2" t="s">
        <v>63</v>
      </c>
      <c r="G119" s="8">
        <f>SUM(G97:G117)</f>
        <v>-1129915.680067546</v>
      </c>
      <c r="H119" s="8">
        <f>SUM(H97:H117)</f>
        <v>119724.32747421524</v>
      </c>
      <c r="I119" s="8">
        <f>SUM(I97:I117)</f>
        <v>149786.68545457567</v>
      </c>
      <c r="J119" s="8">
        <f>SUM(J97:J102)+SUM(J116:J117)</f>
        <v>95563.68731870706</v>
      </c>
      <c r="K119" s="8">
        <f>SUM(K97:K117)</f>
        <v>-314763.35198209598</v>
      </c>
      <c r="L119" s="8">
        <f>SUM(L97:L102)+SUM(L116:L117)</f>
        <v>217050.63432039431</v>
      </c>
      <c r="M119" s="8">
        <f>SUM(M97:M117)</f>
        <v>264261.43638916593</v>
      </c>
      <c r="N119" s="8">
        <f>SUM(N97:N117)</f>
        <v>314940.12989723892</v>
      </c>
      <c r="O119" s="8">
        <f>SUM(O97:O117)</f>
        <v>369289.72810978757</v>
      </c>
      <c r="P119" s="8">
        <f t="shared" ref="P119:Q119" si="49">SUM(P97:P117)</f>
        <v>424155.33192684391</v>
      </c>
      <c r="Q119" s="8">
        <f t="shared" si="49"/>
        <v>1983515.336208005</v>
      </c>
    </row>
    <row r="120" spans="1:19" x14ac:dyDescent="0.2">
      <c r="A120" s="2" t="s">
        <v>64</v>
      </c>
      <c r="G120" s="38">
        <f>IRR(G119:Q119)</f>
        <v>0.15567988618133732</v>
      </c>
    </row>
    <row r="121" spans="1:19" x14ac:dyDescent="0.2">
      <c r="A121" s="2"/>
    </row>
    <row r="122" spans="1:19" x14ac:dyDescent="0.2">
      <c r="A122" s="2" t="s">
        <v>65</v>
      </c>
      <c r="G122" s="5">
        <f>W80</f>
        <v>0.10660859278197284</v>
      </c>
    </row>
    <row r="123" spans="1:19" x14ac:dyDescent="0.2">
      <c r="A123" s="2" t="s">
        <v>66</v>
      </c>
      <c r="G123" s="19">
        <f>NPV(G122,H119:Q119)</f>
        <v>1575732.7631871649</v>
      </c>
    </row>
    <row r="126" spans="1:19" x14ac:dyDescent="0.2">
      <c r="R126" s="25"/>
    </row>
    <row r="127" spans="1:19" x14ac:dyDescent="0.2">
      <c r="R127" s="25"/>
    </row>
    <row r="128" spans="1:19" x14ac:dyDescent="0.2">
      <c r="R128" s="25"/>
    </row>
    <row r="129" spans="18:18" x14ac:dyDescent="0.2">
      <c r="R129" s="25"/>
    </row>
    <row r="130" spans="18:18" x14ac:dyDescent="0.2">
      <c r="R130" s="25"/>
    </row>
    <row r="131" spans="18:18" x14ac:dyDescent="0.2">
      <c r="R131" s="25"/>
    </row>
    <row r="132" spans="18:18" x14ac:dyDescent="0.2">
      <c r="R132" s="25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orientation="portrait" useFirstPageNumber="1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0"/>
  <sheetViews>
    <sheetView workbookViewId="0">
      <selection activeCell="I6" sqref="I6"/>
    </sheetView>
  </sheetViews>
  <sheetFormatPr defaultColWidth="11.5703125" defaultRowHeight="12.75" x14ac:dyDescent="0.2"/>
  <cols>
    <col min="2" max="2" width="13.7109375" customWidth="1"/>
    <col min="3" max="3" width="14.42578125" customWidth="1"/>
    <col min="4" max="4" width="12.140625" customWidth="1"/>
    <col min="5" max="5" width="13.140625" customWidth="1"/>
    <col min="6" max="6" width="16.28515625" customWidth="1"/>
    <col min="8" max="8" width="13.85546875" customWidth="1"/>
    <col min="9" max="9" width="16.42578125" customWidth="1"/>
  </cols>
  <sheetData>
    <row r="1" spans="1:9" x14ac:dyDescent="0.2">
      <c r="A1" s="2" t="s">
        <v>67</v>
      </c>
      <c r="H1" s="2" t="s">
        <v>68</v>
      </c>
    </row>
    <row r="2" spans="1:9" x14ac:dyDescent="0.2">
      <c r="B2" s="2" t="s">
        <v>69</v>
      </c>
      <c r="C2" s="2" t="s">
        <v>70</v>
      </c>
      <c r="D2" s="2" t="s">
        <v>71</v>
      </c>
      <c r="E2" s="2" t="s">
        <v>72</v>
      </c>
      <c r="F2" s="2" t="s">
        <v>73</v>
      </c>
      <c r="H2" s="2" t="s">
        <v>74</v>
      </c>
      <c r="I2">
        <f>Medium!E16</f>
        <v>30</v>
      </c>
    </row>
    <row r="3" spans="1:9" x14ac:dyDescent="0.2">
      <c r="A3">
        <v>1</v>
      </c>
      <c r="B3" s="10">
        <f>I4</f>
        <v>500000</v>
      </c>
      <c r="C3" s="10">
        <f t="shared" ref="C3:C14" si="0">$I$7</f>
        <v>2997.7526257637614</v>
      </c>
      <c r="D3" s="10">
        <f t="shared" ref="D3:D14" si="1">B3*$I$6</f>
        <v>2500</v>
      </c>
      <c r="E3" s="10">
        <f t="shared" ref="E3:E14" si="2">C3-D3</f>
        <v>497.75262576376144</v>
      </c>
      <c r="F3" s="10">
        <f t="shared" ref="F3:F14" si="3">B3-E3</f>
        <v>499502.24737423623</v>
      </c>
      <c r="H3" s="2" t="s">
        <v>75</v>
      </c>
      <c r="I3" s="5">
        <f>Medium!E17</f>
        <v>0.06</v>
      </c>
    </row>
    <row r="4" spans="1:9" x14ac:dyDescent="0.2">
      <c r="A4">
        <v>2</v>
      </c>
      <c r="B4" s="10">
        <f t="shared" ref="B4:B14" si="4">F3</f>
        <v>499502.24737423623</v>
      </c>
      <c r="C4" s="10">
        <f t="shared" si="0"/>
        <v>2997.7526257637614</v>
      </c>
      <c r="D4" s="10">
        <f t="shared" si="1"/>
        <v>2497.5112368711812</v>
      </c>
      <c r="E4" s="10">
        <f t="shared" si="2"/>
        <v>500.24138889258029</v>
      </c>
      <c r="F4" s="10">
        <f t="shared" si="3"/>
        <v>499002.00598534365</v>
      </c>
      <c r="H4" s="2" t="s">
        <v>76</v>
      </c>
      <c r="I4" s="10">
        <v>500000</v>
      </c>
    </row>
    <row r="5" spans="1:9" x14ac:dyDescent="0.2">
      <c r="A5">
        <v>3</v>
      </c>
      <c r="B5" s="10">
        <f t="shared" si="4"/>
        <v>499002.00598534365</v>
      </c>
      <c r="C5" s="10">
        <f t="shared" si="0"/>
        <v>2997.7526257637614</v>
      </c>
      <c r="D5" s="10">
        <f t="shared" si="1"/>
        <v>2495.0100299267183</v>
      </c>
      <c r="E5" s="10">
        <f t="shared" si="2"/>
        <v>502.74259583704315</v>
      </c>
      <c r="F5" s="10">
        <f t="shared" si="3"/>
        <v>498499.26338950661</v>
      </c>
      <c r="H5" s="2" t="s">
        <v>77</v>
      </c>
      <c r="I5">
        <f>I2*12</f>
        <v>360</v>
      </c>
    </row>
    <row r="6" spans="1:9" x14ac:dyDescent="0.2">
      <c r="A6">
        <v>4</v>
      </c>
      <c r="B6" s="10">
        <f t="shared" si="4"/>
        <v>498499.26338950661</v>
      </c>
      <c r="C6" s="10">
        <f t="shared" si="0"/>
        <v>2997.7526257637614</v>
      </c>
      <c r="D6" s="10">
        <f t="shared" si="1"/>
        <v>2492.4963169475332</v>
      </c>
      <c r="E6" s="10">
        <f t="shared" si="2"/>
        <v>505.25630881622828</v>
      </c>
      <c r="F6" s="10">
        <f t="shared" si="3"/>
        <v>497994.00708069035</v>
      </c>
      <c r="H6" s="2" t="s">
        <v>78</v>
      </c>
      <c r="I6" s="5">
        <f>I3/12</f>
        <v>5.0000000000000001E-3</v>
      </c>
    </row>
    <row r="7" spans="1:9" x14ac:dyDescent="0.2">
      <c r="A7">
        <v>5</v>
      </c>
      <c r="B7" s="10">
        <f t="shared" si="4"/>
        <v>497994.00708069035</v>
      </c>
      <c r="C7" s="10">
        <f t="shared" si="0"/>
        <v>2997.7526257637614</v>
      </c>
      <c r="D7" s="10">
        <f t="shared" si="1"/>
        <v>2489.9700354034517</v>
      </c>
      <c r="E7" s="10">
        <f t="shared" si="2"/>
        <v>507.78259036030977</v>
      </c>
      <c r="F7" s="10">
        <f t="shared" si="3"/>
        <v>497486.22449033003</v>
      </c>
      <c r="H7" s="2" t="s">
        <v>70</v>
      </c>
      <c r="I7" s="1">
        <f>-PMT(I6,I5,I4)</f>
        <v>2997.7526257637614</v>
      </c>
    </row>
    <row r="8" spans="1:9" x14ac:dyDescent="0.2">
      <c r="A8">
        <v>6</v>
      </c>
      <c r="B8" s="10">
        <f t="shared" si="4"/>
        <v>497486.22449033003</v>
      </c>
      <c r="C8" s="10">
        <f t="shared" si="0"/>
        <v>2997.7526257637614</v>
      </c>
      <c r="D8" s="10">
        <f t="shared" si="1"/>
        <v>2487.43112245165</v>
      </c>
      <c r="E8" s="10">
        <f t="shared" si="2"/>
        <v>510.32150331211142</v>
      </c>
      <c r="F8" s="10">
        <f t="shared" si="3"/>
        <v>496975.90298701794</v>
      </c>
    </row>
    <row r="9" spans="1:9" x14ac:dyDescent="0.2">
      <c r="A9">
        <v>7</v>
      </c>
      <c r="B9" s="10">
        <f t="shared" si="4"/>
        <v>496975.90298701794</v>
      </c>
      <c r="C9" s="10">
        <f t="shared" si="0"/>
        <v>2997.7526257637614</v>
      </c>
      <c r="D9" s="10">
        <f t="shared" si="1"/>
        <v>2484.8795149350899</v>
      </c>
      <c r="E9" s="10">
        <f t="shared" si="2"/>
        <v>512.87311082867154</v>
      </c>
      <c r="F9" s="10">
        <f t="shared" si="3"/>
        <v>496463.02987618925</v>
      </c>
    </row>
    <row r="10" spans="1:9" x14ac:dyDescent="0.2">
      <c r="A10">
        <v>8</v>
      </c>
      <c r="B10" s="10">
        <f t="shared" si="4"/>
        <v>496463.02987618925</v>
      </c>
      <c r="C10" s="10">
        <f t="shared" si="0"/>
        <v>2997.7526257637614</v>
      </c>
      <c r="D10" s="10">
        <f t="shared" si="1"/>
        <v>2482.3151493809464</v>
      </c>
      <c r="E10" s="10">
        <f t="shared" si="2"/>
        <v>515.43747638281502</v>
      </c>
      <c r="F10" s="10">
        <f t="shared" si="3"/>
        <v>495947.59239980642</v>
      </c>
    </row>
    <row r="11" spans="1:9" x14ac:dyDescent="0.2">
      <c r="A11">
        <v>9</v>
      </c>
      <c r="B11" s="10">
        <f t="shared" si="4"/>
        <v>495947.59239980642</v>
      </c>
      <c r="C11" s="10">
        <f t="shared" si="0"/>
        <v>2997.7526257637614</v>
      </c>
      <c r="D11" s="10">
        <f t="shared" si="1"/>
        <v>2479.737961999032</v>
      </c>
      <c r="E11" s="10">
        <f t="shared" si="2"/>
        <v>518.01466376472945</v>
      </c>
      <c r="F11" s="10">
        <f t="shared" si="3"/>
        <v>495429.57773604168</v>
      </c>
    </row>
    <row r="12" spans="1:9" x14ac:dyDescent="0.2">
      <c r="A12">
        <v>10</v>
      </c>
      <c r="B12" s="10">
        <f t="shared" si="4"/>
        <v>495429.57773604168</v>
      </c>
      <c r="C12" s="10">
        <f t="shared" si="0"/>
        <v>2997.7526257637614</v>
      </c>
      <c r="D12" s="10">
        <f t="shared" si="1"/>
        <v>2477.1478886802083</v>
      </c>
      <c r="E12" s="10">
        <f t="shared" si="2"/>
        <v>520.60473708355312</v>
      </c>
      <c r="F12" s="10">
        <f t="shared" si="3"/>
        <v>494908.97299895814</v>
      </c>
    </row>
    <row r="13" spans="1:9" x14ac:dyDescent="0.2">
      <c r="A13">
        <v>11</v>
      </c>
      <c r="B13" s="10">
        <f t="shared" si="4"/>
        <v>494908.97299895814</v>
      </c>
      <c r="C13" s="10">
        <f t="shared" si="0"/>
        <v>2997.7526257637614</v>
      </c>
      <c r="D13" s="10">
        <f t="shared" si="1"/>
        <v>2474.5448649947907</v>
      </c>
      <c r="E13" s="10">
        <f t="shared" si="2"/>
        <v>523.20776076897073</v>
      </c>
      <c r="F13" s="10">
        <f t="shared" si="3"/>
        <v>494385.7652381892</v>
      </c>
    </row>
    <row r="14" spans="1:9" x14ac:dyDescent="0.2">
      <c r="A14">
        <v>12</v>
      </c>
      <c r="B14" s="10">
        <f t="shared" si="4"/>
        <v>494385.7652381892</v>
      </c>
      <c r="C14" s="10">
        <f t="shared" si="0"/>
        <v>2997.7526257637614</v>
      </c>
      <c r="D14" s="10">
        <f t="shared" si="1"/>
        <v>2471.928826190946</v>
      </c>
      <c r="E14" s="10">
        <f t="shared" si="2"/>
        <v>525.82379957281546</v>
      </c>
      <c r="F14" s="10">
        <f t="shared" si="3"/>
        <v>493859.94143861637</v>
      </c>
    </row>
    <row r="15" spans="1:9" x14ac:dyDescent="0.2">
      <c r="B15" s="10"/>
      <c r="C15" s="10">
        <f>SUM(C3:C14)</f>
        <v>35973.031509165136</v>
      </c>
      <c r="D15" s="10">
        <f>SUM(D3:D14)</f>
        <v>29832.972947781545</v>
      </c>
      <c r="E15" s="10"/>
      <c r="F15" s="10"/>
    </row>
    <row r="16" spans="1:9" x14ac:dyDescent="0.2">
      <c r="B16" s="10"/>
      <c r="C16" s="10"/>
      <c r="D16" s="10"/>
      <c r="E16" s="10"/>
      <c r="F16" s="10"/>
    </row>
    <row r="17" spans="1:6" x14ac:dyDescent="0.2">
      <c r="A17">
        <v>1</v>
      </c>
      <c r="B17" s="10">
        <f>F14</f>
        <v>493859.94143861637</v>
      </c>
      <c r="C17" s="10">
        <f t="shared" ref="C17:C28" si="5">$I$7</f>
        <v>2997.7526257637614</v>
      </c>
      <c r="D17" s="10">
        <f t="shared" ref="D17:D28" si="6">B17*$I$6</f>
        <v>2469.2997071930818</v>
      </c>
      <c r="E17" s="10">
        <f t="shared" ref="E17:E28" si="7">C17-D17</f>
        <v>528.45291857067969</v>
      </c>
      <c r="F17" s="10">
        <f t="shared" ref="F17:F28" si="8">B17-E17</f>
        <v>493331.48852004571</v>
      </c>
    </row>
    <row r="18" spans="1:6" x14ac:dyDescent="0.2">
      <c r="A18">
        <v>2</v>
      </c>
      <c r="B18" s="10">
        <f t="shared" ref="B18:B28" si="9">F17</f>
        <v>493331.48852004571</v>
      </c>
      <c r="C18" s="10">
        <f t="shared" si="5"/>
        <v>2997.7526257637614</v>
      </c>
      <c r="D18" s="10">
        <f t="shared" si="6"/>
        <v>2466.6574426002285</v>
      </c>
      <c r="E18" s="10">
        <f t="shared" si="7"/>
        <v>531.09518316353297</v>
      </c>
      <c r="F18" s="10">
        <f t="shared" si="8"/>
        <v>492800.39333688217</v>
      </c>
    </row>
    <row r="19" spans="1:6" x14ac:dyDescent="0.2">
      <c r="A19">
        <v>3</v>
      </c>
      <c r="B19" s="10">
        <f t="shared" si="9"/>
        <v>492800.39333688217</v>
      </c>
      <c r="C19" s="10">
        <f t="shared" si="5"/>
        <v>2997.7526257637614</v>
      </c>
      <c r="D19" s="10">
        <f t="shared" si="6"/>
        <v>2464.0019666844109</v>
      </c>
      <c r="E19" s="10">
        <f t="shared" si="7"/>
        <v>533.7506590793505</v>
      </c>
      <c r="F19" s="10">
        <f t="shared" si="8"/>
        <v>492266.64267780283</v>
      </c>
    </row>
    <row r="20" spans="1:6" x14ac:dyDescent="0.2">
      <c r="A20">
        <v>4</v>
      </c>
      <c r="B20" s="10">
        <f t="shared" si="9"/>
        <v>492266.64267780283</v>
      </c>
      <c r="C20" s="10">
        <f t="shared" si="5"/>
        <v>2997.7526257637614</v>
      </c>
      <c r="D20" s="10">
        <f t="shared" si="6"/>
        <v>2461.333213389014</v>
      </c>
      <c r="E20" s="10">
        <f t="shared" si="7"/>
        <v>536.41941237474748</v>
      </c>
      <c r="F20" s="10">
        <f t="shared" si="8"/>
        <v>491730.2232654281</v>
      </c>
    </row>
    <row r="21" spans="1:6" x14ac:dyDescent="0.2">
      <c r="A21">
        <v>5</v>
      </c>
      <c r="B21" s="10">
        <f t="shared" si="9"/>
        <v>491730.2232654281</v>
      </c>
      <c r="C21" s="10">
        <f t="shared" si="5"/>
        <v>2997.7526257637614</v>
      </c>
      <c r="D21" s="10">
        <f t="shared" si="6"/>
        <v>2458.6511163271407</v>
      </c>
      <c r="E21" s="10">
        <f t="shared" si="7"/>
        <v>539.10150943662074</v>
      </c>
      <c r="F21" s="10">
        <f t="shared" si="8"/>
        <v>491191.12175599148</v>
      </c>
    </row>
    <row r="22" spans="1:6" x14ac:dyDescent="0.2">
      <c r="A22">
        <v>6</v>
      </c>
      <c r="B22" s="10">
        <f t="shared" si="9"/>
        <v>491191.12175599148</v>
      </c>
      <c r="C22" s="10">
        <f t="shared" si="5"/>
        <v>2997.7526257637614</v>
      </c>
      <c r="D22" s="10">
        <f t="shared" si="6"/>
        <v>2455.9556087799574</v>
      </c>
      <c r="E22" s="10">
        <f t="shared" si="7"/>
        <v>541.79701698380404</v>
      </c>
      <c r="F22" s="10">
        <f t="shared" si="8"/>
        <v>490649.32473900769</v>
      </c>
    </row>
    <row r="23" spans="1:6" x14ac:dyDescent="0.2">
      <c r="A23">
        <v>7</v>
      </c>
      <c r="B23" s="10">
        <f t="shared" si="9"/>
        <v>490649.32473900769</v>
      </c>
      <c r="C23" s="10">
        <f t="shared" si="5"/>
        <v>2997.7526257637614</v>
      </c>
      <c r="D23" s="10">
        <f t="shared" si="6"/>
        <v>2453.2466236950386</v>
      </c>
      <c r="E23" s="10">
        <f t="shared" si="7"/>
        <v>544.50600206872286</v>
      </c>
      <c r="F23" s="10">
        <f t="shared" si="8"/>
        <v>490104.81873693899</v>
      </c>
    </row>
    <row r="24" spans="1:6" x14ac:dyDescent="0.2">
      <c r="A24">
        <v>8</v>
      </c>
      <c r="B24" s="10">
        <f t="shared" si="9"/>
        <v>490104.81873693899</v>
      </c>
      <c r="C24" s="10">
        <f t="shared" si="5"/>
        <v>2997.7526257637614</v>
      </c>
      <c r="D24" s="10">
        <f t="shared" si="6"/>
        <v>2450.5240936846949</v>
      </c>
      <c r="E24" s="10">
        <f t="shared" si="7"/>
        <v>547.22853207906655</v>
      </c>
      <c r="F24" s="10">
        <f t="shared" si="8"/>
        <v>489557.59020485991</v>
      </c>
    </row>
    <row r="25" spans="1:6" x14ac:dyDescent="0.2">
      <c r="A25">
        <v>9</v>
      </c>
      <c r="B25" s="10">
        <f t="shared" si="9"/>
        <v>489557.59020485991</v>
      </c>
      <c r="C25" s="10">
        <f t="shared" si="5"/>
        <v>2997.7526257637614</v>
      </c>
      <c r="D25" s="10">
        <f t="shared" si="6"/>
        <v>2447.7879510242997</v>
      </c>
      <c r="E25" s="10">
        <f t="shared" si="7"/>
        <v>549.96467473946177</v>
      </c>
      <c r="F25" s="10">
        <f t="shared" si="8"/>
        <v>489007.62553012045</v>
      </c>
    </row>
    <row r="26" spans="1:6" x14ac:dyDescent="0.2">
      <c r="A26">
        <v>10</v>
      </c>
      <c r="B26" s="10">
        <f t="shared" si="9"/>
        <v>489007.62553012045</v>
      </c>
      <c r="C26" s="10">
        <f t="shared" si="5"/>
        <v>2997.7526257637614</v>
      </c>
      <c r="D26" s="10">
        <f t="shared" si="6"/>
        <v>2445.0381276506023</v>
      </c>
      <c r="E26" s="10">
        <f t="shared" si="7"/>
        <v>552.71449811315915</v>
      </c>
      <c r="F26" s="10">
        <f t="shared" si="8"/>
        <v>488454.91103200731</v>
      </c>
    </row>
    <row r="27" spans="1:6" x14ac:dyDescent="0.2">
      <c r="A27">
        <v>11</v>
      </c>
      <c r="B27" s="10">
        <f t="shared" si="9"/>
        <v>488454.91103200731</v>
      </c>
      <c r="C27" s="10">
        <f t="shared" si="5"/>
        <v>2997.7526257637614</v>
      </c>
      <c r="D27" s="10">
        <f t="shared" si="6"/>
        <v>2442.2745551600365</v>
      </c>
      <c r="E27" s="10">
        <f t="shared" si="7"/>
        <v>555.47807060372497</v>
      </c>
      <c r="F27" s="10">
        <f t="shared" si="8"/>
        <v>487899.43296140357</v>
      </c>
    </row>
    <row r="28" spans="1:6" x14ac:dyDescent="0.2">
      <c r="A28">
        <v>12</v>
      </c>
      <c r="B28" s="10">
        <f t="shared" si="9"/>
        <v>487899.43296140357</v>
      </c>
      <c r="C28" s="10">
        <f t="shared" si="5"/>
        <v>2997.7526257637614</v>
      </c>
      <c r="D28" s="10">
        <f t="shared" si="6"/>
        <v>2439.4971648070177</v>
      </c>
      <c r="E28" s="10">
        <f t="shared" si="7"/>
        <v>558.25546095674372</v>
      </c>
      <c r="F28" s="10">
        <f t="shared" si="8"/>
        <v>487341.17750044685</v>
      </c>
    </row>
    <row r="29" spans="1:6" x14ac:dyDescent="0.2">
      <c r="B29" s="10"/>
      <c r="C29" s="10"/>
      <c r="D29" s="10">
        <f>SUM(D17:D28)</f>
        <v>29454.267570995526</v>
      </c>
      <c r="E29" s="10"/>
      <c r="F29" s="10"/>
    </row>
    <row r="30" spans="1:6" x14ac:dyDescent="0.2">
      <c r="B30" s="10"/>
      <c r="C30" s="10"/>
      <c r="D30" s="10"/>
      <c r="E30" s="10"/>
      <c r="F30" s="10"/>
    </row>
    <row r="31" spans="1:6" x14ac:dyDescent="0.2">
      <c r="A31">
        <v>1</v>
      </c>
      <c r="B31" s="10">
        <f>F28</f>
        <v>487341.17750044685</v>
      </c>
      <c r="C31" s="10">
        <f t="shared" ref="C31:C42" si="10">$I$7</f>
        <v>2997.7526257637614</v>
      </c>
      <c r="D31" s="10">
        <f t="shared" ref="D31:D42" si="11">B31*$I$6</f>
        <v>2436.7058875022344</v>
      </c>
      <c r="E31" s="10">
        <f t="shared" ref="E31:E42" si="12">C31-D31</f>
        <v>561.04673826152703</v>
      </c>
      <c r="F31" s="10">
        <f t="shared" ref="F31:F42" si="13">B31-E31</f>
        <v>486780.13076218532</v>
      </c>
    </row>
    <row r="32" spans="1:6" x14ac:dyDescent="0.2">
      <c r="A32">
        <v>2</v>
      </c>
      <c r="B32" s="10">
        <f t="shared" ref="B32:B42" si="14">F31</f>
        <v>486780.13076218532</v>
      </c>
      <c r="C32" s="10">
        <f t="shared" si="10"/>
        <v>2997.7526257637614</v>
      </c>
      <c r="D32" s="10">
        <f t="shared" si="11"/>
        <v>2433.9006538109265</v>
      </c>
      <c r="E32" s="10">
        <f t="shared" si="12"/>
        <v>563.8519719528349</v>
      </c>
      <c r="F32" s="10">
        <f t="shared" si="13"/>
        <v>486216.27879023249</v>
      </c>
    </row>
    <row r="33" spans="1:6" x14ac:dyDescent="0.2">
      <c r="A33">
        <v>3</v>
      </c>
      <c r="B33" s="10">
        <f t="shared" si="14"/>
        <v>486216.27879023249</v>
      </c>
      <c r="C33" s="10">
        <f t="shared" si="10"/>
        <v>2997.7526257637614</v>
      </c>
      <c r="D33" s="10">
        <f t="shared" si="11"/>
        <v>2431.0813939511627</v>
      </c>
      <c r="E33" s="10">
        <f t="shared" si="12"/>
        <v>566.67123181259876</v>
      </c>
      <c r="F33" s="10">
        <f t="shared" si="13"/>
        <v>485649.60755841987</v>
      </c>
    </row>
    <row r="34" spans="1:6" x14ac:dyDescent="0.2">
      <c r="A34">
        <v>4</v>
      </c>
      <c r="B34" s="10">
        <f t="shared" si="14"/>
        <v>485649.60755841987</v>
      </c>
      <c r="C34" s="10">
        <f t="shared" si="10"/>
        <v>2997.7526257637614</v>
      </c>
      <c r="D34" s="10">
        <f t="shared" si="11"/>
        <v>2428.2480377920992</v>
      </c>
      <c r="E34" s="10">
        <f t="shared" si="12"/>
        <v>569.5045879716622</v>
      </c>
      <c r="F34" s="10">
        <f t="shared" si="13"/>
        <v>485080.10297044821</v>
      </c>
    </row>
    <row r="35" spans="1:6" x14ac:dyDescent="0.2">
      <c r="A35">
        <v>5</v>
      </c>
      <c r="B35" s="10">
        <f t="shared" si="14"/>
        <v>485080.10297044821</v>
      </c>
      <c r="C35" s="10">
        <f t="shared" si="10"/>
        <v>2997.7526257637614</v>
      </c>
      <c r="D35" s="10">
        <f t="shared" si="11"/>
        <v>2425.400514852241</v>
      </c>
      <c r="E35" s="10">
        <f t="shared" si="12"/>
        <v>572.35211091152041</v>
      </c>
      <c r="F35" s="10">
        <f t="shared" si="13"/>
        <v>484507.7508595367</v>
      </c>
    </row>
    <row r="36" spans="1:6" x14ac:dyDescent="0.2">
      <c r="A36">
        <v>6</v>
      </c>
      <c r="B36" s="10">
        <f t="shared" si="14"/>
        <v>484507.7508595367</v>
      </c>
      <c r="C36" s="10">
        <f t="shared" si="10"/>
        <v>2997.7526257637614</v>
      </c>
      <c r="D36" s="10">
        <f t="shared" si="11"/>
        <v>2422.5387542976837</v>
      </c>
      <c r="E36" s="10">
        <f t="shared" si="12"/>
        <v>575.21387146607776</v>
      </c>
      <c r="F36" s="10">
        <f t="shared" si="13"/>
        <v>483932.53698807064</v>
      </c>
    </row>
    <row r="37" spans="1:6" x14ac:dyDescent="0.2">
      <c r="A37">
        <v>7</v>
      </c>
      <c r="B37" s="10">
        <f t="shared" si="14"/>
        <v>483932.53698807064</v>
      </c>
      <c r="C37" s="10">
        <f t="shared" si="10"/>
        <v>2997.7526257637614</v>
      </c>
      <c r="D37" s="10">
        <f t="shared" si="11"/>
        <v>2419.6626849403533</v>
      </c>
      <c r="E37" s="10">
        <f t="shared" si="12"/>
        <v>578.08994082340814</v>
      </c>
      <c r="F37" s="10">
        <f t="shared" si="13"/>
        <v>483354.44704724726</v>
      </c>
    </row>
    <row r="38" spans="1:6" x14ac:dyDescent="0.2">
      <c r="A38">
        <v>8</v>
      </c>
      <c r="B38" s="10">
        <f t="shared" si="14"/>
        <v>483354.44704724726</v>
      </c>
      <c r="C38" s="10">
        <f t="shared" si="10"/>
        <v>2997.7526257637614</v>
      </c>
      <c r="D38" s="10">
        <f t="shared" si="11"/>
        <v>2416.7722352362362</v>
      </c>
      <c r="E38" s="10">
        <f t="shared" si="12"/>
        <v>580.98039052752529</v>
      </c>
      <c r="F38" s="10">
        <f t="shared" si="13"/>
        <v>482773.46665671974</v>
      </c>
    </row>
    <row r="39" spans="1:6" x14ac:dyDescent="0.2">
      <c r="A39">
        <v>9</v>
      </c>
      <c r="B39" s="10">
        <f t="shared" si="14"/>
        <v>482773.46665671974</v>
      </c>
      <c r="C39" s="10">
        <f t="shared" si="10"/>
        <v>2997.7526257637614</v>
      </c>
      <c r="D39" s="10">
        <f t="shared" si="11"/>
        <v>2413.8673332835988</v>
      </c>
      <c r="E39" s="10">
        <f t="shared" si="12"/>
        <v>583.88529248016266</v>
      </c>
      <c r="F39" s="10">
        <f t="shared" si="13"/>
        <v>482189.58136423957</v>
      </c>
    </row>
    <row r="40" spans="1:6" x14ac:dyDescent="0.2">
      <c r="A40">
        <v>10</v>
      </c>
      <c r="B40" s="10">
        <f t="shared" si="14"/>
        <v>482189.58136423957</v>
      </c>
      <c r="C40" s="10">
        <f t="shared" si="10"/>
        <v>2997.7526257637614</v>
      </c>
      <c r="D40" s="10">
        <f t="shared" si="11"/>
        <v>2410.9479068211981</v>
      </c>
      <c r="E40" s="10">
        <f t="shared" si="12"/>
        <v>586.80471894256334</v>
      </c>
      <c r="F40" s="10">
        <f t="shared" si="13"/>
        <v>481602.77664529701</v>
      </c>
    </row>
    <row r="41" spans="1:6" x14ac:dyDescent="0.2">
      <c r="A41">
        <v>11</v>
      </c>
      <c r="B41" s="10">
        <f t="shared" si="14"/>
        <v>481602.77664529701</v>
      </c>
      <c r="C41" s="10">
        <f t="shared" si="10"/>
        <v>2997.7526257637614</v>
      </c>
      <c r="D41" s="10">
        <f t="shared" si="11"/>
        <v>2408.0138832264852</v>
      </c>
      <c r="E41" s="10">
        <f t="shared" si="12"/>
        <v>589.73874253727627</v>
      </c>
      <c r="F41" s="10">
        <f t="shared" si="13"/>
        <v>481013.03790275974</v>
      </c>
    </row>
    <row r="42" spans="1:6" x14ac:dyDescent="0.2">
      <c r="A42">
        <v>12</v>
      </c>
      <c r="B42" s="10">
        <f t="shared" si="14"/>
        <v>481013.03790275974</v>
      </c>
      <c r="C42" s="10">
        <f t="shared" si="10"/>
        <v>2997.7526257637614</v>
      </c>
      <c r="D42" s="10">
        <f t="shared" si="11"/>
        <v>2405.0651895137989</v>
      </c>
      <c r="E42" s="10">
        <f t="shared" si="12"/>
        <v>592.6874362499625</v>
      </c>
      <c r="F42" s="10">
        <f t="shared" si="13"/>
        <v>480420.35046650976</v>
      </c>
    </row>
    <row r="43" spans="1:6" x14ac:dyDescent="0.2">
      <c r="B43" s="10"/>
      <c r="C43" s="10"/>
      <c r="D43" s="10">
        <f>SUM(D31:D42)</f>
        <v>29052.204475228024</v>
      </c>
      <c r="E43" s="10"/>
      <c r="F43" s="10"/>
    </row>
    <row r="44" spans="1:6" x14ac:dyDescent="0.2">
      <c r="B44" s="10"/>
      <c r="C44" s="10"/>
      <c r="D44" s="10"/>
      <c r="E44" s="10"/>
      <c r="F44" s="10"/>
    </row>
    <row r="45" spans="1:6" x14ac:dyDescent="0.2">
      <c r="A45">
        <v>1</v>
      </c>
      <c r="B45" s="10">
        <f>F42</f>
        <v>480420.35046650976</v>
      </c>
      <c r="C45" s="10">
        <f t="shared" ref="C45:C56" si="15">$I$7</f>
        <v>2997.7526257637614</v>
      </c>
      <c r="D45" s="10">
        <f t="shared" ref="D45:D56" si="16">B45*$I$6</f>
        <v>2402.101752332549</v>
      </c>
      <c r="E45" s="10">
        <f t="shared" ref="E45:E56" si="17">C45-D45</f>
        <v>595.6508734312124</v>
      </c>
      <c r="F45" s="10">
        <f t="shared" ref="F45:F56" si="18">B45-E45</f>
        <v>479824.69959307852</v>
      </c>
    </row>
    <row r="46" spans="1:6" x14ac:dyDescent="0.2">
      <c r="A46">
        <v>2</v>
      </c>
      <c r="B46" s="10">
        <f t="shared" ref="B46:B56" si="19">F45</f>
        <v>479824.69959307852</v>
      </c>
      <c r="C46" s="10">
        <f t="shared" si="15"/>
        <v>2997.7526257637614</v>
      </c>
      <c r="D46" s="10">
        <f t="shared" si="16"/>
        <v>2399.1234979653927</v>
      </c>
      <c r="E46" s="10">
        <f t="shared" si="17"/>
        <v>598.6291277983687</v>
      </c>
      <c r="F46" s="10">
        <f t="shared" si="18"/>
        <v>479226.07046528015</v>
      </c>
    </row>
    <row r="47" spans="1:6" x14ac:dyDescent="0.2">
      <c r="A47">
        <v>3</v>
      </c>
      <c r="B47" s="10">
        <f t="shared" si="19"/>
        <v>479226.07046528015</v>
      </c>
      <c r="C47" s="10">
        <f t="shared" si="15"/>
        <v>2997.7526257637614</v>
      </c>
      <c r="D47" s="10">
        <f t="shared" si="16"/>
        <v>2396.130352326401</v>
      </c>
      <c r="E47" s="10">
        <f t="shared" si="17"/>
        <v>601.62227343736049</v>
      </c>
      <c r="F47" s="10">
        <f t="shared" si="18"/>
        <v>478624.44819184276</v>
      </c>
    </row>
    <row r="48" spans="1:6" x14ac:dyDescent="0.2">
      <c r="A48">
        <v>4</v>
      </c>
      <c r="B48" s="10">
        <f t="shared" si="19"/>
        <v>478624.44819184276</v>
      </c>
      <c r="C48" s="10">
        <f t="shared" si="15"/>
        <v>2997.7526257637614</v>
      </c>
      <c r="D48" s="10">
        <f t="shared" si="16"/>
        <v>2393.1222409592137</v>
      </c>
      <c r="E48" s="10">
        <f t="shared" si="17"/>
        <v>604.6303848045477</v>
      </c>
      <c r="F48" s="10">
        <f t="shared" si="18"/>
        <v>478019.8178070382</v>
      </c>
    </row>
    <row r="49" spans="1:6" x14ac:dyDescent="0.2">
      <c r="A49">
        <v>5</v>
      </c>
      <c r="B49" s="10">
        <f t="shared" si="19"/>
        <v>478019.8178070382</v>
      </c>
      <c r="C49" s="10">
        <f t="shared" si="15"/>
        <v>2997.7526257637614</v>
      </c>
      <c r="D49" s="10">
        <f t="shared" si="16"/>
        <v>2390.0990890351909</v>
      </c>
      <c r="E49" s="10">
        <f t="shared" si="17"/>
        <v>607.65353672857054</v>
      </c>
      <c r="F49" s="10">
        <f t="shared" si="18"/>
        <v>477412.16427030961</v>
      </c>
    </row>
    <row r="50" spans="1:6" x14ac:dyDescent="0.2">
      <c r="A50">
        <v>6</v>
      </c>
      <c r="B50" s="10">
        <f t="shared" si="19"/>
        <v>477412.16427030961</v>
      </c>
      <c r="C50" s="10">
        <f t="shared" si="15"/>
        <v>2997.7526257637614</v>
      </c>
      <c r="D50" s="10">
        <f t="shared" si="16"/>
        <v>2387.0608213515479</v>
      </c>
      <c r="E50" s="10">
        <f t="shared" si="17"/>
        <v>610.69180441221351</v>
      </c>
      <c r="F50" s="10">
        <f t="shared" si="18"/>
        <v>476801.47246589739</v>
      </c>
    </row>
    <row r="51" spans="1:6" x14ac:dyDescent="0.2">
      <c r="A51">
        <v>7</v>
      </c>
      <c r="B51" s="10">
        <f t="shared" si="19"/>
        <v>476801.47246589739</v>
      </c>
      <c r="C51" s="10">
        <f t="shared" si="15"/>
        <v>2997.7526257637614</v>
      </c>
      <c r="D51" s="10">
        <f t="shared" si="16"/>
        <v>2384.007362329487</v>
      </c>
      <c r="E51" s="10">
        <f t="shared" si="17"/>
        <v>613.74526343427442</v>
      </c>
      <c r="F51" s="10">
        <f t="shared" si="18"/>
        <v>476187.72720246314</v>
      </c>
    </row>
    <row r="52" spans="1:6" x14ac:dyDescent="0.2">
      <c r="A52">
        <v>8</v>
      </c>
      <c r="B52" s="10">
        <f t="shared" si="19"/>
        <v>476187.72720246314</v>
      </c>
      <c r="C52" s="10">
        <f t="shared" si="15"/>
        <v>2997.7526257637614</v>
      </c>
      <c r="D52" s="10">
        <f t="shared" si="16"/>
        <v>2380.9386360123158</v>
      </c>
      <c r="E52" s="10">
        <f t="shared" si="17"/>
        <v>616.81398975144566</v>
      </c>
      <c r="F52" s="10">
        <f t="shared" si="18"/>
        <v>475570.91321271169</v>
      </c>
    </row>
    <row r="53" spans="1:6" x14ac:dyDescent="0.2">
      <c r="A53">
        <v>9</v>
      </c>
      <c r="B53" s="10">
        <f t="shared" si="19"/>
        <v>475570.91321271169</v>
      </c>
      <c r="C53" s="10">
        <f t="shared" si="15"/>
        <v>2997.7526257637614</v>
      </c>
      <c r="D53" s="10">
        <f t="shared" si="16"/>
        <v>2377.8545660635587</v>
      </c>
      <c r="E53" s="10">
        <f t="shared" si="17"/>
        <v>619.89805970020279</v>
      </c>
      <c r="F53" s="10">
        <f t="shared" si="18"/>
        <v>474951.01515301148</v>
      </c>
    </row>
    <row r="54" spans="1:6" x14ac:dyDescent="0.2">
      <c r="A54">
        <v>10</v>
      </c>
      <c r="B54" s="10">
        <f t="shared" si="19"/>
        <v>474951.01515301148</v>
      </c>
      <c r="C54" s="10">
        <f t="shared" si="15"/>
        <v>2997.7526257637614</v>
      </c>
      <c r="D54" s="10">
        <f t="shared" si="16"/>
        <v>2374.7550757650574</v>
      </c>
      <c r="E54" s="10">
        <f t="shared" si="17"/>
        <v>622.99754999870402</v>
      </c>
      <c r="F54" s="10">
        <f t="shared" si="18"/>
        <v>474328.01760301279</v>
      </c>
    </row>
    <row r="55" spans="1:6" x14ac:dyDescent="0.2">
      <c r="A55">
        <v>11</v>
      </c>
      <c r="B55" s="10">
        <f t="shared" si="19"/>
        <v>474328.01760301279</v>
      </c>
      <c r="C55" s="10">
        <f t="shared" si="15"/>
        <v>2997.7526257637614</v>
      </c>
      <c r="D55" s="10">
        <f t="shared" si="16"/>
        <v>2371.6400880150641</v>
      </c>
      <c r="E55" s="10">
        <f t="shared" si="17"/>
        <v>626.11253774869738</v>
      </c>
      <c r="F55" s="10">
        <f t="shared" si="18"/>
        <v>473701.90506526409</v>
      </c>
    </row>
    <row r="56" spans="1:6" x14ac:dyDescent="0.2">
      <c r="A56">
        <v>12</v>
      </c>
      <c r="B56" s="10">
        <f t="shared" si="19"/>
        <v>473701.90506526409</v>
      </c>
      <c r="C56" s="10">
        <f t="shared" si="15"/>
        <v>2997.7526257637614</v>
      </c>
      <c r="D56" s="10">
        <f t="shared" si="16"/>
        <v>2368.5095253263203</v>
      </c>
      <c r="E56" s="10">
        <f t="shared" si="17"/>
        <v>629.24310043744117</v>
      </c>
      <c r="F56" s="10">
        <f t="shared" si="18"/>
        <v>473072.66196482664</v>
      </c>
    </row>
    <row r="57" spans="1:6" x14ac:dyDescent="0.2">
      <c r="B57" s="10"/>
      <c r="C57" s="10"/>
      <c r="D57" s="10">
        <f>SUM(D45:D56)</f>
        <v>28625.343007482101</v>
      </c>
      <c r="E57" s="10"/>
      <c r="F57" s="10"/>
    </row>
    <row r="58" spans="1:6" x14ac:dyDescent="0.2">
      <c r="B58" s="10"/>
      <c r="C58" s="10"/>
      <c r="D58" s="10"/>
      <c r="E58" s="10"/>
      <c r="F58" s="10"/>
    </row>
    <row r="59" spans="1:6" x14ac:dyDescent="0.2">
      <c r="B59" s="8"/>
      <c r="C59" s="8"/>
      <c r="D59" s="8"/>
      <c r="E59" s="8"/>
      <c r="F59" s="8"/>
    </row>
    <row r="60" spans="1:6" x14ac:dyDescent="0.2">
      <c r="B60" s="8"/>
      <c r="C60" s="8"/>
      <c r="D60" s="8"/>
      <c r="E60" s="8"/>
      <c r="F60" s="8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orientation="portrait" horizontalDpi="300" verticalDpi="300"/>
  <headerFooter alignWithMargins="0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Expected Value</vt:lpstr>
      <vt:lpstr>Medium</vt:lpstr>
      <vt:lpstr>Bad</vt:lpstr>
      <vt:lpstr>Good</vt:lpstr>
      <vt:lpstr>Mortgage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2019-08-22T21:20:38Z</dcterms:created>
  <dcterms:modified xsi:type="dcterms:W3CDTF">2019-08-22T21:20:44Z</dcterms:modified>
</cp:coreProperties>
</file>