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450" windowWidth="17820" windowHeight="6615"/>
  </bookViews>
  <sheets>
    <sheet name="The Village Gun Store" sheetId="1" r:id="rId1"/>
    <sheet name="Mortgage" sheetId="2" r:id="rId2"/>
  </sheets>
  <calcPr calcId="152511" iterateDelta="1E-4"/>
</workbook>
</file>

<file path=xl/calcChain.xml><?xml version="1.0" encoding="utf-8"?>
<calcChain xmlns="http://schemas.openxmlformats.org/spreadsheetml/2006/main">
  <c r="AA128" i="1" l="1"/>
  <c r="Y128" i="1"/>
  <c r="Y131" i="1"/>
  <c r="U148" i="1"/>
  <c r="O179" i="1" l="1"/>
  <c r="E179" i="1"/>
  <c r="O176" i="1" l="1"/>
  <c r="O175" i="1"/>
  <c r="K176" i="1"/>
  <c r="K175" i="1"/>
  <c r="H176" i="1"/>
  <c r="H175" i="1"/>
  <c r="E176" i="1"/>
  <c r="E175" i="1"/>
  <c r="A187" i="1"/>
  <c r="C181" i="1"/>
  <c r="B184" i="1"/>
  <c r="A184" i="1"/>
  <c r="B181" i="1"/>
  <c r="A181" i="1"/>
  <c r="E183" i="1"/>
  <c r="E185" i="1" s="1"/>
  <c r="E180" i="1"/>
  <c r="E182" i="1" s="1"/>
  <c r="E204" i="1"/>
  <c r="E186" i="1" l="1"/>
  <c r="D188" i="1"/>
  <c r="P85" i="1"/>
  <c r="P200" i="1" l="1"/>
  <c r="P201" i="1" s="1"/>
  <c r="F204" i="1"/>
  <c r="G204" i="1"/>
  <c r="H204" i="1"/>
  <c r="I204" i="1"/>
  <c r="J204" i="1"/>
  <c r="K204" i="1"/>
  <c r="L204" i="1"/>
  <c r="M204" i="1"/>
  <c r="N204" i="1"/>
  <c r="E209" i="1"/>
  <c r="P209" i="1"/>
  <c r="P210" i="1" s="1"/>
  <c r="S128" i="1" l="1"/>
  <c r="C4" i="2" l="1"/>
  <c r="E200" i="1" s="1"/>
  <c r="P86" i="1"/>
  <c r="P87" i="1"/>
  <c r="P88" i="1"/>
  <c r="V9" i="1"/>
  <c r="W7" i="1" s="1"/>
  <c r="F96" i="1"/>
  <c r="S106" i="1"/>
  <c r="AA113" i="1" l="1"/>
  <c r="F109" i="1" l="1"/>
  <c r="W8" i="1" l="1"/>
  <c r="W9" i="1" l="1"/>
  <c r="M64" i="1"/>
  <c r="N64" i="1"/>
  <c r="O64" i="1"/>
  <c r="L64" i="1"/>
  <c r="K64" i="1"/>
  <c r="I64" i="1"/>
  <c r="J64" i="1"/>
  <c r="H64" i="1"/>
  <c r="F64" i="1"/>
  <c r="P101" i="1"/>
  <c r="AB128" i="1" s="1"/>
  <c r="S101" i="1"/>
  <c r="H62" i="1"/>
  <c r="I62" i="1"/>
  <c r="J62" i="1"/>
  <c r="K62" i="1"/>
  <c r="L62" i="1"/>
  <c r="M62" i="1"/>
  <c r="N62" i="1"/>
  <c r="O62" i="1"/>
  <c r="G62" i="1"/>
  <c r="H61" i="1"/>
  <c r="I61" i="1"/>
  <c r="J61" i="1"/>
  <c r="K61" i="1"/>
  <c r="L61" i="1"/>
  <c r="M61" i="1"/>
  <c r="N61" i="1"/>
  <c r="O61" i="1"/>
  <c r="G61" i="1"/>
  <c r="Q14" i="1"/>
  <c r="Q15" i="1"/>
  <c r="Q16" i="1"/>
  <c r="Q13" i="1"/>
  <c r="U17" i="1" l="1"/>
  <c r="AB126" i="1" l="1"/>
  <c r="AA127" i="1"/>
  <c r="AB127" i="1" s="1"/>
  <c r="O127" i="1"/>
  <c r="O93" i="1" s="1"/>
  <c r="N127" i="1"/>
  <c r="N93" i="1" s="1"/>
  <c r="M127" i="1"/>
  <c r="M93" i="1" s="1"/>
  <c r="L127" i="1"/>
  <c r="L93" i="1" s="1"/>
  <c r="K127" i="1"/>
  <c r="K93" i="1" s="1"/>
  <c r="AD115" i="1"/>
  <c r="AC115" i="1"/>
  <c r="AB115" i="1"/>
  <c r="AA115" i="1"/>
  <c r="Z117" i="1"/>
  <c r="F127" i="1" s="1"/>
  <c r="O94" i="1"/>
  <c r="O206" i="1" s="1"/>
  <c r="W33" i="1"/>
  <c r="V33" i="1"/>
  <c r="U33" i="1"/>
  <c r="X25" i="1"/>
  <c r="W25" i="1"/>
  <c r="V25" i="1"/>
  <c r="U25" i="1"/>
  <c r="F93" i="1" l="1"/>
  <c r="F36" i="1"/>
  <c r="G36" i="1" s="1"/>
  <c r="F40" i="1"/>
  <c r="AA117" i="1"/>
  <c r="G127" i="1" s="1"/>
  <c r="G93" i="1" s="1"/>
  <c r="AC107" i="1"/>
  <c r="V17" i="1"/>
  <c r="F24" i="1" s="1"/>
  <c r="W17" i="1"/>
  <c r="F32" i="1" s="1"/>
  <c r="X17" i="1"/>
  <c r="F28" i="1" s="1"/>
  <c r="F20" i="1"/>
  <c r="AB117" i="1" l="1"/>
  <c r="AC117" i="1" s="1"/>
  <c r="AD117" i="1" s="1"/>
  <c r="J127" i="1" s="1"/>
  <c r="J93" i="1" s="1"/>
  <c r="M111" i="1"/>
  <c r="I111" i="1"/>
  <c r="L111" i="1"/>
  <c r="H111" i="1"/>
  <c r="O111" i="1"/>
  <c r="R111" i="1" s="1"/>
  <c r="K111" i="1"/>
  <c r="G111" i="1"/>
  <c r="N111" i="1"/>
  <c r="J111" i="1"/>
  <c r="F111" i="1"/>
  <c r="AC108" i="1"/>
  <c r="G59" i="1"/>
  <c r="H59" i="1" s="1"/>
  <c r="I59" i="1" s="1"/>
  <c r="J59" i="1" s="1"/>
  <c r="K59" i="1" s="1"/>
  <c r="L59" i="1" s="1"/>
  <c r="M59" i="1" s="1"/>
  <c r="N59" i="1" s="1"/>
  <c r="O59" i="1" s="1"/>
  <c r="I127" i="1" l="1"/>
  <c r="I93" i="1" s="1"/>
  <c r="H127" i="1"/>
  <c r="Y127" i="1" s="1"/>
  <c r="O112" i="1"/>
  <c r="R112" i="1" s="1"/>
  <c r="R119" i="1" s="1"/>
  <c r="R123" i="1" s="1"/>
  <c r="R126" i="1" s="1"/>
  <c r="K112" i="1"/>
  <c r="G112" i="1"/>
  <c r="N112" i="1"/>
  <c r="J112" i="1"/>
  <c r="F112" i="1"/>
  <c r="F91" i="1" s="1"/>
  <c r="M112" i="1"/>
  <c r="I112" i="1"/>
  <c r="L112" i="1"/>
  <c r="H112" i="1"/>
  <c r="AC109" i="1"/>
  <c r="AE109" i="1" s="1"/>
  <c r="C1" i="2" s="1"/>
  <c r="R143" i="1"/>
  <c r="R142" i="1"/>
  <c r="H93" i="1" l="1"/>
  <c r="F97" i="1"/>
  <c r="F98" i="1" s="1"/>
  <c r="R144" i="1"/>
  <c r="Q155" i="1" l="1"/>
  <c r="Q151" i="1"/>
  <c r="Q152" i="1"/>
  <c r="F147" i="1"/>
  <c r="G147" i="1"/>
  <c r="H147" i="1"/>
  <c r="I147" i="1"/>
  <c r="J147" i="1"/>
  <c r="K147" i="1"/>
  <c r="L147" i="1"/>
  <c r="M147" i="1"/>
  <c r="N147" i="1"/>
  <c r="O147" i="1"/>
  <c r="E147" i="1"/>
  <c r="G94" i="1"/>
  <c r="F206" i="1" s="1"/>
  <c r="F207" i="1" s="1"/>
  <c r="H94" i="1"/>
  <c r="I94" i="1"/>
  <c r="I206" i="1" s="1"/>
  <c r="I207" i="1" s="1"/>
  <c r="J94" i="1"/>
  <c r="J206" i="1" s="1"/>
  <c r="J207" i="1" s="1"/>
  <c r="K94" i="1"/>
  <c r="K206" i="1" s="1"/>
  <c r="K207" i="1" s="1"/>
  <c r="L94" i="1"/>
  <c r="L206" i="1" s="1"/>
  <c r="L207" i="1" s="1"/>
  <c r="M94" i="1"/>
  <c r="M206" i="1" s="1"/>
  <c r="M207" i="1" s="1"/>
  <c r="N94" i="1"/>
  <c r="N206" i="1" s="1"/>
  <c r="N207" i="1" s="1"/>
  <c r="G55" i="1"/>
  <c r="H55" i="1" s="1"/>
  <c r="I55" i="1" s="1"/>
  <c r="J55" i="1" s="1"/>
  <c r="K55" i="1" s="1"/>
  <c r="L55" i="1" s="1"/>
  <c r="M55" i="1" s="1"/>
  <c r="N55" i="1" s="1"/>
  <c r="O55" i="1" s="1"/>
  <c r="G54" i="1"/>
  <c r="H54" i="1" s="1"/>
  <c r="I54" i="1" s="1"/>
  <c r="J54" i="1" s="1"/>
  <c r="K54" i="1" s="1"/>
  <c r="L54" i="1" s="1"/>
  <c r="M54" i="1" s="1"/>
  <c r="N54" i="1" s="1"/>
  <c r="O54" i="1" s="1"/>
  <c r="G206" i="1" l="1"/>
  <c r="G207" i="1" s="1"/>
  <c r="H206" i="1"/>
  <c r="H207" i="1" s="1"/>
  <c r="G151" i="1"/>
  <c r="H151" i="1"/>
  <c r="I91" i="1"/>
  <c r="I141" i="1" s="1"/>
  <c r="K151" i="1"/>
  <c r="N151" i="1"/>
  <c r="J151" i="1"/>
  <c r="F151" i="1"/>
  <c r="M151" i="1"/>
  <c r="I151" i="1"/>
  <c r="E151" i="1"/>
  <c r="L151" i="1"/>
  <c r="O151" i="1"/>
  <c r="O152" i="1" s="1"/>
  <c r="E155" i="1"/>
  <c r="H155" i="1" l="1"/>
  <c r="Q153" i="1"/>
  <c r="O153" i="1" s="1"/>
  <c r="J91" i="1"/>
  <c r="J141" i="1" s="1"/>
  <c r="I155" i="1"/>
  <c r="O91" i="1"/>
  <c r="O141" i="1" s="1"/>
  <c r="N155" i="1"/>
  <c r="O155" i="1"/>
  <c r="O156" i="1" s="1"/>
  <c r="N91" i="1"/>
  <c r="N141" i="1" s="1"/>
  <c r="M155" i="1"/>
  <c r="H91" i="1"/>
  <c r="H141" i="1" s="1"/>
  <c r="G155" i="1"/>
  <c r="G91" i="1"/>
  <c r="G141" i="1" s="1"/>
  <c r="F155" i="1"/>
  <c r="M91" i="1"/>
  <c r="M141" i="1" s="1"/>
  <c r="L155" i="1"/>
  <c r="L91" i="1"/>
  <c r="L141" i="1" s="1"/>
  <c r="K155" i="1"/>
  <c r="K91" i="1"/>
  <c r="K141" i="1" s="1"/>
  <c r="J155" i="1"/>
  <c r="F113" i="1" l="1"/>
  <c r="G113" i="1" s="1"/>
  <c r="H113" i="1" s="1"/>
  <c r="I113" i="1" s="1"/>
  <c r="J113" i="1" s="1"/>
  <c r="K113" i="1" s="1"/>
  <c r="L113" i="1" s="1"/>
  <c r="M113" i="1" s="1"/>
  <c r="N113" i="1" s="1"/>
  <c r="O113" i="1" s="1"/>
  <c r="Q156" i="1" s="1"/>
  <c r="Q157" i="1" s="1"/>
  <c r="O157" i="1" s="1"/>
  <c r="F141" i="1"/>
  <c r="G64" i="1"/>
  <c r="G68" i="1"/>
  <c r="H68" i="1"/>
  <c r="I68" i="1"/>
  <c r="J68" i="1"/>
  <c r="K68" i="1"/>
  <c r="L68" i="1"/>
  <c r="M68" i="1"/>
  <c r="N68" i="1"/>
  <c r="O68" i="1"/>
  <c r="F68" i="1"/>
  <c r="F66" i="1"/>
  <c r="G67" i="1"/>
  <c r="H67" i="1"/>
  <c r="I67" i="1"/>
  <c r="J67" i="1"/>
  <c r="K67" i="1"/>
  <c r="L67" i="1"/>
  <c r="M67" i="1"/>
  <c r="N67" i="1"/>
  <c r="O67" i="1"/>
  <c r="F67" i="1"/>
  <c r="G65" i="1"/>
  <c r="H65" i="1"/>
  <c r="I65" i="1"/>
  <c r="J65" i="1"/>
  <c r="J83" i="1" s="1"/>
  <c r="J84" i="1" s="1"/>
  <c r="K65" i="1"/>
  <c r="L65" i="1"/>
  <c r="M65" i="1"/>
  <c r="N65" i="1"/>
  <c r="N83" i="1" s="1"/>
  <c r="N84" i="1" s="1"/>
  <c r="O65" i="1"/>
  <c r="F65" i="1"/>
  <c r="G58" i="1"/>
  <c r="F6" i="1"/>
  <c r="F41" i="1"/>
  <c r="F37" i="1"/>
  <c r="F33" i="1"/>
  <c r="F29" i="1"/>
  <c r="F25" i="1"/>
  <c r="F21" i="1"/>
  <c r="G24" i="1"/>
  <c r="G40" i="1"/>
  <c r="G41" i="1" s="1"/>
  <c r="G37" i="1"/>
  <c r="P17" i="1"/>
  <c r="F8" i="1"/>
  <c r="F5" i="1"/>
  <c r="F7" i="1" s="1"/>
  <c r="G8" i="1"/>
  <c r="H8" i="1"/>
  <c r="I8" i="1"/>
  <c r="J8" i="1"/>
  <c r="K8" i="1"/>
  <c r="L8" i="1"/>
  <c r="M8" i="1"/>
  <c r="N8" i="1"/>
  <c r="O8" i="1"/>
  <c r="G6" i="1"/>
  <c r="H6" i="1"/>
  <c r="I6" i="1"/>
  <c r="J6" i="1"/>
  <c r="K6" i="1"/>
  <c r="L6" i="1"/>
  <c r="M6" i="1"/>
  <c r="N6" i="1"/>
  <c r="O6" i="1"/>
  <c r="G3" i="1"/>
  <c r="H3" i="1" s="1"/>
  <c r="I3" i="1" s="1"/>
  <c r="J3" i="1" s="1"/>
  <c r="K3" i="1" s="1"/>
  <c r="L3" i="1" s="1"/>
  <c r="M3" i="1" s="1"/>
  <c r="N3" i="1" s="1"/>
  <c r="O3" i="1" s="1"/>
  <c r="O5" i="1" s="1"/>
  <c r="G32" i="1"/>
  <c r="G28" i="1"/>
  <c r="G29" i="1" s="1"/>
  <c r="G20" i="1"/>
  <c r="G4" i="1"/>
  <c r="H4" i="1" s="1"/>
  <c r="I4" i="1" s="1"/>
  <c r="J4" i="1" s="1"/>
  <c r="K4" i="1" s="1"/>
  <c r="L4" i="1" s="1"/>
  <c r="M4" i="1" s="1"/>
  <c r="N4" i="1" s="1"/>
  <c r="O4" i="1" s="1"/>
  <c r="O83" i="1" l="1"/>
  <c r="O84" i="1" s="1"/>
  <c r="K83" i="1"/>
  <c r="K84" i="1" s="1"/>
  <c r="M83" i="1"/>
  <c r="M84" i="1" s="1"/>
  <c r="I83" i="1"/>
  <c r="I84" i="1" s="1"/>
  <c r="G83" i="1"/>
  <c r="G84" i="1" s="1"/>
  <c r="L83" i="1"/>
  <c r="L84" i="1" s="1"/>
  <c r="H83" i="1"/>
  <c r="H84" i="1" s="1"/>
  <c r="F83" i="1"/>
  <c r="F84" i="1" s="1"/>
  <c r="H58" i="1"/>
  <c r="G96" i="1"/>
  <c r="G25" i="1"/>
  <c r="G33" i="1"/>
  <c r="G21" i="1"/>
  <c r="H36" i="1"/>
  <c r="H40" i="1"/>
  <c r="G5" i="1"/>
  <c r="G7" i="1" s="1"/>
  <c r="G9" i="1" s="1"/>
  <c r="K5" i="1"/>
  <c r="K7" i="1" s="1"/>
  <c r="K9" i="1" s="1"/>
  <c r="F9" i="1"/>
  <c r="M5" i="1"/>
  <c r="M7" i="1" s="1"/>
  <c r="M9" i="1" s="1"/>
  <c r="I5" i="1"/>
  <c r="I7" i="1" s="1"/>
  <c r="I9" i="1" s="1"/>
  <c r="N5" i="1"/>
  <c r="N7" i="1" s="1"/>
  <c r="N9" i="1" s="1"/>
  <c r="J5" i="1"/>
  <c r="J7" i="1" s="1"/>
  <c r="J9" i="1" s="1"/>
  <c r="L5" i="1"/>
  <c r="L7" i="1" s="1"/>
  <c r="L9" i="1" s="1"/>
  <c r="H5" i="1"/>
  <c r="H7" i="1" s="1"/>
  <c r="H9" i="1" s="1"/>
  <c r="O7" i="1"/>
  <c r="O9" i="1" s="1"/>
  <c r="H24" i="1"/>
  <c r="H32" i="1"/>
  <c r="H20" i="1"/>
  <c r="I20" i="1" s="1"/>
  <c r="H28" i="1"/>
  <c r="F94" i="1"/>
  <c r="E206" i="1" s="1"/>
  <c r="E207" i="1" s="1"/>
  <c r="F8" i="2"/>
  <c r="D9" i="2" s="1"/>
  <c r="C3" i="2"/>
  <c r="C5" i="2"/>
  <c r="G97" i="1" l="1"/>
  <c r="G98" i="1" s="1"/>
  <c r="I58" i="1"/>
  <c r="H96" i="1"/>
  <c r="C10" i="2"/>
  <c r="C69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29" i="2"/>
  <c r="C133" i="2"/>
  <c r="C137" i="2"/>
  <c r="C141" i="2"/>
  <c r="C145" i="2"/>
  <c r="C149" i="2"/>
  <c r="C153" i="2"/>
  <c r="C157" i="2"/>
  <c r="C161" i="2"/>
  <c r="C165" i="2"/>
  <c r="C169" i="2"/>
  <c r="C173" i="2"/>
  <c r="C177" i="2"/>
  <c r="C181" i="2"/>
  <c r="C185" i="2"/>
  <c r="C189" i="2"/>
  <c r="C193" i="2"/>
  <c r="C197" i="2"/>
  <c r="C201" i="2"/>
  <c r="C205" i="2"/>
  <c r="C209" i="2"/>
  <c r="C213" i="2"/>
  <c r="C217" i="2"/>
  <c r="C221" i="2"/>
  <c r="C225" i="2"/>
  <c r="C229" i="2"/>
  <c r="C233" i="2"/>
  <c r="C237" i="2"/>
  <c r="C241" i="2"/>
  <c r="C245" i="2"/>
  <c r="C249" i="2"/>
  <c r="C253" i="2"/>
  <c r="C257" i="2"/>
  <c r="C261" i="2"/>
  <c r="C265" i="2"/>
  <c r="C269" i="2"/>
  <c r="C273" i="2"/>
  <c r="C277" i="2"/>
  <c r="C281" i="2"/>
  <c r="C285" i="2"/>
  <c r="C289" i="2"/>
  <c r="C293" i="2"/>
  <c r="C297" i="2"/>
  <c r="C301" i="2"/>
  <c r="C305" i="2"/>
  <c r="C309" i="2"/>
  <c r="C313" i="2"/>
  <c r="C317" i="2"/>
  <c r="C321" i="2"/>
  <c r="C325" i="2"/>
  <c r="C329" i="2"/>
  <c r="C333" i="2"/>
  <c r="C337" i="2"/>
  <c r="C341" i="2"/>
  <c r="C345" i="2"/>
  <c r="C349" i="2"/>
  <c r="C353" i="2"/>
  <c r="C357" i="2"/>
  <c r="C361" i="2"/>
  <c r="C312" i="2"/>
  <c r="C332" i="2"/>
  <c r="C344" i="2"/>
  <c r="C356" i="2"/>
  <c r="C70" i="2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6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182" i="2"/>
  <c r="C186" i="2"/>
  <c r="C190" i="2"/>
  <c r="C194" i="2"/>
  <c r="C198" i="2"/>
  <c r="C202" i="2"/>
  <c r="C206" i="2"/>
  <c r="C210" i="2"/>
  <c r="C214" i="2"/>
  <c r="C218" i="2"/>
  <c r="C222" i="2"/>
  <c r="C226" i="2"/>
  <c r="C230" i="2"/>
  <c r="C234" i="2"/>
  <c r="C238" i="2"/>
  <c r="C242" i="2"/>
  <c r="C246" i="2"/>
  <c r="C250" i="2"/>
  <c r="C254" i="2"/>
  <c r="C258" i="2"/>
  <c r="C262" i="2"/>
  <c r="C266" i="2"/>
  <c r="C270" i="2"/>
  <c r="C274" i="2"/>
  <c r="C278" i="2"/>
  <c r="C282" i="2"/>
  <c r="C286" i="2"/>
  <c r="C290" i="2"/>
  <c r="C294" i="2"/>
  <c r="C298" i="2"/>
  <c r="C302" i="2"/>
  <c r="C306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20" i="2"/>
  <c r="C336" i="2"/>
  <c r="C352" i="2"/>
  <c r="C67" i="2"/>
  <c r="C71" i="2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183" i="2"/>
  <c r="C187" i="2"/>
  <c r="C191" i="2"/>
  <c r="C195" i="2"/>
  <c r="C199" i="2"/>
  <c r="C203" i="2"/>
  <c r="C207" i="2"/>
  <c r="C211" i="2"/>
  <c r="C215" i="2"/>
  <c r="C219" i="2"/>
  <c r="C223" i="2"/>
  <c r="C227" i="2"/>
  <c r="C231" i="2"/>
  <c r="C235" i="2"/>
  <c r="C239" i="2"/>
  <c r="C243" i="2"/>
  <c r="C247" i="2"/>
  <c r="C251" i="2"/>
  <c r="C255" i="2"/>
  <c r="C259" i="2"/>
  <c r="C263" i="2"/>
  <c r="C267" i="2"/>
  <c r="C271" i="2"/>
  <c r="C275" i="2"/>
  <c r="C279" i="2"/>
  <c r="C283" i="2"/>
  <c r="C287" i="2"/>
  <c r="C291" i="2"/>
  <c r="C295" i="2"/>
  <c r="C299" i="2"/>
  <c r="C303" i="2"/>
  <c r="C307" i="2"/>
  <c r="C311" i="2"/>
  <c r="C315" i="2"/>
  <c r="C319" i="2"/>
  <c r="C323" i="2"/>
  <c r="C327" i="2"/>
  <c r="C331" i="2"/>
  <c r="C335" i="2"/>
  <c r="C339" i="2"/>
  <c r="C343" i="2"/>
  <c r="C347" i="2"/>
  <c r="C351" i="2"/>
  <c r="C355" i="2"/>
  <c r="C359" i="2"/>
  <c r="C363" i="2"/>
  <c r="C308" i="2"/>
  <c r="C328" i="2"/>
  <c r="C348" i="2"/>
  <c r="C68" i="2"/>
  <c r="C72" i="2"/>
  <c r="C76" i="2"/>
  <c r="C80" i="2"/>
  <c r="C84" i="2"/>
  <c r="C88" i="2"/>
  <c r="C92" i="2"/>
  <c r="C96" i="2"/>
  <c r="C100" i="2"/>
  <c r="C104" i="2"/>
  <c r="C108" i="2"/>
  <c r="C112" i="2"/>
  <c r="C116" i="2"/>
  <c r="C120" i="2"/>
  <c r="C124" i="2"/>
  <c r="C128" i="2"/>
  <c r="C132" i="2"/>
  <c r="C136" i="2"/>
  <c r="C140" i="2"/>
  <c r="C144" i="2"/>
  <c r="C148" i="2"/>
  <c r="C152" i="2"/>
  <c r="C156" i="2"/>
  <c r="C160" i="2"/>
  <c r="C164" i="2"/>
  <c r="C168" i="2"/>
  <c r="C172" i="2"/>
  <c r="C176" i="2"/>
  <c r="C180" i="2"/>
  <c r="C184" i="2"/>
  <c r="C188" i="2"/>
  <c r="C192" i="2"/>
  <c r="C196" i="2"/>
  <c r="C200" i="2"/>
  <c r="C204" i="2"/>
  <c r="C208" i="2"/>
  <c r="C212" i="2"/>
  <c r="C216" i="2"/>
  <c r="C220" i="2"/>
  <c r="C224" i="2"/>
  <c r="C228" i="2"/>
  <c r="C232" i="2"/>
  <c r="C236" i="2"/>
  <c r="C240" i="2"/>
  <c r="C244" i="2"/>
  <c r="C248" i="2"/>
  <c r="C252" i="2"/>
  <c r="C256" i="2"/>
  <c r="C260" i="2"/>
  <c r="C264" i="2"/>
  <c r="C268" i="2"/>
  <c r="C272" i="2"/>
  <c r="C276" i="2"/>
  <c r="C280" i="2"/>
  <c r="C284" i="2"/>
  <c r="C288" i="2"/>
  <c r="C292" i="2"/>
  <c r="C296" i="2"/>
  <c r="C300" i="2"/>
  <c r="C304" i="2"/>
  <c r="C316" i="2"/>
  <c r="C324" i="2"/>
  <c r="C340" i="2"/>
  <c r="C360" i="2"/>
  <c r="C364" i="2"/>
  <c r="L11" i="1"/>
  <c r="L10" i="1"/>
  <c r="M11" i="1"/>
  <c r="M10" i="1"/>
  <c r="J10" i="1"/>
  <c r="J11" i="1"/>
  <c r="F11" i="1"/>
  <c r="F10" i="1"/>
  <c r="O10" i="1"/>
  <c r="O11" i="1"/>
  <c r="N10" i="1"/>
  <c r="N11" i="1"/>
  <c r="K10" i="1"/>
  <c r="K11" i="1"/>
  <c r="H11" i="1"/>
  <c r="H10" i="1"/>
  <c r="I11" i="1"/>
  <c r="I10" i="1"/>
  <c r="G10" i="1"/>
  <c r="G11" i="1"/>
  <c r="C63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64" i="2"/>
  <c r="C60" i="2"/>
  <c r="C56" i="2"/>
  <c r="C52" i="2"/>
  <c r="C48" i="2"/>
  <c r="C44" i="2"/>
  <c r="C40" i="2"/>
  <c r="C36" i="2"/>
  <c r="C32" i="2"/>
  <c r="C28" i="2"/>
  <c r="C24" i="2"/>
  <c r="C20" i="2"/>
  <c r="C16" i="2"/>
  <c r="C12" i="2"/>
  <c r="C59" i="2"/>
  <c r="C51" i="2"/>
  <c r="C47" i="2"/>
  <c r="C43" i="2"/>
  <c r="C39" i="2"/>
  <c r="C35" i="2"/>
  <c r="C31" i="2"/>
  <c r="C27" i="2"/>
  <c r="C23" i="2"/>
  <c r="C19" i="2"/>
  <c r="C15" i="2"/>
  <c r="C11" i="2"/>
  <c r="C9" i="2"/>
  <c r="E9" i="2" s="1"/>
  <c r="F9" i="2" s="1"/>
  <c r="D10" i="2" s="1"/>
  <c r="C55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I28" i="1"/>
  <c r="H29" i="1"/>
  <c r="H41" i="1"/>
  <c r="H21" i="1"/>
  <c r="H37" i="1"/>
  <c r="H33" i="1"/>
  <c r="I24" i="1"/>
  <c r="H25" i="1"/>
  <c r="I36" i="1"/>
  <c r="J36" i="1" s="1"/>
  <c r="I40" i="1"/>
  <c r="I32" i="1"/>
  <c r="O12" i="1" l="1"/>
  <c r="F12" i="1"/>
  <c r="F13" i="1" s="1"/>
  <c r="F22" i="1" s="1"/>
  <c r="F49" i="1" s="1"/>
  <c r="H97" i="1"/>
  <c r="H98" i="1" s="1"/>
  <c r="G12" i="1"/>
  <c r="G14" i="1" s="1"/>
  <c r="G26" i="1" s="1"/>
  <c r="G45" i="1" s="1"/>
  <c r="H12" i="1"/>
  <c r="H15" i="1" s="1"/>
  <c r="H30" i="1" s="1"/>
  <c r="H46" i="1" s="1"/>
  <c r="N12" i="1"/>
  <c r="N15" i="1" s="1"/>
  <c r="N30" i="1" s="1"/>
  <c r="J58" i="1"/>
  <c r="I96" i="1"/>
  <c r="O13" i="1"/>
  <c r="M12" i="1"/>
  <c r="M16" i="1" s="1"/>
  <c r="M34" i="1" s="1"/>
  <c r="I12" i="1"/>
  <c r="I13" i="1" s="1"/>
  <c r="K12" i="1"/>
  <c r="K13" i="1" s="1"/>
  <c r="K22" i="1" s="1"/>
  <c r="J12" i="1"/>
  <c r="J16" i="1" s="1"/>
  <c r="J34" i="1" s="1"/>
  <c r="L12" i="1"/>
  <c r="L15" i="1" s="1"/>
  <c r="L30" i="1" s="1"/>
  <c r="E10" i="2"/>
  <c r="F10" i="2" s="1"/>
  <c r="D11" i="2" s="1"/>
  <c r="E11" i="2" s="1"/>
  <c r="F11" i="2" s="1"/>
  <c r="D12" i="2" s="1"/>
  <c r="E12" i="2" s="1"/>
  <c r="F12" i="2" s="1"/>
  <c r="J37" i="1"/>
  <c r="I41" i="1"/>
  <c r="J24" i="1"/>
  <c r="I25" i="1"/>
  <c r="I37" i="1"/>
  <c r="J20" i="1"/>
  <c r="I21" i="1"/>
  <c r="I33" i="1"/>
  <c r="J28" i="1"/>
  <c r="I29" i="1"/>
  <c r="J40" i="1"/>
  <c r="K36" i="1"/>
  <c r="L36" i="1" s="1"/>
  <c r="L37" i="1" s="1"/>
  <c r="J32" i="1"/>
  <c r="O22" i="1" l="1"/>
  <c r="H13" i="1"/>
  <c r="H22" i="1" s="1"/>
  <c r="H44" i="1" s="1"/>
  <c r="G13" i="1"/>
  <c r="G22" i="1" s="1"/>
  <c r="G49" i="1" s="1"/>
  <c r="H16" i="1"/>
  <c r="H34" i="1" s="1"/>
  <c r="H47" i="1" s="1"/>
  <c r="H14" i="1"/>
  <c r="H26" i="1" s="1"/>
  <c r="H45" i="1" s="1"/>
  <c r="I16" i="1"/>
  <c r="I34" i="1" s="1"/>
  <c r="I47" i="1" s="1"/>
  <c r="G15" i="1"/>
  <c r="G30" i="1" s="1"/>
  <c r="G46" i="1" s="1"/>
  <c r="G16" i="1"/>
  <c r="G34" i="1" s="1"/>
  <c r="G47" i="1" s="1"/>
  <c r="N14" i="1"/>
  <c r="N26" i="1" s="1"/>
  <c r="K58" i="1"/>
  <c r="J96" i="1"/>
  <c r="N16" i="1"/>
  <c r="N34" i="1" s="1"/>
  <c r="N13" i="1"/>
  <c r="N22" i="1" s="1"/>
  <c r="I97" i="1"/>
  <c r="I98" i="1" s="1"/>
  <c r="J13" i="1"/>
  <c r="J22" i="1" s="1"/>
  <c r="J44" i="1" s="1"/>
  <c r="J14" i="1"/>
  <c r="J26" i="1" s="1"/>
  <c r="J45" i="1" s="1"/>
  <c r="F14" i="1"/>
  <c r="F26" i="1" s="1"/>
  <c r="F50" i="1" s="1"/>
  <c r="F16" i="1"/>
  <c r="F34" i="1" s="1"/>
  <c r="F52" i="1" s="1"/>
  <c r="F15" i="1"/>
  <c r="F30" i="1" s="1"/>
  <c r="L13" i="1"/>
  <c r="L22" i="1" s="1"/>
  <c r="M14" i="1"/>
  <c r="M26" i="1" s="1"/>
  <c r="O14" i="1"/>
  <c r="O26" i="1" s="1"/>
  <c r="G44" i="1"/>
  <c r="H51" i="1"/>
  <c r="L16" i="1"/>
  <c r="L34" i="1" s="1"/>
  <c r="M13" i="1"/>
  <c r="M22" i="1" s="1"/>
  <c r="L14" i="1"/>
  <c r="L26" i="1" s="1"/>
  <c r="I15" i="1"/>
  <c r="I30" i="1" s="1"/>
  <c r="I46" i="1" s="1"/>
  <c r="O15" i="1"/>
  <c r="O30" i="1" s="1"/>
  <c r="K15" i="1"/>
  <c r="K30" i="1" s="1"/>
  <c r="M15" i="1"/>
  <c r="M30" i="1" s="1"/>
  <c r="O16" i="1"/>
  <c r="O34" i="1" s="1"/>
  <c r="K16" i="1"/>
  <c r="K34" i="1" s="1"/>
  <c r="K14" i="1"/>
  <c r="K26" i="1" s="1"/>
  <c r="I22" i="1"/>
  <c r="I44" i="1" s="1"/>
  <c r="J15" i="1"/>
  <c r="I14" i="1"/>
  <c r="I26" i="1" s="1"/>
  <c r="I45" i="1" s="1"/>
  <c r="G50" i="1"/>
  <c r="F44" i="1"/>
  <c r="J25" i="1"/>
  <c r="K24" i="1"/>
  <c r="L24" i="1" s="1"/>
  <c r="J21" i="1"/>
  <c r="K20" i="1"/>
  <c r="L20" i="1" s="1"/>
  <c r="J47" i="1"/>
  <c r="J33" i="1"/>
  <c r="J52" i="1" s="1"/>
  <c r="K37" i="1"/>
  <c r="J29" i="1"/>
  <c r="K28" i="1"/>
  <c r="L28" i="1" s="1"/>
  <c r="L29" i="1" s="1"/>
  <c r="J41" i="1"/>
  <c r="K40" i="1"/>
  <c r="L40" i="1" s="1"/>
  <c r="L41" i="1" s="1"/>
  <c r="K32" i="1"/>
  <c r="L32" i="1" s="1"/>
  <c r="L33" i="1" s="1"/>
  <c r="D13" i="2"/>
  <c r="E13" i="2" s="1"/>
  <c r="F13" i="2" s="1"/>
  <c r="O17" i="1" l="1"/>
  <c r="O42" i="1" s="1"/>
  <c r="K45" i="1"/>
  <c r="K44" i="1"/>
  <c r="L25" i="1"/>
  <c r="M24" i="1"/>
  <c r="M25" i="1" s="1"/>
  <c r="M20" i="1"/>
  <c r="M21" i="1" s="1"/>
  <c r="L21" i="1"/>
  <c r="H52" i="1"/>
  <c r="H49" i="1"/>
  <c r="H17" i="1"/>
  <c r="H42" i="1" s="1"/>
  <c r="H78" i="1" s="1"/>
  <c r="G51" i="1"/>
  <c r="H72" i="1"/>
  <c r="H50" i="1"/>
  <c r="I52" i="1"/>
  <c r="G72" i="1"/>
  <c r="G17" i="1"/>
  <c r="G42" i="1" s="1"/>
  <c r="G78" i="1" s="1"/>
  <c r="G52" i="1"/>
  <c r="J49" i="1"/>
  <c r="N17" i="1"/>
  <c r="N42" i="1" s="1"/>
  <c r="J97" i="1"/>
  <c r="J98" i="1" s="1"/>
  <c r="L58" i="1"/>
  <c r="K96" i="1"/>
  <c r="F45" i="1"/>
  <c r="J50" i="1"/>
  <c r="F17" i="1"/>
  <c r="F47" i="1"/>
  <c r="I51" i="1"/>
  <c r="F46" i="1"/>
  <c r="F51" i="1"/>
  <c r="F76" i="1" s="1"/>
  <c r="L17" i="1"/>
  <c r="L42" i="1" s="1"/>
  <c r="I72" i="1"/>
  <c r="M17" i="1"/>
  <c r="M42" i="1" s="1"/>
  <c r="K17" i="1"/>
  <c r="K42" i="1" s="1"/>
  <c r="K74" i="1" s="1"/>
  <c r="I49" i="1"/>
  <c r="I50" i="1"/>
  <c r="I17" i="1"/>
  <c r="I42" i="1" s="1"/>
  <c r="J30" i="1"/>
  <c r="J46" i="1" s="1"/>
  <c r="J72" i="1" s="1"/>
  <c r="J17" i="1"/>
  <c r="J42" i="1" s="1"/>
  <c r="J74" i="1" s="1"/>
  <c r="K41" i="1"/>
  <c r="K25" i="1"/>
  <c r="K50" i="1" s="1"/>
  <c r="K47" i="1"/>
  <c r="K33" i="1"/>
  <c r="K52" i="1" s="1"/>
  <c r="K21" i="1"/>
  <c r="K49" i="1" s="1"/>
  <c r="K29" i="1"/>
  <c r="K51" i="1" s="1"/>
  <c r="K46" i="1"/>
  <c r="M36" i="1"/>
  <c r="M37" i="1" s="1"/>
  <c r="D14" i="2"/>
  <c r="H38" i="1" l="1"/>
  <c r="H73" i="1" s="1"/>
  <c r="L38" i="1"/>
  <c r="L73" i="1" s="1"/>
  <c r="F38" i="1"/>
  <c r="F77" i="1" s="1"/>
  <c r="I38" i="1"/>
  <c r="I77" i="1" s="1"/>
  <c r="M38" i="1"/>
  <c r="M73" i="1" s="1"/>
  <c r="N38" i="1"/>
  <c r="K38" i="1"/>
  <c r="K73" i="1" s="1"/>
  <c r="J38" i="1"/>
  <c r="J73" i="1" s="1"/>
  <c r="J108" i="1" s="1"/>
  <c r="G38" i="1"/>
  <c r="G73" i="1" s="1"/>
  <c r="O38" i="1"/>
  <c r="K72" i="1"/>
  <c r="F42" i="1"/>
  <c r="F78" i="1" s="1"/>
  <c r="H76" i="1"/>
  <c r="G76" i="1"/>
  <c r="H74" i="1"/>
  <c r="G74" i="1"/>
  <c r="K97" i="1"/>
  <c r="K98" i="1" s="1"/>
  <c r="M58" i="1"/>
  <c r="L96" i="1"/>
  <c r="F72" i="1"/>
  <c r="L74" i="1"/>
  <c r="K78" i="1"/>
  <c r="I76" i="1"/>
  <c r="J78" i="1"/>
  <c r="I78" i="1"/>
  <c r="I74" i="1"/>
  <c r="J51" i="1"/>
  <c r="J76" i="1" s="1"/>
  <c r="K76" i="1"/>
  <c r="E14" i="2"/>
  <c r="F14" i="2" s="1"/>
  <c r="D15" i="2" s="1"/>
  <c r="E15" i="2" s="1"/>
  <c r="F15" i="2" s="1"/>
  <c r="L50" i="1"/>
  <c r="L45" i="1"/>
  <c r="L78" i="1"/>
  <c r="L44" i="1"/>
  <c r="L49" i="1"/>
  <c r="L47" i="1"/>
  <c r="L52" i="1"/>
  <c r="L46" i="1"/>
  <c r="L51" i="1"/>
  <c r="M28" i="1"/>
  <c r="M29" i="1" s="1"/>
  <c r="M40" i="1"/>
  <c r="N36" i="1"/>
  <c r="N37" i="1" s="1"/>
  <c r="M32" i="1"/>
  <c r="M33" i="1" s="1"/>
  <c r="G108" i="1" l="1"/>
  <c r="M74" i="1"/>
  <c r="M41" i="1"/>
  <c r="M78" i="1" s="1"/>
  <c r="H108" i="1"/>
  <c r="F56" i="1"/>
  <c r="G56" i="1" s="1"/>
  <c r="H56" i="1" s="1"/>
  <c r="I56" i="1" s="1"/>
  <c r="J56" i="1" s="1"/>
  <c r="K56" i="1" s="1"/>
  <c r="L56" i="1" s="1"/>
  <c r="M56" i="1" s="1"/>
  <c r="N56" i="1" s="1"/>
  <c r="O56" i="1" s="1"/>
  <c r="E149" i="1"/>
  <c r="L97" i="1"/>
  <c r="L98" i="1" s="1"/>
  <c r="N58" i="1"/>
  <c r="M96" i="1"/>
  <c r="F74" i="1"/>
  <c r="L77" i="1"/>
  <c r="G77" i="1"/>
  <c r="K77" i="1"/>
  <c r="J77" i="1"/>
  <c r="J79" i="1" s="1"/>
  <c r="N73" i="1"/>
  <c r="I73" i="1"/>
  <c r="I108" i="1" s="1"/>
  <c r="K108" i="1"/>
  <c r="F73" i="1"/>
  <c r="F79" i="1" s="1"/>
  <c r="F82" i="1" s="1"/>
  <c r="M77" i="1"/>
  <c r="H77" i="1"/>
  <c r="H117" i="1" s="1"/>
  <c r="F117" i="1"/>
  <c r="I117" i="1"/>
  <c r="L76" i="1"/>
  <c r="L72" i="1"/>
  <c r="L108" i="1" s="1"/>
  <c r="M44" i="1"/>
  <c r="M49" i="1"/>
  <c r="N20" i="1"/>
  <c r="N21" i="1" s="1"/>
  <c r="M47" i="1"/>
  <c r="M52" i="1"/>
  <c r="M45" i="1"/>
  <c r="M50" i="1"/>
  <c r="N24" i="1"/>
  <c r="N25" i="1" s="1"/>
  <c r="N77" i="1"/>
  <c r="M46" i="1"/>
  <c r="M51" i="1"/>
  <c r="N28" i="1"/>
  <c r="N29" i="1" s="1"/>
  <c r="N40" i="1"/>
  <c r="O36" i="1"/>
  <c r="N32" i="1"/>
  <c r="N33" i="1" s="1"/>
  <c r="D16" i="2"/>
  <c r="E16" i="2" s="1"/>
  <c r="F16" i="2" s="1"/>
  <c r="E160" i="1" l="1"/>
  <c r="J148" i="1"/>
  <c r="H148" i="1"/>
  <c r="F88" i="1"/>
  <c r="G88" i="1" s="1"/>
  <c r="H88" i="1" s="1"/>
  <c r="I88" i="1" s="1"/>
  <c r="J88" i="1" s="1"/>
  <c r="K88" i="1" s="1"/>
  <c r="L88" i="1" s="1"/>
  <c r="M88" i="1" s="1"/>
  <c r="N88" i="1" s="1"/>
  <c r="O88" i="1" s="1"/>
  <c r="F85" i="1"/>
  <c r="G85" i="1" s="1"/>
  <c r="H85" i="1" s="1"/>
  <c r="I85" i="1" s="1"/>
  <c r="J85" i="1" s="1"/>
  <c r="K85" i="1" s="1"/>
  <c r="L85" i="1" s="1"/>
  <c r="M85" i="1" s="1"/>
  <c r="N85" i="1" s="1"/>
  <c r="O85" i="1" s="1"/>
  <c r="F87" i="1"/>
  <c r="G87" i="1" s="1"/>
  <c r="H87" i="1" s="1"/>
  <c r="I87" i="1" s="1"/>
  <c r="J87" i="1" s="1"/>
  <c r="K87" i="1" s="1"/>
  <c r="L87" i="1" s="1"/>
  <c r="M87" i="1" s="1"/>
  <c r="N87" i="1" s="1"/>
  <c r="O87" i="1" s="1"/>
  <c r="G82" i="1"/>
  <c r="H82" i="1" s="1"/>
  <c r="I82" i="1" s="1"/>
  <c r="J82" i="1" s="1"/>
  <c r="K82" i="1" s="1"/>
  <c r="L82" i="1" s="1"/>
  <c r="M82" i="1" s="1"/>
  <c r="N82" i="1" s="1"/>
  <c r="O82" i="1" s="1"/>
  <c r="F86" i="1"/>
  <c r="G86" i="1" s="1"/>
  <c r="H86" i="1" s="1"/>
  <c r="I86" i="1" s="1"/>
  <c r="J86" i="1" s="1"/>
  <c r="K86" i="1" s="1"/>
  <c r="L86" i="1" s="1"/>
  <c r="M86" i="1" s="1"/>
  <c r="N86" i="1" s="1"/>
  <c r="O86" i="1" s="1"/>
  <c r="G148" i="1"/>
  <c r="O73" i="1"/>
  <c r="O37" i="1"/>
  <c r="N74" i="1"/>
  <c r="N41" i="1"/>
  <c r="K109" i="1"/>
  <c r="K114" i="1" s="1"/>
  <c r="I109" i="1"/>
  <c r="I114" i="1" s="1"/>
  <c r="G109" i="1"/>
  <c r="F149" i="1" s="1"/>
  <c r="K117" i="1"/>
  <c r="M97" i="1"/>
  <c r="M98" i="1" s="1"/>
  <c r="O58" i="1"/>
  <c r="O96" i="1" s="1"/>
  <c r="N96" i="1"/>
  <c r="G79" i="1"/>
  <c r="G117" i="1"/>
  <c r="H79" i="1"/>
  <c r="F108" i="1"/>
  <c r="F121" i="1" s="1"/>
  <c r="K148" i="1"/>
  <c r="K79" i="1"/>
  <c r="J117" i="1"/>
  <c r="J109" i="1"/>
  <c r="J121" i="1" s="1"/>
  <c r="I148" i="1"/>
  <c r="H109" i="1"/>
  <c r="H121" i="1" s="1"/>
  <c r="I79" i="1"/>
  <c r="H160" i="1"/>
  <c r="L117" i="1"/>
  <c r="L109" i="1"/>
  <c r="L121" i="1" s="1"/>
  <c r="L79" i="1"/>
  <c r="M76" i="1"/>
  <c r="M72" i="1"/>
  <c r="N47" i="1"/>
  <c r="N52" i="1"/>
  <c r="N51" i="1"/>
  <c r="N46" i="1"/>
  <c r="O28" i="1"/>
  <c r="O29" i="1" s="1"/>
  <c r="O77" i="1"/>
  <c r="N45" i="1"/>
  <c r="N50" i="1"/>
  <c r="O24" i="1"/>
  <c r="O25" i="1" s="1"/>
  <c r="N49" i="1"/>
  <c r="N44" i="1"/>
  <c r="O20" i="1"/>
  <c r="O21" i="1" s="1"/>
  <c r="O40" i="1"/>
  <c r="O32" i="1"/>
  <c r="O33" i="1" s="1"/>
  <c r="D17" i="2"/>
  <c r="E17" i="2" s="1"/>
  <c r="F17" i="2" s="1"/>
  <c r="K121" i="1" l="1"/>
  <c r="G160" i="1"/>
  <c r="I121" i="1"/>
  <c r="G121" i="1"/>
  <c r="O74" i="1"/>
  <c r="O41" i="1"/>
  <c r="J149" i="1"/>
  <c r="H149" i="1"/>
  <c r="G114" i="1"/>
  <c r="E148" i="1"/>
  <c r="F114" i="1"/>
  <c r="K160" i="1"/>
  <c r="J160" i="1"/>
  <c r="N97" i="1"/>
  <c r="N98" i="1" s="1"/>
  <c r="O97" i="1"/>
  <c r="O98" i="1" s="1"/>
  <c r="F160" i="1"/>
  <c r="H114" i="1"/>
  <c r="F148" i="1"/>
  <c r="I160" i="1"/>
  <c r="I149" i="1"/>
  <c r="J114" i="1"/>
  <c r="G149" i="1"/>
  <c r="J89" i="1"/>
  <c r="L114" i="1"/>
  <c r="K149" i="1"/>
  <c r="M79" i="1"/>
  <c r="M108" i="1"/>
  <c r="M117" i="1"/>
  <c r="M109" i="1"/>
  <c r="L149" i="1" s="1"/>
  <c r="N76" i="1"/>
  <c r="N72" i="1"/>
  <c r="N108" i="1" s="1"/>
  <c r="N78" i="1"/>
  <c r="O44" i="1"/>
  <c r="O49" i="1"/>
  <c r="O47" i="1"/>
  <c r="O52" i="1"/>
  <c r="O50" i="1"/>
  <c r="O45" i="1"/>
  <c r="O46" i="1"/>
  <c r="O51" i="1"/>
  <c r="D18" i="2"/>
  <c r="E18" i="2" s="1"/>
  <c r="F18" i="2" s="1"/>
  <c r="L160" i="1" l="1"/>
  <c r="L148" i="1"/>
  <c r="M121" i="1"/>
  <c r="F89" i="1"/>
  <c r="G89" i="1"/>
  <c r="G140" i="1" s="1"/>
  <c r="G142" i="1" s="1"/>
  <c r="G143" i="1" s="1"/>
  <c r="H89" i="1"/>
  <c r="H140" i="1" s="1"/>
  <c r="H142" i="1" s="1"/>
  <c r="H143" i="1" s="1"/>
  <c r="H144" i="1" s="1"/>
  <c r="H165" i="1" s="1"/>
  <c r="K89" i="1"/>
  <c r="K140" i="1" s="1"/>
  <c r="K142" i="1" s="1"/>
  <c r="K143" i="1" s="1"/>
  <c r="J140" i="1"/>
  <c r="J142" i="1" s="1"/>
  <c r="J143" i="1" s="1"/>
  <c r="I89" i="1"/>
  <c r="M148" i="1"/>
  <c r="L89" i="1"/>
  <c r="M114" i="1"/>
  <c r="N117" i="1"/>
  <c r="N109" i="1"/>
  <c r="M149" i="1" s="1"/>
  <c r="O76" i="1"/>
  <c r="N79" i="1"/>
  <c r="O72" i="1"/>
  <c r="O108" i="1" s="1"/>
  <c r="O78" i="1"/>
  <c r="D19" i="2"/>
  <c r="E19" i="2" s="1"/>
  <c r="F19" i="2" s="1"/>
  <c r="N121" i="1" l="1"/>
  <c r="M160" i="1"/>
  <c r="O148" i="1"/>
  <c r="S108" i="1"/>
  <c r="F140" i="1"/>
  <c r="F142" i="1" s="1"/>
  <c r="L140" i="1"/>
  <c r="L142" i="1" s="1"/>
  <c r="L143" i="1" s="1"/>
  <c r="I140" i="1"/>
  <c r="I142" i="1" s="1"/>
  <c r="I143" i="1" s="1"/>
  <c r="H161" i="1" s="1"/>
  <c r="H164" i="1" s="1"/>
  <c r="H166" i="1" s="1"/>
  <c r="J161" i="1"/>
  <c r="J164" i="1" s="1"/>
  <c r="N114" i="1"/>
  <c r="G144" i="1"/>
  <c r="G165" i="1" s="1"/>
  <c r="J144" i="1"/>
  <c r="J165" i="1" s="1"/>
  <c r="G161" i="1"/>
  <c r="G164" i="1" s="1"/>
  <c r="K144" i="1"/>
  <c r="K165" i="1" s="1"/>
  <c r="N148" i="1"/>
  <c r="M89" i="1"/>
  <c r="O109" i="1"/>
  <c r="O121" i="1" s="1"/>
  <c r="O117" i="1"/>
  <c r="O79" i="1"/>
  <c r="D20" i="2"/>
  <c r="H184" i="1" l="1"/>
  <c r="H185" i="1" s="1"/>
  <c r="H178" i="1"/>
  <c r="S117" i="1"/>
  <c r="O149" i="1"/>
  <c r="S109" i="1"/>
  <c r="F143" i="1"/>
  <c r="I144" i="1"/>
  <c r="I165" i="1" s="1"/>
  <c r="M140" i="1"/>
  <c r="M142" i="1" s="1"/>
  <c r="M143" i="1" s="1"/>
  <c r="I161" i="1"/>
  <c r="I164" i="1" s="1"/>
  <c r="J166" i="1"/>
  <c r="L144" i="1"/>
  <c r="L165" i="1" s="1"/>
  <c r="K161" i="1"/>
  <c r="K164" i="1" s="1"/>
  <c r="K166" i="1" s="1"/>
  <c r="G166" i="1"/>
  <c r="O160" i="1"/>
  <c r="N160" i="1"/>
  <c r="O114" i="1"/>
  <c r="N149" i="1"/>
  <c r="N89" i="1"/>
  <c r="E20" i="2"/>
  <c r="F20" i="2" s="1"/>
  <c r="H20" i="2" s="1"/>
  <c r="F126" i="1" s="1"/>
  <c r="E195" i="1" s="1"/>
  <c r="E198" i="1" s="1"/>
  <c r="G20" i="2"/>
  <c r="F92" i="1" s="1"/>
  <c r="F197" i="1" s="1"/>
  <c r="J181" i="1" l="1"/>
  <c r="J182" i="1" s="1"/>
  <c r="J178" i="1"/>
  <c r="J179" i="1" s="1"/>
  <c r="H179" i="1"/>
  <c r="H181" i="1"/>
  <c r="H182" i="1" s="1"/>
  <c r="G184" i="1"/>
  <c r="G185" i="1" s="1"/>
  <c r="G178" i="1"/>
  <c r="K181" i="1"/>
  <c r="K182" i="1" s="1"/>
  <c r="K178" i="1"/>
  <c r="K179" i="1" s="1"/>
  <c r="S119" i="1"/>
  <c r="S123" i="1" s="1"/>
  <c r="F122" i="1"/>
  <c r="F123" i="1" s="1"/>
  <c r="E161" i="1"/>
  <c r="F100" i="1"/>
  <c r="F101" i="1" s="1"/>
  <c r="F102" i="1" s="1"/>
  <c r="F161" i="1"/>
  <c r="F164" i="1" s="1"/>
  <c r="I166" i="1"/>
  <c r="F144" i="1"/>
  <c r="F165" i="1" s="1"/>
  <c r="N140" i="1"/>
  <c r="N142" i="1" s="1"/>
  <c r="N143" i="1" s="1"/>
  <c r="O89" i="1"/>
  <c r="O140" i="1" s="1"/>
  <c r="O142" i="1" s="1"/>
  <c r="M144" i="1"/>
  <c r="M165" i="1" s="1"/>
  <c r="L161" i="1"/>
  <c r="L164" i="1" s="1"/>
  <c r="L166" i="1" s="1"/>
  <c r="L178" i="1" s="1"/>
  <c r="L179" i="1" s="1"/>
  <c r="D21" i="2"/>
  <c r="E164" i="1" l="1"/>
  <c r="E166" i="1" s="1"/>
  <c r="I178" i="1"/>
  <c r="I179" i="1" s="1"/>
  <c r="I181" i="1"/>
  <c r="I182" i="1" s="1"/>
  <c r="G179" i="1"/>
  <c r="G181" i="1"/>
  <c r="G182" i="1" s="1"/>
  <c r="F166" i="1"/>
  <c r="N144" i="1"/>
  <c r="N165" i="1" s="1"/>
  <c r="M161" i="1"/>
  <c r="M164" i="1" s="1"/>
  <c r="M166" i="1" s="1"/>
  <c r="M178" i="1" s="1"/>
  <c r="M179" i="1" s="1"/>
  <c r="O143" i="1"/>
  <c r="F118" i="1"/>
  <c r="E21" i="2"/>
  <c r="F21" i="2" s="1"/>
  <c r="D22" i="2" s="1"/>
  <c r="E22" i="2" s="1"/>
  <c r="F22" i="2" s="1"/>
  <c r="D23" i="2" s="1"/>
  <c r="E23" i="2" s="1"/>
  <c r="F23" i="2" s="1"/>
  <c r="F178" i="1" l="1"/>
  <c r="F184" i="1"/>
  <c r="F185" i="1" s="1"/>
  <c r="D185" i="1" s="1"/>
  <c r="O144" i="1"/>
  <c r="O165" i="1" s="1"/>
  <c r="N161" i="1"/>
  <c r="N164" i="1" s="1"/>
  <c r="N166" i="1" s="1"/>
  <c r="N178" i="1" s="1"/>
  <c r="O161" i="1"/>
  <c r="O164" i="1" s="1"/>
  <c r="D24" i="2"/>
  <c r="E24" i="2" s="1"/>
  <c r="F24" i="2" s="1"/>
  <c r="N179" i="1" l="1"/>
  <c r="F179" i="1"/>
  <c r="F181" i="1"/>
  <c r="F182" i="1" s="1"/>
  <c r="D182" i="1" s="1"/>
  <c r="O166" i="1"/>
  <c r="E167" i="1" s="1"/>
  <c r="F132" i="1"/>
  <c r="D25" i="2"/>
  <c r="D179" i="1" l="1"/>
  <c r="D189" i="1" s="1"/>
  <c r="F134" i="1"/>
  <c r="F136" i="1" s="1"/>
  <c r="E25" i="2"/>
  <c r="F25" i="2" s="1"/>
  <c r="D26" i="2" s="1"/>
  <c r="E26" i="2" s="1"/>
  <c r="F26" i="2" s="1"/>
  <c r="D27" i="2" l="1"/>
  <c r="E27" i="2" s="1"/>
  <c r="F27" i="2" s="1"/>
  <c r="D28" i="2" l="1"/>
  <c r="E28" i="2" s="1"/>
  <c r="F28" i="2" s="1"/>
  <c r="D29" i="2" l="1"/>
  <c r="E29" i="2" s="1"/>
  <c r="F29" i="2" s="1"/>
  <c r="D30" i="2" l="1"/>
  <c r="E30" i="2" s="1"/>
  <c r="F30" i="2" s="1"/>
  <c r="D31" i="2" l="1"/>
  <c r="E31" i="2" s="1"/>
  <c r="F31" i="2" s="1"/>
  <c r="D32" i="2" l="1"/>
  <c r="E32" i="2" l="1"/>
  <c r="F32" i="2" s="1"/>
  <c r="H32" i="2" s="1"/>
  <c r="G126" i="1" s="1"/>
  <c r="F195" i="1" s="1"/>
  <c r="F198" i="1" s="1"/>
  <c r="G32" i="2"/>
  <c r="G92" i="1" s="1"/>
  <c r="G197" i="1" s="1"/>
  <c r="G122" i="1" l="1"/>
  <c r="G123" i="1" s="1"/>
  <c r="G100" i="1"/>
  <c r="G101" i="1" s="1"/>
  <c r="D33" i="2"/>
  <c r="E33" i="2" s="1"/>
  <c r="F33" i="2" s="1"/>
  <c r="D34" i="2" s="1"/>
  <c r="E34" i="2" s="1"/>
  <c r="F34" i="2" s="1"/>
  <c r="G102" i="1" l="1"/>
  <c r="G132" i="1" s="1"/>
  <c r="G118" i="1"/>
  <c r="D35" i="2"/>
  <c r="E35" i="2" s="1"/>
  <c r="F35" i="2" s="1"/>
  <c r="G134" i="1" l="1"/>
  <c r="G136" i="1" s="1"/>
  <c r="D36" i="2"/>
  <c r="E36" i="2" s="1"/>
  <c r="F36" i="2" s="1"/>
  <c r="D37" i="2" l="1"/>
  <c r="E37" i="2" s="1"/>
  <c r="F37" i="2" s="1"/>
  <c r="D38" i="2" l="1"/>
  <c r="E38" i="2" l="1"/>
  <c r="F38" i="2" s="1"/>
  <c r="D39" i="2" s="1"/>
  <c r="E39" i="2" s="1"/>
  <c r="F39" i="2" s="1"/>
  <c r="D40" i="2" l="1"/>
  <c r="E40" i="2" s="1"/>
  <c r="F40" i="2" s="1"/>
  <c r="D41" i="2" l="1"/>
  <c r="E41" i="2" s="1"/>
  <c r="F41" i="2" s="1"/>
  <c r="D42" i="2" l="1"/>
  <c r="E42" i="2" s="1"/>
  <c r="F42" i="2" s="1"/>
  <c r="D43" i="2" l="1"/>
  <c r="E43" i="2" s="1"/>
  <c r="F43" i="2" s="1"/>
  <c r="D44" i="2" l="1"/>
  <c r="E44" i="2" l="1"/>
  <c r="F44" i="2" s="1"/>
  <c r="H44" i="2" s="1"/>
  <c r="H126" i="1" s="1"/>
  <c r="G195" i="1" s="1"/>
  <c r="G198" i="1" s="1"/>
  <c r="G44" i="2"/>
  <c r="H122" i="1" l="1"/>
  <c r="H123" i="1" s="1"/>
  <c r="H92" i="1"/>
  <c r="H197" i="1" s="1"/>
  <c r="D45" i="2"/>
  <c r="E45" i="2" s="1"/>
  <c r="F45" i="2" s="1"/>
  <c r="D46" i="2" s="1"/>
  <c r="E46" i="2" s="1"/>
  <c r="F46" i="2" s="1"/>
  <c r="H100" i="1" l="1"/>
  <c r="H101" i="1" s="1"/>
  <c r="D47" i="2"/>
  <c r="H102" i="1" l="1"/>
  <c r="H132" i="1" s="1"/>
  <c r="H118" i="1"/>
  <c r="E47" i="2"/>
  <c r="F47" i="2" s="1"/>
  <c r="D48" i="2" s="1"/>
  <c r="E48" i="2" s="1"/>
  <c r="F48" i="2" s="1"/>
  <c r="H134" i="1" l="1"/>
  <c r="H136" i="1" s="1"/>
  <c r="D49" i="2"/>
  <c r="E49" i="2" s="1"/>
  <c r="F49" i="2" s="1"/>
  <c r="D50" i="2" l="1"/>
  <c r="E50" i="2" l="1"/>
  <c r="F50" i="2" s="1"/>
  <c r="D51" i="2" s="1"/>
  <c r="E51" i="2" l="1"/>
  <c r="F51" i="2" s="1"/>
  <c r="D52" i="2" s="1"/>
  <c r="E52" i="2" s="1"/>
  <c r="F52" i="2" s="1"/>
  <c r="D53" i="2" l="1"/>
  <c r="E53" i="2" s="1"/>
  <c r="F53" i="2" s="1"/>
  <c r="D54" i="2" l="1"/>
  <c r="E54" i="2" s="1"/>
  <c r="F54" i="2" s="1"/>
  <c r="D55" i="2" l="1"/>
  <c r="E55" i="2" s="1"/>
  <c r="F55" i="2" s="1"/>
  <c r="D56" i="2" l="1"/>
  <c r="E56" i="2" l="1"/>
  <c r="F56" i="2" s="1"/>
  <c r="H56" i="2" s="1"/>
  <c r="I126" i="1" s="1"/>
  <c r="H195" i="1" s="1"/>
  <c r="H198" i="1" s="1"/>
  <c r="G56" i="2"/>
  <c r="I122" i="1" l="1"/>
  <c r="I123" i="1" s="1"/>
  <c r="I92" i="1"/>
  <c r="I197" i="1" s="1"/>
  <c r="D57" i="2"/>
  <c r="I100" i="1" l="1"/>
  <c r="I101" i="1" s="1"/>
  <c r="I102" i="1" s="1"/>
  <c r="I132" i="1" s="1"/>
  <c r="E57" i="2"/>
  <c r="F57" i="2" s="1"/>
  <c r="D58" i="2" s="1"/>
  <c r="E58" i="2" s="1"/>
  <c r="F58" i="2" s="1"/>
  <c r="D59" i="2" s="1"/>
  <c r="E59" i="2" s="1"/>
  <c r="F59" i="2" s="1"/>
  <c r="I118" i="1" l="1"/>
  <c r="D60" i="2"/>
  <c r="E60" i="2" s="1"/>
  <c r="F60" i="2" s="1"/>
  <c r="I134" i="1" l="1"/>
  <c r="I136" i="1" s="1"/>
  <c r="D61" i="2"/>
  <c r="E61" i="2" l="1"/>
  <c r="F61" i="2" s="1"/>
  <c r="D62" i="2" s="1"/>
  <c r="E62" i="2" s="1"/>
  <c r="F62" i="2" s="1"/>
  <c r="D63" i="2" l="1"/>
  <c r="E63" i="2" l="1"/>
  <c r="F63" i="2" s="1"/>
  <c r="D64" i="2" s="1"/>
  <c r="E64" i="2" s="1"/>
  <c r="F64" i="2" s="1"/>
  <c r="D65" i="2" l="1"/>
  <c r="E65" i="2" l="1"/>
  <c r="F65" i="2" s="1"/>
  <c r="D66" i="2" s="1"/>
  <c r="E66" i="2" s="1"/>
  <c r="F66" i="2" s="1"/>
  <c r="D67" i="2" s="1"/>
  <c r="E67" i="2" s="1"/>
  <c r="F67" i="2" s="1"/>
  <c r="D68" i="2" s="1"/>
  <c r="E68" i="2" l="1"/>
  <c r="F68" i="2" s="1"/>
  <c r="G68" i="2"/>
  <c r="J92" i="1" s="1"/>
  <c r="J197" i="1" s="1"/>
  <c r="J100" i="1" l="1"/>
  <c r="J101" i="1" s="1"/>
  <c r="J102" i="1" s="1"/>
  <c r="J132" i="1" s="1"/>
  <c r="D69" i="2"/>
  <c r="H68" i="2"/>
  <c r="J126" i="1" s="1"/>
  <c r="I195" i="1" s="1"/>
  <c r="I198" i="1" s="1"/>
  <c r="J122" i="1" l="1"/>
  <c r="J123" i="1" s="1"/>
  <c r="J118" i="1"/>
  <c r="E69" i="2"/>
  <c r="F69" i="2" s="1"/>
  <c r="D70" i="2" s="1"/>
  <c r="E70" i="2" s="1"/>
  <c r="F70" i="2" s="1"/>
  <c r="D71" i="2" s="1"/>
  <c r="E71" i="2" s="1"/>
  <c r="F71" i="2" s="1"/>
  <c r="D72" i="2" s="1"/>
  <c r="E72" i="2" s="1"/>
  <c r="F72" i="2" s="1"/>
  <c r="D73" i="2" s="1"/>
  <c r="E73" i="2" s="1"/>
  <c r="F73" i="2" s="1"/>
  <c r="D74" i="2" s="1"/>
  <c r="E74" i="2" s="1"/>
  <c r="F74" i="2" s="1"/>
  <c r="D75" i="2" s="1"/>
  <c r="E75" i="2" s="1"/>
  <c r="F75" i="2" s="1"/>
  <c r="D76" i="2" s="1"/>
  <c r="E76" i="2" s="1"/>
  <c r="F76" i="2" s="1"/>
  <c r="D77" i="2" s="1"/>
  <c r="E77" i="2" s="1"/>
  <c r="F77" i="2" s="1"/>
  <c r="J134" i="1" l="1"/>
  <c r="J136" i="1" s="1"/>
  <c r="D78" i="2"/>
  <c r="E78" i="2" s="1"/>
  <c r="F78" i="2" s="1"/>
  <c r="D79" i="2" s="1"/>
  <c r="E79" i="2" s="1"/>
  <c r="F79" i="2" s="1"/>
  <c r="D80" i="2" s="1"/>
  <c r="E80" i="2" s="1"/>
  <c r="F80" i="2" s="1"/>
  <c r="D81" i="2" l="1"/>
  <c r="H80" i="2"/>
  <c r="K126" i="1" s="1"/>
  <c r="J195" i="1" s="1"/>
  <c r="J198" i="1" s="1"/>
  <c r="G80" i="2"/>
  <c r="K92" i="1" s="1"/>
  <c r="K197" i="1" s="1"/>
  <c r="K122" i="1" l="1"/>
  <c r="K123" i="1" s="1"/>
  <c r="K100" i="1"/>
  <c r="K101" i="1" s="1"/>
  <c r="E81" i="2"/>
  <c r="F81" i="2" s="1"/>
  <c r="D82" i="2" s="1"/>
  <c r="E82" i="2" s="1"/>
  <c r="F82" i="2" s="1"/>
  <c r="D83" i="2" s="1"/>
  <c r="E83" i="2" s="1"/>
  <c r="F83" i="2" s="1"/>
  <c r="D84" i="2" s="1"/>
  <c r="E84" i="2" s="1"/>
  <c r="F84" i="2" s="1"/>
  <c r="D85" i="2" s="1"/>
  <c r="E85" i="2" s="1"/>
  <c r="F85" i="2" s="1"/>
  <c r="D86" i="2" s="1"/>
  <c r="E86" i="2" s="1"/>
  <c r="F86" i="2" s="1"/>
  <c r="D87" i="2" s="1"/>
  <c r="E87" i="2" s="1"/>
  <c r="F87" i="2" s="1"/>
  <c r="D88" i="2" s="1"/>
  <c r="E88" i="2" s="1"/>
  <c r="F88" i="2" s="1"/>
  <c r="D89" i="2" s="1"/>
  <c r="E89" i="2" s="1"/>
  <c r="F89" i="2" s="1"/>
  <c r="D90" i="2" s="1"/>
  <c r="E90" i="2" s="1"/>
  <c r="F90" i="2" s="1"/>
  <c r="D91" i="2" s="1"/>
  <c r="E91" i="2" s="1"/>
  <c r="F91" i="2" s="1"/>
  <c r="D92" i="2" s="1"/>
  <c r="E92" i="2" s="1"/>
  <c r="F92" i="2" s="1"/>
  <c r="K102" i="1" l="1"/>
  <c r="K132" i="1" s="1"/>
  <c r="K118" i="1"/>
  <c r="D93" i="2"/>
  <c r="H92" i="2"/>
  <c r="L126" i="1" s="1"/>
  <c r="K195" i="1" s="1"/>
  <c r="K198" i="1" s="1"/>
  <c r="G92" i="2"/>
  <c r="L92" i="1" s="1"/>
  <c r="L197" i="1" s="1"/>
  <c r="L122" i="1" l="1"/>
  <c r="L123" i="1" s="1"/>
  <c r="K134" i="1"/>
  <c r="K136" i="1" s="1"/>
  <c r="L100" i="1"/>
  <c r="L101" i="1" s="1"/>
  <c r="L102" i="1" s="1"/>
  <c r="L132" i="1" s="1"/>
  <c r="E93" i="2"/>
  <c r="F93" i="2" s="1"/>
  <c r="D94" i="2" s="1"/>
  <c r="E94" i="2" s="1"/>
  <c r="F94" i="2" s="1"/>
  <c r="D95" i="2" s="1"/>
  <c r="E95" i="2" s="1"/>
  <c r="F95" i="2" s="1"/>
  <c r="D96" i="2" s="1"/>
  <c r="E96" i="2" s="1"/>
  <c r="F96" i="2" s="1"/>
  <c r="D97" i="2" s="1"/>
  <c r="E97" i="2" s="1"/>
  <c r="F97" i="2" s="1"/>
  <c r="D98" i="2" s="1"/>
  <c r="E98" i="2" s="1"/>
  <c r="F98" i="2" s="1"/>
  <c r="D99" i="2" s="1"/>
  <c r="E99" i="2" s="1"/>
  <c r="F99" i="2" s="1"/>
  <c r="D100" i="2" s="1"/>
  <c r="E100" i="2" s="1"/>
  <c r="F100" i="2" s="1"/>
  <c r="D101" i="2" s="1"/>
  <c r="E101" i="2" s="1"/>
  <c r="F101" i="2" s="1"/>
  <c r="D102" i="2" s="1"/>
  <c r="E102" i="2" s="1"/>
  <c r="F102" i="2" s="1"/>
  <c r="D103" i="2" s="1"/>
  <c r="E103" i="2" s="1"/>
  <c r="F103" i="2" s="1"/>
  <c r="D104" i="2" s="1"/>
  <c r="E104" i="2" s="1"/>
  <c r="F104" i="2" s="1"/>
  <c r="L118" i="1" l="1"/>
  <c r="D105" i="2"/>
  <c r="H104" i="2"/>
  <c r="M126" i="1" s="1"/>
  <c r="L195" i="1" s="1"/>
  <c r="L198" i="1" s="1"/>
  <c r="G104" i="2"/>
  <c r="M92" i="1" s="1"/>
  <c r="M197" i="1" s="1"/>
  <c r="L134" i="1" l="1"/>
  <c r="L136" i="1" s="1"/>
  <c r="M122" i="1"/>
  <c r="M123" i="1" s="1"/>
  <c r="M100" i="1"/>
  <c r="M101" i="1" s="1"/>
  <c r="M102" i="1" s="1"/>
  <c r="M132" i="1" s="1"/>
  <c r="E105" i="2"/>
  <c r="F105" i="2" s="1"/>
  <c r="D106" i="2" s="1"/>
  <c r="E106" i="2" s="1"/>
  <c r="F106" i="2" s="1"/>
  <c r="D107" i="2" s="1"/>
  <c r="E107" i="2" s="1"/>
  <c r="F107" i="2" s="1"/>
  <c r="D108" i="2" s="1"/>
  <c r="E108" i="2" s="1"/>
  <c r="F108" i="2" s="1"/>
  <c r="D109" i="2" s="1"/>
  <c r="E109" i="2" s="1"/>
  <c r="F109" i="2" s="1"/>
  <c r="D110" i="2" s="1"/>
  <c r="E110" i="2" s="1"/>
  <c r="F110" i="2" s="1"/>
  <c r="D111" i="2" s="1"/>
  <c r="E111" i="2" s="1"/>
  <c r="F111" i="2" s="1"/>
  <c r="D112" i="2" s="1"/>
  <c r="E112" i="2" s="1"/>
  <c r="F112" i="2" s="1"/>
  <c r="M118" i="1" l="1"/>
  <c r="D113" i="2"/>
  <c r="E113" i="2" s="1"/>
  <c r="F113" i="2" s="1"/>
  <c r="M134" i="1" l="1"/>
  <c r="M136" i="1" s="1"/>
  <c r="D114" i="2"/>
  <c r="E114" i="2" l="1"/>
  <c r="F114" i="2" s="1"/>
  <c r="D115" i="2" s="1"/>
  <c r="E115" i="2" s="1"/>
  <c r="F115" i="2" s="1"/>
  <c r="D116" i="2" l="1"/>
  <c r="E116" i="2" s="1"/>
  <c r="F116" i="2" s="1"/>
  <c r="H116" i="2" s="1"/>
  <c r="N126" i="1" s="1"/>
  <c r="M195" i="1" s="1"/>
  <c r="M198" i="1" s="1"/>
  <c r="N122" i="1" l="1"/>
  <c r="N123" i="1" s="1"/>
  <c r="G116" i="2"/>
  <c r="N92" i="1" s="1"/>
  <c r="N197" i="1" s="1"/>
  <c r="D117" i="2"/>
  <c r="N100" i="1" l="1"/>
  <c r="N101" i="1" s="1"/>
  <c r="N102" i="1" s="1"/>
  <c r="N132" i="1" s="1"/>
  <c r="E117" i="2"/>
  <c r="F117" i="2" s="1"/>
  <c r="D118" i="2" s="1"/>
  <c r="E118" i="2" s="1"/>
  <c r="F118" i="2" s="1"/>
  <c r="N118" i="1" l="1"/>
  <c r="D119" i="2"/>
  <c r="E119" i="2" s="1"/>
  <c r="F119" i="2" s="1"/>
  <c r="N134" i="1" l="1"/>
  <c r="N136" i="1" s="1"/>
  <c r="D120" i="2"/>
  <c r="E120" i="2" l="1"/>
  <c r="F120" i="2" s="1"/>
  <c r="D121" i="2" s="1"/>
  <c r="E121" i="2" s="1"/>
  <c r="F121" i="2" s="1"/>
  <c r="D122" i="2" s="1"/>
  <c r="E122" i="2" s="1"/>
  <c r="F122" i="2" s="1"/>
  <c r="D123" i="2" s="1"/>
  <c r="E123" i="2" s="1"/>
  <c r="F123" i="2" s="1"/>
  <c r="D124" i="2" s="1"/>
  <c r="E124" i="2" s="1"/>
  <c r="F124" i="2" s="1"/>
  <c r="D125" i="2" s="1"/>
  <c r="E125" i="2" s="1"/>
  <c r="F125" i="2" s="1"/>
  <c r="D126" i="2" l="1"/>
  <c r="E126" i="2" s="1"/>
  <c r="F126" i="2" s="1"/>
  <c r="D127" i="2" l="1"/>
  <c r="E127" i="2" l="1"/>
  <c r="F127" i="2" s="1"/>
  <c r="D128" i="2" s="1"/>
  <c r="E128" i="2" s="1"/>
  <c r="F128" i="2" s="1"/>
  <c r="D129" i="2" l="1"/>
  <c r="E129" i="2" s="1"/>
  <c r="F129" i="2" s="1"/>
  <c r="D130" i="2" s="1"/>
  <c r="E130" i="2" s="1"/>
  <c r="F130" i="2" s="1"/>
  <c r="D131" i="2" s="1"/>
  <c r="E131" i="2" s="1"/>
  <c r="F131" i="2" s="1"/>
  <c r="D132" i="2" s="1"/>
  <c r="E132" i="2" s="1"/>
  <c r="F132" i="2" s="1"/>
  <c r="D133" i="2" s="1"/>
  <c r="E133" i="2" s="1"/>
  <c r="F133" i="2" s="1"/>
  <c r="D134" i="2" s="1"/>
  <c r="E134" i="2" s="1"/>
  <c r="F134" i="2" s="1"/>
  <c r="D135" i="2" s="1"/>
  <c r="E135" i="2" s="1"/>
  <c r="F135" i="2" s="1"/>
  <c r="D136" i="2" s="1"/>
  <c r="E136" i="2" s="1"/>
  <c r="F136" i="2" s="1"/>
  <c r="D137" i="2" s="1"/>
  <c r="E137" i="2" s="1"/>
  <c r="F137" i="2" s="1"/>
  <c r="D138" i="2" s="1"/>
  <c r="E138" i="2" s="1"/>
  <c r="F138" i="2" s="1"/>
  <c r="H128" i="2"/>
  <c r="O126" i="1" s="1"/>
  <c r="N195" i="1" s="1"/>
  <c r="N198" i="1" s="1"/>
  <c r="G128" i="2"/>
  <c r="O92" i="1" s="1"/>
  <c r="O197" i="1" s="1"/>
  <c r="S126" i="1" l="1"/>
  <c r="S129" i="1" s="1"/>
  <c r="T128" i="1" s="1"/>
  <c r="U128" i="1" s="1"/>
  <c r="V128" i="1" s="1"/>
  <c r="O205" i="1" s="1"/>
  <c r="O207" i="1" s="1"/>
  <c r="E208" i="1" s="1"/>
  <c r="E210" i="1" s="1"/>
  <c r="O122" i="1"/>
  <c r="O123" i="1" s="1"/>
  <c r="O100" i="1"/>
  <c r="O101" i="1" s="1"/>
  <c r="O118" i="1" s="1"/>
  <c r="Y126" i="1"/>
  <c r="D139" i="2"/>
  <c r="E139" i="2" s="1"/>
  <c r="F139" i="2" s="1"/>
  <c r="D140" i="2" s="1"/>
  <c r="E140" i="2" s="1"/>
  <c r="F140" i="2" s="1"/>
  <c r="W128" i="1" l="1"/>
  <c r="T126" i="1"/>
  <c r="T129" i="1" s="1"/>
  <c r="O102" i="1"/>
  <c r="O132" i="1" s="1"/>
  <c r="Y132" i="1" s="1"/>
  <c r="D141" i="2"/>
  <c r="E141" i="2" s="1"/>
  <c r="F141" i="2" s="1"/>
  <c r="O134" i="1" l="1"/>
  <c r="O136" i="1" s="1"/>
  <c r="U126" i="1"/>
  <c r="V126" i="1" s="1"/>
  <c r="O196" i="1" s="1"/>
  <c r="O198" i="1" s="1"/>
  <c r="E199" i="1" s="1"/>
  <c r="E201" i="1" s="1"/>
  <c r="D142" i="2"/>
  <c r="E142" i="2" s="1"/>
  <c r="F142" i="2" s="1"/>
  <c r="W126" i="1" l="1"/>
  <c r="D143" i="2"/>
  <c r="E143" i="2" s="1"/>
  <c r="F143" i="2" s="1"/>
  <c r="D144" i="2" l="1"/>
  <c r="E144" i="2" s="1"/>
  <c r="F144" i="2" s="1"/>
  <c r="D145" i="2" l="1"/>
  <c r="E145" i="2" s="1"/>
  <c r="F145" i="2" s="1"/>
  <c r="D146" i="2" l="1"/>
  <c r="E146" i="2" s="1"/>
  <c r="F146" i="2" s="1"/>
  <c r="D147" i="2" s="1"/>
  <c r="E147" i="2" s="1"/>
  <c r="F147" i="2" s="1"/>
  <c r="D148" i="2" s="1"/>
  <c r="E148" i="2" s="1"/>
  <c r="F148" i="2" s="1"/>
  <c r="D149" i="2" l="1"/>
  <c r="E149" i="2" s="1"/>
  <c r="F149" i="2" s="1"/>
  <c r="D150" i="2" l="1"/>
  <c r="E150" i="2" s="1"/>
  <c r="F150" i="2" s="1"/>
  <c r="D151" i="2" l="1"/>
  <c r="E151" i="2" s="1"/>
  <c r="F151" i="2" s="1"/>
  <c r="D152" i="2" s="1"/>
  <c r="E152" i="2" s="1"/>
  <c r="F152" i="2" s="1"/>
  <c r="D153" i="2" s="1"/>
  <c r="E153" i="2" s="1"/>
  <c r="F153" i="2" s="1"/>
  <c r="D154" i="2" s="1"/>
  <c r="E154" i="2" s="1"/>
  <c r="F154" i="2" s="1"/>
  <c r="D155" i="2" s="1"/>
  <c r="E155" i="2" s="1"/>
  <c r="F155" i="2" s="1"/>
  <c r="D156" i="2" s="1"/>
  <c r="E156" i="2" s="1"/>
  <c r="F156" i="2" s="1"/>
  <c r="D157" i="2" s="1"/>
  <c r="E157" i="2" s="1"/>
  <c r="F157" i="2" s="1"/>
  <c r="D158" i="2" l="1"/>
  <c r="E158" i="2" s="1"/>
  <c r="F158" i="2" s="1"/>
  <c r="D159" i="2" l="1"/>
  <c r="E159" i="2" s="1"/>
  <c r="F159" i="2" s="1"/>
  <c r="D160" i="2" l="1"/>
  <c r="E160" i="2" s="1"/>
  <c r="F160" i="2" s="1"/>
  <c r="D161" i="2" l="1"/>
  <c r="E161" i="2" s="1"/>
  <c r="F161" i="2" s="1"/>
  <c r="D162" i="2" l="1"/>
  <c r="E162" i="2" s="1"/>
  <c r="F162" i="2" s="1"/>
  <c r="D163" i="2" l="1"/>
  <c r="E163" i="2" s="1"/>
  <c r="F163" i="2" s="1"/>
  <c r="D164" i="2" l="1"/>
  <c r="E164" i="2" s="1"/>
  <c r="F164" i="2" s="1"/>
  <c r="D165" i="2" l="1"/>
  <c r="E165" i="2" s="1"/>
  <c r="F165" i="2" s="1"/>
  <c r="D166" i="2" l="1"/>
  <c r="E166" i="2" s="1"/>
  <c r="F166" i="2" s="1"/>
  <c r="D167" i="2" l="1"/>
  <c r="E167" i="2" s="1"/>
  <c r="F167" i="2" s="1"/>
  <c r="D168" i="2" l="1"/>
  <c r="E168" i="2" s="1"/>
  <c r="F168" i="2" s="1"/>
  <c r="D169" i="2" l="1"/>
  <c r="E169" i="2" s="1"/>
  <c r="F169" i="2" s="1"/>
  <c r="D170" i="2" l="1"/>
  <c r="E170" i="2" s="1"/>
  <c r="F170" i="2" s="1"/>
  <c r="D171" i="2" l="1"/>
  <c r="E171" i="2" s="1"/>
  <c r="F171" i="2" s="1"/>
  <c r="D172" i="2" l="1"/>
  <c r="E172" i="2" s="1"/>
  <c r="F172" i="2" s="1"/>
  <c r="D173" i="2" l="1"/>
  <c r="E173" i="2" s="1"/>
  <c r="F173" i="2" s="1"/>
  <c r="D174" i="2" l="1"/>
  <c r="E174" i="2" s="1"/>
  <c r="F174" i="2" s="1"/>
  <c r="D175" i="2" l="1"/>
  <c r="E175" i="2" s="1"/>
  <c r="F175" i="2" s="1"/>
  <c r="D176" i="2" l="1"/>
  <c r="E176" i="2" s="1"/>
  <c r="F176" i="2" s="1"/>
  <c r="D177" i="2" l="1"/>
  <c r="E177" i="2" s="1"/>
  <c r="F177" i="2" s="1"/>
  <c r="D178" i="2" l="1"/>
  <c r="E178" i="2" s="1"/>
  <c r="F178" i="2" s="1"/>
  <c r="D179" i="2" l="1"/>
  <c r="E179" i="2" s="1"/>
  <c r="F179" i="2" s="1"/>
  <c r="D180" i="2" l="1"/>
  <c r="E180" i="2" s="1"/>
  <c r="F180" i="2" s="1"/>
  <c r="D181" i="2" l="1"/>
  <c r="E181" i="2" s="1"/>
  <c r="F181" i="2" s="1"/>
  <c r="D182" i="2" l="1"/>
  <c r="E182" i="2" s="1"/>
  <c r="F182" i="2" s="1"/>
  <c r="D183" i="2" l="1"/>
  <c r="E183" i="2" s="1"/>
  <c r="F183" i="2" s="1"/>
  <c r="D184" i="2" l="1"/>
  <c r="E184" i="2" s="1"/>
  <c r="F184" i="2" s="1"/>
  <c r="D185" i="2" l="1"/>
  <c r="E185" i="2" s="1"/>
  <c r="F185" i="2" s="1"/>
  <c r="D186" i="2" l="1"/>
  <c r="E186" i="2" s="1"/>
  <c r="F186" i="2" s="1"/>
  <c r="D187" i="2" l="1"/>
  <c r="E187" i="2" s="1"/>
  <c r="F187" i="2" s="1"/>
  <c r="D188" i="2" l="1"/>
  <c r="E188" i="2" s="1"/>
  <c r="F188" i="2" s="1"/>
  <c r="D189" i="2" l="1"/>
  <c r="E189" i="2" s="1"/>
  <c r="F189" i="2" s="1"/>
  <c r="D190" i="2" l="1"/>
  <c r="E190" i="2" s="1"/>
  <c r="F190" i="2" s="1"/>
  <c r="D191" i="2" l="1"/>
  <c r="E191" i="2" s="1"/>
  <c r="F191" i="2" s="1"/>
  <c r="D192" i="2" l="1"/>
  <c r="E192" i="2" s="1"/>
  <c r="F192" i="2" s="1"/>
  <c r="D193" i="2" l="1"/>
  <c r="E193" i="2" s="1"/>
  <c r="F193" i="2" s="1"/>
  <c r="D194" i="2" l="1"/>
  <c r="E194" i="2" s="1"/>
  <c r="F194" i="2" s="1"/>
  <c r="D195" i="2" l="1"/>
  <c r="E195" i="2" s="1"/>
  <c r="F195" i="2" s="1"/>
  <c r="D196" i="2" l="1"/>
  <c r="E196" i="2" s="1"/>
  <c r="F196" i="2" s="1"/>
  <c r="D197" i="2" l="1"/>
  <c r="E197" i="2" s="1"/>
  <c r="F197" i="2" s="1"/>
  <c r="D198" i="2" l="1"/>
  <c r="E198" i="2" s="1"/>
  <c r="F198" i="2" s="1"/>
  <c r="D199" i="2" l="1"/>
  <c r="E199" i="2" s="1"/>
  <c r="F199" i="2" s="1"/>
  <c r="D200" i="2" l="1"/>
  <c r="E200" i="2" s="1"/>
  <c r="F200" i="2" s="1"/>
  <c r="D201" i="2" l="1"/>
  <c r="E201" i="2" s="1"/>
  <c r="F201" i="2" s="1"/>
  <c r="D202" i="2" l="1"/>
  <c r="E202" i="2" s="1"/>
  <c r="F202" i="2" s="1"/>
  <c r="D203" i="2" l="1"/>
  <c r="E203" i="2" s="1"/>
  <c r="F203" i="2" s="1"/>
  <c r="D204" i="2" l="1"/>
  <c r="E204" i="2" s="1"/>
  <c r="F204" i="2" s="1"/>
  <c r="D205" i="2" l="1"/>
  <c r="E205" i="2" s="1"/>
  <c r="F205" i="2" s="1"/>
  <c r="D206" i="2" l="1"/>
  <c r="E206" i="2" s="1"/>
  <c r="F206" i="2" s="1"/>
  <c r="D207" i="2" l="1"/>
  <c r="E207" i="2" s="1"/>
  <c r="F207" i="2" s="1"/>
  <c r="D208" i="2" l="1"/>
  <c r="E208" i="2" s="1"/>
  <c r="F208" i="2" s="1"/>
  <c r="D209" i="2" l="1"/>
  <c r="E209" i="2" s="1"/>
  <c r="F209" i="2" s="1"/>
  <c r="D210" i="2" l="1"/>
  <c r="E210" i="2" s="1"/>
  <c r="F210" i="2" s="1"/>
  <c r="D211" i="2" l="1"/>
  <c r="E211" i="2" s="1"/>
  <c r="F211" i="2" s="1"/>
  <c r="D212" i="2" l="1"/>
  <c r="E212" i="2" s="1"/>
  <c r="F212" i="2" s="1"/>
  <c r="D213" i="2" l="1"/>
  <c r="E213" i="2" s="1"/>
  <c r="F213" i="2" s="1"/>
  <c r="D214" i="2" l="1"/>
  <c r="E214" i="2" s="1"/>
  <c r="F214" i="2" s="1"/>
  <c r="D215" i="2" l="1"/>
  <c r="E215" i="2" s="1"/>
  <c r="F215" i="2" s="1"/>
  <c r="D216" i="2" l="1"/>
  <c r="E216" i="2" s="1"/>
  <c r="F216" i="2" s="1"/>
  <c r="D217" i="2" l="1"/>
  <c r="E217" i="2" s="1"/>
  <c r="F217" i="2" s="1"/>
  <c r="D218" i="2" l="1"/>
  <c r="E218" i="2" s="1"/>
  <c r="F218" i="2" s="1"/>
  <c r="D219" i="2" l="1"/>
  <c r="E219" i="2" s="1"/>
  <c r="F219" i="2" s="1"/>
  <c r="D220" i="2" l="1"/>
  <c r="E220" i="2" s="1"/>
  <c r="F220" i="2" s="1"/>
  <c r="D221" i="2" l="1"/>
  <c r="E221" i="2" s="1"/>
  <c r="F221" i="2" s="1"/>
  <c r="D222" i="2" l="1"/>
  <c r="E222" i="2" s="1"/>
  <c r="F222" i="2" s="1"/>
  <c r="D223" i="2" l="1"/>
  <c r="E223" i="2" s="1"/>
  <c r="F223" i="2" s="1"/>
  <c r="D224" i="2" l="1"/>
  <c r="E224" i="2" s="1"/>
  <c r="F224" i="2" s="1"/>
  <c r="D225" i="2" l="1"/>
  <c r="E225" i="2" s="1"/>
  <c r="F225" i="2" s="1"/>
  <c r="D226" i="2" l="1"/>
  <c r="E226" i="2" s="1"/>
  <c r="F226" i="2" s="1"/>
  <c r="D227" i="2" l="1"/>
  <c r="E227" i="2" s="1"/>
  <c r="F227" i="2" s="1"/>
  <c r="D228" i="2" l="1"/>
  <c r="E228" i="2" s="1"/>
  <c r="F228" i="2" s="1"/>
  <c r="D229" i="2" l="1"/>
  <c r="E229" i="2" s="1"/>
  <c r="F229" i="2" s="1"/>
  <c r="D230" i="2" l="1"/>
  <c r="E230" i="2" s="1"/>
  <c r="F230" i="2" s="1"/>
  <c r="D231" i="2" l="1"/>
  <c r="E231" i="2" s="1"/>
  <c r="F231" i="2" s="1"/>
  <c r="D232" i="2" l="1"/>
  <c r="E232" i="2" s="1"/>
  <c r="F232" i="2" s="1"/>
  <c r="D233" i="2" l="1"/>
  <c r="E233" i="2" s="1"/>
  <c r="F233" i="2" s="1"/>
  <c r="D234" i="2" l="1"/>
  <c r="E234" i="2" s="1"/>
  <c r="F234" i="2" s="1"/>
  <c r="D235" i="2" l="1"/>
  <c r="E235" i="2" s="1"/>
  <c r="F235" i="2" s="1"/>
  <c r="D236" i="2" l="1"/>
  <c r="E236" i="2" s="1"/>
  <c r="F236" i="2" s="1"/>
  <c r="D237" i="2" l="1"/>
  <c r="E237" i="2" s="1"/>
  <c r="F237" i="2" s="1"/>
  <c r="D238" i="2" l="1"/>
  <c r="E238" i="2" s="1"/>
  <c r="F238" i="2" s="1"/>
  <c r="D239" i="2" l="1"/>
  <c r="E239" i="2" s="1"/>
  <c r="F239" i="2" s="1"/>
  <c r="D240" i="2" l="1"/>
  <c r="E240" i="2" s="1"/>
  <c r="F240" i="2" s="1"/>
  <c r="D241" i="2" l="1"/>
  <c r="E241" i="2" s="1"/>
  <c r="F241" i="2" s="1"/>
  <c r="D242" i="2" l="1"/>
  <c r="E242" i="2" s="1"/>
  <c r="F242" i="2" s="1"/>
  <c r="D243" i="2" l="1"/>
  <c r="E243" i="2" s="1"/>
  <c r="F243" i="2" s="1"/>
  <c r="D244" i="2" l="1"/>
  <c r="E244" i="2" s="1"/>
  <c r="F244" i="2" s="1"/>
  <c r="D245" i="2" l="1"/>
  <c r="E245" i="2" s="1"/>
  <c r="F245" i="2" s="1"/>
  <c r="D246" i="2" l="1"/>
  <c r="E246" i="2" s="1"/>
  <c r="F246" i="2" s="1"/>
  <c r="D247" i="2" l="1"/>
  <c r="E247" i="2" s="1"/>
  <c r="F247" i="2" s="1"/>
  <c r="D248" i="2" l="1"/>
  <c r="E248" i="2" s="1"/>
  <c r="F248" i="2" s="1"/>
  <c r="D249" i="2" l="1"/>
  <c r="E249" i="2" s="1"/>
  <c r="F249" i="2" s="1"/>
  <c r="D250" i="2" l="1"/>
  <c r="E250" i="2" s="1"/>
  <c r="F250" i="2" s="1"/>
  <c r="D251" i="2" l="1"/>
  <c r="E251" i="2" s="1"/>
  <c r="F251" i="2" s="1"/>
  <c r="D252" i="2" l="1"/>
  <c r="E252" i="2" s="1"/>
  <c r="F252" i="2" s="1"/>
  <c r="D253" i="2" l="1"/>
  <c r="E253" i="2" s="1"/>
  <c r="F253" i="2" s="1"/>
  <c r="D254" i="2" l="1"/>
  <c r="E254" i="2" s="1"/>
  <c r="F254" i="2" s="1"/>
  <c r="D255" i="2" l="1"/>
  <c r="E255" i="2" s="1"/>
  <c r="F255" i="2" s="1"/>
  <c r="D256" i="2" l="1"/>
  <c r="E256" i="2" s="1"/>
  <c r="F256" i="2" s="1"/>
  <c r="D257" i="2" l="1"/>
  <c r="E257" i="2" s="1"/>
  <c r="F257" i="2" s="1"/>
  <c r="D258" i="2" l="1"/>
  <c r="E258" i="2" s="1"/>
  <c r="F258" i="2" s="1"/>
  <c r="D259" i="2" l="1"/>
  <c r="E259" i="2" s="1"/>
  <c r="F259" i="2" s="1"/>
  <c r="D260" i="2" l="1"/>
  <c r="E260" i="2" s="1"/>
  <c r="F260" i="2" s="1"/>
  <c r="D261" i="2" l="1"/>
  <c r="E261" i="2" s="1"/>
  <c r="F261" i="2" s="1"/>
  <c r="D262" i="2" l="1"/>
  <c r="E262" i="2" s="1"/>
  <c r="F262" i="2" s="1"/>
  <c r="D263" i="2" l="1"/>
  <c r="E263" i="2" s="1"/>
  <c r="F263" i="2" s="1"/>
  <c r="D264" i="2" l="1"/>
  <c r="E264" i="2" s="1"/>
  <c r="F264" i="2" s="1"/>
  <c r="D265" i="2" l="1"/>
  <c r="E265" i="2" s="1"/>
  <c r="F265" i="2" s="1"/>
  <c r="D266" i="2" l="1"/>
  <c r="E266" i="2" s="1"/>
  <c r="F266" i="2" s="1"/>
  <c r="D267" i="2" l="1"/>
  <c r="E267" i="2" s="1"/>
  <c r="F267" i="2" s="1"/>
  <c r="D268" i="2" l="1"/>
  <c r="E268" i="2" s="1"/>
  <c r="F268" i="2" s="1"/>
  <c r="D269" i="2" l="1"/>
  <c r="E269" i="2" s="1"/>
  <c r="F269" i="2" s="1"/>
  <c r="D270" i="2" l="1"/>
  <c r="E270" i="2" s="1"/>
  <c r="F270" i="2" s="1"/>
  <c r="D271" i="2" l="1"/>
  <c r="E271" i="2" s="1"/>
  <c r="F271" i="2" s="1"/>
  <c r="D272" i="2" l="1"/>
  <c r="E272" i="2" s="1"/>
  <c r="F272" i="2" s="1"/>
  <c r="D273" i="2" l="1"/>
  <c r="E273" i="2" s="1"/>
  <c r="F273" i="2" s="1"/>
  <c r="D274" i="2" l="1"/>
  <c r="E274" i="2" s="1"/>
  <c r="F274" i="2" s="1"/>
  <c r="D275" i="2" l="1"/>
  <c r="E275" i="2" s="1"/>
  <c r="F275" i="2" s="1"/>
  <c r="D276" i="2" l="1"/>
  <c r="E276" i="2" s="1"/>
  <c r="F276" i="2" s="1"/>
  <c r="D277" i="2" l="1"/>
  <c r="E277" i="2" s="1"/>
  <c r="F277" i="2" s="1"/>
  <c r="D278" i="2" l="1"/>
  <c r="E278" i="2" s="1"/>
  <c r="F278" i="2" s="1"/>
  <c r="D279" i="2" l="1"/>
  <c r="E279" i="2" s="1"/>
  <c r="F279" i="2" s="1"/>
  <c r="D280" i="2" l="1"/>
  <c r="E280" i="2" s="1"/>
  <c r="F280" i="2" s="1"/>
  <c r="D281" i="2" l="1"/>
  <c r="E281" i="2" s="1"/>
  <c r="F281" i="2" s="1"/>
  <c r="D282" i="2" l="1"/>
  <c r="E282" i="2" s="1"/>
  <c r="F282" i="2" s="1"/>
  <c r="D283" i="2" l="1"/>
  <c r="E283" i="2" s="1"/>
  <c r="F283" i="2" s="1"/>
  <c r="D284" i="2" l="1"/>
  <c r="E284" i="2" s="1"/>
  <c r="F284" i="2" s="1"/>
  <c r="D285" i="2" l="1"/>
  <c r="E285" i="2" s="1"/>
  <c r="F285" i="2" s="1"/>
  <c r="D286" i="2" l="1"/>
  <c r="E286" i="2" s="1"/>
  <c r="F286" i="2" s="1"/>
  <c r="D287" i="2" l="1"/>
  <c r="E287" i="2" s="1"/>
  <c r="F287" i="2" s="1"/>
  <c r="D288" i="2" l="1"/>
  <c r="E288" i="2" s="1"/>
  <c r="F288" i="2" s="1"/>
  <c r="D289" i="2" l="1"/>
  <c r="E289" i="2" s="1"/>
  <c r="F289" i="2" s="1"/>
  <c r="D290" i="2" l="1"/>
  <c r="E290" i="2" s="1"/>
  <c r="F290" i="2" s="1"/>
  <c r="D291" i="2" l="1"/>
  <c r="E291" i="2" s="1"/>
  <c r="F291" i="2" s="1"/>
  <c r="D292" i="2" l="1"/>
  <c r="E292" i="2" s="1"/>
  <c r="F292" i="2" s="1"/>
  <c r="D293" i="2" l="1"/>
  <c r="E293" i="2" s="1"/>
  <c r="F293" i="2" s="1"/>
  <c r="D294" i="2" l="1"/>
  <c r="E294" i="2" s="1"/>
  <c r="F294" i="2" s="1"/>
  <c r="D295" i="2" l="1"/>
  <c r="E295" i="2" s="1"/>
  <c r="F295" i="2" s="1"/>
  <c r="D296" i="2" l="1"/>
  <c r="E296" i="2" s="1"/>
  <c r="F296" i="2" s="1"/>
  <c r="D297" i="2" l="1"/>
  <c r="E297" i="2" s="1"/>
  <c r="F297" i="2" s="1"/>
  <c r="D298" i="2" l="1"/>
  <c r="E298" i="2" s="1"/>
  <c r="F298" i="2" s="1"/>
  <c r="D299" i="2" l="1"/>
  <c r="E299" i="2" s="1"/>
  <c r="F299" i="2" s="1"/>
  <c r="D300" i="2" l="1"/>
  <c r="E300" i="2" s="1"/>
  <c r="F300" i="2" s="1"/>
  <c r="D301" i="2" l="1"/>
  <c r="E301" i="2" s="1"/>
  <c r="F301" i="2" s="1"/>
  <c r="D302" i="2" l="1"/>
  <c r="E302" i="2" s="1"/>
  <c r="F302" i="2" s="1"/>
  <c r="D303" i="2" l="1"/>
  <c r="E303" i="2" s="1"/>
  <c r="F303" i="2" s="1"/>
  <c r="D304" i="2" l="1"/>
  <c r="E304" i="2" s="1"/>
  <c r="F304" i="2" s="1"/>
  <c r="D305" i="2" l="1"/>
  <c r="E305" i="2" s="1"/>
  <c r="F305" i="2" s="1"/>
  <c r="D306" i="2" l="1"/>
  <c r="E306" i="2" s="1"/>
  <c r="F306" i="2" s="1"/>
  <c r="D307" i="2" l="1"/>
  <c r="E307" i="2" s="1"/>
  <c r="F307" i="2" s="1"/>
  <c r="D308" i="2" l="1"/>
  <c r="E308" i="2" s="1"/>
  <c r="F308" i="2" s="1"/>
  <c r="D309" i="2" l="1"/>
  <c r="E309" i="2" s="1"/>
  <c r="F309" i="2" s="1"/>
  <c r="D310" i="2" l="1"/>
  <c r="E310" i="2" s="1"/>
  <c r="F310" i="2" s="1"/>
  <c r="D311" i="2" l="1"/>
  <c r="E311" i="2" s="1"/>
  <c r="F311" i="2" s="1"/>
  <c r="D312" i="2" l="1"/>
  <c r="E312" i="2" s="1"/>
  <c r="F312" i="2" s="1"/>
  <c r="D313" i="2" l="1"/>
  <c r="E313" i="2" s="1"/>
  <c r="F313" i="2" s="1"/>
  <c r="D314" i="2" l="1"/>
  <c r="E314" i="2" s="1"/>
  <c r="F314" i="2" s="1"/>
  <c r="D315" i="2" l="1"/>
  <c r="E315" i="2" s="1"/>
  <c r="F315" i="2" s="1"/>
  <c r="D316" i="2" l="1"/>
  <c r="E316" i="2" s="1"/>
  <c r="F316" i="2" s="1"/>
  <c r="D317" i="2" l="1"/>
  <c r="E317" i="2" s="1"/>
  <c r="F317" i="2" s="1"/>
  <c r="D318" i="2" l="1"/>
  <c r="E318" i="2" s="1"/>
  <c r="F318" i="2" s="1"/>
  <c r="D319" i="2" l="1"/>
  <c r="E319" i="2" s="1"/>
  <c r="F319" i="2" s="1"/>
  <c r="D320" i="2" l="1"/>
  <c r="E320" i="2" s="1"/>
  <c r="F320" i="2" s="1"/>
  <c r="D321" i="2" l="1"/>
  <c r="E321" i="2" s="1"/>
  <c r="F321" i="2" s="1"/>
  <c r="D322" i="2" l="1"/>
  <c r="E322" i="2" s="1"/>
  <c r="F322" i="2" s="1"/>
  <c r="D323" i="2" l="1"/>
  <c r="E323" i="2" s="1"/>
  <c r="F323" i="2" s="1"/>
  <c r="D324" i="2" l="1"/>
  <c r="E324" i="2" s="1"/>
  <c r="F324" i="2" s="1"/>
  <c r="D325" i="2" l="1"/>
  <c r="E325" i="2" s="1"/>
  <c r="F325" i="2" s="1"/>
  <c r="D326" i="2" l="1"/>
  <c r="E326" i="2" s="1"/>
  <c r="F326" i="2" s="1"/>
  <c r="D327" i="2" l="1"/>
  <c r="E327" i="2" s="1"/>
  <c r="F327" i="2" s="1"/>
  <c r="D328" i="2" l="1"/>
  <c r="E328" i="2" s="1"/>
  <c r="F328" i="2" s="1"/>
  <c r="D329" i="2" l="1"/>
  <c r="E329" i="2" s="1"/>
  <c r="F329" i="2" s="1"/>
  <c r="D330" i="2" l="1"/>
  <c r="E330" i="2" s="1"/>
  <c r="F330" i="2" s="1"/>
  <c r="D331" i="2" l="1"/>
  <c r="E331" i="2" s="1"/>
  <c r="F331" i="2" s="1"/>
  <c r="D332" i="2" l="1"/>
  <c r="E332" i="2" s="1"/>
  <c r="F332" i="2" s="1"/>
  <c r="D333" i="2" l="1"/>
  <c r="E333" i="2" s="1"/>
  <c r="F333" i="2" s="1"/>
  <c r="D334" i="2" l="1"/>
  <c r="E334" i="2" s="1"/>
  <c r="F334" i="2" s="1"/>
  <c r="D335" i="2" l="1"/>
  <c r="E335" i="2" s="1"/>
  <c r="F335" i="2" s="1"/>
  <c r="D336" i="2" l="1"/>
  <c r="E336" i="2" s="1"/>
  <c r="F336" i="2" s="1"/>
  <c r="D337" i="2" l="1"/>
  <c r="E337" i="2" s="1"/>
  <c r="F337" i="2" s="1"/>
  <c r="D338" i="2" l="1"/>
  <c r="E338" i="2" s="1"/>
  <c r="F338" i="2" s="1"/>
  <c r="D339" i="2" l="1"/>
  <c r="E339" i="2" s="1"/>
  <c r="F339" i="2" s="1"/>
  <c r="D340" i="2" l="1"/>
  <c r="E340" i="2" s="1"/>
  <c r="F340" i="2" s="1"/>
  <c r="D341" i="2" l="1"/>
  <c r="E341" i="2" s="1"/>
  <c r="F341" i="2" s="1"/>
  <c r="D342" i="2" l="1"/>
  <c r="E342" i="2" s="1"/>
  <c r="F342" i="2" s="1"/>
  <c r="D343" i="2" l="1"/>
  <c r="E343" i="2" s="1"/>
  <c r="F343" i="2" s="1"/>
  <c r="D344" i="2" l="1"/>
  <c r="E344" i="2" s="1"/>
  <c r="F344" i="2" s="1"/>
  <c r="D345" i="2" l="1"/>
  <c r="E345" i="2" s="1"/>
  <c r="F345" i="2" s="1"/>
  <c r="D346" i="2" l="1"/>
  <c r="E346" i="2" s="1"/>
  <c r="F346" i="2" s="1"/>
  <c r="D347" i="2" l="1"/>
  <c r="E347" i="2" s="1"/>
  <c r="F347" i="2" s="1"/>
  <c r="D348" i="2" l="1"/>
  <c r="E348" i="2" s="1"/>
  <c r="F348" i="2" s="1"/>
  <c r="D349" i="2" l="1"/>
  <c r="E349" i="2" s="1"/>
  <c r="F349" i="2" s="1"/>
  <c r="D350" i="2" l="1"/>
  <c r="E350" i="2" s="1"/>
  <c r="F350" i="2" s="1"/>
  <c r="D351" i="2" l="1"/>
  <c r="E351" i="2" s="1"/>
  <c r="F351" i="2" s="1"/>
  <c r="D352" i="2" l="1"/>
  <c r="E352" i="2" s="1"/>
  <c r="F352" i="2" s="1"/>
  <c r="D353" i="2" l="1"/>
  <c r="E353" i="2" s="1"/>
  <c r="F353" i="2" s="1"/>
  <c r="D354" i="2" l="1"/>
  <c r="E354" i="2" s="1"/>
  <c r="F354" i="2" s="1"/>
  <c r="D355" i="2" l="1"/>
  <c r="E355" i="2" s="1"/>
  <c r="F355" i="2" s="1"/>
  <c r="D356" i="2" l="1"/>
  <c r="E356" i="2" s="1"/>
  <c r="F356" i="2" s="1"/>
  <c r="D357" i="2" l="1"/>
  <c r="E357" i="2" s="1"/>
  <c r="F357" i="2" s="1"/>
  <c r="D358" i="2" l="1"/>
  <c r="E358" i="2" s="1"/>
  <c r="F358" i="2" s="1"/>
  <c r="D359" i="2" l="1"/>
  <c r="E359" i="2" s="1"/>
  <c r="F359" i="2" s="1"/>
  <c r="D360" i="2" l="1"/>
  <c r="E360" i="2" s="1"/>
  <c r="F360" i="2" s="1"/>
  <c r="D361" i="2" l="1"/>
  <c r="E361" i="2" s="1"/>
  <c r="F361" i="2" s="1"/>
  <c r="D362" i="2" l="1"/>
  <c r="E362" i="2" s="1"/>
  <c r="F362" i="2" s="1"/>
  <c r="D363" i="2" l="1"/>
  <c r="E363" i="2" s="1"/>
  <c r="F363" i="2" s="1"/>
  <c r="D364" i="2" l="1"/>
  <c r="E364" i="2" s="1"/>
  <c r="F364" i="2" s="1"/>
  <c r="Y133" i="1"/>
  <c r="Z126" i="1" l="1"/>
  <c r="Z128" i="1"/>
  <c r="AC128" i="1" s="1"/>
  <c r="Z127" i="1"/>
  <c r="AC127" i="1" s="1"/>
  <c r="Z131" i="1"/>
  <c r="Z133" i="1" l="1"/>
  <c r="AC126" i="1"/>
  <c r="R147" i="1"/>
  <c r="R148" i="1" s="1"/>
  <c r="R149" i="1" s="1"/>
  <c r="U146" i="1" s="1"/>
  <c r="U149" i="1" s="1"/>
  <c r="AA131" i="1" l="1"/>
  <c r="AB131" i="1" s="1"/>
  <c r="AC131" i="1" s="1"/>
  <c r="AC133" i="1" s="1"/>
  <c r="E169" i="1" l="1"/>
  <c r="E170" i="1" s="1"/>
</calcChain>
</file>

<file path=xl/sharedStrings.xml><?xml version="1.0" encoding="utf-8"?>
<sst xmlns="http://schemas.openxmlformats.org/spreadsheetml/2006/main" count="360" uniqueCount="286">
  <si>
    <t>FORECAST</t>
  </si>
  <si>
    <t>INCOME STATEMENT</t>
  </si>
  <si>
    <t>Operating Expenses</t>
  </si>
  <si>
    <t>Mortgage Interest Expense</t>
  </si>
  <si>
    <t>BALANCE SHEET</t>
  </si>
  <si>
    <t>Assets</t>
  </si>
  <si>
    <t>Accounts Receivable</t>
  </si>
  <si>
    <t>Buildings</t>
  </si>
  <si>
    <t>Less:  Accumulated Depreciation</t>
  </si>
  <si>
    <t>Total Assets</t>
  </si>
  <si>
    <t>Liabilities and Equity</t>
  </si>
  <si>
    <t>Income Tax Payable</t>
  </si>
  <si>
    <t>Retained Earnings</t>
  </si>
  <si>
    <t>Total Liabilities and Equity</t>
  </si>
  <si>
    <t>Selling, General, and Administrative</t>
  </si>
  <si>
    <t>Extra Bank Loan Interest Expense</t>
  </si>
  <si>
    <t>Net Income</t>
  </si>
  <si>
    <t>Minimum Cash Inventory</t>
  </si>
  <si>
    <t>Extra Cash</t>
  </si>
  <si>
    <t>Land</t>
  </si>
  <si>
    <t>Extra Bank Loan</t>
  </si>
  <si>
    <t>Mortgage Loan</t>
  </si>
  <si>
    <t>Common Stock</t>
  </si>
  <si>
    <t>Total Inventories</t>
  </si>
  <si>
    <t>Total Accounts Payable</t>
  </si>
  <si>
    <t>DFN</t>
  </si>
  <si>
    <t>Straight Line</t>
  </si>
  <si>
    <t>PV</t>
  </si>
  <si>
    <t>FV</t>
  </si>
  <si>
    <t>PMT</t>
  </si>
  <si>
    <t>Rate</t>
  </si>
  <si>
    <t>NPER</t>
  </si>
  <si>
    <t>No. Periods</t>
  </si>
  <si>
    <t>PMT INT</t>
  </si>
  <si>
    <t>PMT PRINCIPAL</t>
  </si>
  <si>
    <t>REMAINING</t>
  </si>
  <si>
    <t>INT/YR</t>
  </si>
  <si>
    <t>BALANCE/YR</t>
  </si>
  <si>
    <t>The Village Gun Store</t>
  </si>
  <si>
    <t>Hand Gun Sales Price</t>
  </si>
  <si>
    <t>Hand Gun Cost</t>
  </si>
  <si>
    <t>Hand Gun Demand</t>
  </si>
  <si>
    <t>Assault Rifle Price</t>
  </si>
  <si>
    <t>Assault Rifle Cost</t>
  </si>
  <si>
    <t>Assault Rifle Demand</t>
  </si>
  <si>
    <t>ASSUMPTIONS</t>
  </si>
  <si>
    <t>Rifle Sales Price</t>
  </si>
  <si>
    <t>Rifle Cost</t>
  </si>
  <si>
    <t>Rifle Demand</t>
  </si>
  <si>
    <t>Shotgun Sales Price</t>
  </si>
  <si>
    <t>Shotgun Cost</t>
  </si>
  <si>
    <t>Shotgun Demand</t>
  </si>
  <si>
    <t>RIFLES</t>
  </si>
  <si>
    <t>SHOTGUNS</t>
  </si>
  <si>
    <t>New Hampshire Average Gun Ownership</t>
  </si>
  <si>
    <t>New Hampshire Population</t>
  </si>
  <si>
    <t>Price Increase</t>
  </si>
  <si>
    <t>Decrease</t>
  </si>
  <si>
    <t>U.S. Average Gun Ownership</t>
  </si>
  <si>
    <t>Total Guns Sold to The Village Gun Store</t>
  </si>
  <si>
    <t>Other State Markets - (MA, VT, ME, RI, CT, NY, &amp; NJ)</t>
  </si>
  <si>
    <t>Internet Market</t>
  </si>
  <si>
    <t>ASSAULT RIFLES</t>
  </si>
  <si>
    <t>Average Accessory Price</t>
  </si>
  <si>
    <t>Average Accessory Cost</t>
  </si>
  <si>
    <t>Average Accessory Demand</t>
  </si>
  <si>
    <t>Average Ammo Price/Round</t>
  </si>
  <si>
    <t>Average Ammo Cost/Round</t>
  </si>
  <si>
    <t>Rounds per gun sale</t>
  </si>
  <si>
    <t>Average Ammo Rounds Demand</t>
  </si>
  <si>
    <t>Months</t>
  </si>
  <si>
    <t>AMMO</t>
  </si>
  <si>
    <t>ACCESSORIES - SCOPES, GEAR, ETC.</t>
  </si>
  <si>
    <t>RENTAL INCOME</t>
  </si>
  <si>
    <t>Rifle Revenue</t>
  </si>
  <si>
    <t>Hand Gun Revenue</t>
  </si>
  <si>
    <t>Assault Revenue</t>
  </si>
  <si>
    <t>Shotgun Revenue</t>
  </si>
  <si>
    <t>Ammo Revenue</t>
  </si>
  <si>
    <t>Accessory Revenue</t>
  </si>
  <si>
    <t>Rifle Costs</t>
  </si>
  <si>
    <t>Hand Gun Costs</t>
  </si>
  <si>
    <t>Assault Costs</t>
  </si>
  <si>
    <t>Shotgun Costs</t>
  </si>
  <si>
    <t>Practical Purchasers from Year-to-Year (New &amp; Ongoing)</t>
  </si>
  <si>
    <t>New Hampshire -Entire State Gun Purchases</t>
  </si>
  <si>
    <t>GUN REVENUE BREAKDOWN</t>
  </si>
  <si>
    <t>GUN COST BREAKDOWN</t>
  </si>
  <si>
    <t>Gun Revenue</t>
  </si>
  <si>
    <t>Ammo Costs of Goods Sold</t>
  </si>
  <si>
    <t>Gun Costs of Goods Sold</t>
  </si>
  <si>
    <t>Accessory Costs of Goods Sold</t>
  </si>
  <si>
    <t>The Village Gun Store - Market Share</t>
  </si>
  <si>
    <t>The Village Gun Store - Total Guns</t>
  </si>
  <si>
    <t>Owners Salary Expense</t>
  </si>
  <si>
    <t>Repairs &amp; Maintenance</t>
  </si>
  <si>
    <t>Utilities</t>
  </si>
  <si>
    <t>Insurance</t>
  </si>
  <si>
    <t>LABOR CALCULATION</t>
  </si>
  <si>
    <t>Days per Week</t>
  </si>
  <si>
    <t>Weeks per Year</t>
  </si>
  <si>
    <t>Employees</t>
  </si>
  <si>
    <t>New Hampshire Minimum Wage</t>
  </si>
  <si>
    <t>Hours per day - Part-time</t>
  </si>
  <si>
    <t>Gross Profit</t>
  </si>
  <si>
    <t>Inflation</t>
  </si>
  <si>
    <t>Accounts Payable Days</t>
  </si>
  <si>
    <t>Inventory Days</t>
  </si>
  <si>
    <t>Accounts Receivable Days - Internet Sales</t>
  </si>
  <si>
    <t>GUNS - Working Capital Days</t>
  </si>
  <si>
    <t>Depreciation Expense</t>
  </si>
  <si>
    <t>FREE CASH FLOWS</t>
  </si>
  <si>
    <t>Cash from Operations</t>
  </si>
  <si>
    <t>Operating Profit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</si>
  <si>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</si>
  <si>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</si>
  <si>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</si>
  <si>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</si>
  <si>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</si>
  <si>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Minimum Cash Balance</t>
  </si>
  <si>
    <t>Inventory</t>
  </si>
  <si>
    <t>Adjustment for Resale</t>
  </si>
  <si>
    <t>Taxes on Resale</t>
  </si>
  <si>
    <t>Accounts Payable</t>
  </si>
  <si>
    <t>Taxes Payable (=Taxes on Operations)</t>
  </si>
  <si>
    <t>TOTAL FREE CASH FLOWS</t>
  </si>
  <si>
    <t>IRR</t>
  </si>
  <si>
    <t>WACC COMPUTED FROM FORECAST</t>
  </si>
  <si>
    <t>NPV USING COMPUTED WACC</t>
  </si>
  <si>
    <t>Taxable Income</t>
  </si>
  <si>
    <t>Tax Expense</t>
  </si>
  <si>
    <t>Tax Rate</t>
  </si>
  <si>
    <t>Book Value</t>
  </si>
  <si>
    <t>Gain on Sale</t>
  </si>
  <si>
    <t>YEAR 0</t>
  </si>
  <si>
    <t xml:space="preserve">YEAR 1 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</si>
  <si>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</si>
  <si>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</si>
  <si>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</si>
  <si>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</si>
  <si>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</si>
  <si>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</si>
  <si>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</si>
  <si>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</si>
  <si>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</si>
  <si>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Beta &amp; Un-levered Beta</t>
  </si>
  <si>
    <t>CAPM</t>
  </si>
  <si>
    <t>Equity Beta</t>
  </si>
  <si>
    <t>Beta</t>
  </si>
  <si>
    <t>Debt %</t>
  </si>
  <si>
    <t>Equity %</t>
  </si>
  <si>
    <t>S&amp;P 500 rate</t>
  </si>
  <si>
    <t>Unlevered Beta</t>
  </si>
  <si>
    <t>Re-levered Beta</t>
  </si>
  <si>
    <t>New Debt %</t>
  </si>
  <si>
    <t>New Equity %</t>
  </si>
  <si>
    <t>Average</t>
  </si>
  <si>
    <t>Proportion</t>
  </si>
  <si>
    <t>After-tax</t>
  </si>
  <si>
    <t>WACC</t>
  </si>
  <si>
    <t>Retail (Special Lines)</t>
  </si>
  <si>
    <t>Industry Name</t>
  </si>
  <si>
    <t>Number of firms</t>
  </si>
  <si>
    <t xml:space="preserve">Beta </t>
  </si>
  <si>
    <t>D/E Ratio</t>
  </si>
  <si>
    <t>Tax rate</t>
  </si>
  <si>
    <t>Unlevered beta</t>
  </si>
  <si>
    <t>Cash/Firm value</t>
  </si>
  <si>
    <t>Unlevered beta corrected for cash</t>
  </si>
  <si>
    <t>S&amp;P Rates</t>
  </si>
  <si>
    <t>Average Rental Price/Mo. in NH Apartment</t>
  </si>
  <si>
    <t>Average Rental Price/Mo. in NH Office</t>
  </si>
  <si>
    <t xml:space="preserve">Office </t>
  </si>
  <si>
    <t>Rental Units Apt.</t>
  </si>
  <si>
    <t>Fed Tax</t>
  </si>
  <si>
    <t>State Tax</t>
  </si>
  <si>
    <t>Rifles</t>
  </si>
  <si>
    <t>Highend</t>
  </si>
  <si>
    <t>Mid Range</t>
  </si>
  <si>
    <t>Low Range</t>
  </si>
  <si>
    <t>Pistols</t>
  </si>
  <si>
    <t>Shotguns</t>
  </si>
  <si>
    <t>Assualt Rifles</t>
  </si>
  <si>
    <t>Total Real Estate</t>
  </si>
  <si>
    <t>Total Loan Amt @ 90% of Value</t>
  </si>
  <si>
    <t>Land Portion</t>
  </si>
  <si>
    <t>Building Portion</t>
  </si>
  <si>
    <t>Markup (30% of cost)</t>
  </si>
  <si>
    <t>Scopes</t>
  </si>
  <si>
    <t>Firearms</t>
  </si>
  <si>
    <t>Accessories</t>
  </si>
  <si>
    <t>Hunting Gear</t>
  </si>
  <si>
    <t>Clothing</t>
  </si>
  <si>
    <t>Inventory Loan</t>
  </si>
  <si>
    <t>Inventory Loan Pmt Plan</t>
  </si>
  <si>
    <t>Loan Amount</t>
  </si>
  <si>
    <t>Year</t>
  </si>
  <si>
    <t>Land value vs. Building value</t>
  </si>
  <si>
    <t>Pmt/Yr</t>
  </si>
  <si>
    <t>Year 1 Bal</t>
  </si>
  <si>
    <t>Year 2 Bal</t>
  </si>
  <si>
    <t>Year 3 Bal</t>
  </si>
  <si>
    <t>Year 4 Bal</t>
  </si>
  <si>
    <t>Year 5 Bal</t>
  </si>
  <si>
    <t>Ammo Per Round</t>
  </si>
  <si>
    <t>Rifle % of Total Sales</t>
  </si>
  <si>
    <t>Hand Gun % of Total Sales</t>
  </si>
  <si>
    <t>Assault Rifle % of Total Sales</t>
  </si>
  <si>
    <t>Shotgun Sales % of Total Sales</t>
  </si>
  <si>
    <t>Other Income:</t>
  </si>
  <si>
    <t>Rental Income</t>
  </si>
  <si>
    <t>Rental Expenses</t>
  </si>
  <si>
    <t>Net Other Income - Rental</t>
  </si>
  <si>
    <t>Expense % of Other Income - Rent</t>
  </si>
  <si>
    <t>Interest</t>
  </si>
  <si>
    <t>S.S. &amp; Medicare</t>
  </si>
  <si>
    <t>Employee Labor Expense</t>
  </si>
  <si>
    <t>Payroll Tax - Employer</t>
  </si>
  <si>
    <t>2011-2015</t>
  </si>
  <si>
    <t>2016-2019</t>
  </si>
  <si>
    <t>2020-20223</t>
  </si>
  <si>
    <t>Purchase Inventory</t>
  </si>
  <si>
    <t>Decrease in Value</t>
  </si>
  <si>
    <t>Increase in Value</t>
  </si>
  <si>
    <t>Building</t>
  </si>
  <si>
    <t>Purchased Inventory Loan Interest Expense</t>
  </si>
  <si>
    <t>NH - Population Growth</t>
  </si>
  <si>
    <t>Competitors State Wide</t>
  </si>
  <si>
    <t>Total Listings</t>
  </si>
  <si>
    <t>Market Share</t>
  </si>
  <si>
    <t>Other states - Compared to Store sales</t>
  </si>
  <si>
    <t>Internet - Compared to store sales</t>
  </si>
  <si>
    <t>NH - Above the National Average</t>
  </si>
  <si>
    <t>Qty of Gun Stores in NH</t>
  </si>
  <si>
    <t>% of total Gun Sales</t>
  </si>
  <si>
    <t>Markup (25% of cost)</t>
  </si>
  <si>
    <t>% of Sale</t>
  </si>
  <si>
    <t>Secured</t>
  </si>
  <si>
    <t>Unsecured</t>
  </si>
  <si>
    <t>Total</t>
  </si>
  <si>
    <t>Extra</t>
  </si>
  <si>
    <t>Admin</t>
  </si>
  <si>
    <t>Remaining</t>
  </si>
  <si>
    <t>Prop</t>
  </si>
  <si>
    <t>TOTAL</t>
  </si>
  <si>
    <t>On the $</t>
  </si>
  <si>
    <t>RETURN OF DEBTHOLDERS</t>
  </si>
  <si>
    <t>Mortgage Loan Cash Flows</t>
  </si>
  <si>
    <t>(-)</t>
  </si>
  <si>
    <t>Principal</t>
  </si>
  <si>
    <t>(+)</t>
  </si>
  <si>
    <t>Paid in Bankruptcy</t>
  </si>
  <si>
    <t>Interest Payments</t>
  </si>
  <si>
    <t>Total Cash Flows</t>
  </si>
  <si>
    <t>IRR if not in Bankruptcy</t>
  </si>
  <si>
    <t>Expected IRR</t>
  </si>
  <si>
    <t>Extra Bank Loan Cash Flows</t>
  </si>
  <si>
    <t>Prob</t>
  </si>
  <si>
    <t>B A N K R U P T C Y</t>
  </si>
  <si>
    <t>Total Debt</t>
  </si>
  <si>
    <t>ARE WE BANKRUPT????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</si>
  <si>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</si>
  <si>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</si>
  <si>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</si>
  <si>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</si>
  <si>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</si>
  <si>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</si>
  <si>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</si>
  <si>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</si>
  <si>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</si>
  <si>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</si>
  <si>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Discount Rate</t>
  </si>
  <si>
    <t>NPV</t>
  </si>
  <si>
    <t>REAL OPTIONS</t>
  </si>
  <si>
    <t>Phase 1</t>
  </si>
  <si>
    <t>Gun Store 1</t>
  </si>
  <si>
    <t>Gun Store 2</t>
  </si>
  <si>
    <t>Gun Store 3</t>
  </si>
  <si>
    <t>Phase 2</t>
  </si>
  <si>
    <t>Phase 3</t>
  </si>
  <si>
    <t>Pass</t>
  </si>
  <si>
    <t>Fail</t>
  </si>
  <si>
    <t>Launch</t>
  </si>
  <si>
    <t>Franchise</t>
  </si>
  <si>
    <t>T-Bill rate (10 Yr)</t>
  </si>
  <si>
    <t>(Bankrupt if any # on this row is 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</si>
</sst>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\$* #,##0_);_(\$* \(#,##0\);_(\$* \-??_);_(@_)"/>
  </numFmts>
  <fonts count="3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u/>
      <sz val="11"/>
      <name val="Calibri"/>
      <family val="2"/>
      <charset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i/>
      <sz val="10"/>
      <name val="Verdana"/>
      <family val="2"/>
    </font>
    <font>
      <b/>
      <sz val="12"/>
      <name val="Arial"/>
      <family val="2"/>
    </font>
    <font>
      <sz val="11"/>
      <color theme="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0">
    <xf numFmtId="0" fontId="0" fillId="0" borderId="0" xfId="0"/>
    <xf numFmtId="10" fontId="1" fillId="0" borderId="0" xfId="2" applyNumberFormat="1"/>
    <xf numFmtId="164" fontId="1" fillId="0" borderId="1" xfId="3" applyNumberFormat="1" applyFont="1" applyBorder="1"/>
    <xf numFmtId="164" fontId="1" fillId="0" borderId="0" xfId="3" applyNumberFormat="1" applyFont="1"/>
    <xf numFmtId="164" fontId="3" fillId="0" borderId="0" xfId="3" applyNumberFormat="1" applyFont="1" applyBorder="1"/>
    <xf numFmtId="164" fontId="6" fillId="0" borderId="0" xfId="3" applyNumberFormat="1" applyFont="1" applyBorder="1"/>
    <xf numFmtId="9" fontId="1" fillId="0" borderId="0" xfId="2"/>
    <xf numFmtId="164" fontId="0" fillId="0" borderId="0" xfId="3" applyNumberFormat="1" applyFont="1"/>
    <xf numFmtId="164" fontId="0" fillId="0" borderId="0" xfId="3" applyNumberFormat="1" applyFont="1" applyAlignment="1">
      <alignment wrapText="1"/>
    </xf>
    <xf numFmtId="164" fontId="7" fillId="3" borderId="0" xfId="3" applyNumberFormat="1" applyFont="1" applyFill="1" applyAlignment="1">
      <alignment wrapText="1"/>
    </xf>
    <xf numFmtId="164" fontId="2" fillId="0" borderId="0" xfId="3" applyNumberFormat="1" applyFont="1" applyAlignment="1">
      <alignment wrapText="1"/>
    </xf>
    <xf numFmtId="164" fontId="5" fillId="0" borderId="0" xfId="3" applyNumberFormat="1" applyFont="1" applyFill="1" applyAlignment="1">
      <alignment wrapText="1"/>
    </xf>
    <xf numFmtId="164" fontId="5" fillId="0" borderId="0" xfId="3" applyNumberFormat="1" applyFont="1" applyFill="1"/>
    <xf numFmtId="164" fontId="8" fillId="0" borderId="0" xfId="3" applyNumberFormat="1" applyFont="1" applyAlignment="1">
      <alignment wrapText="1"/>
    </xf>
    <xf numFmtId="164" fontId="8" fillId="0" borderId="0" xfId="3" applyNumberFormat="1" applyFont="1"/>
    <xf numFmtId="164" fontId="9" fillId="2" borderId="0" xfId="3" applyNumberFormat="1" applyFont="1" applyFill="1" applyBorder="1"/>
    <xf numFmtId="43" fontId="6" fillId="0" borderId="0" xfId="3" applyNumberFormat="1" applyFont="1" applyBorder="1"/>
    <xf numFmtId="164" fontId="13" fillId="2" borderId="0" xfId="3" applyNumberFormat="1" applyFont="1" applyFill="1" applyBorder="1"/>
    <xf numFmtId="164" fontId="12" fillId="2" borderId="0" xfId="3" applyNumberFormat="1" applyFont="1" applyFill="1" applyBorder="1"/>
    <xf numFmtId="43" fontId="12" fillId="2" borderId="0" xfId="3" applyNumberFormat="1" applyFont="1" applyFill="1" applyBorder="1"/>
    <xf numFmtId="164" fontId="13" fillId="2" borderId="0" xfId="3" applyNumberFormat="1" applyFont="1" applyFill="1" applyBorder="1" applyAlignment="1" applyProtection="1"/>
    <xf numFmtId="164" fontId="12" fillId="0" borderId="0" xfId="3" applyNumberFormat="1" applyFont="1" applyFill="1"/>
    <xf numFmtId="164" fontId="13" fillId="0" borderId="0" xfId="3" applyNumberFormat="1" applyFont="1" applyFill="1"/>
    <xf numFmtId="164" fontId="13" fillId="0" borderId="2" xfId="3" applyNumberFormat="1" applyFont="1" applyFill="1" applyBorder="1"/>
    <xf numFmtId="164" fontId="13" fillId="0" borderId="0" xfId="3" applyNumberFormat="1" applyFont="1" applyFill="1" applyBorder="1" applyAlignment="1" applyProtection="1"/>
    <xf numFmtId="164" fontId="13" fillId="0" borderId="3" xfId="3" applyNumberFormat="1" applyFont="1" applyFill="1" applyBorder="1" applyAlignment="1" applyProtection="1"/>
    <xf numFmtId="164" fontId="15" fillId="5" borderId="0" xfId="3" applyNumberFormat="1" applyFont="1" applyFill="1" applyBorder="1"/>
    <xf numFmtId="164" fontId="16" fillId="5" borderId="0" xfId="3" applyNumberFormat="1" applyFont="1" applyFill="1" applyBorder="1"/>
    <xf numFmtId="164" fontId="12" fillId="6" borderId="0" xfId="3" applyNumberFormat="1" applyFont="1" applyFill="1" applyBorder="1"/>
    <xf numFmtId="164" fontId="13" fillId="6" borderId="0" xfId="3" applyNumberFormat="1" applyFont="1" applyFill="1" applyBorder="1"/>
    <xf numFmtId="164" fontId="9" fillId="6" borderId="0" xfId="3" applyNumberFormat="1" applyFont="1" applyFill="1" applyBorder="1"/>
    <xf numFmtId="164" fontId="17" fillId="6" borderId="0" xfId="3" applyNumberFormat="1" applyFont="1" applyFill="1" applyBorder="1"/>
    <xf numFmtId="9" fontId="17" fillId="0" borderId="0" xfId="2" applyFont="1"/>
    <xf numFmtId="164" fontId="17" fillId="0" borderId="0" xfId="3" applyNumberFormat="1" applyFont="1" applyBorder="1"/>
    <xf numFmtId="9" fontId="6" fillId="6" borderId="0" xfId="2" applyFont="1" applyFill="1"/>
    <xf numFmtId="9" fontId="6" fillId="6" borderId="0" xfId="2" applyNumberFormat="1" applyFont="1" applyFill="1"/>
    <xf numFmtId="10" fontId="6" fillId="6" borderId="0" xfId="2" applyNumberFormat="1" applyFont="1" applyFill="1"/>
    <xf numFmtId="164" fontId="6" fillId="6" borderId="0" xfId="3" applyNumberFormat="1" applyFont="1" applyFill="1"/>
    <xf numFmtId="164" fontId="6" fillId="6" borderId="2" xfId="3" applyNumberFormat="1" applyFont="1" applyFill="1" applyBorder="1"/>
    <xf numFmtId="164" fontId="6" fillId="6" borderId="0" xfId="3" applyNumberFormat="1" applyFont="1" applyFill="1" applyBorder="1"/>
    <xf numFmtId="9" fontId="3" fillId="0" borderId="0" xfId="2" applyFont="1"/>
    <xf numFmtId="164" fontId="3" fillId="0" borderId="0" xfId="3" applyNumberFormat="1" applyFont="1"/>
    <xf numFmtId="43" fontId="12" fillId="6" borderId="0" xfId="3" applyNumberFormat="1" applyFont="1" applyFill="1" applyBorder="1"/>
    <xf numFmtId="164" fontId="13" fillId="0" borderId="2" xfId="3" applyNumberFormat="1" applyFont="1" applyFill="1" applyBorder="1" applyAlignment="1" applyProtection="1"/>
    <xf numFmtId="164" fontId="12" fillId="6" borderId="4" xfId="3" applyNumberFormat="1" applyFont="1" applyFill="1" applyBorder="1"/>
    <xf numFmtId="164" fontId="12" fillId="6" borderId="0" xfId="3" applyNumberFormat="1" applyFont="1" applyFill="1"/>
    <xf numFmtId="43" fontId="9" fillId="2" borderId="0" xfId="3" applyNumberFormat="1" applyFont="1" applyFill="1" applyBorder="1"/>
    <xf numFmtId="43" fontId="13" fillId="0" borderId="0" xfId="3" applyNumberFormat="1" applyFont="1" applyFill="1"/>
    <xf numFmtId="164" fontId="9" fillId="2" borderId="4" xfId="3" applyNumberFormat="1" applyFont="1" applyFill="1" applyBorder="1"/>
    <xf numFmtId="9" fontId="6" fillId="6" borderId="4" xfId="2" applyFont="1" applyFill="1" applyBorder="1"/>
    <xf numFmtId="164" fontId="9" fillId="6" borderId="4" xfId="3" applyNumberFormat="1" applyFont="1" applyFill="1" applyBorder="1"/>
    <xf numFmtId="164" fontId="13" fillId="0" borderId="3" xfId="3" applyNumberFormat="1" applyFont="1" applyFill="1" applyBorder="1"/>
    <xf numFmtId="9" fontId="3" fillId="0" borderId="2" xfId="2" applyFont="1" applyBorder="1"/>
    <xf numFmtId="164" fontId="3" fillId="0" borderId="1" xfId="3" applyNumberFormat="1" applyFont="1" applyBorder="1"/>
    <xf numFmtId="10" fontId="3" fillId="0" borderId="0" xfId="2" applyNumberFormat="1" applyFont="1"/>
    <xf numFmtId="43" fontId="3" fillId="0" borderId="0" xfId="3" applyFont="1"/>
    <xf numFmtId="9" fontId="3" fillId="0" borderId="0" xfId="2" applyFont="1" applyBorder="1"/>
    <xf numFmtId="0" fontId="2" fillId="0" borderId="0" xfId="0" applyFont="1"/>
    <xf numFmtId="0" fontId="0" fillId="0" borderId="0" xfId="0" applyBorder="1"/>
    <xf numFmtId="10" fontId="0" fillId="0" borderId="0" xfId="0" applyNumberFormat="1"/>
    <xf numFmtId="9" fontId="0" fillId="0" borderId="0" xfId="0" applyNumberFormat="1" applyBorder="1"/>
    <xf numFmtId="166" fontId="0" fillId="0" borderId="0" xfId="0" applyNumberFormat="1"/>
    <xf numFmtId="9" fontId="0" fillId="0" borderId="0" xfId="0" applyNumberFormat="1"/>
    <xf numFmtId="164" fontId="14" fillId="0" borderId="9" xfId="3" applyNumberFormat="1" applyFont="1" applyFill="1" applyBorder="1"/>
    <xf numFmtId="9" fontId="3" fillId="0" borderId="9" xfId="2" applyFont="1" applyBorder="1"/>
    <xf numFmtId="164" fontId="19" fillId="0" borderId="9" xfId="3" applyNumberFormat="1" applyFont="1" applyBorder="1"/>
    <xf numFmtId="164" fontId="4" fillId="0" borderId="9" xfId="3" applyNumberFormat="1" applyFont="1" applyBorder="1"/>
    <xf numFmtId="164" fontId="10" fillId="3" borderId="5" xfId="3" applyNumberFormat="1" applyFont="1" applyFill="1" applyBorder="1" applyAlignment="1">
      <alignment horizontal="center"/>
    </xf>
    <xf numFmtId="164" fontId="10" fillId="3" borderId="0" xfId="3" applyNumberFormat="1" applyFont="1" applyFill="1" applyBorder="1" applyAlignment="1">
      <alignment horizontal="center"/>
    </xf>
    <xf numFmtId="164" fontId="0" fillId="0" borderId="0" xfId="3" applyNumberFormat="1" applyFont="1" applyBorder="1"/>
    <xf numFmtId="164" fontId="0" fillId="0" borderId="3" xfId="3" applyNumberFormat="1" applyFont="1" applyBorder="1"/>
    <xf numFmtId="0" fontId="1" fillId="0" borderId="0" xfId="1" applyFill="1" applyBorder="1"/>
    <xf numFmtId="43" fontId="20" fillId="0" borderId="0" xfId="3" applyFont="1" applyFill="1" applyBorder="1"/>
    <xf numFmtId="0" fontId="1" fillId="0" borderId="0" xfId="1" applyBorder="1"/>
    <xf numFmtId="43" fontId="1" fillId="0" borderId="0" xfId="1" applyNumberFormat="1" applyBorder="1"/>
    <xf numFmtId="43" fontId="0" fillId="0" borderId="0" xfId="3" applyFont="1" applyBorder="1"/>
    <xf numFmtId="165" fontId="0" fillId="0" borderId="0" xfId="3" applyNumberFormat="1" applyFont="1" applyBorder="1"/>
    <xf numFmtId="10" fontId="1" fillId="0" borderId="0" xfId="1" applyNumberFormat="1" applyFill="1" applyBorder="1"/>
    <xf numFmtId="165" fontId="1" fillId="0" borderId="0" xfId="2" applyNumberFormat="1" applyFont="1" applyFill="1" applyBorder="1" applyAlignment="1" applyProtection="1"/>
    <xf numFmtId="9" fontId="0" fillId="0" borderId="0" xfId="3" applyNumberFormat="1" applyFont="1" applyBorder="1"/>
    <xf numFmtId="10" fontId="21" fillId="7" borderId="3" xfId="2" applyNumberFormat="1" applyFont="1" applyFill="1" applyBorder="1"/>
    <xf numFmtId="43" fontId="11" fillId="2" borderId="4" xfId="3" applyFont="1" applyFill="1" applyBorder="1"/>
    <xf numFmtId="43" fontId="11" fillId="0" borderId="0" xfId="3" applyFont="1" applyFill="1" applyBorder="1"/>
    <xf numFmtId="0" fontId="6" fillId="4" borderId="2" xfId="1" applyFont="1" applyFill="1" applyBorder="1"/>
    <xf numFmtId="164" fontId="3" fillId="0" borderId="0" xfId="2" applyNumberFormat="1" applyFont="1"/>
    <xf numFmtId="164" fontId="3" fillId="0" borderId="3" xfId="2" applyNumberFormat="1" applyFont="1" applyBorder="1"/>
    <xf numFmtId="164" fontId="3" fillId="0" borderId="3" xfId="3" applyNumberFormat="1" applyFont="1" applyBorder="1"/>
    <xf numFmtId="164" fontId="1" fillId="0" borderId="3" xfId="3" applyNumberFormat="1" applyFont="1" applyBorder="1"/>
    <xf numFmtId="9" fontId="1" fillId="0" borderId="3" xfId="2" applyBorder="1"/>
    <xf numFmtId="0" fontId="22" fillId="0" borderId="10" xfId="0" applyFont="1" applyBorder="1"/>
    <xf numFmtId="0" fontId="22" fillId="0" borderId="6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10" fontId="22" fillId="0" borderId="6" xfId="0" applyNumberFormat="1" applyFont="1" applyBorder="1" applyAlignment="1">
      <alignment horizontal="center"/>
    </xf>
    <xf numFmtId="0" fontId="23" fillId="0" borderId="4" xfId="0" applyFont="1" applyBorder="1"/>
    <xf numFmtId="0" fontId="23" fillId="0" borderId="8" xfId="0" applyFont="1" applyBorder="1" applyAlignment="1">
      <alignment horizontal="center"/>
    </xf>
    <xf numFmtId="2" fontId="23" fillId="0" borderId="8" xfId="0" applyNumberFormat="1" applyFont="1" applyBorder="1" applyAlignment="1">
      <alignment horizontal="center"/>
    </xf>
    <xf numFmtId="0" fontId="0" fillId="0" borderId="2" xfId="0" applyBorder="1"/>
    <xf numFmtId="9" fontId="1" fillId="7" borderId="0" xfId="2" applyNumberFormat="1" applyFill="1"/>
    <xf numFmtId="10" fontId="1" fillId="7" borderId="3" xfId="2" applyNumberFormat="1" applyFill="1" applyBorder="1"/>
    <xf numFmtId="44" fontId="17" fillId="0" borderId="0" xfId="4" applyFont="1" applyBorder="1"/>
    <xf numFmtId="44" fontId="17" fillId="0" borderId="3" xfId="4" applyFont="1" applyBorder="1"/>
    <xf numFmtId="164" fontId="3" fillId="7" borderId="0" xfId="3" applyNumberFormat="1" applyFont="1" applyFill="1"/>
    <xf numFmtId="164" fontId="1" fillId="7" borderId="0" xfId="3" applyNumberFormat="1" applyFont="1" applyFill="1"/>
    <xf numFmtId="9" fontId="1" fillId="7" borderId="0" xfId="2" applyFill="1"/>
    <xf numFmtId="164" fontId="3" fillId="7" borderId="2" xfId="3" applyNumberFormat="1" applyFont="1" applyFill="1" applyBorder="1"/>
    <xf numFmtId="164" fontId="6" fillId="7" borderId="0" xfId="3" applyNumberFormat="1" applyFont="1" applyFill="1"/>
    <xf numFmtId="164" fontId="1" fillId="0" borderId="2" xfId="3" applyNumberFormat="1" applyFont="1" applyBorder="1"/>
    <xf numFmtId="164" fontId="17" fillId="8" borderId="2" xfId="3" applyNumberFormat="1" applyFont="1" applyFill="1" applyBorder="1"/>
    <xf numFmtId="164" fontId="3" fillId="0" borderId="0" xfId="3" applyNumberFormat="1" applyFont="1" applyAlignment="1"/>
    <xf numFmtId="43" fontId="3" fillId="0" borderId="0" xfId="3" applyFont="1" applyBorder="1"/>
    <xf numFmtId="43" fontId="17" fillId="0" borderId="0" xfId="3" applyFont="1" applyBorder="1"/>
    <xf numFmtId="43" fontId="6" fillId="0" borderId="0" xfId="3" applyFont="1" applyBorder="1"/>
    <xf numFmtId="0" fontId="0" fillId="6" borderId="0" xfId="0" applyFill="1"/>
    <xf numFmtId="43" fontId="3" fillId="0" borderId="4" xfId="3" applyFont="1" applyBorder="1"/>
    <xf numFmtId="44" fontId="12" fillId="6" borderId="4" xfId="4" applyFont="1" applyFill="1" applyBorder="1"/>
    <xf numFmtId="44" fontId="12" fillId="2" borderId="4" xfId="4" applyFont="1" applyFill="1" applyBorder="1"/>
    <xf numFmtId="44" fontId="9" fillId="6" borderId="4" xfId="4" applyFont="1" applyFill="1" applyBorder="1"/>
    <xf numFmtId="164" fontId="3" fillId="0" borderId="4" xfId="3" applyNumberFormat="1" applyFont="1" applyBorder="1"/>
    <xf numFmtId="9" fontId="3" fillId="0" borderId="4" xfId="2" applyFont="1" applyBorder="1"/>
    <xf numFmtId="9" fontId="17" fillId="0" borderId="4" xfId="2" applyFont="1" applyBorder="1"/>
    <xf numFmtId="165" fontId="17" fillId="0" borderId="4" xfId="2" applyNumberFormat="1" applyFont="1" applyBorder="1"/>
    <xf numFmtId="10" fontId="3" fillId="0" borderId="4" xfId="2" applyNumberFormat="1" applyFont="1" applyBorder="1"/>
    <xf numFmtId="9" fontId="1" fillId="0" borderId="4" xfId="2" applyBorder="1"/>
    <xf numFmtId="0" fontId="15" fillId="5" borderId="7" xfId="3" applyNumberFormat="1" applyFont="1" applyFill="1" applyBorder="1" applyAlignment="1">
      <alignment horizontal="center"/>
    </xf>
    <xf numFmtId="0" fontId="15" fillId="5" borderId="0" xfId="3" applyNumberFormat="1" applyFont="1" applyFill="1" applyBorder="1" applyAlignment="1">
      <alignment horizontal="center"/>
    </xf>
    <xf numFmtId="43" fontId="2" fillId="2" borderId="4" xfId="3" applyFont="1" applyFill="1" applyBorder="1"/>
    <xf numFmtId="10" fontId="17" fillId="0" borderId="4" xfId="2" applyNumberFormat="1" applyFont="1" applyBorder="1"/>
    <xf numFmtId="164" fontId="17" fillId="0" borderId="3" xfId="3" applyNumberFormat="1" applyFont="1" applyBorder="1"/>
    <xf numFmtId="43" fontId="3" fillId="0" borderId="0" xfId="3" applyNumberFormat="1" applyFont="1" applyBorder="1"/>
    <xf numFmtId="164" fontId="13" fillId="0" borderId="0" xfId="3" applyNumberFormat="1" applyFont="1" applyFill="1" applyBorder="1"/>
    <xf numFmtId="164" fontId="15" fillId="5" borderId="0" xfId="3" applyNumberFormat="1" applyFont="1" applyFill="1" applyAlignment="1">
      <alignment horizontal="center"/>
    </xf>
    <xf numFmtId="43" fontId="13" fillId="0" borderId="0" xfId="3" applyNumberFormat="1" applyFont="1" applyFill="1" applyBorder="1" applyAlignment="1" applyProtection="1"/>
    <xf numFmtId="43" fontId="13" fillId="0" borderId="0" xfId="3" applyNumberFormat="1" applyFont="1" applyFill="1" applyBorder="1"/>
    <xf numFmtId="9" fontId="13" fillId="0" borderId="0" xfId="3" applyNumberFormat="1" applyFont="1" applyFill="1" applyBorder="1" applyAlignment="1" applyProtection="1"/>
    <xf numFmtId="9" fontId="13" fillId="0" borderId="0" xfId="3" applyNumberFormat="1" applyFont="1" applyFill="1"/>
    <xf numFmtId="167" fontId="5" fillId="0" borderId="0" xfId="4" applyNumberFormat="1" applyFill="1" applyBorder="1"/>
    <xf numFmtId="167" fontId="5" fillId="0" borderId="11" xfId="4" applyNumberFormat="1" applyFill="1" applyBorder="1"/>
    <xf numFmtId="167" fontId="5" fillId="0" borderId="2" xfId="4" applyNumberFormat="1" applyFill="1" applyBorder="1"/>
    <xf numFmtId="0" fontId="1" fillId="0" borderId="0" xfId="1" applyFill="1" applyBorder="1" applyAlignment="1">
      <alignment horizontal="right"/>
    </xf>
    <xf numFmtId="167" fontId="1" fillId="0" borderId="0" xfId="2" applyNumberFormat="1" applyFill="1" applyBorder="1"/>
    <xf numFmtId="165" fontId="1" fillId="0" borderId="0" xfId="1" applyNumberFormat="1" applyFill="1" applyBorder="1"/>
    <xf numFmtId="167" fontId="1" fillId="0" borderId="0" xfId="1" applyNumberFormat="1" applyFill="1" applyBorder="1"/>
    <xf numFmtId="44" fontId="5" fillId="0" borderId="0" xfId="4"/>
    <xf numFmtId="167" fontId="1" fillId="0" borderId="2" xfId="2" applyNumberFormat="1" applyFill="1" applyBorder="1"/>
    <xf numFmtId="165" fontId="1" fillId="0" borderId="0" xfId="2" applyNumberFormat="1" applyFill="1" applyBorder="1"/>
    <xf numFmtId="167" fontId="5" fillId="0" borderId="0" xfId="4" applyNumberFormat="1"/>
    <xf numFmtId="0" fontId="1" fillId="0" borderId="0" xfId="1"/>
    <xf numFmtId="43" fontId="0" fillId="0" borderId="0" xfId="3" applyFont="1"/>
    <xf numFmtId="167" fontId="5" fillId="0" borderId="3" xfId="4" applyNumberFormat="1" applyFill="1" applyBorder="1"/>
    <xf numFmtId="43" fontId="13" fillId="0" borderId="12" xfId="3" applyNumberFormat="1" applyFont="1" applyFill="1" applyBorder="1" applyAlignment="1" applyProtection="1"/>
    <xf numFmtId="43" fontId="13" fillId="0" borderId="2" xfId="3" applyNumberFormat="1" applyFont="1" applyFill="1" applyBorder="1" applyAlignment="1" applyProtection="1"/>
    <xf numFmtId="43" fontId="13" fillId="0" borderId="6" xfId="3" applyNumberFormat="1" applyFont="1" applyFill="1" applyBorder="1" applyAlignment="1" applyProtection="1"/>
    <xf numFmtId="0" fontId="6" fillId="0" borderId="0" xfId="1" applyFont="1" applyBorder="1"/>
    <xf numFmtId="164" fontId="13" fillId="0" borderId="0" xfId="3" applyNumberFormat="1" applyFont="1" applyFill="1" applyAlignment="1">
      <alignment horizontal="right"/>
    </xf>
    <xf numFmtId="164" fontId="13" fillId="7" borderId="3" xfId="3" applyNumberFormat="1" applyFont="1" applyFill="1" applyBorder="1" applyAlignment="1" applyProtection="1"/>
    <xf numFmtId="167" fontId="7" fillId="3" borderId="0" xfId="4" applyNumberFormat="1" applyFont="1" applyFill="1" applyBorder="1"/>
    <xf numFmtId="0" fontId="25" fillId="3" borderId="0" xfId="1" applyFont="1" applyFill="1" applyBorder="1"/>
    <xf numFmtId="9" fontId="0" fillId="0" borderId="3" xfId="3" applyNumberFormat="1" applyFont="1" applyBorder="1"/>
    <xf numFmtId="164" fontId="9" fillId="9" borderId="0" xfId="3" applyNumberFormat="1" applyFont="1" applyFill="1" applyBorder="1" applyAlignment="1" applyProtection="1">
      <alignment horizontal="center"/>
    </xf>
    <xf numFmtId="9" fontId="3" fillId="0" borderId="3" xfId="2" applyFont="1" applyBorder="1"/>
    <xf numFmtId="0" fontId="26" fillId="0" borderId="0" xfId="1" applyFont="1"/>
    <xf numFmtId="0" fontId="20" fillId="0" borderId="0" xfId="0" applyFont="1" applyAlignment="1">
      <alignment horizontal="right"/>
    </xf>
    <xf numFmtId="9" fontId="1" fillId="0" borderId="0" xfId="2" applyAlignment="1">
      <alignment horizontal="left"/>
    </xf>
    <xf numFmtId="0" fontId="20" fillId="0" borderId="0" xfId="0" applyFont="1" applyAlignment="1">
      <alignment horizontal="left"/>
    </xf>
    <xf numFmtId="164" fontId="1" fillId="0" borderId="0" xfId="3" applyNumberFormat="1" applyFont="1" applyAlignment="1">
      <alignment horizontal="center" vertical="center"/>
    </xf>
    <xf numFmtId="164" fontId="13" fillId="5" borderId="0" xfId="3" applyNumberFormat="1" applyFont="1" applyFill="1" applyAlignment="1">
      <alignment horizontal="center" vertical="center"/>
    </xf>
    <xf numFmtId="0" fontId="1" fillId="0" borderId="13" xfId="1" applyBorder="1"/>
    <xf numFmtId="9" fontId="1" fillId="0" borderId="13" xfId="1" applyNumberFormat="1" applyBorder="1"/>
    <xf numFmtId="164" fontId="13" fillId="0" borderId="13" xfId="3" applyNumberFormat="1" applyFont="1" applyFill="1" applyBorder="1"/>
    <xf numFmtId="164" fontId="1" fillId="0" borderId="13" xfId="3" applyNumberFormat="1" applyFont="1" applyBorder="1"/>
    <xf numFmtId="9" fontId="1" fillId="0" borderId="0" xfId="1" applyNumberFormat="1" applyBorder="1"/>
    <xf numFmtId="9" fontId="1" fillId="0" borderId="0" xfId="2" applyBorder="1"/>
    <xf numFmtId="164" fontId="1" fillId="0" borderId="0" xfId="3" applyNumberFormat="1" applyFont="1" applyBorder="1"/>
    <xf numFmtId="0" fontId="1" fillId="0" borderId="2" xfId="1" applyBorder="1" applyAlignment="1">
      <alignment horizontal="right"/>
    </xf>
    <xf numFmtId="0" fontId="1" fillId="0" borderId="2" xfId="1" applyBorder="1"/>
    <xf numFmtId="0" fontId="26" fillId="0" borderId="13" xfId="1" applyFont="1" applyBorder="1"/>
    <xf numFmtId="9" fontId="3" fillId="0" borderId="0" xfId="1" applyNumberFormat="1" applyFont="1" applyBorder="1"/>
    <xf numFmtId="165" fontId="0" fillId="0" borderId="0" xfId="0" applyNumberFormat="1" applyFont="1" applyBorder="1"/>
    <xf numFmtId="8" fontId="1" fillId="0" borderId="2" xfId="1" applyNumberFormat="1" applyBorder="1"/>
    <xf numFmtId="0" fontId="2" fillId="0" borderId="3" xfId="0" applyFont="1" applyBorder="1"/>
    <xf numFmtId="0" fontId="1" fillId="0" borderId="3" xfId="1" applyBorder="1"/>
    <xf numFmtId="164" fontId="27" fillId="5" borderId="0" xfId="3" applyNumberFormat="1" applyFont="1" applyFill="1" applyBorder="1" applyAlignment="1">
      <alignment horizontal="center"/>
    </xf>
    <xf numFmtId="8" fontId="29" fillId="7" borderId="3" xfId="1" applyNumberFormat="1" applyFont="1" applyFill="1" applyBorder="1"/>
    <xf numFmtId="164" fontId="13" fillId="0" borderId="11" xfId="3" applyNumberFormat="1" applyFont="1" applyFill="1" applyBorder="1"/>
    <xf numFmtId="164" fontId="9" fillId="6" borderId="0" xfId="3" applyNumberFormat="1" applyFont="1" applyFill="1" applyBorder="1" applyAlignment="1">
      <alignment horizontal="left"/>
    </xf>
    <xf numFmtId="10" fontId="1" fillId="0" borderId="0" xfId="2" applyNumberFormat="1" applyBorder="1"/>
    <xf numFmtId="10" fontId="1" fillId="0" borderId="0" xfId="2" applyNumberFormat="1" applyFont="1" applyFill="1" applyBorder="1" applyAlignment="1" applyProtection="1"/>
    <xf numFmtId="165" fontId="17" fillId="0" borderId="4" xfId="2" applyNumberFormat="1" applyFont="1" applyFill="1" applyBorder="1"/>
    <xf numFmtId="43" fontId="24" fillId="9" borderId="0" xfId="3" applyFont="1" applyFill="1" applyAlignment="1">
      <alignment horizontal="center"/>
    </xf>
    <xf numFmtId="43" fontId="10" fillId="3" borderId="0" xfId="3" applyFont="1" applyFill="1" applyBorder="1" applyAlignment="1">
      <alignment horizontal="center"/>
    </xf>
    <xf numFmtId="164" fontId="12" fillId="6" borderId="0" xfId="3" applyNumberFormat="1" applyFont="1" applyFill="1" applyBorder="1" applyAlignment="1">
      <alignment horizontal="center"/>
    </xf>
    <xf numFmtId="164" fontId="12" fillId="2" borderId="0" xfId="3" applyNumberFormat="1" applyFont="1" applyFill="1" applyBorder="1" applyAlignment="1">
      <alignment horizontal="center"/>
    </xf>
    <xf numFmtId="164" fontId="9" fillId="9" borderId="0" xfId="3" applyNumberFormat="1" applyFont="1" applyFill="1" applyBorder="1" applyAlignment="1" applyProtection="1">
      <alignment horizontal="center"/>
    </xf>
    <xf numFmtId="43" fontId="28" fillId="3" borderId="0" xfId="3" applyFont="1" applyFill="1" applyAlignment="1">
      <alignment horizontal="center"/>
    </xf>
    <xf numFmtId="0" fontId="2" fillId="0" borderId="0" xfId="0" applyFont="1" applyAlignment="1">
      <alignment horizontal="right"/>
    </xf>
    <xf numFmtId="0" fontId="6" fillId="4" borderId="0" xfId="1" applyFont="1" applyFill="1" applyBorder="1" applyAlignment="1">
      <alignment horizontal="center"/>
    </xf>
    <xf numFmtId="164" fontId="15" fillId="3" borderId="0" xfId="3" applyNumberFormat="1" applyFont="1" applyFill="1" applyBorder="1" applyAlignment="1">
      <alignment horizontal="center"/>
    </xf>
    <xf numFmtId="164" fontId="18" fillId="3" borderId="1" xfId="3" applyNumberFormat="1" applyFont="1" applyFill="1" applyBorder="1" applyAlignment="1">
      <alignment horizontal="center"/>
    </xf>
    <xf numFmtId="164" fontId="9" fillId="2" borderId="0" xfId="3" applyNumberFormat="1" applyFont="1" applyFill="1" applyBorder="1" applyAlignment="1">
      <alignment horizontal="center"/>
    </xf>
    <xf numFmtId="164" fontId="16" fillId="3" borderId="0" xfId="3" applyNumberFormat="1" applyFont="1" applyFill="1" applyBorder="1" applyAlignment="1">
      <alignment horizontal="center"/>
    </xf>
  </cellXfs>
  <cellStyles count="5">
    <cellStyle name="Comma" xfId="3" builtinId="3"/>
    <cellStyle name="Currency" xfId="4" builtinId="4"/>
    <cellStyle name="Excel Built-in Normal" xfId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1"/>
  <sheetViews>
    <sheetView tabSelected="1" zoomScale="70" zoomScaleNormal="70" workbookViewId="0">
      <selection activeCell="E126" sqref="E126"/>
    </sheetView>
  </sheetViews>
  <sheetFormatPr defaultColWidth="9.42578125" defaultRowHeight="15" x14ac:dyDescent="0.25"/>
  <cols>
    <col min="1" max="1" width="15" style="22" customWidth="1"/>
    <col min="2" max="2" width="12.85546875" style="22" customWidth="1"/>
    <col min="3" max="3" width="17" style="22" customWidth="1"/>
    <col min="4" max="4" width="14.85546875" style="22" customWidth="1"/>
    <col min="5" max="5" width="17.85546875" style="22" customWidth="1"/>
    <col min="6" max="15" width="15.140625" style="22" customWidth="1"/>
    <col min="16" max="16" width="14.42578125" style="40" customWidth="1"/>
    <col min="17" max="17" width="21" style="41" customWidth="1"/>
    <col min="18" max="18" width="15" style="41" customWidth="1"/>
    <col min="19" max="19" width="18.85546875" style="3" customWidth="1"/>
    <col min="20" max="20" width="13.85546875" style="3" customWidth="1"/>
    <col min="21" max="21" width="21.7109375" style="3" customWidth="1"/>
    <col min="22" max="23" width="17.85546875" style="3" customWidth="1"/>
    <col min="24" max="24" width="22.5703125" style="3" customWidth="1"/>
    <col min="25" max="26" width="17.85546875" style="3" customWidth="1"/>
    <col min="27" max="16384" width="9.42578125" style="3"/>
  </cols>
  <sheetData>
    <row r="1" spans="1:24" s="2" customFormat="1" ht="18.75" x14ac:dyDescent="0.3">
      <c r="A1" s="197" t="s">
        <v>38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52"/>
      <c r="Q1" s="53"/>
      <c r="R1"/>
      <c r="S1"/>
    </row>
    <row r="2" spans="1:24" s="4" customFormat="1" x14ac:dyDescent="0.25">
      <c r="A2" s="26" t="s">
        <v>45</v>
      </c>
      <c r="B2" s="27"/>
      <c r="C2" s="27"/>
      <c r="D2" s="27"/>
      <c r="E2" s="27"/>
      <c r="F2" s="123">
        <v>2014</v>
      </c>
      <c r="G2" s="123">
        <v>2015</v>
      </c>
      <c r="H2" s="123">
        <v>2016</v>
      </c>
      <c r="I2" s="123">
        <v>2017</v>
      </c>
      <c r="J2" s="123">
        <v>2018</v>
      </c>
      <c r="K2" s="123">
        <v>2019</v>
      </c>
      <c r="L2" s="123">
        <v>2020</v>
      </c>
      <c r="M2" s="123">
        <v>2021</v>
      </c>
      <c r="N2" s="123">
        <v>2022</v>
      </c>
      <c r="O2" s="123">
        <v>2023</v>
      </c>
      <c r="P2" s="40"/>
      <c r="R2"/>
      <c r="S2"/>
    </row>
    <row r="3" spans="1:24" s="4" customFormat="1" x14ac:dyDescent="0.25">
      <c r="A3" s="184" t="s">
        <v>58</v>
      </c>
      <c r="B3" s="31"/>
      <c r="C3" s="31"/>
      <c r="D3" s="31"/>
      <c r="E3" s="31"/>
      <c r="F3" s="49">
        <v>0.34</v>
      </c>
      <c r="G3" s="35">
        <f>+F3+$P3</f>
        <v>0.32500000000000001</v>
      </c>
      <c r="H3" s="35">
        <f t="shared" ref="H3:O3" si="0">+G3+$P3</f>
        <v>0.31</v>
      </c>
      <c r="I3" s="35">
        <f t="shared" si="0"/>
        <v>0.29499999999999998</v>
      </c>
      <c r="J3" s="35">
        <f t="shared" si="0"/>
        <v>0.27999999999999997</v>
      </c>
      <c r="K3" s="35">
        <f t="shared" si="0"/>
        <v>0.26499999999999996</v>
      </c>
      <c r="L3" s="35">
        <f t="shared" si="0"/>
        <v>0.24999999999999994</v>
      </c>
      <c r="M3" s="35">
        <f t="shared" si="0"/>
        <v>0.23499999999999993</v>
      </c>
      <c r="N3" s="35">
        <f t="shared" si="0"/>
        <v>0.21999999999999992</v>
      </c>
      <c r="O3" s="35">
        <f t="shared" si="0"/>
        <v>0.2049999999999999</v>
      </c>
      <c r="P3" s="187">
        <v>-1.4999999999999999E-2</v>
      </c>
      <c r="Q3" s="33" t="s">
        <v>57</v>
      </c>
      <c r="R3"/>
      <c r="S3"/>
    </row>
    <row r="4" spans="1:24" s="33" customFormat="1" x14ac:dyDescent="0.25">
      <c r="A4" s="30" t="s">
        <v>55</v>
      </c>
      <c r="B4" s="31"/>
      <c r="C4" s="31"/>
      <c r="D4" s="31"/>
      <c r="E4" s="31"/>
      <c r="F4" s="50">
        <v>1323459</v>
      </c>
      <c r="G4" s="30">
        <f>+F4*$P4+F4</f>
        <v>1325444.1884999999</v>
      </c>
      <c r="H4" s="30">
        <f t="shared" ref="H4:O4" si="1">+G4*$P4+G4</f>
        <v>1327432.3547827499</v>
      </c>
      <c r="I4" s="30">
        <f t="shared" si="1"/>
        <v>1329423.503314924</v>
      </c>
      <c r="J4" s="30">
        <f t="shared" si="1"/>
        <v>1331417.6385698963</v>
      </c>
      <c r="K4" s="30">
        <f t="shared" si="1"/>
        <v>1333414.7650277512</v>
      </c>
      <c r="L4" s="30">
        <f t="shared" si="1"/>
        <v>1335414.8871752929</v>
      </c>
      <c r="M4" s="30">
        <f t="shared" si="1"/>
        <v>1337418.0095060559</v>
      </c>
      <c r="N4" s="30">
        <f t="shared" si="1"/>
        <v>1339424.136520315</v>
      </c>
      <c r="O4" s="30">
        <f t="shared" si="1"/>
        <v>1341433.2727250955</v>
      </c>
      <c r="P4" s="121">
        <v>1.5E-3</v>
      </c>
      <c r="Q4" s="33" t="s">
        <v>226</v>
      </c>
      <c r="R4"/>
      <c r="S4"/>
    </row>
    <row r="5" spans="1:24" s="33" customFormat="1" x14ac:dyDescent="0.25">
      <c r="A5" s="30" t="s">
        <v>54</v>
      </c>
      <c r="B5" s="31"/>
      <c r="C5" s="31"/>
      <c r="D5" s="31"/>
      <c r="E5" s="31"/>
      <c r="F5" s="34">
        <f>+F3+$P5</f>
        <v>0.35000000000000003</v>
      </c>
      <c r="G5" s="34">
        <f t="shared" ref="G5:O5" si="2">+G3+$P5</f>
        <v>0.33500000000000002</v>
      </c>
      <c r="H5" s="34">
        <f t="shared" si="2"/>
        <v>0.32</v>
      </c>
      <c r="I5" s="34">
        <f t="shared" si="2"/>
        <v>0.30499999999999999</v>
      </c>
      <c r="J5" s="34">
        <f t="shared" si="2"/>
        <v>0.28999999999999998</v>
      </c>
      <c r="K5" s="34">
        <f t="shared" si="2"/>
        <v>0.27499999999999997</v>
      </c>
      <c r="L5" s="34">
        <f t="shared" si="2"/>
        <v>0.25999999999999995</v>
      </c>
      <c r="M5" s="34">
        <f t="shared" si="2"/>
        <v>0.24499999999999994</v>
      </c>
      <c r="N5" s="34">
        <f t="shared" si="2"/>
        <v>0.22999999999999993</v>
      </c>
      <c r="O5" s="34">
        <f t="shared" si="2"/>
        <v>0.21499999999999991</v>
      </c>
      <c r="P5" s="120">
        <v>0.01</v>
      </c>
      <c r="Q5" s="33" t="s">
        <v>232</v>
      </c>
      <c r="R5"/>
      <c r="S5"/>
    </row>
    <row r="6" spans="1:24" s="33" customFormat="1" x14ac:dyDescent="0.25">
      <c r="A6" s="30" t="s">
        <v>84</v>
      </c>
      <c r="B6" s="31"/>
      <c r="C6" s="31"/>
      <c r="D6" s="31"/>
      <c r="E6" s="31"/>
      <c r="F6" s="34">
        <f>+$P$6</f>
        <v>0.6</v>
      </c>
      <c r="G6" s="34">
        <f t="shared" ref="G6:O6" si="3">+$P$6</f>
        <v>0.6</v>
      </c>
      <c r="H6" s="34">
        <f t="shared" si="3"/>
        <v>0.6</v>
      </c>
      <c r="I6" s="34">
        <f t="shared" si="3"/>
        <v>0.6</v>
      </c>
      <c r="J6" s="34">
        <f t="shared" si="3"/>
        <v>0.6</v>
      </c>
      <c r="K6" s="34">
        <f t="shared" si="3"/>
        <v>0.6</v>
      </c>
      <c r="L6" s="34">
        <f t="shared" si="3"/>
        <v>0.6</v>
      </c>
      <c r="M6" s="34">
        <f t="shared" si="3"/>
        <v>0.6</v>
      </c>
      <c r="N6" s="34">
        <f t="shared" si="3"/>
        <v>0.6</v>
      </c>
      <c r="O6" s="34">
        <f t="shared" si="3"/>
        <v>0.6</v>
      </c>
      <c r="P6" s="119">
        <v>0.6</v>
      </c>
      <c r="R6"/>
      <c r="S6"/>
      <c r="U6" s="199" t="s">
        <v>233</v>
      </c>
      <c r="V6" s="199"/>
      <c r="W6" s="199"/>
    </row>
    <row r="7" spans="1:24" s="33" customFormat="1" x14ac:dyDescent="0.25">
      <c r="A7" s="30" t="s">
        <v>85</v>
      </c>
      <c r="B7" s="31"/>
      <c r="C7" s="31"/>
      <c r="D7" s="31"/>
      <c r="E7" s="31"/>
      <c r="F7" s="37">
        <f>+F4*F5*F6</f>
        <v>277926.39</v>
      </c>
      <c r="G7" s="37">
        <f t="shared" ref="G7:O7" si="4">+G4*G5*G6</f>
        <v>266414.28188850003</v>
      </c>
      <c r="H7" s="37">
        <f t="shared" si="4"/>
        <v>254867.012118288</v>
      </c>
      <c r="I7" s="37">
        <f t="shared" si="4"/>
        <v>243284.50110663107</v>
      </c>
      <c r="J7" s="37">
        <f t="shared" si="4"/>
        <v>231666.66911116193</v>
      </c>
      <c r="K7" s="37">
        <f t="shared" si="4"/>
        <v>220013.43622957892</v>
      </c>
      <c r="L7" s="37">
        <f t="shared" si="4"/>
        <v>208324.72239934563</v>
      </c>
      <c r="M7" s="37">
        <f t="shared" si="4"/>
        <v>196600.44739739015</v>
      </c>
      <c r="N7" s="37">
        <f t="shared" si="4"/>
        <v>184840.5308398034</v>
      </c>
      <c r="O7" s="37">
        <f t="shared" si="4"/>
        <v>173044.89218153723</v>
      </c>
      <c r="P7" s="32"/>
      <c r="R7"/>
      <c r="S7"/>
      <c r="U7" s="33" t="s">
        <v>38</v>
      </c>
      <c r="V7" s="33">
        <v>1</v>
      </c>
      <c r="W7" s="1">
        <f>+V7/V9</f>
        <v>2.4937655860349127E-3</v>
      </c>
    </row>
    <row r="8" spans="1:24" s="33" customFormat="1" x14ac:dyDescent="0.25">
      <c r="A8" s="30" t="s">
        <v>92</v>
      </c>
      <c r="B8" s="31"/>
      <c r="C8" s="31"/>
      <c r="D8" s="31"/>
      <c r="E8" s="31"/>
      <c r="F8" s="36">
        <f>+$P$8</f>
        <v>3.5000000000000001E-3</v>
      </c>
      <c r="G8" s="36">
        <f t="shared" ref="G8:O8" si="5">+$P$8</f>
        <v>3.5000000000000001E-3</v>
      </c>
      <c r="H8" s="36">
        <f t="shared" si="5"/>
        <v>3.5000000000000001E-3</v>
      </c>
      <c r="I8" s="36">
        <f t="shared" si="5"/>
        <v>3.5000000000000001E-3</v>
      </c>
      <c r="J8" s="36">
        <f t="shared" si="5"/>
        <v>3.5000000000000001E-3</v>
      </c>
      <c r="K8" s="36">
        <f t="shared" si="5"/>
        <v>3.5000000000000001E-3</v>
      </c>
      <c r="L8" s="36">
        <f t="shared" si="5"/>
        <v>3.5000000000000001E-3</v>
      </c>
      <c r="M8" s="36">
        <f t="shared" si="5"/>
        <v>3.5000000000000001E-3</v>
      </c>
      <c r="N8" s="36">
        <f t="shared" si="5"/>
        <v>3.5000000000000001E-3</v>
      </c>
      <c r="O8" s="36">
        <f t="shared" si="5"/>
        <v>3.5000000000000001E-3</v>
      </c>
      <c r="P8" s="126">
        <v>3.5000000000000001E-3</v>
      </c>
      <c r="Q8" s="33" t="s">
        <v>229</v>
      </c>
      <c r="R8"/>
      <c r="S8"/>
      <c r="U8" s="33" t="s">
        <v>227</v>
      </c>
      <c r="V8" s="33">
        <v>400</v>
      </c>
      <c r="W8" s="1">
        <f>+V8/V9</f>
        <v>0.99750623441396513</v>
      </c>
    </row>
    <row r="9" spans="1:24" s="33" customFormat="1" ht="15.75" thickBot="1" x14ac:dyDescent="0.3">
      <c r="A9" s="30" t="s">
        <v>93</v>
      </c>
      <c r="B9" s="31"/>
      <c r="C9" s="31"/>
      <c r="D9" s="31"/>
      <c r="E9" s="31"/>
      <c r="F9" s="37">
        <f>+F7*F8</f>
        <v>972.74236500000006</v>
      </c>
      <c r="G9" s="37">
        <f t="shared" ref="G9:O9" si="6">+G7*G8</f>
        <v>932.44998660975011</v>
      </c>
      <c r="H9" s="37">
        <f t="shared" si="6"/>
        <v>892.034542414008</v>
      </c>
      <c r="I9" s="37">
        <f t="shared" si="6"/>
        <v>851.49575387320874</v>
      </c>
      <c r="J9" s="37">
        <f t="shared" si="6"/>
        <v>810.83334188906679</v>
      </c>
      <c r="K9" s="37">
        <f t="shared" si="6"/>
        <v>770.04702680352625</v>
      </c>
      <c r="L9" s="37">
        <f t="shared" si="6"/>
        <v>729.13652839770975</v>
      </c>
      <c r="M9" s="37">
        <f t="shared" si="6"/>
        <v>688.10156589086557</v>
      </c>
      <c r="N9" s="37">
        <f t="shared" si="6"/>
        <v>646.94185793931194</v>
      </c>
      <c r="O9" s="37">
        <f t="shared" si="6"/>
        <v>605.65712263538035</v>
      </c>
      <c r="P9" s="32"/>
      <c r="R9"/>
      <c r="S9"/>
      <c r="U9" s="127" t="s">
        <v>228</v>
      </c>
      <c r="V9" s="127">
        <f>SUM(V7:V8)</f>
        <v>401</v>
      </c>
      <c r="W9" s="88">
        <f>SUM(W7:W8)</f>
        <v>1</v>
      </c>
    </row>
    <row r="10" spans="1:24" s="33" customFormat="1" ht="15.75" thickTop="1" x14ac:dyDescent="0.25">
      <c r="A10" s="30" t="s">
        <v>60</v>
      </c>
      <c r="B10" s="31"/>
      <c r="C10" s="31"/>
      <c r="D10" s="31"/>
      <c r="E10" s="31"/>
      <c r="F10" s="39">
        <f>+F9*$P$10</f>
        <v>97.274236500000015</v>
      </c>
      <c r="G10" s="39">
        <f t="shared" ref="G10:O10" si="7">+G9*$P$10</f>
        <v>93.244998660975014</v>
      </c>
      <c r="H10" s="39">
        <f t="shared" si="7"/>
        <v>89.203454241400806</v>
      </c>
      <c r="I10" s="39">
        <f t="shared" si="7"/>
        <v>85.14957538732088</v>
      </c>
      <c r="J10" s="39">
        <f t="shared" si="7"/>
        <v>81.08333418890669</v>
      </c>
      <c r="K10" s="39">
        <f t="shared" si="7"/>
        <v>77.004702680352636</v>
      </c>
      <c r="L10" s="39">
        <f t="shared" si="7"/>
        <v>72.913652839770975</v>
      </c>
      <c r="M10" s="39">
        <f t="shared" si="7"/>
        <v>68.81015658908656</v>
      </c>
      <c r="N10" s="39">
        <f t="shared" si="7"/>
        <v>64.694185793931197</v>
      </c>
      <c r="O10" s="39">
        <f t="shared" si="7"/>
        <v>60.565712263538039</v>
      </c>
      <c r="P10" s="119">
        <v>0.1</v>
      </c>
      <c r="Q10" s="33" t="s">
        <v>230</v>
      </c>
      <c r="R10"/>
      <c r="S10"/>
    </row>
    <row r="11" spans="1:24" s="33" customFormat="1" x14ac:dyDescent="0.25">
      <c r="A11" s="30" t="s">
        <v>61</v>
      </c>
      <c r="B11" s="31"/>
      <c r="C11" s="31"/>
      <c r="D11" s="31"/>
      <c r="E11" s="31"/>
      <c r="F11" s="38">
        <f>+F9*$P$11</f>
        <v>48.637118250000007</v>
      </c>
      <c r="G11" s="38">
        <f t="shared" ref="G11:O11" si="8">+G9*$P$11</f>
        <v>46.622499330487507</v>
      </c>
      <c r="H11" s="38">
        <f t="shared" si="8"/>
        <v>44.601727120700403</v>
      </c>
      <c r="I11" s="38">
        <f t="shared" si="8"/>
        <v>42.57478769366044</v>
      </c>
      <c r="J11" s="38">
        <f t="shared" si="8"/>
        <v>40.541667094453345</v>
      </c>
      <c r="K11" s="38">
        <f t="shared" si="8"/>
        <v>38.502351340176318</v>
      </c>
      <c r="L11" s="38">
        <f t="shared" si="8"/>
        <v>36.456826419885488</v>
      </c>
      <c r="M11" s="38">
        <f t="shared" si="8"/>
        <v>34.40507829454328</v>
      </c>
      <c r="N11" s="38">
        <f t="shared" si="8"/>
        <v>32.347092896965599</v>
      </c>
      <c r="O11" s="38">
        <f t="shared" si="8"/>
        <v>30.282856131769019</v>
      </c>
      <c r="P11" s="119">
        <v>0.05</v>
      </c>
      <c r="Q11" s="33" t="s">
        <v>231</v>
      </c>
      <c r="R11"/>
      <c r="S11"/>
    </row>
    <row r="12" spans="1:24" s="33" customFormat="1" x14ac:dyDescent="0.25">
      <c r="A12" s="30" t="s">
        <v>59</v>
      </c>
      <c r="B12" s="31"/>
      <c r="C12" s="31"/>
      <c r="D12" s="31"/>
      <c r="E12" s="31"/>
      <c r="F12" s="37">
        <f>SUM(F9:F11)</f>
        <v>1118.6537197499999</v>
      </c>
      <c r="G12" s="37">
        <f t="shared" ref="G12:N12" si="9">SUM(G9:G11)</f>
        <v>1072.3174846012125</v>
      </c>
      <c r="H12" s="37">
        <f t="shared" si="9"/>
        <v>1025.8397237761092</v>
      </c>
      <c r="I12" s="37">
        <f t="shared" si="9"/>
        <v>979.22011695419008</v>
      </c>
      <c r="J12" s="37">
        <f t="shared" si="9"/>
        <v>932.45834317242691</v>
      </c>
      <c r="K12" s="37">
        <f t="shared" si="9"/>
        <v>885.55408082405529</v>
      </c>
      <c r="L12" s="37">
        <f t="shared" si="9"/>
        <v>838.50700765736622</v>
      </c>
      <c r="M12" s="37">
        <f t="shared" si="9"/>
        <v>791.31680077449539</v>
      </c>
      <c r="N12" s="37">
        <f t="shared" si="9"/>
        <v>743.98313663020872</v>
      </c>
      <c r="O12" s="39">
        <f>SUM(O9:O11)</f>
        <v>696.50569103068733</v>
      </c>
      <c r="P12" s="32"/>
      <c r="R12"/>
      <c r="S12"/>
      <c r="U12" s="196" t="s">
        <v>189</v>
      </c>
      <c r="V12" s="196"/>
      <c r="W12" s="196"/>
      <c r="X12" s="196"/>
    </row>
    <row r="13" spans="1:24" s="33" customFormat="1" x14ac:dyDescent="0.25">
      <c r="A13" s="30" t="s">
        <v>205</v>
      </c>
      <c r="B13" s="31"/>
      <c r="C13" s="31"/>
      <c r="D13" s="31"/>
      <c r="E13" s="31"/>
      <c r="F13" s="39">
        <f>+F$12*$P13</f>
        <v>290.84996713499999</v>
      </c>
      <c r="G13" s="39">
        <f t="shared" ref="G13:O16" si="10">+G$12*$P13</f>
        <v>278.80254599631525</v>
      </c>
      <c r="H13" s="39">
        <f t="shared" si="10"/>
        <v>266.71832818178837</v>
      </c>
      <c r="I13" s="39">
        <f t="shared" si="10"/>
        <v>254.59723040808942</v>
      </c>
      <c r="J13" s="39">
        <f t="shared" si="10"/>
        <v>242.43916922483101</v>
      </c>
      <c r="K13" s="39">
        <f t="shared" si="10"/>
        <v>230.24406101425438</v>
      </c>
      <c r="L13" s="39">
        <f t="shared" si="10"/>
        <v>218.01182199091522</v>
      </c>
      <c r="M13" s="39">
        <f t="shared" si="10"/>
        <v>205.74236820136881</v>
      </c>
      <c r="N13" s="39">
        <f t="shared" si="10"/>
        <v>193.43561552385427</v>
      </c>
      <c r="O13" s="39">
        <f t="shared" si="10"/>
        <v>181.09147966797872</v>
      </c>
      <c r="P13" s="119">
        <v>0.26</v>
      </c>
      <c r="Q13" s="33" t="str">
        <f>+A13</f>
        <v>Rifle % of Total Sales</v>
      </c>
      <c r="R13"/>
      <c r="S13"/>
      <c r="U13" s="107" t="s">
        <v>176</v>
      </c>
      <c r="V13" s="107" t="s">
        <v>180</v>
      </c>
      <c r="W13" s="107" t="s">
        <v>181</v>
      </c>
      <c r="X13" s="107" t="s">
        <v>182</v>
      </c>
    </row>
    <row r="14" spans="1:24" s="33" customFormat="1" x14ac:dyDescent="0.25">
      <c r="A14" s="30" t="s">
        <v>206</v>
      </c>
      <c r="B14" s="31"/>
      <c r="C14" s="31"/>
      <c r="D14" s="31"/>
      <c r="E14" s="31"/>
      <c r="F14" s="39">
        <f t="shared" ref="F14:F16" si="11">+F$12*$P14</f>
        <v>313.22304152999999</v>
      </c>
      <c r="G14" s="39">
        <f t="shared" si="10"/>
        <v>300.24889568833953</v>
      </c>
      <c r="H14" s="39">
        <f t="shared" si="10"/>
        <v>287.23512265731057</v>
      </c>
      <c r="I14" s="39">
        <f t="shared" si="10"/>
        <v>274.18163274717324</v>
      </c>
      <c r="J14" s="39">
        <f t="shared" si="10"/>
        <v>261.08833608827956</v>
      </c>
      <c r="K14" s="39">
        <f t="shared" si="10"/>
        <v>247.95514263073551</v>
      </c>
      <c r="L14" s="39">
        <f t="shared" si="10"/>
        <v>234.78196214406256</v>
      </c>
      <c r="M14" s="39">
        <f t="shared" si="10"/>
        <v>221.56870421685872</v>
      </c>
      <c r="N14" s="39">
        <f t="shared" si="10"/>
        <v>208.31527825645847</v>
      </c>
      <c r="O14" s="39">
        <f t="shared" si="10"/>
        <v>195.02159348859246</v>
      </c>
      <c r="P14" s="119">
        <v>0.28000000000000003</v>
      </c>
      <c r="Q14" s="33" t="str">
        <f t="shared" ref="Q14:Q16" si="12">+A14</f>
        <v>Hand Gun % of Total Sales</v>
      </c>
      <c r="R14"/>
      <c r="S14"/>
      <c r="T14" s="33" t="s">
        <v>177</v>
      </c>
      <c r="U14" s="99">
        <v>1500</v>
      </c>
      <c r="V14" s="33">
        <v>1500</v>
      </c>
      <c r="W14" s="33">
        <v>1000</v>
      </c>
      <c r="X14" s="33">
        <v>5000</v>
      </c>
    </row>
    <row r="15" spans="1:24" s="33" customFormat="1" x14ac:dyDescent="0.25">
      <c r="A15" s="30" t="s">
        <v>207</v>
      </c>
      <c r="B15" s="31"/>
      <c r="C15" s="31"/>
      <c r="D15" s="31"/>
      <c r="E15" s="31"/>
      <c r="F15" s="39">
        <f t="shared" si="11"/>
        <v>89.492297579999999</v>
      </c>
      <c r="G15" s="39">
        <f t="shared" si="10"/>
        <v>85.785398768097011</v>
      </c>
      <c r="H15" s="39">
        <f t="shared" si="10"/>
        <v>82.06717790208873</v>
      </c>
      <c r="I15" s="39">
        <f t="shared" si="10"/>
        <v>78.337609356335207</v>
      </c>
      <c r="J15" s="39">
        <f t="shared" si="10"/>
        <v>74.596667453794154</v>
      </c>
      <c r="K15" s="39">
        <f t="shared" si="10"/>
        <v>70.844326465924425</v>
      </c>
      <c r="L15" s="39">
        <f t="shared" si="10"/>
        <v>67.080560612589295</v>
      </c>
      <c r="M15" s="39">
        <f t="shared" si="10"/>
        <v>63.30534406195963</v>
      </c>
      <c r="N15" s="39">
        <f t="shared" si="10"/>
        <v>59.518650930416698</v>
      </c>
      <c r="O15" s="39">
        <f t="shared" si="10"/>
        <v>55.720455282454985</v>
      </c>
      <c r="P15" s="119">
        <v>0.08</v>
      </c>
      <c r="Q15" s="33" t="str">
        <f t="shared" si="12"/>
        <v>Assault Rifle % of Total Sales</v>
      </c>
      <c r="R15"/>
      <c r="S15"/>
      <c r="T15" s="33" t="s">
        <v>178</v>
      </c>
      <c r="U15" s="99">
        <v>800</v>
      </c>
      <c r="V15" s="33">
        <v>750</v>
      </c>
      <c r="W15" s="33">
        <v>600</v>
      </c>
      <c r="X15" s="33">
        <v>1800</v>
      </c>
    </row>
    <row r="16" spans="1:24" s="33" customFormat="1" x14ac:dyDescent="0.25">
      <c r="A16" s="30" t="s">
        <v>208</v>
      </c>
      <c r="B16" s="31"/>
      <c r="C16" s="31"/>
      <c r="D16" s="31"/>
      <c r="E16" s="31"/>
      <c r="F16" s="38">
        <f t="shared" si="11"/>
        <v>425.08841350500001</v>
      </c>
      <c r="G16" s="38">
        <f t="shared" si="10"/>
        <v>407.48064414846078</v>
      </c>
      <c r="H16" s="38">
        <f t="shared" si="10"/>
        <v>389.81909503492147</v>
      </c>
      <c r="I16" s="38">
        <f t="shared" si="10"/>
        <v>372.10364444259221</v>
      </c>
      <c r="J16" s="38">
        <f t="shared" si="10"/>
        <v>354.33417040552223</v>
      </c>
      <c r="K16" s="38">
        <f t="shared" si="10"/>
        <v>336.51055071314101</v>
      </c>
      <c r="L16" s="38">
        <f t="shared" si="10"/>
        <v>318.63266290979919</v>
      </c>
      <c r="M16" s="38">
        <f t="shared" si="10"/>
        <v>300.70038429430826</v>
      </c>
      <c r="N16" s="38">
        <f t="shared" si="10"/>
        <v>282.71359191947931</v>
      </c>
      <c r="O16" s="38">
        <f t="shared" si="10"/>
        <v>264.67216259166116</v>
      </c>
      <c r="P16" s="119">
        <v>0.38</v>
      </c>
      <c r="Q16" s="33" t="str">
        <f t="shared" si="12"/>
        <v>Shotgun Sales % of Total Sales</v>
      </c>
      <c r="R16"/>
      <c r="S16"/>
      <c r="T16" s="33" t="s">
        <v>179</v>
      </c>
      <c r="U16" s="99">
        <v>250</v>
      </c>
      <c r="V16" s="33">
        <v>300</v>
      </c>
      <c r="W16" s="33">
        <v>300</v>
      </c>
      <c r="X16" s="33">
        <v>800</v>
      </c>
    </row>
    <row r="17" spans="1:24" s="33" customFormat="1" ht="15.75" thickBot="1" x14ac:dyDescent="0.3">
      <c r="A17" s="30"/>
      <c r="B17" s="31"/>
      <c r="C17" s="31"/>
      <c r="D17" s="31"/>
      <c r="E17" s="31"/>
      <c r="F17" s="30">
        <f>SUM(F13:F16)</f>
        <v>1118.6537197499999</v>
      </c>
      <c r="G17" s="30">
        <f t="shared" ref="G17:N17" si="13">SUM(G13:G16)</f>
        <v>1072.3174846012125</v>
      </c>
      <c r="H17" s="30">
        <f t="shared" si="13"/>
        <v>1025.8397237761092</v>
      </c>
      <c r="I17" s="30">
        <f t="shared" si="13"/>
        <v>979.22011695419008</v>
      </c>
      <c r="J17" s="30">
        <f t="shared" si="13"/>
        <v>932.45834317242702</v>
      </c>
      <c r="K17" s="30">
        <f t="shared" si="13"/>
        <v>885.55408082405529</v>
      </c>
      <c r="L17" s="30">
        <f t="shared" si="13"/>
        <v>838.50700765736633</v>
      </c>
      <c r="M17" s="30">
        <f t="shared" si="13"/>
        <v>791.31680077449539</v>
      </c>
      <c r="N17" s="30">
        <f t="shared" si="13"/>
        <v>743.98313663020872</v>
      </c>
      <c r="O17" s="30">
        <f>SUM(O13:O16)</f>
        <v>696.50569103068733</v>
      </c>
      <c r="P17" s="54">
        <f>SUM(P13:P16)</f>
        <v>1</v>
      </c>
      <c r="R17"/>
      <c r="S17"/>
      <c r="U17" s="100">
        <f>IFERROR(AVERAGE(U14:U16),"")</f>
        <v>850</v>
      </c>
      <c r="V17" s="100">
        <f t="shared" ref="V17:X17" si="14">IFERROR(AVERAGE(V14:V16),"")</f>
        <v>850</v>
      </c>
      <c r="W17" s="100">
        <f t="shared" si="14"/>
        <v>633.33333333333337</v>
      </c>
      <c r="X17" s="100">
        <f t="shared" si="14"/>
        <v>2533.3333333333335</v>
      </c>
    </row>
    <row r="18" spans="1:24" s="33" customFormat="1" ht="15.75" thickTop="1" x14ac:dyDescent="0.25">
      <c r="A18" s="30"/>
      <c r="B18" s="31"/>
      <c r="C18" s="31"/>
      <c r="D18" s="31"/>
      <c r="E18" s="31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2"/>
      <c r="R18"/>
      <c r="S18"/>
    </row>
    <row r="19" spans="1:24" s="4" customFormat="1" x14ac:dyDescent="0.25">
      <c r="A19" s="198" t="s">
        <v>52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40"/>
      <c r="R19"/>
      <c r="S19"/>
    </row>
    <row r="20" spans="1:24" s="4" customFormat="1" x14ac:dyDescent="0.25">
      <c r="A20" s="18" t="s">
        <v>46</v>
      </c>
      <c r="B20" s="17"/>
      <c r="C20" s="17"/>
      <c r="D20" s="17"/>
      <c r="E20" s="17"/>
      <c r="F20" s="115">
        <f>U17</f>
        <v>850</v>
      </c>
      <c r="G20" s="18">
        <f>+F20*$P20+F20</f>
        <v>875.5</v>
      </c>
      <c r="H20" s="18">
        <f t="shared" ref="H20:O20" si="15">+G20*$P20+G20</f>
        <v>901.76499999999999</v>
      </c>
      <c r="I20" s="19">
        <f>+H20*$P20+H20</f>
        <v>928.81795</v>
      </c>
      <c r="J20" s="18">
        <f t="shared" si="15"/>
        <v>956.68248849999998</v>
      </c>
      <c r="K20" s="18">
        <f t="shared" si="15"/>
        <v>985.38296315499997</v>
      </c>
      <c r="L20" s="18">
        <f>+K20*($P20+$R$24)+K20</f>
        <v>1014.94445204965</v>
      </c>
      <c r="M20" s="18">
        <f>+L20*$P20+L20</f>
        <v>1045.3927856111395</v>
      </c>
      <c r="N20" s="18">
        <f t="shared" si="15"/>
        <v>1076.7545691794737</v>
      </c>
      <c r="O20" s="18">
        <f t="shared" si="15"/>
        <v>1109.0572062548579</v>
      </c>
      <c r="P20" s="118">
        <v>0.03</v>
      </c>
      <c r="Q20" s="4" t="s">
        <v>105</v>
      </c>
      <c r="R20"/>
      <c r="S20"/>
      <c r="U20" s="196" t="s">
        <v>204</v>
      </c>
      <c r="V20" s="196"/>
      <c r="W20" s="196"/>
      <c r="X20" s="196"/>
    </row>
    <row r="21" spans="1:24" s="4" customFormat="1" x14ac:dyDescent="0.25">
      <c r="A21" s="18" t="s">
        <v>47</v>
      </c>
      <c r="B21" s="17"/>
      <c r="C21" s="17"/>
      <c r="D21" s="17"/>
      <c r="E21" s="17"/>
      <c r="F21" s="18">
        <f>+F20/$P21</f>
        <v>653.84615384615381</v>
      </c>
      <c r="G21" s="18">
        <f t="shared" ref="G21:K21" si="16">+G20/$P21</f>
        <v>673.46153846153845</v>
      </c>
      <c r="H21" s="18">
        <f t="shared" si="16"/>
        <v>693.6653846153846</v>
      </c>
      <c r="I21" s="18">
        <f t="shared" si="16"/>
        <v>714.47534615384609</v>
      </c>
      <c r="J21" s="18">
        <f t="shared" si="16"/>
        <v>735.9096065384615</v>
      </c>
      <c r="K21" s="18">
        <f t="shared" si="16"/>
        <v>757.98689473461536</v>
      </c>
      <c r="L21" s="18">
        <f>+L20/($P21+$R$25)</f>
        <v>780.72650157665373</v>
      </c>
      <c r="M21" s="18">
        <f t="shared" ref="M21:O21" si="17">+M20/($P21+$R$25)</f>
        <v>804.14829662395346</v>
      </c>
      <c r="N21" s="18">
        <f t="shared" si="17"/>
        <v>828.27274552267204</v>
      </c>
      <c r="O21" s="18">
        <f t="shared" si="17"/>
        <v>853.12092788835218</v>
      </c>
      <c r="P21" s="113">
        <v>1.3</v>
      </c>
      <c r="Q21" s="4" t="s">
        <v>235</v>
      </c>
      <c r="R21"/>
      <c r="S21"/>
      <c r="T21" s="33"/>
      <c r="U21" s="107" t="s">
        <v>176</v>
      </c>
      <c r="V21" s="107" t="s">
        <v>180</v>
      </c>
      <c r="W21" s="107" t="s">
        <v>181</v>
      </c>
      <c r="X21" s="107" t="s">
        <v>182</v>
      </c>
    </row>
    <row r="22" spans="1:24" s="4" customFormat="1" x14ac:dyDescent="0.25">
      <c r="A22" s="18" t="s">
        <v>48</v>
      </c>
      <c r="B22" s="17"/>
      <c r="C22" s="17"/>
      <c r="D22" s="17"/>
      <c r="E22" s="17"/>
      <c r="F22" s="18">
        <f>+F13</f>
        <v>290.84996713499999</v>
      </c>
      <c r="G22" s="18">
        <f t="shared" ref="G22:O22" si="18">+G13</f>
        <v>278.80254599631525</v>
      </c>
      <c r="H22" s="18">
        <f t="shared" si="18"/>
        <v>266.71832818178837</v>
      </c>
      <c r="I22" s="18">
        <f t="shared" si="18"/>
        <v>254.59723040808942</v>
      </c>
      <c r="J22" s="18">
        <f t="shared" si="18"/>
        <v>242.43916922483101</v>
      </c>
      <c r="K22" s="18">
        <f t="shared" si="18"/>
        <v>230.24406101425438</v>
      </c>
      <c r="L22" s="18">
        <f t="shared" si="18"/>
        <v>218.01182199091522</v>
      </c>
      <c r="M22" s="18">
        <f t="shared" si="18"/>
        <v>205.74236820136881</v>
      </c>
      <c r="N22" s="18">
        <f t="shared" si="18"/>
        <v>193.43561552385427</v>
      </c>
      <c r="O22" s="18">
        <f t="shared" si="18"/>
        <v>181.09147966797872</v>
      </c>
      <c r="P22" s="55"/>
      <c r="R22"/>
      <c r="S22"/>
      <c r="T22" s="33" t="s">
        <v>177</v>
      </c>
      <c r="U22" s="110">
        <v>4.5</v>
      </c>
      <c r="V22" s="110">
        <v>3.33</v>
      </c>
      <c r="W22" s="110">
        <v>1.94</v>
      </c>
      <c r="X22" s="110">
        <v>5</v>
      </c>
    </row>
    <row r="23" spans="1:24" s="4" customFormat="1" x14ac:dyDescent="0.25">
      <c r="A23" s="190" t="s">
        <v>180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40"/>
      <c r="R23"/>
      <c r="S23"/>
      <c r="T23" s="33" t="s">
        <v>178</v>
      </c>
      <c r="U23" s="110">
        <v>2</v>
      </c>
      <c r="V23" s="110">
        <v>1.25</v>
      </c>
      <c r="W23" s="110">
        <v>1.45</v>
      </c>
      <c r="X23" s="110">
        <v>2.5</v>
      </c>
    </row>
    <row r="24" spans="1:24" s="4" customFormat="1" x14ac:dyDescent="0.25">
      <c r="A24" s="28" t="s">
        <v>39</v>
      </c>
      <c r="B24" s="29"/>
      <c r="C24" s="29"/>
      <c r="D24" s="29"/>
      <c r="E24" s="29"/>
      <c r="F24" s="114">
        <f>V17</f>
        <v>850</v>
      </c>
      <c r="G24" s="28">
        <f>+F24*$P24+F24</f>
        <v>875.5</v>
      </c>
      <c r="H24" s="28">
        <f t="shared" ref="H24:O24" si="19">+G24*$P24+G24</f>
        <v>901.76499999999999</v>
      </c>
      <c r="I24" s="28">
        <f t="shared" si="19"/>
        <v>928.81795</v>
      </c>
      <c r="J24" s="28">
        <f t="shared" si="19"/>
        <v>956.68248849999998</v>
      </c>
      <c r="K24" s="28">
        <f t="shared" si="19"/>
        <v>985.38296315499997</v>
      </c>
      <c r="L24" s="28">
        <f>+K24*($P24+$R$24)+K24</f>
        <v>1014.94445204965</v>
      </c>
      <c r="M24" s="28">
        <f>+L24*$P24+L24</f>
        <v>1045.3927856111395</v>
      </c>
      <c r="N24" s="28">
        <f t="shared" si="19"/>
        <v>1076.7545691794737</v>
      </c>
      <c r="O24" s="28">
        <f t="shared" si="19"/>
        <v>1109.0572062548579</v>
      </c>
      <c r="P24" s="118">
        <v>0.03</v>
      </c>
      <c r="Q24" s="4" t="s">
        <v>105</v>
      </c>
      <c r="R24"/>
      <c r="S24"/>
      <c r="T24" s="33" t="s">
        <v>179</v>
      </c>
      <c r="U24" s="110">
        <v>1.25</v>
      </c>
      <c r="V24" s="110">
        <v>0.55000000000000004</v>
      </c>
      <c r="W24" s="110">
        <v>0.77</v>
      </c>
      <c r="X24" s="110">
        <v>1.3</v>
      </c>
    </row>
    <row r="25" spans="1:24" s="4" customFormat="1" ht="15.75" thickBot="1" x14ac:dyDescent="0.3">
      <c r="A25" s="28" t="s">
        <v>40</v>
      </c>
      <c r="B25" s="29"/>
      <c r="C25" s="29"/>
      <c r="D25" s="29"/>
      <c r="E25" s="29"/>
      <c r="F25" s="28">
        <f>+F24/$P25</f>
        <v>653.84615384615381</v>
      </c>
      <c r="G25" s="28">
        <f t="shared" ref="G25" si="20">+G24/$P25</f>
        <v>673.46153846153845</v>
      </c>
      <c r="H25" s="28">
        <f t="shared" ref="H25" si="21">+H24/$P25</f>
        <v>693.6653846153846</v>
      </c>
      <c r="I25" s="28">
        <f t="shared" ref="I25" si="22">+I24/$P25</f>
        <v>714.47534615384609</v>
      </c>
      <c r="J25" s="28">
        <f t="shared" ref="J25" si="23">+J24/$P25</f>
        <v>735.9096065384615</v>
      </c>
      <c r="K25" s="28">
        <f t="shared" ref="K25" si="24">+K24/$P25</f>
        <v>757.98689473461536</v>
      </c>
      <c r="L25" s="28">
        <f>+L24/($P25+$R$25)</f>
        <v>780.72650157665373</v>
      </c>
      <c r="M25" s="28">
        <f t="shared" ref="M25:O25" si="25">+M24/($P25+$R$25)</f>
        <v>804.14829662395346</v>
      </c>
      <c r="N25" s="28">
        <f t="shared" si="25"/>
        <v>828.27274552267204</v>
      </c>
      <c r="O25" s="28">
        <f t="shared" si="25"/>
        <v>853.12092788835218</v>
      </c>
      <c r="P25" s="113">
        <v>1.3</v>
      </c>
      <c r="Q25" s="4" t="s">
        <v>235</v>
      </c>
      <c r="R25"/>
      <c r="S25"/>
      <c r="T25" s="33"/>
      <c r="U25" s="100">
        <f>IFERROR(AVERAGE(U22:U24),"")</f>
        <v>2.5833333333333335</v>
      </c>
      <c r="V25" s="100">
        <f t="shared" ref="V25:X25" si="26">IFERROR(AVERAGE(V22:V24),"")</f>
        <v>1.71</v>
      </c>
      <c r="W25" s="100">
        <f t="shared" si="26"/>
        <v>1.3866666666666667</v>
      </c>
      <c r="X25" s="100">
        <f t="shared" si="26"/>
        <v>2.9333333333333336</v>
      </c>
    </row>
    <row r="26" spans="1:24" s="4" customFormat="1" ht="15.75" thickTop="1" x14ac:dyDescent="0.25">
      <c r="A26" s="28" t="s">
        <v>41</v>
      </c>
      <c r="B26" s="29"/>
      <c r="C26" s="29"/>
      <c r="D26" s="29"/>
      <c r="E26" s="29"/>
      <c r="F26" s="28">
        <f>+F14</f>
        <v>313.22304152999999</v>
      </c>
      <c r="G26" s="28">
        <f t="shared" ref="G26:O26" si="27">+G14</f>
        <v>300.24889568833953</v>
      </c>
      <c r="H26" s="28">
        <f t="shared" si="27"/>
        <v>287.23512265731057</v>
      </c>
      <c r="I26" s="28">
        <f t="shared" si="27"/>
        <v>274.18163274717324</v>
      </c>
      <c r="J26" s="28">
        <f t="shared" si="27"/>
        <v>261.08833608827956</v>
      </c>
      <c r="K26" s="28">
        <f t="shared" si="27"/>
        <v>247.95514263073551</v>
      </c>
      <c r="L26" s="28">
        <f t="shared" si="27"/>
        <v>234.78196214406256</v>
      </c>
      <c r="M26" s="28">
        <f t="shared" si="27"/>
        <v>221.56870421685872</v>
      </c>
      <c r="N26" s="28">
        <f t="shared" si="27"/>
        <v>208.31527825645847</v>
      </c>
      <c r="O26" s="28">
        <f t="shared" si="27"/>
        <v>195.02159348859246</v>
      </c>
      <c r="P26" s="40"/>
      <c r="R26"/>
      <c r="S26"/>
    </row>
    <row r="27" spans="1:24" s="4" customFormat="1" x14ac:dyDescent="0.25">
      <c r="A27" s="191" t="s">
        <v>62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40"/>
      <c r="R27"/>
      <c r="S27"/>
    </row>
    <row r="28" spans="1:24" s="4" customFormat="1" x14ac:dyDescent="0.25">
      <c r="A28" s="18" t="s">
        <v>42</v>
      </c>
      <c r="B28" s="17"/>
      <c r="C28" s="17"/>
      <c r="D28" s="17"/>
      <c r="E28" s="17"/>
      <c r="F28" s="115">
        <f>X17</f>
        <v>2533.3333333333335</v>
      </c>
      <c r="G28" s="18">
        <f>+F28*$P28+F28</f>
        <v>2609.3333333333335</v>
      </c>
      <c r="H28" s="18">
        <f t="shared" ref="H28:O28" si="28">+G28*$P28+G28</f>
        <v>2687.6133333333337</v>
      </c>
      <c r="I28" s="18">
        <f t="shared" si="28"/>
        <v>2768.2417333333337</v>
      </c>
      <c r="J28" s="18">
        <f t="shared" si="28"/>
        <v>2851.2889853333336</v>
      </c>
      <c r="K28" s="18">
        <f t="shared" si="28"/>
        <v>2936.8276548933336</v>
      </c>
      <c r="L28" s="18">
        <f>+K28*($P28+$R$24)+K28</f>
        <v>3024.9324845401334</v>
      </c>
      <c r="M28" s="18">
        <f t="shared" si="28"/>
        <v>3115.6804590763372</v>
      </c>
      <c r="N28" s="18">
        <f t="shared" si="28"/>
        <v>3209.1508728486274</v>
      </c>
      <c r="O28" s="18">
        <f t="shared" si="28"/>
        <v>3305.4253990340862</v>
      </c>
      <c r="P28" s="118">
        <v>0.03</v>
      </c>
      <c r="Q28" s="4" t="s">
        <v>105</v>
      </c>
      <c r="R28"/>
      <c r="S28"/>
      <c r="U28" s="196" t="s">
        <v>190</v>
      </c>
      <c r="V28" s="196"/>
      <c r="W28" s="196"/>
      <c r="X28"/>
    </row>
    <row r="29" spans="1:24" s="4" customFormat="1" x14ac:dyDescent="0.25">
      <c r="A29" s="18" t="s">
        <v>43</v>
      </c>
      <c r="B29" s="17"/>
      <c r="C29" s="17"/>
      <c r="D29" s="17"/>
      <c r="E29" s="17"/>
      <c r="F29" s="18">
        <f>+F28/$P29</f>
        <v>1948.7179487179487</v>
      </c>
      <c r="G29" s="18">
        <f t="shared" ref="G29" si="29">+G28/$P29</f>
        <v>2007.1794871794873</v>
      </c>
      <c r="H29" s="18">
        <f t="shared" ref="H29" si="30">+H28/$P29</f>
        <v>2067.394871794872</v>
      </c>
      <c r="I29" s="18">
        <f t="shared" ref="I29" si="31">+I28/$P29</f>
        <v>2129.4167179487181</v>
      </c>
      <c r="J29" s="18">
        <f t="shared" ref="J29" si="32">+J28/$P29</f>
        <v>2193.2992194871795</v>
      </c>
      <c r="K29" s="18">
        <f t="shared" ref="K29" si="33">+K28/$P29</f>
        <v>2259.098196071795</v>
      </c>
      <c r="L29" s="18">
        <f>+L28/($P29+$R$25)</f>
        <v>2326.8711419539486</v>
      </c>
      <c r="M29" s="18">
        <f t="shared" ref="M29:O29" si="34">+M28/($P29+$R$25)</f>
        <v>2396.677276212567</v>
      </c>
      <c r="N29" s="18">
        <f t="shared" si="34"/>
        <v>2468.5775944989441</v>
      </c>
      <c r="O29" s="18">
        <f t="shared" si="34"/>
        <v>2542.6349223339125</v>
      </c>
      <c r="P29" s="113">
        <v>1.3</v>
      </c>
      <c r="Q29" s="4" t="s">
        <v>235</v>
      </c>
      <c r="R29"/>
      <c r="S29"/>
      <c r="T29" s="33"/>
      <c r="U29" s="107" t="s">
        <v>188</v>
      </c>
      <c r="V29" s="107" t="s">
        <v>191</v>
      </c>
      <c r="W29" s="107" t="s">
        <v>192</v>
      </c>
      <c r="X29"/>
    </row>
    <row r="30" spans="1:24" s="4" customFormat="1" x14ac:dyDescent="0.25">
      <c r="A30" s="18" t="s">
        <v>44</v>
      </c>
      <c r="B30" s="17"/>
      <c r="C30" s="17"/>
      <c r="D30" s="17"/>
      <c r="E30" s="17"/>
      <c r="F30" s="18">
        <f>+F15</f>
        <v>89.492297579999999</v>
      </c>
      <c r="G30" s="18">
        <f t="shared" ref="G30:O30" si="35">+G15</f>
        <v>85.785398768097011</v>
      </c>
      <c r="H30" s="18">
        <f t="shared" si="35"/>
        <v>82.06717790208873</v>
      </c>
      <c r="I30" s="18">
        <f t="shared" si="35"/>
        <v>78.337609356335207</v>
      </c>
      <c r="J30" s="18">
        <f t="shared" si="35"/>
        <v>74.596667453794154</v>
      </c>
      <c r="K30" s="18">
        <f t="shared" si="35"/>
        <v>70.844326465924425</v>
      </c>
      <c r="L30" s="18">
        <f t="shared" si="35"/>
        <v>67.080560612589295</v>
      </c>
      <c r="M30" s="18">
        <f t="shared" si="35"/>
        <v>63.30534406195963</v>
      </c>
      <c r="N30" s="18">
        <f t="shared" si="35"/>
        <v>59.518650930416698</v>
      </c>
      <c r="O30" s="18">
        <f t="shared" si="35"/>
        <v>55.720455282454985</v>
      </c>
      <c r="P30" s="40"/>
      <c r="R30"/>
      <c r="S30"/>
      <c r="T30" s="33" t="s">
        <v>177</v>
      </c>
      <c r="U30" s="110">
        <v>900</v>
      </c>
      <c r="V30" s="110">
        <v>850</v>
      </c>
      <c r="W30" s="110">
        <v>250</v>
      </c>
      <c r="X30"/>
    </row>
    <row r="31" spans="1:24" s="4" customFormat="1" x14ac:dyDescent="0.25">
      <c r="A31" s="190" t="s">
        <v>53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40"/>
      <c r="T31" s="33" t="s">
        <v>178</v>
      </c>
      <c r="U31" s="110">
        <v>450</v>
      </c>
      <c r="V31" s="110">
        <v>325</v>
      </c>
      <c r="W31" s="110">
        <v>75</v>
      </c>
      <c r="X31"/>
    </row>
    <row r="32" spans="1:24" s="4" customFormat="1" x14ac:dyDescent="0.25">
      <c r="A32" s="28" t="s">
        <v>49</v>
      </c>
      <c r="B32" s="29"/>
      <c r="C32" s="29"/>
      <c r="D32" s="29"/>
      <c r="E32" s="29"/>
      <c r="F32" s="116">
        <f>W17</f>
        <v>633.33333333333337</v>
      </c>
      <c r="G32" s="28">
        <f>+F32*$P32+F32</f>
        <v>652.33333333333337</v>
      </c>
      <c r="H32" s="28">
        <f t="shared" ref="H32:O32" si="36">+G32*$P32+G32</f>
        <v>671.90333333333342</v>
      </c>
      <c r="I32" s="28">
        <f t="shared" si="36"/>
        <v>692.06043333333344</v>
      </c>
      <c r="J32" s="28">
        <f t="shared" si="36"/>
        <v>712.8222463333334</v>
      </c>
      <c r="K32" s="28">
        <f t="shared" si="36"/>
        <v>734.2069137233334</v>
      </c>
      <c r="L32" s="28">
        <f>+K32*($P32+$R$24)+K32</f>
        <v>756.23312113503334</v>
      </c>
      <c r="M32" s="28">
        <f t="shared" si="36"/>
        <v>778.92011476908431</v>
      </c>
      <c r="N32" s="28">
        <f t="shared" si="36"/>
        <v>802.28771821215685</v>
      </c>
      <c r="O32" s="28">
        <f t="shared" si="36"/>
        <v>826.35634975852156</v>
      </c>
      <c r="P32" s="118">
        <v>0.03</v>
      </c>
      <c r="Q32" s="4" t="s">
        <v>105</v>
      </c>
      <c r="T32" s="33" t="s">
        <v>179</v>
      </c>
      <c r="U32" s="110">
        <v>100</v>
      </c>
      <c r="V32" s="110">
        <v>50</v>
      </c>
      <c r="W32" s="110">
        <v>25</v>
      </c>
      <c r="X32"/>
    </row>
    <row r="33" spans="1:24" s="4" customFormat="1" ht="15.75" thickBot="1" x14ac:dyDescent="0.3">
      <c r="A33" s="28" t="s">
        <v>50</v>
      </c>
      <c r="B33" s="29"/>
      <c r="C33" s="29"/>
      <c r="D33" s="29"/>
      <c r="E33" s="29"/>
      <c r="F33" s="28">
        <f>+F32/$P33</f>
        <v>487.17948717948718</v>
      </c>
      <c r="G33" s="28">
        <f t="shared" ref="G33" si="37">+G32/$P33</f>
        <v>501.79487179487182</v>
      </c>
      <c r="H33" s="28">
        <f t="shared" ref="H33" si="38">+H32/$P33</f>
        <v>516.84871794871799</v>
      </c>
      <c r="I33" s="28">
        <f t="shared" ref="I33" si="39">+I32/$P33</f>
        <v>532.35417948717952</v>
      </c>
      <c r="J33" s="28">
        <f t="shared" ref="J33" si="40">+J32/$P33</f>
        <v>548.32480487179487</v>
      </c>
      <c r="K33" s="28">
        <f t="shared" ref="K33" si="41">+K32/$P33</f>
        <v>564.77454901794874</v>
      </c>
      <c r="L33" s="28">
        <f>+L32/($P33+$R$25)</f>
        <v>581.71778548848715</v>
      </c>
      <c r="M33" s="28">
        <f t="shared" ref="M33:O33" si="42">+M32/($P33+$R$25)</f>
        <v>599.16931905314175</v>
      </c>
      <c r="N33" s="28">
        <f t="shared" si="42"/>
        <v>617.14439862473603</v>
      </c>
      <c r="O33" s="28">
        <f t="shared" si="42"/>
        <v>635.65873058347813</v>
      </c>
      <c r="P33" s="113">
        <v>1.3</v>
      </c>
      <c r="Q33" s="4" t="s">
        <v>235</v>
      </c>
      <c r="S33" s="128"/>
      <c r="T33" s="33"/>
      <c r="U33" s="100">
        <f>IFERROR(AVERAGE(U30:U32),"")</f>
        <v>483.33333333333331</v>
      </c>
      <c r="V33" s="100">
        <f t="shared" ref="V33:W33" si="43">IFERROR(AVERAGE(V30:V32),"")</f>
        <v>408.33333333333331</v>
      </c>
      <c r="W33" s="100">
        <f t="shared" si="43"/>
        <v>116.66666666666667</v>
      </c>
      <c r="X33"/>
    </row>
    <row r="34" spans="1:24" s="4" customFormat="1" ht="15.75" thickTop="1" x14ac:dyDescent="0.25">
      <c r="A34" s="28" t="s">
        <v>51</v>
      </c>
      <c r="B34" s="29"/>
      <c r="C34" s="29"/>
      <c r="D34" s="29"/>
      <c r="E34" s="29"/>
      <c r="F34" s="30">
        <f>+F16</f>
        <v>425.08841350500001</v>
      </c>
      <c r="G34" s="30">
        <f t="shared" ref="G34:O34" si="44">+G16</f>
        <v>407.48064414846078</v>
      </c>
      <c r="H34" s="30">
        <f t="shared" si="44"/>
        <v>389.81909503492147</v>
      </c>
      <c r="I34" s="30">
        <f t="shared" si="44"/>
        <v>372.10364444259221</v>
      </c>
      <c r="J34" s="30">
        <f t="shared" si="44"/>
        <v>354.33417040552223</v>
      </c>
      <c r="K34" s="30">
        <f t="shared" si="44"/>
        <v>336.51055071314101</v>
      </c>
      <c r="L34" s="30">
        <f t="shared" si="44"/>
        <v>318.63266290979919</v>
      </c>
      <c r="M34" s="30">
        <f t="shared" si="44"/>
        <v>300.70038429430826</v>
      </c>
      <c r="N34" s="30">
        <f t="shared" si="44"/>
        <v>282.71359191947931</v>
      </c>
      <c r="O34" s="30">
        <f t="shared" si="44"/>
        <v>264.67216259166116</v>
      </c>
      <c r="P34" s="55"/>
    </row>
    <row r="35" spans="1:24" s="4" customFormat="1" x14ac:dyDescent="0.25">
      <c r="A35" s="191" t="s">
        <v>71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40"/>
    </row>
    <row r="36" spans="1:24" s="4" customFormat="1" x14ac:dyDescent="0.25">
      <c r="A36" s="18" t="s">
        <v>66</v>
      </c>
      <c r="B36" s="17"/>
      <c r="C36" s="17"/>
      <c r="D36" s="17"/>
      <c r="E36" s="17"/>
      <c r="F36" s="115">
        <f>AVERAGE(U25:X25)</f>
        <v>2.1533333333333333</v>
      </c>
      <c r="G36" s="19">
        <f>+F36*$P36+F36</f>
        <v>2.2179333333333333</v>
      </c>
      <c r="H36" s="19">
        <f t="shared" ref="H36:O36" si="45">+G36*$P36+G36</f>
        <v>2.2844713333333333</v>
      </c>
      <c r="I36" s="19">
        <f t="shared" si="45"/>
        <v>2.3530054733333334</v>
      </c>
      <c r="J36" s="19">
        <f t="shared" si="45"/>
        <v>2.4235956375333334</v>
      </c>
      <c r="K36" s="19">
        <f t="shared" si="45"/>
        <v>2.4963035066593333</v>
      </c>
      <c r="L36" s="19">
        <f>+K36*($P36+$R$24)+K36</f>
        <v>2.5711926118591135</v>
      </c>
      <c r="M36" s="19">
        <f t="shared" si="45"/>
        <v>2.6483283902148869</v>
      </c>
      <c r="N36" s="19">
        <f t="shared" si="45"/>
        <v>2.7277782419213334</v>
      </c>
      <c r="O36" s="19">
        <f t="shared" si="45"/>
        <v>2.8096115891789735</v>
      </c>
      <c r="P36" s="118">
        <v>0.03</v>
      </c>
      <c r="Q36" s="4" t="s">
        <v>105</v>
      </c>
      <c r="S36" s="109"/>
      <c r="T36" s="109"/>
      <c r="U36" s="109"/>
    </row>
    <row r="37" spans="1:24" s="4" customFormat="1" x14ac:dyDescent="0.25">
      <c r="A37" s="18" t="s">
        <v>67</v>
      </c>
      <c r="B37" s="17"/>
      <c r="C37" s="17"/>
      <c r="D37" s="17"/>
      <c r="E37" s="17"/>
      <c r="F37" s="19">
        <f>+F36/$P37</f>
        <v>1.6564102564102563</v>
      </c>
      <c r="G37" s="19">
        <f t="shared" ref="G37" si="46">+G36/$P37</f>
        <v>1.706102564102564</v>
      </c>
      <c r="H37" s="19">
        <f t="shared" ref="H37" si="47">+H36/$P37</f>
        <v>1.757285641025641</v>
      </c>
      <c r="I37" s="19">
        <f t="shared" ref="I37" si="48">+I36/$P37</f>
        <v>1.8100042102564102</v>
      </c>
      <c r="J37" s="19">
        <f t="shared" ref="J37" si="49">+J36/$P37</f>
        <v>1.8643043365641025</v>
      </c>
      <c r="K37" s="19">
        <f t="shared" ref="K37" si="50">+K36/$P37</f>
        <v>1.9202334666610255</v>
      </c>
      <c r="L37" s="18">
        <f>+L36/($P37+$R$25)</f>
        <v>1.9778404706608566</v>
      </c>
      <c r="M37" s="18">
        <f t="shared" ref="M37:O37" si="51">+M36/($P37+$R$25)</f>
        <v>2.0371756847806823</v>
      </c>
      <c r="N37" s="18">
        <f t="shared" si="51"/>
        <v>2.0982909553241025</v>
      </c>
      <c r="O37" s="18">
        <f t="shared" si="51"/>
        <v>2.1612396839838257</v>
      </c>
      <c r="P37" s="113">
        <v>1.3</v>
      </c>
      <c r="Q37" s="4" t="s">
        <v>187</v>
      </c>
      <c r="S37" s="128"/>
      <c r="T37" s="109"/>
      <c r="U37" s="109"/>
    </row>
    <row r="38" spans="1:24" s="4" customFormat="1" x14ac:dyDescent="0.25">
      <c r="A38" s="18" t="s">
        <v>69</v>
      </c>
      <c r="B38" s="17"/>
      <c r="C38" s="17"/>
      <c r="D38" s="17"/>
      <c r="E38" s="17"/>
      <c r="F38" s="19">
        <f>+F17*$P38</f>
        <v>111865.37197499999</v>
      </c>
      <c r="G38" s="19">
        <f t="shared" ref="G38:O38" si="52">+$F17*$P38</f>
        <v>111865.37197499999</v>
      </c>
      <c r="H38" s="19">
        <f t="shared" si="52"/>
        <v>111865.37197499999</v>
      </c>
      <c r="I38" s="19">
        <f t="shared" si="52"/>
        <v>111865.37197499999</v>
      </c>
      <c r="J38" s="19">
        <f t="shared" si="52"/>
        <v>111865.37197499999</v>
      </c>
      <c r="K38" s="19">
        <f t="shared" si="52"/>
        <v>111865.37197499999</v>
      </c>
      <c r="L38" s="19">
        <f t="shared" si="52"/>
        <v>111865.37197499999</v>
      </c>
      <c r="M38" s="19">
        <f t="shared" si="52"/>
        <v>111865.37197499999</v>
      </c>
      <c r="N38" s="19">
        <f t="shared" si="52"/>
        <v>111865.37197499999</v>
      </c>
      <c r="O38" s="19">
        <f t="shared" si="52"/>
        <v>111865.37197499999</v>
      </c>
      <c r="P38" s="117">
        <v>100</v>
      </c>
      <c r="Q38" s="4" t="s">
        <v>68</v>
      </c>
      <c r="S38" s="109"/>
      <c r="T38" s="109"/>
      <c r="U38" s="109"/>
    </row>
    <row r="39" spans="1:24" s="5" customFormat="1" x14ac:dyDescent="0.25">
      <c r="A39" s="190" t="s">
        <v>72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40"/>
      <c r="Q39" s="4"/>
      <c r="R39" s="4"/>
      <c r="T39" s="111"/>
    </row>
    <row r="40" spans="1:24" s="4" customFormat="1" x14ac:dyDescent="0.25">
      <c r="A40" s="28" t="s">
        <v>63</v>
      </c>
      <c r="B40" s="29"/>
      <c r="C40" s="29"/>
      <c r="D40" s="29"/>
      <c r="E40" s="29"/>
      <c r="F40" s="114">
        <f>AVERAGE(U33:W33)</f>
        <v>336.11111111111109</v>
      </c>
      <c r="G40" s="28">
        <f>+F40*$P40+F40</f>
        <v>346.1944444444444</v>
      </c>
      <c r="H40" s="28">
        <f t="shared" ref="H40:O40" si="53">+G40*$P40+G40</f>
        <v>356.58027777777772</v>
      </c>
      <c r="I40" s="28">
        <f t="shared" si="53"/>
        <v>367.27768611111105</v>
      </c>
      <c r="J40" s="28">
        <f t="shared" si="53"/>
        <v>378.2960166944444</v>
      </c>
      <c r="K40" s="28">
        <f t="shared" si="53"/>
        <v>389.64489719527774</v>
      </c>
      <c r="L40" s="28">
        <f>+K40*($P40+$R$24)+K40</f>
        <v>401.33424411113606</v>
      </c>
      <c r="M40" s="28">
        <f t="shared" si="53"/>
        <v>413.37427143447013</v>
      </c>
      <c r="N40" s="28">
        <f t="shared" si="53"/>
        <v>425.77549957750421</v>
      </c>
      <c r="O40" s="28">
        <f t="shared" si="53"/>
        <v>438.54876456482936</v>
      </c>
      <c r="P40" s="118">
        <v>0.03</v>
      </c>
      <c r="Q40" s="4" t="s">
        <v>105</v>
      </c>
    </row>
    <row r="41" spans="1:24" s="5" customFormat="1" x14ac:dyDescent="0.25">
      <c r="A41" s="28" t="s">
        <v>64</v>
      </c>
      <c r="B41" s="29"/>
      <c r="C41" s="29"/>
      <c r="D41" s="29"/>
      <c r="E41" s="29"/>
      <c r="F41" s="28">
        <f>+F40/$P41</f>
        <v>258.54700854700855</v>
      </c>
      <c r="G41" s="28">
        <f t="shared" ref="G41" si="54">+G40/$P41</f>
        <v>266.30341880341877</v>
      </c>
      <c r="H41" s="28">
        <f t="shared" ref="H41" si="55">+H40/$P41</f>
        <v>274.29252136752132</v>
      </c>
      <c r="I41" s="28">
        <f t="shared" ref="I41" si="56">+I40/$P41</f>
        <v>282.52129700854698</v>
      </c>
      <c r="J41" s="28">
        <f t="shared" ref="J41" si="57">+J40/$P41</f>
        <v>290.99693591880339</v>
      </c>
      <c r="K41" s="28">
        <f t="shared" ref="K41" si="58">+K40/$P41</f>
        <v>299.72684399636751</v>
      </c>
      <c r="L41" s="28">
        <f>+L40/($P41+$R$25)</f>
        <v>308.71864931625851</v>
      </c>
      <c r="M41" s="28">
        <f t="shared" ref="M41:O41" si="59">+M40/($P41+$R$25)</f>
        <v>317.98020879574625</v>
      </c>
      <c r="N41" s="28">
        <f t="shared" si="59"/>
        <v>327.51961505961862</v>
      </c>
      <c r="O41" s="28">
        <f t="shared" si="59"/>
        <v>337.34520351140719</v>
      </c>
      <c r="P41" s="113">
        <v>1.3</v>
      </c>
      <c r="Q41" s="4" t="s">
        <v>187</v>
      </c>
      <c r="R41" s="4"/>
      <c r="S41" s="128"/>
    </row>
    <row r="42" spans="1:24" s="5" customFormat="1" x14ac:dyDescent="0.25">
      <c r="A42" s="28" t="s">
        <v>65</v>
      </c>
      <c r="B42" s="29"/>
      <c r="C42" s="29"/>
      <c r="D42" s="29"/>
      <c r="E42" s="29"/>
      <c r="F42" s="28">
        <f>+F17*$P$42</f>
        <v>55.932685987500001</v>
      </c>
      <c r="G42" s="28">
        <f t="shared" ref="G42:O42" si="60">+G17*$P$42</f>
        <v>53.615874230060626</v>
      </c>
      <c r="H42" s="28">
        <f t="shared" si="60"/>
        <v>51.29198618880546</v>
      </c>
      <c r="I42" s="28">
        <f t="shared" si="60"/>
        <v>48.961005847709508</v>
      </c>
      <c r="J42" s="28">
        <f t="shared" si="60"/>
        <v>46.622917158621355</v>
      </c>
      <c r="K42" s="28">
        <f t="shared" si="60"/>
        <v>44.277704041202767</v>
      </c>
      <c r="L42" s="28">
        <f t="shared" si="60"/>
        <v>41.925350382868317</v>
      </c>
      <c r="M42" s="28">
        <f t="shared" si="60"/>
        <v>39.565840038724772</v>
      </c>
      <c r="N42" s="28">
        <f t="shared" si="60"/>
        <v>37.199156831510436</v>
      </c>
      <c r="O42" s="28">
        <f t="shared" si="60"/>
        <v>34.825284551534367</v>
      </c>
      <c r="P42" s="118">
        <v>0.05</v>
      </c>
      <c r="Q42" s="4" t="s">
        <v>234</v>
      </c>
      <c r="R42" s="4"/>
    </row>
    <row r="43" spans="1:24" s="5" customFormat="1" x14ac:dyDescent="0.25">
      <c r="A43" s="191" t="s">
        <v>86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40"/>
      <c r="Q43" s="4"/>
      <c r="R43" s="4"/>
      <c r="S43" s="16"/>
    </row>
    <row r="44" spans="1:24" s="4" customFormat="1" x14ac:dyDescent="0.25">
      <c r="A44" s="15" t="s">
        <v>74</v>
      </c>
      <c r="B44" s="15"/>
      <c r="C44" s="15"/>
      <c r="D44" s="15"/>
      <c r="E44" s="18"/>
      <c r="F44" s="15">
        <f>+F20*F22</f>
        <v>247222.47206474998</v>
      </c>
      <c r="G44" s="15">
        <f t="shared" ref="G44:O44" si="61">+G20*G22</f>
        <v>244091.629019774</v>
      </c>
      <c r="H44" s="15">
        <f t="shared" si="61"/>
        <v>240517.2532128504</v>
      </c>
      <c r="I44" s="15">
        <f t="shared" si="61"/>
        <v>236474.47762331928</v>
      </c>
      <c r="J44" s="15">
        <f t="shared" si="61"/>
        <v>231937.30772388395</v>
      </c>
      <c r="K44" s="15">
        <f t="shared" si="61"/>
        <v>226878.5750910666</v>
      </c>
      <c r="L44" s="15">
        <f t="shared" si="61"/>
        <v>221269.88921091528</v>
      </c>
      <c r="M44" s="15">
        <f t="shared" si="61"/>
        <v>215081.58741226167</v>
      </c>
      <c r="N44" s="15">
        <f t="shared" si="61"/>
        <v>208282.68285735403</v>
      </c>
      <c r="O44" s="15">
        <f t="shared" si="61"/>
        <v>200840.81051712687</v>
      </c>
      <c r="P44" s="40"/>
    </row>
    <row r="45" spans="1:24" s="5" customFormat="1" x14ac:dyDescent="0.25">
      <c r="A45" s="15" t="s">
        <v>75</v>
      </c>
      <c r="B45" s="15"/>
      <c r="C45" s="15"/>
      <c r="D45" s="15"/>
      <c r="E45" s="18"/>
      <c r="F45" s="15">
        <f>+F24*F26</f>
        <v>266239.58530049998</v>
      </c>
      <c r="G45" s="15">
        <f t="shared" ref="G45:O45" si="62">+G24*G26</f>
        <v>262867.90817514126</v>
      </c>
      <c r="H45" s="15">
        <f t="shared" si="62"/>
        <v>259018.58038306967</v>
      </c>
      <c r="I45" s="15">
        <f t="shared" si="62"/>
        <v>254664.82205588231</v>
      </c>
      <c r="J45" s="15">
        <f t="shared" si="62"/>
        <v>249778.63908725965</v>
      </c>
      <c r="K45" s="15">
        <f t="shared" si="62"/>
        <v>244330.7731749948</v>
      </c>
      <c r="L45" s="15">
        <f t="shared" si="62"/>
        <v>238290.64991944723</v>
      </c>
      <c r="M45" s="15">
        <f t="shared" si="62"/>
        <v>231626.32490551256</v>
      </c>
      <c r="N45" s="15">
        <f t="shared" si="62"/>
        <v>224304.42769253513</v>
      </c>
      <c r="O45" s="15">
        <f t="shared" si="62"/>
        <v>216290.10363382893</v>
      </c>
      <c r="P45" s="40"/>
      <c r="Q45" s="4"/>
      <c r="R45" s="4"/>
    </row>
    <row r="46" spans="1:24" s="5" customFormat="1" x14ac:dyDescent="0.25">
      <c r="A46" s="15" t="s">
        <v>76</v>
      </c>
      <c r="B46" s="15"/>
      <c r="C46" s="15"/>
      <c r="D46" s="15"/>
      <c r="E46" s="18"/>
      <c r="F46" s="15">
        <f>+F28*F30</f>
        <v>226713.82053600001</v>
      </c>
      <c r="G46" s="15">
        <f t="shared" ref="G46:O46" si="63">+G28*G30</f>
        <v>223842.70051888781</v>
      </c>
      <c r="H46" s="15">
        <f t="shared" si="63"/>
        <v>220564.84155869239</v>
      </c>
      <c r="I46" s="15">
        <f t="shared" si="63"/>
        <v>216857.43950977095</v>
      </c>
      <c r="J46" s="15">
        <f t="shared" si="63"/>
        <v>212696.65625357683</v>
      </c>
      <c r="K46" s="15">
        <f t="shared" si="63"/>
        <v>208057.57715741856</v>
      </c>
      <c r="L46" s="15">
        <f t="shared" si="63"/>
        <v>202914.16687818474</v>
      </c>
      <c r="M46" s="15">
        <f t="shared" si="63"/>
        <v>197239.22344895185</v>
      </c>
      <c r="N46" s="15">
        <f t="shared" si="63"/>
        <v>191004.33058411951</v>
      </c>
      <c r="O46" s="15">
        <f t="shared" si="63"/>
        <v>184179.80813636971</v>
      </c>
      <c r="P46" s="40"/>
      <c r="Q46" s="4"/>
      <c r="R46" s="4"/>
    </row>
    <row r="47" spans="1:24" s="4" customFormat="1" x14ac:dyDescent="0.25">
      <c r="A47" s="15" t="s">
        <v>77</v>
      </c>
      <c r="B47" s="15"/>
      <c r="C47" s="15"/>
      <c r="D47" s="15"/>
      <c r="E47" s="17"/>
      <c r="F47" s="15">
        <f>+F32*F34</f>
        <v>269222.66188650002</v>
      </c>
      <c r="G47" s="15">
        <f t="shared" ref="G47:O47" si="64">+G32*G34</f>
        <v>265813.20686617924</v>
      </c>
      <c r="H47" s="15">
        <f t="shared" si="64"/>
        <v>261920.74935094721</v>
      </c>
      <c r="I47" s="15">
        <f t="shared" si="64"/>
        <v>257518.20941785301</v>
      </c>
      <c r="J47" s="15">
        <f t="shared" si="64"/>
        <v>252577.2793011225</v>
      </c>
      <c r="K47" s="15">
        <f t="shared" si="64"/>
        <v>247068.37287443454</v>
      </c>
      <c r="L47" s="15">
        <f t="shared" si="64"/>
        <v>240960.57316784441</v>
      </c>
      <c r="M47" s="15">
        <f t="shared" si="64"/>
        <v>234221.57784563035</v>
      </c>
      <c r="N47" s="15">
        <f t="shared" si="64"/>
        <v>226817.64256864192</v>
      </c>
      <c r="O47" s="15">
        <f t="shared" si="64"/>
        <v>218713.52216193904</v>
      </c>
      <c r="P47" s="40"/>
    </row>
    <row r="48" spans="1:24" s="4" customFormat="1" x14ac:dyDescent="0.25">
      <c r="A48" s="190" t="s">
        <v>87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40"/>
    </row>
    <row r="49" spans="1:18" s="4" customFormat="1" x14ac:dyDescent="0.25">
      <c r="A49" s="30" t="s">
        <v>80</v>
      </c>
      <c r="B49" s="30"/>
      <c r="C49" s="30"/>
      <c r="D49" s="30"/>
      <c r="E49" s="29"/>
      <c r="F49" s="30">
        <f>+F21*F22</f>
        <v>190171.13235749997</v>
      </c>
      <c r="G49" s="30">
        <f t="shared" ref="G49:O49" si="65">+G21*G22</f>
        <v>187762.79155367232</v>
      </c>
      <c r="H49" s="30">
        <f t="shared" si="65"/>
        <v>185013.27170219261</v>
      </c>
      <c r="I49" s="30">
        <f t="shared" si="65"/>
        <v>181903.4443256302</v>
      </c>
      <c r="J49" s="30">
        <f t="shared" si="65"/>
        <v>178413.31363375686</v>
      </c>
      <c r="K49" s="30">
        <f t="shared" si="65"/>
        <v>174521.98083928198</v>
      </c>
      <c r="L49" s="30">
        <f t="shared" si="65"/>
        <v>170207.60708531944</v>
      </c>
      <c r="M49" s="30">
        <f t="shared" si="65"/>
        <v>165447.37493250897</v>
      </c>
      <c r="N49" s="30">
        <f t="shared" si="65"/>
        <v>160217.44835181077</v>
      </c>
      <c r="O49" s="30">
        <f t="shared" si="65"/>
        <v>154492.93116702067</v>
      </c>
      <c r="P49" s="40"/>
    </row>
    <row r="50" spans="1:18" s="4" customFormat="1" x14ac:dyDescent="0.25">
      <c r="A50" s="30" t="s">
        <v>81</v>
      </c>
      <c r="B50" s="30"/>
      <c r="C50" s="30"/>
      <c r="D50" s="30"/>
      <c r="E50" s="29"/>
      <c r="F50" s="30">
        <f>+F25*F26</f>
        <v>204799.68100038459</v>
      </c>
      <c r="G50" s="30">
        <f t="shared" ref="G50:O50" si="66">+G25*G26</f>
        <v>202206.08321164711</v>
      </c>
      <c r="H50" s="30">
        <f t="shared" si="66"/>
        <v>199245.06183313052</v>
      </c>
      <c r="I50" s="30">
        <f t="shared" si="66"/>
        <v>195896.0169660633</v>
      </c>
      <c r="J50" s="30">
        <f t="shared" si="66"/>
        <v>192137.4146825074</v>
      </c>
      <c r="K50" s="30">
        <f t="shared" si="66"/>
        <v>187946.74859614985</v>
      </c>
      <c r="L50" s="30">
        <f t="shared" si="66"/>
        <v>183300.49993803632</v>
      </c>
      <c r="M50" s="30">
        <f t="shared" si="66"/>
        <v>178174.0960811635</v>
      </c>
      <c r="N50" s="30">
        <f t="shared" si="66"/>
        <v>172541.86745579625</v>
      </c>
      <c r="O50" s="30">
        <f t="shared" si="66"/>
        <v>166377.00279525301</v>
      </c>
      <c r="P50" s="40"/>
    </row>
    <row r="51" spans="1:18" s="4" customFormat="1" x14ac:dyDescent="0.25">
      <c r="A51" s="30" t="s">
        <v>82</v>
      </c>
      <c r="B51" s="30"/>
      <c r="C51" s="30"/>
      <c r="D51" s="30"/>
      <c r="E51" s="29"/>
      <c r="F51" s="30">
        <f>F29*F30</f>
        <v>174395.24656615386</v>
      </c>
      <c r="G51" s="30">
        <f t="shared" ref="G51:O51" si="67">G29*G30</f>
        <v>172186.69270683677</v>
      </c>
      <c r="H51" s="30">
        <f t="shared" si="67"/>
        <v>169665.26273745569</v>
      </c>
      <c r="I51" s="30">
        <f t="shared" si="67"/>
        <v>166813.4150075161</v>
      </c>
      <c r="J51" s="30">
        <f t="shared" si="67"/>
        <v>163612.81250275139</v>
      </c>
      <c r="K51" s="30">
        <f t="shared" si="67"/>
        <v>160044.29012109118</v>
      </c>
      <c r="L51" s="30">
        <f t="shared" si="67"/>
        <v>156087.82067552672</v>
      </c>
      <c r="M51" s="30">
        <f t="shared" si="67"/>
        <v>151722.47957611681</v>
      </c>
      <c r="N51" s="30">
        <f t="shared" si="67"/>
        <v>146926.40814163038</v>
      </c>
      <c r="O51" s="30">
        <f t="shared" si="67"/>
        <v>141676.77548951519</v>
      </c>
      <c r="P51" s="40"/>
    </row>
    <row r="52" spans="1:18" s="4" customFormat="1" x14ac:dyDescent="0.25">
      <c r="A52" s="30" t="s">
        <v>83</v>
      </c>
      <c r="B52" s="30"/>
      <c r="C52" s="30"/>
      <c r="D52" s="30"/>
      <c r="E52" s="29"/>
      <c r="F52" s="30">
        <f>+F33*F34</f>
        <v>207094.35529730769</v>
      </c>
      <c r="G52" s="30">
        <f t="shared" ref="G52:O52" si="68">+G33*G34</f>
        <v>204471.69758936868</v>
      </c>
      <c r="H52" s="30">
        <f t="shared" si="68"/>
        <v>201477.49950072862</v>
      </c>
      <c r="I52" s="30">
        <f t="shared" si="68"/>
        <v>198090.93032142537</v>
      </c>
      <c r="J52" s="30">
        <f t="shared" si="68"/>
        <v>194290.21484701728</v>
      </c>
      <c r="K52" s="30">
        <f t="shared" si="68"/>
        <v>190052.59451879578</v>
      </c>
      <c r="L52" s="30">
        <f t="shared" si="68"/>
        <v>185354.28705218801</v>
      </c>
      <c r="M52" s="30">
        <f t="shared" si="68"/>
        <v>180170.44449663872</v>
      </c>
      <c r="N52" s="30">
        <f t="shared" si="68"/>
        <v>174475.10966818608</v>
      </c>
      <c r="O52" s="30">
        <f t="shared" si="68"/>
        <v>168241.17089379925</v>
      </c>
      <c r="P52" s="40"/>
    </row>
    <row r="53" spans="1:18" s="4" customFormat="1" x14ac:dyDescent="0.25">
      <c r="A53" s="191" t="s">
        <v>109</v>
      </c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40"/>
    </row>
    <row r="54" spans="1:18" s="4" customFormat="1" x14ac:dyDescent="0.25">
      <c r="A54" s="15" t="s">
        <v>108</v>
      </c>
      <c r="B54" s="15"/>
      <c r="C54" s="15"/>
      <c r="D54" s="15"/>
      <c r="E54" s="17"/>
      <c r="F54" s="48">
        <v>7</v>
      </c>
      <c r="G54" s="15">
        <f>+F54*$P54+F54</f>
        <v>7</v>
      </c>
      <c r="H54" s="15">
        <f t="shared" ref="H54:O54" si="69">+G54*$P54+G54</f>
        <v>7</v>
      </c>
      <c r="I54" s="15">
        <f t="shared" si="69"/>
        <v>7</v>
      </c>
      <c r="J54" s="15">
        <f t="shared" si="69"/>
        <v>7</v>
      </c>
      <c r="K54" s="15">
        <f t="shared" si="69"/>
        <v>7</v>
      </c>
      <c r="L54" s="15">
        <f t="shared" si="69"/>
        <v>7</v>
      </c>
      <c r="M54" s="15">
        <f t="shared" si="69"/>
        <v>7</v>
      </c>
      <c r="N54" s="15">
        <f t="shared" si="69"/>
        <v>7</v>
      </c>
      <c r="O54" s="15">
        <f t="shared" si="69"/>
        <v>7</v>
      </c>
      <c r="P54" s="40"/>
    </row>
    <row r="55" spans="1:18" s="4" customFormat="1" x14ac:dyDescent="0.25">
      <c r="A55" s="15" t="s">
        <v>106</v>
      </c>
      <c r="B55" s="15"/>
      <c r="C55" s="15"/>
      <c r="D55" s="15"/>
      <c r="E55" s="17"/>
      <c r="F55" s="48">
        <v>10</v>
      </c>
      <c r="G55" s="15">
        <f t="shared" ref="G55:O55" si="70">+F55*$P55+F55</f>
        <v>10</v>
      </c>
      <c r="H55" s="15">
        <f t="shared" si="70"/>
        <v>10</v>
      </c>
      <c r="I55" s="15">
        <f t="shared" si="70"/>
        <v>10</v>
      </c>
      <c r="J55" s="15">
        <f t="shared" si="70"/>
        <v>10</v>
      </c>
      <c r="K55" s="15">
        <f t="shared" si="70"/>
        <v>10</v>
      </c>
      <c r="L55" s="15">
        <f t="shared" si="70"/>
        <v>10</v>
      </c>
      <c r="M55" s="15">
        <f t="shared" si="70"/>
        <v>10</v>
      </c>
      <c r="N55" s="15">
        <f t="shared" si="70"/>
        <v>10</v>
      </c>
      <c r="O55" s="15">
        <f t="shared" si="70"/>
        <v>10</v>
      </c>
      <c r="P55" s="40"/>
    </row>
    <row r="56" spans="1:18" s="4" customFormat="1" x14ac:dyDescent="0.25">
      <c r="A56" s="15" t="s">
        <v>107</v>
      </c>
      <c r="B56" s="15"/>
      <c r="C56" s="15"/>
      <c r="D56" s="15"/>
      <c r="E56" s="17"/>
      <c r="F56" s="48">
        <f>(F127/SUM(F76:F78))*365</f>
        <v>112.16773075467319</v>
      </c>
      <c r="G56" s="15">
        <f t="shared" ref="G56:O56" si="71">+F56*$P56+F56</f>
        <v>112.16773075467319</v>
      </c>
      <c r="H56" s="15">
        <f t="shared" si="71"/>
        <v>112.16773075467319</v>
      </c>
      <c r="I56" s="15">
        <f t="shared" si="71"/>
        <v>112.16773075467319</v>
      </c>
      <c r="J56" s="15">
        <f t="shared" si="71"/>
        <v>112.16773075467319</v>
      </c>
      <c r="K56" s="15">
        <f t="shared" si="71"/>
        <v>112.16773075467319</v>
      </c>
      <c r="L56" s="15">
        <f t="shared" si="71"/>
        <v>112.16773075467319</v>
      </c>
      <c r="M56" s="15">
        <f t="shared" si="71"/>
        <v>112.16773075467319</v>
      </c>
      <c r="N56" s="15">
        <f t="shared" si="71"/>
        <v>112.16773075467319</v>
      </c>
      <c r="O56" s="15">
        <f t="shared" si="71"/>
        <v>112.16773075467319</v>
      </c>
      <c r="P56" s="40"/>
    </row>
    <row r="57" spans="1:18" s="5" customFormat="1" x14ac:dyDescent="0.25">
      <c r="A57" s="190" t="s">
        <v>73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40"/>
      <c r="Q57" s="4"/>
      <c r="R57" s="4"/>
    </row>
    <row r="58" spans="1:18" s="5" customFormat="1" x14ac:dyDescent="0.25">
      <c r="A58" s="30" t="s">
        <v>170</v>
      </c>
      <c r="B58" s="29"/>
      <c r="C58" s="29"/>
      <c r="D58" s="29"/>
      <c r="E58" s="29"/>
      <c r="F58" s="44">
        <v>700</v>
      </c>
      <c r="G58" s="28">
        <f>+F58*$P58+F58</f>
        <v>707</v>
      </c>
      <c r="H58" s="42">
        <f>+G58*$P58+G58</f>
        <v>714.07</v>
      </c>
      <c r="I58" s="28">
        <f t="shared" ref="I58:O58" si="72">+H58*$P58+H58</f>
        <v>721.21070000000009</v>
      </c>
      <c r="J58" s="28">
        <f t="shared" si="72"/>
        <v>728.42280700000003</v>
      </c>
      <c r="K58" s="28">
        <f t="shared" si="72"/>
        <v>735.70703507000007</v>
      </c>
      <c r="L58" s="28">
        <f t="shared" si="72"/>
        <v>743.06410542070012</v>
      </c>
      <c r="M58" s="28">
        <f t="shared" si="72"/>
        <v>750.49474647490706</v>
      </c>
      <c r="N58" s="28">
        <f t="shared" si="72"/>
        <v>757.99969393965614</v>
      </c>
      <c r="O58" s="28">
        <f t="shared" si="72"/>
        <v>765.57969087905269</v>
      </c>
      <c r="P58" s="118">
        <v>0.01</v>
      </c>
      <c r="Q58" s="4" t="s">
        <v>56</v>
      </c>
      <c r="R58" s="4"/>
    </row>
    <row r="59" spans="1:18" s="5" customFormat="1" x14ac:dyDescent="0.25">
      <c r="A59" s="30" t="s">
        <v>171</v>
      </c>
      <c r="B59" s="29"/>
      <c r="C59" s="29"/>
      <c r="D59" s="29"/>
      <c r="E59" s="29"/>
      <c r="F59" s="44">
        <v>1000</v>
      </c>
      <c r="G59" s="28">
        <f>+F59*$P58+F59</f>
        <v>1010</v>
      </c>
      <c r="H59" s="28">
        <f t="shared" ref="H59:O59" si="73">+G59*$P58+G59</f>
        <v>1020.1</v>
      </c>
      <c r="I59" s="28">
        <f t="shared" si="73"/>
        <v>1030.3009999999999</v>
      </c>
      <c r="J59" s="28">
        <f t="shared" si="73"/>
        <v>1040.60401</v>
      </c>
      <c r="K59" s="28">
        <f t="shared" si="73"/>
        <v>1051.0100500999999</v>
      </c>
      <c r="L59" s="28">
        <f t="shared" si="73"/>
        <v>1061.5201506009998</v>
      </c>
      <c r="M59" s="28">
        <f t="shared" si="73"/>
        <v>1072.1353521070098</v>
      </c>
      <c r="N59" s="28">
        <f t="shared" si="73"/>
        <v>1082.8567056280799</v>
      </c>
      <c r="O59" s="28">
        <f t="shared" si="73"/>
        <v>1093.6852726843606</v>
      </c>
      <c r="P59" s="40"/>
      <c r="Q59" s="4"/>
      <c r="R59" s="4"/>
    </row>
    <row r="60" spans="1:18" s="5" customFormat="1" x14ac:dyDescent="0.25">
      <c r="A60" s="30" t="s">
        <v>70</v>
      </c>
      <c r="B60" s="28"/>
      <c r="C60" s="28"/>
      <c r="D60" s="28"/>
      <c r="E60" s="28"/>
      <c r="F60" s="45">
        <v>12</v>
      </c>
      <c r="G60" s="45">
        <v>12</v>
      </c>
      <c r="H60" s="45">
        <v>12</v>
      </c>
      <c r="I60" s="45">
        <v>12</v>
      </c>
      <c r="J60" s="45">
        <v>12</v>
      </c>
      <c r="K60" s="45">
        <v>12</v>
      </c>
      <c r="L60" s="45">
        <v>12</v>
      </c>
      <c r="M60" s="45">
        <v>12</v>
      </c>
      <c r="N60" s="45">
        <v>12</v>
      </c>
      <c r="O60" s="45">
        <v>12</v>
      </c>
      <c r="P60" s="40"/>
      <c r="Q60" s="4"/>
      <c r="R60" s="4"/>
    </row>
    <row r="61" spans="1:18" s="5" customFormat="1" x14ac:dyDescent="0.25">
      <c r="A61" s="30" t="s">
        <v>173</v>
      </c>
      <c r="B61" s="28"/>
      <c r="C61" s="28"/>
      <c r="D61" s="28"/>
      <c r="E61" s="112"/>
      <c r="F61" s="44">
        <v>2</v>
      </c>
      <c r="G61" s="45">
        <f>+$F$61</f>
        <v>2</v>
      </c>
      <c r="H61" s="45">
        <f t="shared" ref="H61:O61" si="74">+$F$61</f>
        <v>2</v>
      </c>
      <c r="I61" s="45">
        <f t="shared" si="74"/>
        <v>2</v>
      </c>
      <c r="J61" s="45">
        <f t="shared" si="74"/>
        <v>2</v>
      </c>
      <c r="K61" s="45">
        <f t="shared" si="74"/>
        <v>2</v>
      </c>
      <c r="L61" s="45">
        <f t="shared" si="74"/>
        <v>2</v>
      </c>
      <c r="M61" s="45">
        <f t="shared" si="74"/>
        <v>2</v>
      </c>
      <c r="N61" s="45">
        <f t="shared" si="74"/>
        <v>2</v>
      </c>
      <c r="O61" s="45">
        <f t="shared" si="74"/>
        <v>2</v>
      </c>
      <c r="P61" s="40"/>
      <c r="Q61" s="4"/>
      <c r="R61" s="4"/>
    </row>
    <row r="62" spans="1:18" s="4" customFormat="1" x14ac:dyDescent="0.25">
      <c r="A62" s="28" t="s">
        <v>172</v>
      </c>
      <c r="B62" s="28"/>
      <c r="C62" s="28"/>
      <c r="D62" s="28"/>
      <c r="E62" s="112"/>
      <c r="F62" s="44">
        <v>1</v>
      </c>
      <c r="G62" s="45">
        <f>+$F$62</f>
        <v>1</v>
      </c>
      <c r="H62" s="45">
        <f t="shared" ref="H62:O62" si="75">+$F$62</f>
        <v>1</v>
      </c>
      <c r="I62" s="45">
        <f t="shared" si="75"/>
        <v>1</v>
      </c>
      <c r="J62" s="45">
        <f t="shared" si="75"/>
        <v>1</v>
      </c>
      <c r="K62" s="45">
        <f t="shared" si="75"/>
        <v>1</v>
      </c>
      <c r="L62" s="45">
        <f t="shared" si="75"/>
        <v>1</v>
      </c>
      <c r="M62" s="45">
        <f t="shared" si="75"/>
        <v>1</v>
      </c>
      <c r="N62" s="45">
        <f t="shared" si="75"/>
        <v>1</v>
      </c>
      <c r="O62" s="45">
        <f t="shared" si="75"/>
        <v>1</v>
      </c>
      <c r="P62" s="40"/>
    </row>
    <row r="63" spans="1:18" s="4" customFormat="1" x14ac:dyDescent="0.25">
      <c r="A63" s="191" t="s">
        <v>98</v>
      </c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55" t="s">
        <v>218</v>
      </c>
      <c r="Q63" s="109" t="s">
        <v>219</v>
      </c>
      <c r="R63" s="109" t="s">
        <v>220</v>
      </c>
    </row>
    <row r="64" spans="1:18" s="4" customFormat="1" x14ac:dyDescent="0.25">
      <c r="A64" s="15" t="s">
        <v>102</v>
      </c>
      <c r="B64" s="15"/>
      <c r="C64" s="15"/>
      <c r="D64" s="15"/>
      <c r="E64" s="17"/>
      <c r="F64" s="46">
        <f>+$P$64</f>
        <v>7.25</v>
      </c>
      <c r="G64" s="46">
        <f t="shared" ref="G64" si="76">+$P$64</f>
        <v>7.25</v>
      </c>
      <c r="H64" s="46">
        <f>+$Q$64</f>
        <v>7.5</v>
      </c>
      <c r="I64" s="46">
        <f t="shared" ref="I64:J64" si="77">+$Q$64</f>
        <v>7.5</v>
      </c>
      <c r="J64" s="46">
        <f t="shared" si="77"/>
        <v>7.5</v>
      </c>
      <c r="K64" s="46">
        <f>+$Q$64</f>
        <v>7.5</v>
      </c>
      <c r="L64" s="46">
        <f>+$R$64</f>
        <v>7.75</v>
      </c>
      <c r="M64" s="46">
        <f t="shared" ref="M64:O64" si="78">+$R$64</f>
        <v>7.75</v>
      </c>
      <c r="N64" s="46">
        <f t="shared" si="78"/>
        <v>7.75</v>
      </c>
      <c r="O64" s="46">
        <f t="shared" si="78"/>
        <v>7.75</v>
      </c>
      <c r="P64" s="113">
        <v>7.25</v>
      </c>
      <c r="Q64" s="113">
        <v>7.5</v>
      </c>
      <c r="R64" s="113">
        <v>7.75</v>
      </c>
    </row>
    <row r="65" spans="1:18" s="4" customFormat="1" x14ac:dyDescent="0.25">
      <c r="A65" s="15" t="s">
        <v>99</v>
      </c>
      <c r="B65" s="15"/>
      <c r="C65" s="15"/>
      <c r="D65" s="15"/>
      <c r="E65" s="17"/>
      <c r="F65" s="15">
        <f>+$P$65</f>
        <v>5</v>
      </c>
      <c r="G65" s="15">
        <f t="shared" ref="G65:O65" si="79">+$P$65</f>
        <v>5</v>
      </c>
      <c r="H65" s="15">
        <f t="shared" si="79"/>
        <v>5</v>
      </c>
      <c r="I65" s="15">
        <f t="shared" si="79"/>
        <v>5</v>
      </c>
      <c r="J65" s="15">
        <f t="shared" si="79"/>
        <v>5</v>
      </c>
      <c r="K65" s="15">
        <f t="shared" si="79"/>
        <v>5</v>
      </c>
      <c r="L65" s="15">
        <f t="shared" si="79"/>
        <v>5</v>
      </c>
      <c r="M65" s="15">
        <f t="shared" si="79"/>
        <v>5</v>
      </c>
      <c r="N65" s="15">
        <f t="shared" si="79"/>
        <v>5</v>
      </c>
      <c r="O65" s="15">
        <f t="shared" si="79"/>
        <v>5</v>
      </c>
      <c r="P65" s="117">
        <v>5</v>
      </c>
    </row>
    <row r="66" spans="1:18" s="4" customFormat="1" x14ac:dyDescent="0.25">
      <c r="A66" s="15" t="s">
        <v>103</v>
      </c>
      <c r="B66" s="15"/>
      <c r="C66" s="15"/>
      <c r="D66" s="15"/>
      <c r="E66" s="17"/>
      <c r="F66" s="15">
        <f>+$P$66</f>
        <v>4</v>
      </c>
      <c r="G66" s="15">
        <v>4</v>
      </c>
      <c r="H66" s="15">
        <v>4</v>
      </c>
      <c r="I66" s="15">
        <v>4</v>
      </c>
      <c r="J66" s="15">
        <v>4</v>
      </c>
      <c r="K66" s="15">
        <v>4</v>
      </c>
      <c r="L66" s="15">
        <v>4</v>
      </c>
      <c r="M66" s="15">
        <v>4</v>
      </c>
      <c r="N66" s="15">
        <v>4</v>
      </c>
      <c r="O66" s="15">
        <v>4</v>
      </c>
      <c r="P66" s="117">
        <v>4</v>
      </c>
    </row>
    <row r="67" spans="1:18" s="4" customFormat="1" x14ac:dyDescent="0.25">
      <c r="A67" s="15" t="s">
        <v>100</v>
      </c>
      <c r="B67" s="15"/>
      <c r="C67" s="15"/>
      <c r="D67" s="15"/>
      <c r="E67" s="17"/>
      <c r="F67" s="15">
        <f>+$P$67</f>
        <v>52</v>
      </c>
      <c r="G67" s="15">
        <f t="shared" ref="G67:O67" si="80">+$P$67</f>
        <v>52</v>
      </c>
      <c r="H67" s="15">
        <f t="shared" si="80"/>
        <v>52</v>
      </c>
      <c r="I67" s="15">
        <f t="shared" si="80"/>
        <v>52</v>
      </c>
      <c r="J67" s="15">
        <f t="shared" si="80"/>
        <v>52</v>
      </c>
      <c r="K67" s="15">
        <f t="shared" si="80"/>
        <v>52</v>
      </c>
      <c r="L67" s="15">
        <f t="shared" si="80"/>
        <v>52</v>
      </c>
      <c r="M67" s="15">
        <f t="shared" si="80"/>
        <v>52</v>
      </c>
      <c r="N67" s="15">
        <f t="shared" si="80"/>
        <v>52</v>
      </c>
      <c r="O67" s="15">
        <f t="shared" si="80"/>
        <v>52</v>
      </c>
      <c r="P67" s="117">
        <v>52</v>
      </c>
    </row>
    <row r="68" spans="1:18" s="4" customFormat="1" x14ac:dyDescent="0.25">
      <c r="A68" s="15" t="s">
        <v>101</v>
      </c>
      <c r="B68" s="15"/>
      <c r="C68" s="15"/>
      <c r="D68" s="15"/>
      <c r="E68" s="17"/>
      <c r="F68" s="15">
        <f>+$P$68</f>
        <v>2</v>
      </c>
      <c r="G68" s="15">
        <f t="shared" ref="G68:O68" si="81">+$P$68</f>
        <v>2</v>
      </c>
      <c r="H68" s="15">
        <f t="shared" si="81"/>
        <v>2</v>
      </c>
      <c r="I68" s="15">
        <f t="shared" si="81"/>
        <v>2</v>
      </c>
      <c r="J68" s="15">
        <f t="shared" si="81"/>
        <v>2</v>
      </c>
      <c r="K68" s="15">
        <f t="shared" si="81"/>
        <v>2</v>
      </c>
      <c r="L68" s="15">
        <f t="shared" si="81"/>
        <v>2</v>
      </c>
      <c r="M68" s="15">
        <f t="shared" si="81"/>
        <v>2</v>
      </c>
      <c r="N68" s="15">
        <f t="shared" si="81"/>
        <v>2</v>
      </c>
      <c r="O68" s="15">
        <f t="shared" si="81"/>
        <v>2</v>
      </c>
      <c r="P68" s="117">
        <v>2</v>
      </c>
    </row>
    <row r="69" spans="1:18" x14ac:dyDescent="0.25">
      <c r="A69" s="21"/>
    </row>
    <row r="70" spans="1:18" x14ac:dyDescent="0.25">
      <c r="A70" s="26" t="s">
        <v>0</v>
      </c>
      <c r="B70" s="27"/>
      <c r="C70" s="27"/>
      <c r="D70" s="27"/>
      <c r="E70" s="27"/>
      <c r="F70" s="124">
        <v>2014</v>
      </c>
      <c r="G70" s="124">
        <v>2015</v>
      </c>
      <c r="H70" s="124">
        <v>2016</v>
      </c>
      <c r="I70" s="124">
        <v>2017</v>
      </c>
      <c r="J70" s="124">
        <v>2018</v>
      </c>
      <c r="K70" s="124">
        <v>2019</v>
      </c>
      <c r="L70" s="124">
        <v>2020</v>
      </c>
      <c r="M70" s="124">
        <v>2021</v>
      </c>
      <c r="N70" s="124">
        <v>2022</v>
      </c>
      <c r="O70" s="124">
        <v>2023</v>
      </c>
      <c r="P70" s="56"/>
      <c r="Q70" s="4"/>
      <c r="R70" s="4"/>
    </row>
    <row r="71" spans="1:18" x14ac:dyDescent="0.25">
      <c r="A71" s="21" t="s">
        <v>1</v>
      </c>
    </row>
    <row r="72" spans="1:18" x14ac:dyDescent="0.25">
      <c r="A72" s="22" t="s">
        <v>88</v>
      </c>
      <c r="F72" s="24">
        <f t="shared" ref="F72:O72" si="82">SUM(F44:F47)</f>
        <v>1009398.53978775</v>
      </c>
      <c r="G72" s="24">
        <f t="shared" si="82"/>
        <v>996615.44457998232</v>
      </c>
      <c r="H72" s="24">
        <f t="shared" si="82"/>
        <v>982021.42450555961</v>
      </c>
      <c r="I72" s="24">
        <f t="shared" si="82"/>
        <v>965514.94860682555</v>
      </c>
      <c r="J72" s="24">
        <f t="shared" si="82"/>
        <v>946989.88236584293</v>
      </c>
      <c r="K72" s="24">
        <f t="shared" si="82"/>
        <v>926335.29829791456</v>
      </c>
      <c r="L72" s="24">
        <f t="shared" si="82"/>
        <v>903435.27917639166</v>
      </c>
      <c r="M72" s="24">
        <f t="shared" si="82"/>
        <v>878168.71361235646</v>
      </c>
      <c r="N72" s="24">
        <f t="shared" si="82"/>
        <v>850409.08370265062</v>
      </c>
      <c r="O72" s="24">
        <f t="shared" si="82"/>
        <v>820024.2444492646</v>
      </c>
    </row>
    <row r="73" spans="1:18" x14ac:dyDescent="0.25">
      <c r="A73" s="22" t="s">
        <v>78</v>
      </c>
      <c r="F73" s="24">
        <f t="shared" ref="F73:O73" si="83">F36*F38</f>
        <v>240883.43431949997</v>
      </c>
      <c r="G73" s="24">
        <f t="shared" si="83"/>
        <v>248109.93734908497</v>
      </c>
      <c r="H73" s="24">
        <f t="shared" si="83"/>
        <v>255553.23546955752</v>
      </c>
      <c r="I73" s="24">
        <f t="shared" si="83"/>
        <v>263219.83253364428</v>
      </c>
      <c r="J73" s="24">
        <f t="shared" si="83"/>
        <v>271116.42750965356</v>
      </c>
      <c r="K73" s="24">
        <f t="shared" si="83"/>
        <v>279249.92033494316</v>
      </c>
      <c r="L73" s="24">
        <f t="shared" si="83"/>
        <v>287627.4179449915</v>
      </c>
      <c r="M73" s="24">
        <f t="shared" si="83"/>
        <v>296256.24048334121</v>
      </c>
      <c r="N73" s="24">
        <f t="shared" si="83"/>
        <v>305143.92769784149</v>
      </c>
      <c r="O73" s="24">
        <f t="shared" si="83"/>
        <v>314298.24552877672</v>
      </c>
    </row>
    <row r="74" spans="1:18" x14ac:dyDescent="0.25">
      <c r="A74" s="22" t="s">
        <v>79</v>
      </c>
      <c r="F74" s="24">
        <f t="shared" ref="F74:O74" si="84">+F40*F42</f>
        <v>18799.597234687499</v>
      </c>
      <c r="G74" s="24">
        <f t="shared" si="84"/>
        <v>18561.517792479041</v>
      </c>
      <c r="H74" s="24">
        <f t="shared" si="84"/>
        <v>18289.710682978188</v>
      </c>
      <c r="I74" s="24">
        <f t="shared" si="84"/>
        <v>17982.284937419325</v>
      </c>
      <c r="J74" s="24">
        <f t="shared" si="84"/>
        <v>17637.263847781524</v>
      </c>
      <c r="K74" s="24">
        <f t="shared" si="84"/>
        <v>17252.581439177386</v>
      </c>
      <c r="L74" s="24">
        <f t="shared" si="84"/>
        <v>16826.078805002984</v>
      </c>
      <c r="M74" s="24">
        <f t="shared" si="84"/>
        <v>16355.50029970064</v>
      </c>
      <c r="N74" s="24">
        <f t="shared" si="84"/>
        <v>15838.489583798284</v>
      </c>
      <c r="O74" s="24">
        <f t="shared" si="84"/>
        <v>15272.585515694034</v>
      </c>
    </row>
    <row r="75" spans="1:18" x14ac:dyDescent="0.25"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8" x14ac:dyDescent="0.25">
      <c r="A76" s="22" t="s">
        <v>90</v>
      </c>
      <c r="F76" s="24">
        <f t="shared" ref="F76:O76" si="85">SUM(F49:F52)</f>
        <v>776460.41522134608</v>
      </c>
      <c r="G76" s="24">
        <f t="shared" si="85"/>
        <v>766627.26506152481</v>
      </c>
      <c r="H76" s="24">
        <f t="shared" si="85"/>
        <v>755401.09577350738</v>
      </c>
      <c r="I76" s="24">
        <f t="shared" si="85"/>
        <v>742703.80662063509</v>
      </c>
      <c r="J76" s="24">
        <f t="shared" si="85"/>
        <v>728453.7556660329</v>
      </c>
      <c r="K76" s="24">
        <f t="shared" si="85"/>
        <v>712565.61407531879</v>
      </c>
      <c r="L76" s="24">
        <f t="shared" si="85"/>
        <v>694950.2147510706</v>
      </c>
      <c r="M76" s="24">
        <f t="shared" si="85"/>
        <v>675514.39508642803</v>
      </c>
      <c r="N76" s="24">
        <f t="shared" si="85"/>
        <v>654160.83361742343</v>
      </c>
      <c r="O76" s="24">
        <f t="shared" si="85"/>
        <v>630787.88034558808</v>
      </c>
    </row>
    <row r="77" spans="1:18" x14ac:dyDescent="0.25">
      <c r="A77" s="22" t="s">
        <v>89</v>
      </c>
      <c r="F77" s="24">
        <f t="shared" ref="F77:O77" si="86">+F37*F38</f>
        <v>185294.94947653843</v>
      </c>
      <c r="G77" s="24">
        <f t="shared" si="86"/>
        <v>190853.79796083458</v>
      </c>
      <c r="H77" s="24">
        <f t="shared" si="86"/>
        <v>196579.41189965964</v>
      </c>
      <c r="I77" s="24">
        <f t="shared" si="86"/>
        <v>202476.79425664942</v>
      </c>
      <c r="J77" s="24">
        <f t="shared" si="86"/>
        <v>208551.09808434889</v>
      </c>
      <c r="K77" s="24">
        <f t="shared" si="86"/>
        <v>214807.63102687936</v>
      </c>
      <c r="L77" s="24">
        <f t="shared" si="86"/>
        <v>221251.85995768578</v>
      </c>
      <c r="M77" s="24">
        <f t="shared" si="86"/>
        <v>227889.41575641636</v>
      </c>
      <c r="N77" s="24">
        <f t="shared" si="86"/>
        <v>234726.09822910881</v>
      </c>
      <c r="O77" s="24">
        <f t="shared" si="86"/>
        <v>241767.8811759821</v>
      </c>
    </row>
    <row r="78" spans="1:18" x14ac:dyDescent="0.25">
      <c r="A78" s="22" t="s">
        <v>91</v>
      </c>
      <c r="F78" s="43">
        <f t="shared" ref="F78:O78" si="87">+F41*F42</f>
        <v>14461.228642067308</v>
      </c>
      <c r="G78" s="43">
        <f t="shared" si="87"/>
        <v>14278.090609599263</v>
      </c>
      <c r="H78" s="43">
        <f t="shared" si="87"/>
        <v>14069.00821767553</v>
      </c>
      <c r="I78" s="43">
        <f t="shared" si="87"/>
        <v>13832.526874937943</v>
      </c>
      <c r="J78" s="43">
        <f t="shared" si="87"/>
        <v>13567.126036755017</v>
      </c>
      <c r="K78" s="43">
        <f t="shared" si="87"/>
        <v>13271.216491674913</v>
      </c>
      <c r="L78" s="43">
        <f t="shared" si="87"/>
        <v>12943.137542309989</v>
      </c>
      <c r="M78" s="43">
        <f t="shared" si="87"/>
        <v>12581.154076692799</v>
      </c>
      <c r="N78" s="43">
        <f t="shared" si="87"/>
        <v>12183.453525998681</v>
      </c>
      <c r="O78" s="43">
        <f t="shared" si="87"/>
        <v>11748.142704380025</v>
      </c>
    </row>
    <row r="79" spans="1:18" x14ac:dyDescent="0.25">
      <c r="A79" s="22" t="s">
        <v>104</v>
      </c>
      <c r="F79" s="24">
        <f>SUM(F72:F74)-SUM(F76:F78)</f>
        <v>292864.97800198558</v>
      </c>
      <c r="G79" s="24">
        <f t="shared" ref="G79:O79" si="88">SUM(G72:G74)-SUM(G76:G78)</f>
        <v>291527.74608958769</v>
      </c>
      <c r="H79" s="24">
        <f t="shared" si="88"/>
        <v>289814.85476725269</v>
      </c>
      <c r="I79" s="24">
        <f t="shared" si="88"/>
        <v>287703.93832566671</v>
      </c>
      <c r="J79" s="24">
        <f t="shared" si="88"/>
        <v>285171.59393614111</v>
      </c>
      <c r="K79" s="24">
        <f t="shared" si="88"/>
        <v>282193.33847816207</v>
      </c>
      <c r="L79" s="24">
        <f t="shared" si="88"/>
        <v>278743.56367531989</v>
      </c>
      <c r="M79" s="24">
        <f t="shared" si="88"/>
        <v>274795.48947586108</v>
      </c>
      <c r="N79" s="24">
        <f t="shared" si="88"/>
        <v>270321.11561175948</v>
      </c>
      <c r="O79" s="24">
        <f t="shared" si="88"/>
        <v>265291.17126778513</v>
      </c>
    </row>
    <row r="80" spans="1:18" x14ac:dyDescent="0.25"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8" x14ac:dyDescent="0.25">
      <c r="A81" s="22" t="s">
        <v>2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8" x14ac:dyDescent="0.25">
      <c r="B82" s="22" t="s">
        <v>14</v>
      </c>
      <c r="F82" s="131">
        <f>F79*25%</f>
        <v>73216.244500496396</v>
      </c>
      <c r="G82" s="131">
        <f>+$F82*$P82+$F82</f>
        <v>75412.73183551128</v>
      </c>
      <c r="H82" s="131">
        <f t="shared" ref="H82:O82" si="89">+G82*$P82+G82</f>
        <v>77675.113790576623</v>
      </c>
      <c r="I82" s="131">
        <f t="shared" si="89"/>
        <v>80005.367204293914</v>
      </c>
      <c r="J82" s="131">
        <f t="shared" si="89"/>
        <v>82405.528220422726</v>
      </c>
      <c r="K82" s="131">
        <f t="shared" si="89"/>
        <v>84877.694067035409</v>
      </c>
      <c r="L82" s="131">
        <f t="shared" si="89"/>
        <v>87424.024889046472</v>
      </c>
      <c r="M82" s="131">
        <f t="shared" si="89"/>
        <v>90046.74563571786</v>
      </c>
      <c r="N82" s="131">
        <f t="shared" si="89"/>
        <v>92748.1480047894</v>
      </c>
      <c r="O82" s="131">
        <f t="shared" si="89"/>
        <v>95530.592444933078</v>
      </c>
      <c r="P82" s="118">
        <v>0.03</v>
      </c>
    </row>
    <row r="83" spans="1:18" x14ac:dyDescent="0.25">
      <c r="B83" s="22" t="s">
        <v>216</v>
      </c>
      <c r="F83" s="24">
        <f>+F64*F66*F65*F67*F68</f>
        <v>15080</v>
      </c>
      <c r="G83" s="24">
        <f t="shared" ref="G83:O83" si="90">+G64*G66*G65*G67*G68</f>
        <v>15080</v>
      </c>
      <c r="H83" s="24">
        <f t="shared" si="90"/>
        <v>15600</v>
      </c>
      <c r="I83" s="24">
        <f t="shared" si="90"/>
        <v>15600</v>
      </c>
      <c r="J83" s="24">
        <f t="shared" si="90"/>
        <v>15600</v>
      </c>
      <c r="K83" s="24">
        <f t="shared" si="90"/>
        <v>15600</v>
      </c>
      <c r="L83" s="24">
        <f t="shared" si="90"/>
        <v>16120</v>
      </c>
      <c r="M83" s="24">
        <f t="shared" si="90"/>
        <v>16120</v>
      </c>
      <c r="N83" s="24">
        <f t="shared" si="90"/>
        <v>16120</v>
      </c>
      <c r="O83" s="24">
        <f t="shared" si="90"/>
        <v>16120</v>
      </c>
    </row>
    <row r="84" spans="1:18" x14ac:dyDescent="0.25">
      <c r="B84" s="22" t="s">
        <v>217</v>
      </c>
      <c r="F84" s="24">
        <f t="shared" ref="F84:O84" si="91">+F83*$S$101</f>
        <v>1153.6199999999999</v>
      </c>
      <c r="G84" s="24">
        <f t="shared" si="91"/>
        <v>1153.6199999999999</v>
      </c>
      <c r="H84" s="24">
        <f t="shared" si="91"/>
        <v>1193.4000000000001</v>
      </c>
      <c r="I84" s="24">
        <f t="shared" si="91"/>
        <v>1193.4000000000001</v>
      </c>
      <c r="J84" s="24">
        <f t="shared" si="91"/>
        <v>1193.4000000000001</v>
      </c>
      <c r="K84" s="24">
        <f t="shared" si="91"/>
        <v>1193.4000000000001</v>
      </c>
      <c r="L84" s="24">
        <f t="shared" si="91"/>
        <v>1233.18</v>
      </c>
      <c r="M84" s="24">
        <f t="shared" si="91"/>
        <v>1233.18</v>
      </c>
      <c r="N84" s="24">
        <f t="shared" si="91"/>
        <v>1233.18</v>
      </c>
      <c r="O84" s="24">
        <f t="shared" si="91"/>
        <v>1233.18</v>
      </c>
    </row>
    <row r="85" spans="1:18" x14ac:dyDescent="0.25">
      <c r="B85" s="22" t="s">
        <v>94</v>
      </c>
      <c r="F85" s="24">
        <f>+F$79*10%</f>
        <v>29286.497800198558</v>
      </c>
      <c r="G85" s="131">
        <f>+$F85*$P85+$F85</f>
        <v>30165.092734204514</v>
      </c>
      <c r="H85" s="131">
        <f t="shared" ref="H85:O88" si="92">+G85*$P85+G85</f>
        <v>31070.04551623065</v>
      </c>
      <c r="I85" s="131">
        <f t="shared" si="92"/>
        <v>32002.14688171757</v>
      </c>
      <c r="J85" s="131">
        <f t="shared" si="92"/>
        <v>32962.211288169099</v>
      </c>
      <c r="K85" s="131">
        <f t="shared" si="92"/>
        <v>33951.077626814171</v>
      </c>
      <c r="L85" s="131">
        <f t="shared" si="92"/>
        <v>34969.609955618595</v>
      </c>
      <c r="M85" s="131">
        <f t="shared" si="92"/>
        <v>36018.698254287156</v>
      </c>
      <c r="N85" s="131">
        <f t="shared" si="92"/>
        <v>37099.259201915767</v>
      </c>
      <c r="O85" s="131">
        <f t="shared" si="92"/>
        <v>38212.23697797324</v>
      </c>
      <c r="P85" s="118">
        <f>+P82</f>
        <v>0.03</v>
      </c>
    </row>
    <row r="86" spans="1:18" x14ac:dyDescent="0.25">
      <c r="B86" s="22" t="s">
        <v>95</v>
      </c>
      <c r="F86" s="24">
        <f>+F$79*4%</f>
        <v>11714.599120079423</v>
      </c>
      <c r="G86" s="131">
        <f>+$F86*$P86+$F86</f>
        <v>12066.037093681805</v>
      </c>
      <c r="H86" s="131">
        <f t="shared" si="92"/>
        <v>12428.018206492259</v>
      </c>
      <c r="I86" s="131">
        <f t="shared" si="92"/>
        <v>12800.858752687027</v>
      </c>
      <c r="J86" s="131">
        <f t="shared" si="92"/>
        <v>13184.884515267639</v>
      </c>
      <c r="K86" s="131">
        <f t="shared" si="92"/>
        <v>13580.431050725667</v>
      </c>
      <c r="L86" s="131">
        <f t="shared" si="92"/>
        <v>13987.843982247437</v>
      </c>
      <c r="M86" s="131">
        <f t="shared" si="92"/>
        <v>14407.47930171486</v>
      </c>
      <c r="N86" s="131">
        <f t="shared" si="92"/>
        <v>14839.703680766306</v>
      </c>
      <c r="O86" s="149">
        <f t="shared" si="92"/>
        <v>15284.894791189296</v>
      </c>
      <c r="P86" s="118">
        <f>+P82</f>
        <v>0.03</v>
      </c>
    </row>
    <row r="87" spans="1:18" x14ac:dyDescent="0.25">
      <c r="B87" s="22" t="s">
        <v>96</v>
      </c>
      <c r="F87" s="24">
        <f>+F$79*3%</f>
        <v>8785.9493400595675</v>
      </c>
      <c r="G87" s="131">
        <f>+$F87*$P87+$F87</f>
        <v>9049.5278202613554</v>
      </c>
      <c r="H87" s="131">
        <f t="shared" si="92"/>
        <v>9321.0136548691953</v>
      </c>
      <c r="I87" s="131">
        <f t="shared" si="92"/>
        <v>9600.6440645152707</v>
      </c>
      <c r="J87" s="131">
        <f t="shared" si="92"/>
        <v>9888.6633864507294</v>
      </c>
      <c r="K87" s="131">
        <f t="shared" si="92"/>
        <v>10185.323288044252</v>
      </c>
      <c r="L87" s="131">
        <f t="shared" si="92"/>
        <v>10490.882986685579</v>
      </c>
      <c r="M87" s="131">
        <f t="shared" si="92"/>
        <v>10805.609476286147</v>
      </c>
      <c r="N87" s="131">
        <f t="shared" si="92"/>
        <v>11129.777760574731</v>
      </c>
      <c r="O87" s="149">
        <f t="shared" si="92"/>
        <v>11463.671093391973</v>
      </c>
      <c r="P87" s="118">
        <f>+P82</f>
        <v>0.03</v>
      </c>
      <c r="R87" s="3"/>
    </row>
    <row r="88" spans="1:18" x14ac:dyDescent="0.25">
      <c r="B88" s="22" t="s">
        <v>97</v>
      </c>
      <c r="F88" s="43">
        <f>+F$79*12%</f>
        <v>35143.79736023827</v>
      </c>
      <c r="G88" s="150">
        <f>+$F88*$P88+$F88</f>
        <v>36198.111281045421</v>
      </c>
      <c r="H88" s="150">
        <f t="shared" si="92"/>
        <v>37284.054619476781</v>
      </c>
      <c r="I88" s="150">
        <f t="shared" si="92"/>
        <v>38402.576258061083</v>
      </c>
      <c r="J88" s="150">
        <f t="shared" si="92"/>
        <v>39554.653545802918</v>
      </c>
      <c r="K88" s="150">
        <f t="shared" si="92"/>
        <v>40741.293152177008</v>
      </c>
      <c r="L88" s="150">
        <f t="shared" si="92"/>
        <v>41963.531946742318</v>
      </c>
      <c r="M88" s="150">
        <f t="shared" si="92"/>
        <v>43222.437905144587</v>
      </c>
      <c r="N88" s="150">
        <f t="shared" si="92"/>
        <v>44519.111042298922</v>
      </c>
      <c r="O88" s="151">
        <f t="shared" si="92"/>
        <v>45854.684373567892</v>
      </c>
      <c r="P88" s="118">
        <f>+P82</f>
        <v>0.03</v>
      </c>
      <c r="R88" s="3"/>
    </row>
    <row r="89" spans="1:18" x14ac:dyDescent="0.25">
      <c r="A89" s="22" t="s">
        <v>113</v>
      </c>
      <c r="F89" s="24">
        <f t="shared" ref="F89:O89" si="93">+F79-SUM(F82:F88)</f>
        <v>118484.26988091337</v>
      </c>
      <c r="G89" s="24">
        <f t="shared" si="93"/>
        <v>112402.62532488332</v>
      </c>
      <c r="H89" s="24">
        <f t="shared" si="93"/>
        <v>105243.20897960718</v>
      </c>
      <c r="I89" s="24">
        <f t="shared" si="93"/>
        <v>98098.945164391858</v>
      </c>
      <c r="J89" s="24">
        <f t="shared" si="93"/>
        <v>90382.252980027988</v>
      </c>
      <c r="K89" s="24">
        <f t="shared" si="93"/>
        <v>82064.119293365569</v>
      </c>
      <c r="L89" s="24">
        <f t="shared" si="93"/>
        <v>72554.489914979495</v>
      </c>
      <c r="M89" s="24">
        <f t="shared" si="93"/>
        <v>62941.338902710471</v>
      </c>
      <c r="N89" s="24">
        <f t="shared" si="93"/>
        <v>52631.935921414348</v>
      </c>
      <c r="O89" s="24">
        <f t="shared" si="93"/>
        <v>41591.911586729635</v>
      </c>
      <c r="R89" s="3"/>
    </row>
    <row r="90" spans="1:18" x14ac:dyDescent="0.25">
      <c r="F90" s="24"/>
      <c r="G90" s="24"/>
      <c r="H90" s="24"/>
      <c r="I90" s="24"/>
      <c r="J90" s="24"/>
      <c r="K90" s="24"/>
      <c r="L90" s="24"/>
      <c r="M90" s="24"/>
      <c r="N90" s="24"/>
      <c r="O90" s="24"/>
      <c r="R90" s="3"/>
    </row>
    <row r="91" spans="1:18" x14ac:dyDescent="0.25">
      <c r="A91" s="22" t="s">
        <v>110</v>
      </c>
      <c r="F91" s="22">
        <f>+F112/$P$91</f>
        <v>4264</v>
      </c>
      <c r="G91" s="22">
        <f t="shared" ref="G91:O91" si="94">+G112/$P$91</f>
        <v>4264</v>
      </c>
      <c r="H91" s="22">
        <f t="shared" si="94"/>
        <v>4264</v>
      </c>
      <c r="I91" s="22">
        <f t="shared" si="94"/>
        <v>4264</v>
      </c>
      <c r="J91" s="22">
        <f t="shared" si="94"/>
        <v>4264</v>
      </c>
      <c r="K91" s="22">
        <f t="shared" si="94"/>
        <v>4264</v>
      </c>
      <c r="L91" s="22">
        <f t="shared" si="94"/>
        <v>4264</v>
      </c>
      <c r="M91" s="22">
        <f t="shared" si="94"/>
        <v>4264</v>
      </c>
      <c r="N91" s="22">
        <f t="shared" si="94"/>
        <v>4264</v>
      </c>
      <c r="O91" s="22">
        <f t="shared" si="94"/>
        <v>4264</v>
      </c>
      <c r="P91" s="117">
        <v>30</v>
      </c>
      <c r="Q91" s="41" t="s">
        <v>26</v>
      </c>
      <c r="R91" s="3"/>
    </row>
    <row r="92" spans="1:18" x14ac:dyDescent="0.25">
      <c r="A92" s="22" t="s">
        <v>3</v>
      </c>
      <c r="F92" s="24">
        <f>+Mortgage!G20</f>
        <v>10027.38992440987</v>
      </c>
      <c r="G92" s="24">
        <f>+Mortgage!G32</f>
        <v>9921.7125305273057</v>
      </c>
      <c r="H92" s="24">
        <f>+Mortgage!G44</f>
        <v>9808.3957092962974</v>
      </c>
      <c r="I92" s="24">
        <f>+Mortgage!G56</f>
        <v>9686.887205896126</v>
      </c>
      <c r="J92" s="24">
        <f>+Mortgage!G68</f>
        <v>9556.5948429604377</v>
      </c>
      <c r="K92" s="24">
        <f>+Mortgage!G80</f>
        <v>9416.8836345731816</v>
      </c>
      <c r="L92" s="24">
        <f>+Mortgage!G92</f>
        <v>9267.0726916350814</v>
      </c>
      <c r="M92" s="24">
        <f>+Mortgage!G104</f>
        <v>9106.43190351884</v>
      </c>
      <c r="N92" s="24">
        <f>+Mortgage!G116</f>
        <v>8934.1783798408669</v>
      </c>
      <c r="O92" s="24">
        <f>+Mortgage!G128</f>
        <v>8749.4726350084402</v>
      </c>
      <c r="R92" s="3"/>
    </row>
    <row r="93" spans="1:18" x14ac:dyDescent="0.25">
      <c r="A93" s="22" t="s">
        <v>225</v>
      </c>
      <c r="F93" s="24">
        <f>+F127*$P$93</f>
        <v>30000</v>
      </c>
      <c r="G93" s="24">
        <f t="shared" ref="G93:O93" si="95">+G127*$P$93</f>
        <v>24000</v>
      </c>
      <c r="H93" s="24">
        <f t="shared" si="95"/>
        <v>18000</v>
      </c>
      <c r="I93" s="24">
        <f t="shared" si="95"/>
        <v>12000</v>
      </c>
      <c r="J93" s="24">
        <f t="shared" si="95"/>
        <v>6000</v>
      </c>
      <c r="K93" s="24">
        <f t="shared" si="95"/>
        <v>0</v>
      </c>
      <c r="L93" s="24">
        <f t="shared" si="95"/>
        <v>0</v>
      </c>
      <c r="M93" s="24">
        <f t="shared" si="95"/>
        <v>0</v>
      </c>
      <c r="N93" s="24">
        <f t="shared" si="95"/>
        <v>0</v>
      </c>
      <c r="O93" s="24">
        <f t="shared" si="95"/>
        <v>0</v>
      </c>
      <c r="P93" s="118">
        <v>0.1</v>
      </c>
      <c r="Q93" s="41" t="s">
        <v>214</v>
      </c>
      <c r="R93" s="3"/>
    </row>
    <row r="94" spans="1:18" x14ac:dyDescent="0.25">
      <c r="A94" s="22" t="s">
        <v>15</v>
      </c>
      <c r="F94" s="24">
        <f t="shared" ref="F94:O94" si="96">+F128*$P$94</f>
        <v>0</v>
      </c>
      <c r="G94" s="24">
        <f t="shared" si="96"/>
        <v>0</v>
      </c>
      <c r="H94" s="24">
        <f t="shared" si="96"/>
        <v>0</v>
      </c>
      <c r="I94" s="24">
        <f t="shared" si="96"/>
        <v>0</v>
      </c>
      <c r="J94" s="24">
        <f t="shared" si="96"/>
        <v>0</v>
      </c>
      <c r="K94" s="24">
        <f t="shared" si="96"/>
        <v>5028.9794141521461</v>
      </c>
      <c r="L94" s="24">
        <f t="shared" si="96"/>
        <v>5852.7528548773271</v>
      </c>
      <c r="M94" s="24">
        <f t="shared" si="96"/>
        <v>6831.5026918670474</v>
      </c>
      <c r="N94" s="24">
        <f t="shared" si="96"/>
        <v>7860.8665273861789</v>
      </c>
      <c r="O94" s="24">
        <f t="shared" si="96"/>
        <v>8972.7119394626843</v>
      </c>
      <c r="P94" s="118">
        <v>0.1</v>
      </c>
      <c r="Q94" s="41" t="s">
        <v>214</v>
      </c>
      <c r="R94" s="3"/>
    </row>
    <row r="95" spans="1:18" x14ac:dyDescent="0.25">
      <c r="A95" s="22" t="s">
        <v>209</v>
      </c>
      <c r="F95" s="24"/>
      <c r="G95" s="24"/>
      <c r="H95" s="24"/>
      <c r="I95" s="24"/>
      <c r="J95" s="24"/>
      <c r="K95" s="24"/>
      <c r="L95" s="24"/>
      <c r="M95" s="24"/>
      <c r="N95" s="24"/>
      <c r="O95" s="24"/>
      <c r="R95" s="3"/>
    </row>
    <row r="96" spans="1:18" x14ac:dyDescent="0.25">
      <c r="B96" s="22" t="s">
        <v>210</v>
      </c>
      <c r="F96" s="24">
        <f t="shared" ref="F96:O96" si="97">+F58*F60*F61+F59*F60*F62</f>
        <v>28800</v>
      </c>
      <c r="G96" s="24">
        <f t="shared" si="97"/>
        <v>29088</v>
      </c>
      <c r="H96" s="24">
        <f t="shared" si="97"/>
        <v>29378.880000000001</v>
      </c>
      <c r="I96" s="24">
        <f t="shared" si="97"/>
        <v>29672.668799999999</v>
      </c>
      <c r="J96" s="24">
        <f t="shared" si="97"/>
        <v>29969.395488000002</v>
      </c>
      <c r="K96" s="24">
        <f t="shared" si="97"/>
        <v>30269.089442880002</v>
      </c>
      <c r="L96" s="24">
        <f t="shared" si="97"/>
        <v>30571.780337308803</v>
      </c>
      <c r="M96" s="24">
        <f t="shared" si="97"/>
        <v>30877.498140681888</v>
      </c>
      <c r="N96" s="24">
        <f t="shared" si="97"/>
        <v>31186.273122088707</v>
      </c>
      <c r="O96" s="24">
        <f t="shared" si="97"/>
        <v>31498.135853309592</v>
      </c>
      <c r="P96" s="41"/>
      <c r="R96" s="3"/>
    </row>
    <row r="97" spans="1:31" x14ac:dyDescent="0.25">
      <c r="B97" s="22" t="s">
        <v>211</v>
      </c>
      <c r="F97" s="43">
        <f>+F96*$P$97</f>
        <v>4320</v>
      </c>
      <c r="G97" s="43">
        <f t="shared" ref="G97:O97" si="98">+G96*$P$97</f>
        <v>4363.2</v>
      </c>
      <c r="H97" s="43">
        <f t="shared" si="98"/>
        <v>4406.8320000000003</v>
      </c>
      <c r="I97" s="43">
        <f t="shared" si="98"/>
        <v>4450.9003199999997</v>
      </c>
      <c r="J97" s="43">
        <f t="shared" si="98"/>
        <v>4495.4093232000005</v>
      </c>
      <c r="K97" s="43">
        <f t="shared" si="98"/>
        <v>4540.3634164320001</v>
      </c>
      <c r="L97" s="43">
        <f t="shared" si="98"/>
        <v>4585.7670505963206</v>
      </c>
      <c r="M97" s="43">
        <f t="shared" si="98"/>
        <v>4631.6247211022828</v>
      </c>
      <c r="N97" s="43">
        <f t="shared" si="98"/>
        <v>4677.9409683133063</v>
      </c>
      <c r="O97" s="43">
        <f t="shared" si="98"/>
        <v>4724.7203779964384</v>
      </c>
      <c r="P97" s="122">
        <v>0.15</v>
      </c>
      <c r="Q97" s="41" t="s">
        <v>213</v>
      </c>
    </row>
    <row r="98" spans="1:31" x14ac:dyDescent="0.25">
      <c r="B98" s="22" t="s">
        <v>212</v>
      </c>
      <c r="F98" s="24">
        <f>+F96-F97</f>
        <v>24480</v>
      </c>
      <c r="G98" s="24">
        <f t="shared" ref="G98:O98" si="99">+G96-G97</f>
        <v>24724.799999999999</v>
      </c>
      <c r="H98" s="24">
        <f t="shared" si="99"/>
        <v>24972.048000000003</v>
      </c>
      <c r="I98" s="24">
        <f t="shared" si="99"/>
        <v>25221.768479999999</v>
      </c>
      <c r="J98" s="24">
        <f t="shared" si="99"/>
        <v>25473.986164800001</v>
      </c>
      <c r="K98" s="24">
        <f t="shared" si="99"/>
        <v>25728.726026448003</v>
      </c>
      <c r="L98" s="24">
        <f t="shared" si="99"/>
        <v>25986.013286712481</v>
      </c>
      <c r="M98" s="24">
        <f t="shared" si="99"/>
        <v>26245.873419579606</v>
      </c>
      <c r="N98" s="24">
        <f t="shared" si="99"/>
        <v>26508.332153775402</v>
      </c>
      <c r="O98" s="24">
        <f t="shared" si="99"/>
        <v>26773.415475313152</v>
      </c>
      <c r="P98" s="6"/>
    </row>
    <row r="99" spans="1:31" x14ac:dyDescent="0.25">
      <c r="A99" s="3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31" x14ac:dyDescent="0.25">
      <c r="A100" s="22" t="s">
        <v>129</v>
      </c>
      <c r="F100" s="24">
        <f>F89+F98-SUM(F91:F94)</f>
        <v>98672.879956503501</v>
      </c>
      <c r="G100" s="24">
        <f t="shared" ref="G100:O100" si="100">G89+G98-SUM(G91:G94)</f>
        <v>98941.712794356004</v>
      </c>
      <c r="H100" s="24">
        <f t="shared" si="100"/>
        <v>98142.861270310896</v>
      </c>
      <c r="I100" s="24">
        <f t="shared" si="100"/>
        <v>97369.826438495729</v>
      </c>
      <c r="J100" s="24">
        <f t="shared" si="100"/>
        <v>96035.644301867549</v>
      </c>
      <c r="K100" s="24">
        <f t="shared" si="100"/>
        <v>89082.982271088244</v>
      </c>
      <c r="L100" s="24">
        <f t="shared" si="100"/>
        <v>79156.677655179563</v>
      </c>
      <c r="M100" s="24">
        <f t="shared" si="100"/>
        <v>68985.277726904198</v>
      </c>
      <c r="N100" s="24">
        <f t="shared" si="100"/>
        <v>58081.223167962715</v>
      </c>
      <c r="O100" s="24">
        <f t="shared" si="100"/>
        <v>46379.142487571655</v>
      </c>
      <c r="Q100" s="41" t="s">
        <v>174</v>
      </c>
      <c r="R100" s="41" t="s">
        <v>175</v>
      </c>
      <c r="S100" s="3" t="s">
        <v>215</v>
      </c>
    </row>
    <row r="101" spans="1:31" x14ac:dyDescent="0.25">
      <c r="A101" s="22" t="s">
        <v>130</v>
      </c>
      <c r="F101" s="24">
        <f t="shared" ref="F101:O101" si="101">IF(F100&lt;0,0,F100*$P$101)</f>
        <v>43909.431580644057</v>
      </c>
      <c r="G101" s="24">
        <f t="shared" si="101"/>
        <v>44029.062193488426</v>
      </c>
      <c r="H101" s="24">
        <f t="shared" si="101"/>
        <v>43673.573265288353</v>
      </c>
      <c r="I101" s="24">
        <f t="shared" si="101"/>
        <v>43329.572765130601</v>
      </c>
      <c r="J101" s="24">
        <f t="shared" si="101"/>
        <v>42735.861714331062</v>
      </c>
      <c r="K101" s="24">
        <f t="shared" si="101"/>
        <v>39641.927110634271</v>
      </c>
      <c r="L101" s="24">
        <f t="shared" si="101"/>
        <v>35224.721556554905</v>
      </c>
      <c r="M101" s="24">
        <f t="shared" si="101"/>
        <v>30698.448588472369</v>
      </c>
      <c r="N101" s="24">
        <f t="shared" si="101"/>
        <v>25846.144309743409</v>
      </c>
      <c r="O101" s="24">
        <f t="shared" si="101"/>
        <v>20638.718406969387</v>
      </c>
      <c r="P101" s="40">
        <f>+Q101+R101</f>
        <v>0.44500000000000001</v>
      </c>
      <c r="Q101" s="1">
        <v>0.36</v>
      </c>
      <c r="R101" s="1">
        <v>8.5000000000000006E-2</v>
      </c>
      <c r="S101" s="1">
        <f>6.2%+1.45%</f>
        <v>7.6499999999999999E-2</v>
      </c>
      <c r="T101" s="1"/>
      <c r="U101" s="1"/>
    </row>
    <row r="102" spans="1:31" ht="15.75" thickBot="1" x14ac:dyDescent="0.3">
      <c r="A102" s="21" t="s">
        <v>16</v>
      </c>
      <c r="F102" s="25">
        <f>+F100-F101</f>
        <v>54763.448375859443</v>
      </c>
      <c r="G102" s="25">
        <f t="shared" ref="G102:O102" si="102">+G100-G101</f>
        <v>54912.650600867579</v>
      </c>
      <c r="H102" s="25">
        <f t="shared" si="102"/>
        <v>54469.288005022543</v>
      </c>
      <c r="I102" s="25">
        <f t="shared" si="102"/>
        <v>54040.253673365129</v>
      </c>
      <c r="J102" s="25">
        <f t="shared" si="102"/>
        <v>53299.782587536487</v>
      </c>
      <c r="K102" s="25">
        <f t="shared" si="102"/>
        <v>49441.055160453972</v>
      </c>
      <c r="L102" s="25">
        <f t="shared" si="102"/>
        <v>43931.956098624658</v>
      </c>
      <c r="M102" s="25">
        <f t="shared" si="102"/>
        <v>38286.829138431829</v>
      </c>
      <c r="N102" s="25">
        <f t="shared" si="102"/>
        <v>32235.078858219305</v>
      </c>
      <c r="O102" s="25">
        <f t="shared" si="102"/>
        <v>25740.424080602268</v>
      </c>
    </row>
    <row r="103" spans="1:31" ht="15.75" thickTop="1" x14ac:dyDescent="0.25"/>
    <row r="104" spans="1:31" x14ac:dyDescent="0.25">
      <c r="A104" s="21" t="s">
        <v>4</v>
      </c>
      <c r="P104" s="22"/>
      <c r="Q104" s="22"/>
      <c r="R104" s="22"/>
      <c r="S104" s="22"/>
      <c r="T104"/>
      <c r="U104"/>
      <c r="V104"/>
      <c r="W104"/>
      <c r="X104" s="40"/>
      <c r="Y104" s="41"/>
      <c r="Z104" s="41"/>
    </row>
    <row r="105" spans="1:31" x14ac:dyDescent="0.25">
      <c r="A105" s="21" t="s">
        <v>5</v>
      </c>
      <c r="P105" s="22"/>
      <c r="Q105" s="130" t="s">
        <v>236</v>
      </c>
      <c r="R105" s="130" t="s">
        <v>237</v>
      </c>
      <c r="S105" s="130" t="s">
        <v>238</v>
      </c>
      <c r="T105"/>
      <c r="U105"/>
      <c r="V105"/>
      <c r="W105"/>
      <c r="X105" s="40"/>
      <c r="Y105" s="41"/>
      <c r="Z105" s="41"/>
    </row>
    <row r="106" spans="1:31" x14ac:dyDescent="0.25">
      <c r="A106" s="22" t="s">
        <v>17</v>
      </c>
      <c r="F106" s="24">
        <v>5000</v>
      </c>
      <c r="G106" s="24">
        <v>5000</v>
      </c>
      <c r="H106" s="24">
        <v>5000</v>
      </c>
      <c r="I106" s="24">
        <v>5000</v>
      </c>
      <c r="J106" s="24">
        <v>5000</v>
      </c>
      <c r="K106" s="24">
        <v>5000</v>
      </c>
      <c r="L106" s="24">
        <v>5000</v>
      </c>
      <c r="M106" s="24">
        <v>5000</v>
      </c>
      <c r="N106" s="24">
        <v>5000</v>
      </c>
      <c r="O106" s="24">
        <v>5000</v>
      </c>
      <c r="P106" s="24"/>
      <c r="Q106" s="133">
        <v>1</v>
      </c>
      <c r="R106" s="24"/>
      <c r="S106" s="24">
        <f>+O106*Q106</f>
        <v>5000</v>
      </c>
      <c r="T106" s="24"/>
      <c r="U106" s="24"/>
      <c r="V106" s="24"/>
      <c r="W106" s="24"/>
      <c r="X106" s="24"/>
      <c r="Y106" s="40"/>
      <c r="Z106" s="40"/>
      <c r="AA106" s="40"/>
      <c r="AB106" s="101" t="s">
        <v>183</v>
      </c>
      <c r="AC106" s="101">
        <v>159900</v>
      </c>
      <c r="AD106" s="102"/>
    </row>
    <row r="107" spans="1:31" x14ac:dyDescent="0.25">
      <c r="A107" s="22" t="s">
        <v>18</v>
      </c>
      <c r="F107" s="20">
        <v>182892</v>
      </c>
      <c r="G107" s="20">
        <v>181980</v>
      </c>
      <c r="H107" s="20">
        <v>125654</v>
      </c>
      <c r="I107" s="20">
        <v>69044</v>
      </c>
      <c r="J107" s="20">
        <v>12185</v>
      </c>
      <c r="K107" s="20"/>
      <c r="L107" s="20"/>
      <c r="M107" s="20"/>
      <c r="N107" s="20"/>
      <c r="O107" s="20"/>
      <c r="P107" s="24"/>
      <c r="Q107" s="131"/>
      <c r="R107" s="24"/>
      <c r="S107" s="24"/>
      <c r="T107" s="24"/>
      <c r="U107" s="24"/>
      <c r="V107" s="24"/>
      <c r="W107" s="24"/>
      <c r="X107" s="24"/>
      <c r="Y107" s="40"/>
      <c r="Z107" s="40"/>
      <c r="AA107" s="40"/>
      <c r="AB107" s="101" t="s">
        <v>185</v>
      </c>
      <c r="AC107" s="101">
        <f>+AC106*AD107</f>
        <v>31980</v>
      </c>
      <c r="AD107" s="103">
        <v>0.2</v>
      </c>
      <c r="AE107" s="3" t="s">
        <v>197</v>
      </c>
    </row>
    <row r="108" spans="1:31" x14ac:dyDescent="0.25">
      <c r="A108" s="22" t="s">
        <v>6</v>
      </c>
      <c r="F108" s="22">
        <f t="shared" ref="F108:O108" si="103">+(SUM(F72:F74)/365)*F54</f>
        <v>24338.550683270034</v>
      </c>
      <c r="G108" s="22">
        <f t="shared" si="103"/>
        <v>24227.419994659791</v>
      </c>
      <c r="H108" s="22">
        <f t="shared" si="103"/>
        <v>24085.070122210043</v>
      </c>
      <c r="I108" s="22">
        <f t="shared" si="103"/>
        <v>23909.642363137602</v>
      </c>
      <c r="J108" s="22">
        <f t="shared" si="103"/>
        <v>23699.191824829992</v>
      </c>
      <c r="K108" s="22">
        <f t="shared" si="103"/>
        <v>23451.68383699793</v>
      </c>
      <c r="L108" s="22">
        <f t="shared" si="103"/>
        <v>23164.990223245764</v>
      </c>
      <c r="M108" s="22">
        <f t="shared" si="103"/>
        <v>22836.885426761062</v>
      </c>
      <c r="N108" s="22">
        <f t="shared" si="103"/>
        <v>22465.042484630227</v>
      </c>
      <c r="O108" s="22">
        <f t="shared" si="103"/>
        <v>22047.028845085333</v>
      </c>
      <c r="P108" s="47"/>
      <c r="Q108" s="134">
        <v>0.7</v>
      </c>
      <c r="R108" s="47"/>
      <c r="S108" s="24">
        <f>+O108*Q108</f>
        <v>15432.920191559731</v>
      </c>
      <c r="T108" s="24"/>
      <c r="U108" s="24"/>
      <c r="V108" s="47"/>
      <c r="W108" s="47"/>
      <c r="X108" s="47"/>
      <c r="Y108" s="56"/>
      <c r="Z108" s="56"/>
      <c r="AA108" s="56"/>
      <c r="AB108" s="101" t="s">
        <v>186</v>
      </c>
      <c r="AC108" s="104">
        <f>+AC106-AC107</f>
        <v>127920</v>
      </c>
      <c r="AD108" s="102"/>
      <c r="AE108" s="106" t="s">
        <v>184</v>
      </c>
    </row>
    <row r="109" spans="1:31" x14ac:dyDescent="0.25">
      <c r="A109" s="22" t="s">
        <v>23</v>
      </c>
      <c r="F109" s="22">
        <f>Z109</f>
        <v>300000</v>
      </c>
      <c r="G109" s="22">
        <f t="shared" ref="G109:O109" si="104">(SUM(G76:G78)/365)*G56</f>
        <v>298630.18932322913</v>
      </c>
      <c r="H109" s="22">
        <f t="shared" si="104"/>
        <v>296875.56710719562</v>
      </c>
      <c r="I109" s="22">
        <f t="shared" si="104"/>
        <v>294713.22275043366</v>
      </c>
      <c r="J109" s="22">
        <f t="shared" si="104"/>
        <v>292119.18326493207</v>
      </c>
      <c r="K109" s="22">
        <f t="shared" si="104"/>
        <v>289068.36905187962</v>
      </c>
      <c r="L109" s="22">
        <f t="shared" si="104"/>
        <v>285534.54794457887</v>
      </c>
      <c r="M109" s="22">
        <f t="shared" si="104"/>
        <v>281490.28745321481</v>
      </c>
      <c r="N109" s="22">
        <f t="shared" si="104"/>
        <v>276906.90514376888</v>
      </c>
      <c r="O109" s="22">
        <f t="shared" si="104"/>
        <v>271754.41708088404</v>
      </c>
      <c r="P109" s="22"/>
      <c r="Q109" s="134">
        <v>0.7</v>
      </c>
      <c r="R109" s="22"/>
      <c r="S109" s="24">
        <f>+O109*Q109</f>
        <v>190228.09195661882</v>
      </c>
      <c r="T109" s="24"/>
      <c r="U109" s="24"/>
      <c r="V109" s="22"/>
      <c r="W109" s="22"/>
      <c r="X109" s="22"/>
      <c r="Y109"/>
      <c r="Z109" s="113">
        <v>300000</v>
      </c>
      <c r="AA109" s="109" t="s">
        <v>221</v>
      </c>
      <c r="AB109" s="101"/>
      <c r="AC109" s="101">
        <f>SUM(AC107:AC108)</f>
        <v>159900</v>
      </c>
      <c r="AD109" s="103">
        <v>0.9</v>
      </c>
      <c r="AE109" s="105">
        <f>+AC109*AD109</f>
        <v>143910</v>
      </c>
    </row>
    <row r="110" spans="1:31" x14ac:dyDescent="0.25">
      <c r="P110" s="22"/>
      <c r="Q110" s="47"/>
      <c r="R110" s="22"/>
      <c r="S110" s="22"/>
      <c r="T110" s="22"/>
      <c r="U110" s="22"/>
      <c r="V110" s="22"/>
      <c r="W110" s="22"/>
      <c r="X110" s="22"/>
      <c r="Y110" s="40"/>
      <c r="Z110" s="41"/>
      <c r="AA110" s="41"/>
    </row>
    <row r="111" spans="1:31" x14ac:dyDescent="0.25">
      <c r="A111" s="22" t="s">
        <v>19</v>
      </c>
      <c r="F111" s="22">
        <f t="shared" ref="F111:O111" si="105">+$AC$107</f>
        <v>31980</v>
      </c>
      <c r="G111" s="22">
        <f t="shared" si="105"/>
        <v>31980</v>
      </c>
      <c r="H111" s="22">
        <f t="shared" si="105"/>
        <v>31980</v>
      </c>
      <c r="I111" s="22">
        <f t="shared" si="105"/>
        <v>31980</v>
      </c>
      <c r="J111" s="22">
        <f t="shared" si="105"/>
        <v>31980</v>
      </c>
      <c r="K111" s="22">
        <f t="shared" si="105"/>
        <v>31980</v>
      </c>
      <c r="L111" s="22">
        <f t="shared" si="105"/>
        <v>31980</v>
      </c>
      <c r="M111" s="22">
        <f t="shared" si="105"/>
        <v>31980</v>
      </c>
      <c r="N111" s="22">
        <f t="shared" si="105"/>
        <v>31980</v>
      </c>
      <c r="O111" s="22">
        <f t="shared" si="105"/>
        <v>31980</v>
      </c>
      <c r="P111" s="22"/>
      <c r="Q111" s="134">
        <v>0.7</v>
      </c>
      <c r="R111" s="22">
        <f>+O111*Q111</f>
        <v>22386</v>
      </c>
      <c r="S111" s="22"/>
      <c r="T111" s="22"/>
      <c r="U111" s="22"/>
      <c r="V111" s="22"/>
      <c r="W111" s="22"/>
      <c r="X111" s="22"/>
      <c r="Y111" s="40"/>
      <c r="Z111" s="40"/>
      <c r="AA111" s="41"/>
    </row>
    <row r="112" spans="1:31" x14ac:dyDescent="0.25">
      <c r="A112" s="22" t="s">
        <v>7</v>
      </c>
      <c r="F112" s="24">
        <f t="shared" ref="F112:O112" si="106">+$AC$108</f>
        <v>127920</v>
      </c>
      <c r="G112" s="24">
        <f t="shared" si="106"/>
        <v>127920</v>
      </c>
      <c r="H112" s="24">
        <f t="shared" si="106"/>
        <v>127920</v>
      </c>
      <c r="I112" s="24">
        <f t="shared" si="106"/>
        <v>127920</v>
      </c>
      <c r="J112" s="24">
        <f t="shared" si="106"/>
        <v>127920</v>
      </c>
      <c r="K112" s="24">
        <f t="shared" si="106"/>
        <v>127920</v>
      </c>
      <c r="L112" s="24">
        <f t="shared" si="106"/>
        <v>127920</v>
      </c>
      <c r="M112" s="24">
        <f t="shared" si="106"/>
        <v>127920</v>
      </c>
      <c r="N112" s="24">
        <f t="shared" si="106"/>
        <v>127920</v>
      </c>
      <c r="O112" s="24">
        <f t="shared" si="106"/>
        <v>127920</v>
      </c>
      <c r="P112" s="24"/>
      <c r="Q112" s="133">
        <v>0.7</v>
      </c>
      <c r="R112" s="24">
        <f>+O112*Q112</f>
        <v>89544</v>
      </c>
      <c r="S112" s="24"/>
      <c r="T112" s="24"/>
      <c r="U112" s="24"/>
      <c r="V112" s="24"/>
      <c r="W112" s="24"/>
      <c r="X112" s="24"/>
      <c r="Y112" s="41"/>
      <c r="Z112" s="195" t="s">
        <v>194</v>
      </c>
      <c r="AA112" s="195"/>
      <c r="AB112" s="195"/>
      <c r="AC112" s="195"/>
      <c r="AD112" s="195"/>
      <c r="AE112"/>
    </row>
    <row r="113" spans="1:31" x14ac:dyDescent="0.25">
      <c r="A113" s="22" t="s">
        <v>8</v>
      </c>
      <c r="F113" s="24">
        <f t="shared" ref="F113:O113" si="107">+F91+E113</f>
        <v>4264</v>
      </c>
      <c r="G113" s="24">
        <f t="shared" si="107"/>
        <v>8528</v>
      </c>
      <c r="H113" s="24">
        <f t="shared" si="107"/>
        <v>12792</v>
      </c>
      <c r="I113" s="24">
        <f t="shared" si="107"/>
        <v>17056</v>
      </c>
      <c r="J113" s="24">
        <f t="shared" si="107"/>
        <v>21320</v>
      </c>
      <c r="K113" s="24">
        <f t="shared" si="107"/>
        <v>25584</v>
      </c>
      <c r="L113" s="24">
        <f t="shared" si="107"/>
        <v>29848</v>
      </c>
      <c r="M113" s="24">
        <f t="shared" si="107"/>
        <v>34112</v>
      </c>
      <c r="N113" s="24">
        <f t="shared" si="107"/>
        <v>38376</v>
      </c>
      <c r="O113" s="24">
        <f t="shared" si="107"/>
        <v>42640</v>
      </c>
      <c r="P113" s="24"/>
      <c r="Q113" s="131"/>
      <c r="R113" s="24"/>
      <c r="S113" s="24"/>
      <c r="T113" s="24"/>
      <c r="U113" s="24"/>
      <c r="V113" s="24"/>
      <c r="W113" s="24"/>
      <c r="X113" s="24"/>
      <c r="Y113" s="40"/>
      <c r="Z113" s="108" t="s">
        <v>195</v>
      </c>
      <c r="AA113" s="108">
        <f>+$Z$109</f>
        <v>300000</v>
      </c>
      <c r="AB113" s="108"/>
      <c r="AC113" s="108"/>
      <c r="AD113" s="108"/>
      <c r="AE113"/>
    </row>
    <row r="114" spans="1:31" ht="15.75" thickBot="1" x14ac:dyDescent="0.3">
      <c r="A114" s="21" t="s">
        <v>9</v>
      </c>
      <c r="F114" s="51">
        <f>SUM(F106:F112)-F113</f>
        <v>667866.55068326998</v>
      </c>
      <c r="G114" s="51">
        <f t="shared" ref="G114:O114" si="108">SUM(G106:G112)-G113</f>
        <v>661209.60931788897</v>
      </c>
      <c r="H114" s="51">
        <f t="shared" si="108"/>
        <v>598722.63722940569</v>
      </c>
      <c r="I114" s="51">
        <f t="shared" si="108"/>
        <v>535510.86511357129</v>
      </c>
      <c r="J114" s="51">
        <f t="shared" si="108"/>
        <v>471583.37508976203</v>
      </c>
      <c r="K114" s="51">
        <f t="shared" si="108"/>
        <v>451836.05288887757</v>
      </c>
      <c r="L114" s="51">
        <f t="shared" si="108"/>
        <v>443751.53816782462</v>
      </c>
      <c r="M114" s="51">
        <f t="shared" si="108"/>
        <v>435115.17287997587</v>
      </c>
      <c r="N114" s="51">
        <f t="shared" si="108"/>
        <v>425895.94762839912</v>
      </c>
      <c r="O114" s="51">
        <f t="shared" si="108"/>
        <v>416061.4459259694</v>
      </c>
      <c r="P114" s="129"/>
      <c r="Q114" s="132"/>
      <c r="R114" s="129"/>
      <c r="S114" s="129"/>
      <c r="T114" s="129"/>
      <c r="U114" s="129"/>
      <c r="V114" s="129"/>
      <c r="W114" s="129"/>
      <c r="X114" s="129"/>
      <c r="Y114" s="40"/>
      <c r="Z114" s="41" t="s">
        <v>196</v>
      </c>
      <c r="AA114" s="41">
        <v>5</v>
      </c>
      <c r="AE114"/>
    </row>
    <row r="115" spans="1:31" ht="15.75" thickTop="1" x14ac:dyDescent="0.25">
      <c r="P115" s="22"/>
      <c r="Q115" s="47"/>
      <c r="R115" s="22"/>
      <c r="S115" s="22"/>
      <c r="T115" s="22"/>
      <c r="U115" s="22"/>
      <c r="V115" s="22"/>
      <c r="W115" s="22"/>
      <c r="X115" s="22"/>
      <c r="Y115" s="40"/>
      <c r="Z115" s="41" t="s">
        <v>198</v>
      </c>
      <c r="AA115" s="41">
        <f>+$AA$113/$AA$114</f>
        <v>60000</v>
      </c>
      <c r="AB115" s="41">
        <f t="shared" ref="AB115:AD115" si="109">+$AA$113/$AA$114</f>
        <v>60000</v>
      </c>
      <c r="AC115" s="41">
        <f t="shared" si="109"/>
        <v>60000</v>
      </c>
      <c r="AD115" s="41">
        <f t="shared" si="109"/>
        <v>60000</v>
      </c>
      <c r="AE115"/>
    </row>
    <row r="116" spans="1:31" x14ac:dyDescent="0.25">
      <c r="A116" s="21" t="s">
        <v>10</v>
      </c>
      <c r="P116" s="22"/>
      <c r="Q116" s="47"/>
      <c r="R116" s="22"/>
      <c r="S116" s="22"/>
      <c r="T116" s="22"/>
      <c r="U116" s="22"/>
      <c r="V116" s="22"/>
      <c r="W116" s="22"/>
      <c r="X116" s="22"/>
      <c r="Y116" s="40"/>
      <c r="Z116" s="41" t="s">
        <v>199</v>
      </c>
      <c r="AA116" s="41" t="s">
        <v>200</v>
      </c>
      <c r="AB116" s="41" t="s">
        <v>201</v>
      </c>
      <c r="AC116" s="41" t="s">
        <v>202</v>
      </c>
      <c r="AD116" s="41" t="s">
        <v>203</v>
      </c>
      <c r="AE116"/>
    </row>
    <row r="117" spans="1:31" ht="15.75" thickBot="1" x14ac:dyDescent="0.3">
      <c r="A117" s="22" t="s">
        <v>24</v>
      </c>
      <c r="F117" s="22">
        <f t="shared" ref="F117:O117" si="110">(SUM(F76:F78)/365)*F55</f>
        <v>26745.660091505528</v>
      </c>
      <c r="G117" s="22">
        <f t="shared" si="110"/>
        <v>26623.538455670099</v>
      </c>
      <c r="H117" s="22">
        <f t="shared" si="110"/>
        <v>26467.110024406644</v>
      </c>
      <c r="I117" s="22">
        <f t="shared" si="110"/>
        <v>26274.332267184178</v>
      </c>
      <c r="J117" s="22">
        <f t="shared" si="110"/>
        <v>26043.067939373614</v>
      </c>
      <c r="K117" s="22">
        <f t="shared" si="110"/>
        <v>25771.081139558162</v>
      </c>
      <c r="L117" s="22">
        <f t="shared" si="110"/>
        <v>25456.033212357983</v>
      </c>
      <c r="M117" s="22">
        <f t="shared" si="110"/>
        <v>25095.478490946225</v>
      </c>
      <c r="N117" s="22">
        <f t="shared" si="110"/>
        <v>24686.859873220023</v>
      </c>
      <c r="O117" s="22">
        <f t="shared" si="110"/>
        <v>24227.504225368499</v>
      </c>
      <c r="P117" s="22"/>
      <c r="Q117" s="134">
        <v>-1</v>
      </c>
      <c r="R117" s="129"/>
      <c r="S117" s="24">
        <f>+O117*Q117</f>
        <v>-24227.504225368499</v>
      </c>
      <c r="T117" s="24"/>
      <c r="U117" s="24"/>
      <c r="V117" s="22"/>
      <c r="W117" s="22"/>
      <c r="X117" s="22"/>
      <c r="Y117" s="40"/>
      <c r="Z117" s="86">
        <f>+AA113</f>
        <v>300000</v>
      </c>
      <c r="AA117" s="86">
        <f>+Z117-AA115</f>
        <v>240000</v>
      </c>
      <c r="AB117" s="86">
        <f t="shared" ref="AB117:AD117" si="111">+AA117-AB115</f>
        <v>180000</v>
      </c>
      <c r="AC117" s="86">
        <f t="shared" si="111"/>
        <v>120000</v>
      </c>
      <c r="AD117" s="86">
        <f t="shared" si="111"/>
        <v>60000</v>
      </c>
      <c r="AE117"/>
    </row>
    <row r="118" spans="1:31" ht="15.75" thickTop="1" x14ac:dyDescent="0.25">
      <c r="A118" s="22" t="s">
        <v>11</v>
      </c>
      <c r="F118" s="24">
        <f>+F101</f>
        <v>43909.431580644057</v>
      </c>
      <c r="G118" s="24">
        <f t="shared" ref="G118:O118" si="112">+G101</f>
        <v>44029.062193488426</v>
      </c>
      <c r="H118" s="24">
        <f t="shared" si="112"/>
        <v>43673.573265288353</v>
      </c>
      <c r="I118" s="24">
        <f t="shared" si="112"/>
        <v>43329.572765130601</v>
      </c>
      <c r="J118" s="24">
        <f t="shared" si="112"/>
        <v>42735.861714331062</v>
      </c>
      <c r="K118" s="24">
        <f t="shared" si="112"/>
        <v>39641.927110634271</v>
      </c>
      <c r="L118" s="24">
        <f t="shared" si="112"/>
        <v>35224.721556554905</v>
      </c>
      <c r="M118" s="24">
        <f t="shared" si="112"/>
        <v>30698.448588472369</v>
      </c>
      <c r="N118" s="24">
        <f t="shared" si="112"/>
        <v>25846.144309743409</v>
      </c>
      <c r="O118" s="24">
        <f t="shared" si="112"/>
        <v>20638.718406969387</v>
      </c>
      <c r="P118" s="24"/>
      <c r="Q118" s="131"/>
      <c r="R118" s="137"/>
      <c r="S118" s="137"/>
      <c r="T118" s="135"/>
      <c r="U118" s="135"/>
      <c r="V118" s="24"/>
      <c r="W118" s="24"/>
      <c r="X118" s="24"/>
      <c r="Y118" s="40"/>
      <c r="Z118" s="41"/>
      <c r="AA118" s="41"/>
    </row>
    <row r="119" spans="1:31" x14ac:dyDescent="0.25">
      <c r="F119" s="192" t="s">
        <v>260</v>
      </c>
      <c r="G119" s="192"/>
      <c r="H119" s="192"/>
      <c r="I119" s="192"/>
      <c r="J119" s="192"/>
      <c r="K119" s="192"/>
      <c r="L119" s="192"/>
      <c r="M119" s="192"/>
      <c r="N119" s="192"/>
      <c r="O119" s="192"/>
      <c r="P119" s="24"/>
      <c r="Q119" s="138" t="s">
        <v>239</v>
      </c>
      <c r="R119" s="136">
        <f>SUM(R106:R118)</f>
        <v>111930</v>
      </c>
      <c r="S119" s="136">
        <f>SUM(S106:S118)</f>
        <v>186433.50792281007</v>
      </c>
      <c r="T119" s="135"/>
      <c r="U119" s="135"/>
      <c r="V119" s="24"/>
      <c r="W119" s="24"/>
      <c r="X119" s="24"/>
      <c r="Y119" s="40"/>
      <c r="Z119" s="41"/>
      <c r="AA119" s="41"/>
    </row>
    <row r="120" spans="1:31" x14ac:dyDescent="0.25">
      <c r="F120" s="158" t="s">
        <v>261</v>
      </c>
      <c r="G120" s="158" t="s">
        <v>262</v>
      </c>
      <c r="H120" s="158" t="s">
        <v>263</v>
      </c>
      <c r="I120" s="158" t="s">
        <v>264</v>
      </c>
      <c r="J120" s="158" t="s">
        <v>265</v>
      </c>
      <c r="K120" s="158" t="s">
        <v>266</v>
      </c>
      <c r="L120" s="158" t="s">
        <v>267</v>
      </c>
      <c r="M120" s="158" t="s">
        <v>268</v>
      </c>
      <c r="N120" s="158" t="s">
        <v>269</v>
      </c>
      <c r="O120" s="158" t="s">
        <v>270</v>
      </c>
      <c r="P120" s="24"/>
      <c r="Q120" s="138"/>
      <c r="R120" s="135"/>
      <c r="S120" s="135"/>
      <c r="T120" s="135"/>
      <c r="U120" s="135"/>
      <c r="V120" s="24"/>
      <c r="W120" s="24"/>
      <c r="X120" s="24"/>
      <c r="Y120" s="40"/>
      <c r="Z120" s="41"/>
      <c r="AA120" s="41"/>
    </row>
    <row r="121" spans="1:31" x14ac:dyDescent="0.25">
      <c r="E121" s="153" t="s">
        <v>9</v>
      </c>
      <c r="F121" s="24">
        <f>SUM(F106:F112)</f>
        <v>672130.55068326998</v>
      </c>
      <c r="G121" s="24">
        <f t="shared" ref="G121:O121" si="113">SUM(G106:G112)</f>
        <v>669737.60931788897</v>
      </c>
      <c r="H121" s="24">
        <f t="shared" si="113"/>
        <v>611514.63722940569</v>
      </c>
      <c r="I121" s="24">
        <f t="shared" si="113"/>
        <v>552566.86511357129</v>
      </c>
      <c r="J121" s="24">
        <f t="shared" si="113"/>
        <v>492903.37508976203</v>
      </c>
      <c r="K121" s="24">
        <f t="shared" si="113"/>
        <v>477420.05288887757</v>
      </c>
      <c r="L121" s="24">
        <f t="shared" si="113"/>
        <v>473599.53816782462</v>
      </c>
      <c r="M121" s="24">
        <f t="shared" si="113"/>
        <v>469227.17287997587</v>
      </c>
      <c r="N121" s="24">
        <f t="shared" si="113"/>
        <v>464271.94762839912</v>
      </c>
      <c r="O121" s="24">
        <f t="shared" si="113"/>
        <v>458701.4459259694</v>
      </c>
      <c r="P121"/>
      <c r="Q121" s="138" t="s">
        <v>240</v>
      </c>
      <c r="R121" s="135"/>
      <c r="S121" s="135"/>
      <c r="T121" s="135"/>
      <c r="U121" s="135"/>
      <c r="V121" s="24"/>
      <c r="W121" s="24"/>
      <c r="X121" s="24"/>
      <c r="Y121" s="40"/>
      <c r="Z121" s="41"/>
      <c r="AA121" s="41"/>
    </row>
    <row r="122" spans="1:31" x14ac:dyDescent="0.25">
      <c r="E122" s="153" t="s">
        <v>259</v>
      </c>
      <c r="F122" s="24">
        <f>SUM(F126:F128)</f>
        <v>442448.1480746615</v>
      </c>
      <c r="G122" s="24">
        <f t="shared" ref="G122:O122" si="114">SUM(G126:G128)</f>
        <v>380880.61875544046</v>
      </c>
      <c r="H122" s="24">
        <f t="shared" si="114"/>
        <v>319199.77261498838</v>
      </c>
      <c r="I122" s="24">
        <f t="shared" si="114"/>
        <v>257397.41797113619</v>
      </c>
      <c r="J122" s="24">
        <f t="shared" si="114"/>
        <v>195464.77096434831</v>
      </c>
      <c r="K122" s="24">
        <f t="shared" si="114"/>
        <v>183682.20689069456</v>
      </c>
      <c r="L122" s="24">
        <f t="shared" si="114"/>
        <v>189697.77213983311</v>
      </c>
      <c r="M122" s="24">
        <f t="shared" si="114"/>
        <v>197102.46056350079</v>
      </c>
      <c r="N122" s="24">
        <f t="shared" si="114"/>
        <v>204841.03544878462</v>
      </c>
      <c r="O122" s="24">
        <f t="shared" si="114"/>
        <v>213219.72035480978</v>
      </c>
      <c r="P122"/>
      <c r="Q122" s="138" t="s">
        <v>241</v>
      </c>
      <c r="R122" s="135"/>
      <c r="S122" s="135">
        <v>10000</v>
      </c>
      <c r="T122" s="135"/>
      <c r="U122" s="135"/>
      <c r="V122" s="24"/>
      <c r="W122" s="24"/>
      <c r="X122" s="24"/>
      <c r="Y122" s="40"/>
      <c r="Z122" s="41"/>
      <c r="AA122" s="41"/>
    </row>
    <row r="123" spans="1:31" ht="15.75" thickBot="1" x14ac:dyDescent="0.3">
      <c r="D123" s="22" t="s">
        <v>285</v>
      </c>
      <c r="F123" s="25">
        <f>+F121-F122</f>
        <v>229682.40260860848</v>
      </c>
      <c r="G123" s="25">
        <f t="shared" ref="G123:O123" si="115">+G121-G122</f>
        <v>288856.99056244851</v>
      </c>
      <c r="H123" s="25">
        <f t="shared" si="115"/>
        <v>292314.86461441731</v>
      </c>
      <c r="I123" s="25">
        <f t="shared" si="115"/>
        <v>295169.44714243512</v>
      </c>
      <c r="J123" s="25">
        <f t="shared" si="115"/>
        <v>297438.60412541369</v>
      </c>
      <c r="K123" s="25">
        <f t="shared" si="115"/>
        <v>293737.84599818301</v>
      </c>
      <c r="L123" s="25">
        <f t="shared" si="115"/>
        <v>283901.76602799154</v>
      </c>
      <c r="M123" s="25">
        <f t="shared" si="115"/>
        <v>272124.71231647511</v>
      </c>
      <c r="N123" s="154">
        <f t="shared" si="115"/>
        <v>259430.9121796145</v>
      </c>
      <c r="O123" s="154">
        <f t="shared" si="115"/>
        <v>245481.72557115962</v>
      </c>
      <c r="P123" s="24"/>
      <c r="Q123" s="138" t="s">
        <v>239</v>
      </c>
      <c r="R123" s="148">
        <f>SUM(R119:R122)</f>
        <v>111930</v>
      </c>
      <c r="S123" s="148">
        <f>+S119-S122</f>
        <v>176433.50792281007</v>
      </c>
      <c r="T123" s="135"/>
      <c r="U123" s="135"/>
      <c r="V123" s="24"/>
      <c r="W123" s="24"/>
      <c r="X123" s="24"/>
      <c r="Y123" s="40"/>
      <c r="Z123" s="41"/>
      <c r="AA123" s="41"/>
    </row>
    <row r="124" spans="1:31" ht="15.75" thickTop="1" x14ac:dyDescent="0.25"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138"/>
      <c r="R124" s="135"/>
      <c r="S124" s="135"/>
      <c r="T124" s="135"/>
      <c r="U124" s="135"/>
      <c r="V124" s="24"/>
      <c r="W124" s="24"/>
      <c r="X124" s="24"/>
      <c r="Y124" s="40"/>
      <c r="Z124" s="41"/>
      <c r="AA124" s="41"/>
    </row>
    <row r="125" spans="1:31" x14ac:dyDescent="0.25"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138"/>
      <c r="R125" s="155" t="s">
        <v>237</v>
      </c>
      <c r="S125" s="155" t="s">
        <v>242</v>
      </c>
      <c r="T125" s="156" t="s">
        <v>243</v>
      </c>
      <c r="U125" s="156" t="s">
        <v>238</v>
      </c>
      <c r="V125" s="156" t="s">
        <v>244</v>
      </c>
      <c r="W125" s="156" t="s">
        <v>245</v>
      </c>
      <c r="X125" s="24"/>
      <c r="Y125" s="83" t="s">
        <v>156</v>
      </c>
      <c r="Z125" s="83" t="s">
        <v>157</v>
      </c>
      <c r="AA125" s="83" t="s">
        <v>30</v>
      </c>
      <c r="AB125" s="83" t="s">
        <v>158</v>
      </c>
      <c r="AC125" s="83" t="s">
        <v>159</v>
      </c>
    </row>
    <row r="126" spans="1:31" x14ac:dyDescent="0.25">
      <c r="A126" s="22" t="s">
        <v>21</v>
      </c>
      <c r="F126" s="24">
        <f>+Mortgage!H20</f>
        <v>142448.1480746615</v>
      </c>
      <c r="G126" s="24">
        <f>+Mortgage!H32</f>
        <v>140880.61875544046</v>
      </c>
      <c r="H126" s="24">
        <f>+Mortgage!H44</f>
        <v>139199.77261498841</v>
      </c>
      <c r="I126" s="24">
        <f>+Mortgage!H56</f>
        <v>137397.41797113619</v>
      </c>
      <c r="J126" s="24">
        <f>+Mortgage!H68</f>
        <v>135464.77096434831</v>
      </c>
      <c r="K126" s="24">
        <f>+Mortgage!H80</f>
        <v>133392.41274917312</v>
      </c>
      <c r="L126" s="24">
        <f>+Mortgage!H92</f>
        <v>131170.24359105984</v>
      </c>
      <c r="M126" s="24">
        <f>+Mortgage!H104</f>
        <v>128787.43364483032</v>
      </c>
      <c r="N126" s="24">
        <f>+Mortgage!H116</f>
        <v>126232.37017492283</v>
      </c>
      <c r="O126" s="24">
        <f>+Mortgage!H128</f>
        <v>123492.60096018294</v>
      </c>
      <c r="P126" s="24"/>
      <c r="Q126" s="138"/>
      <c r="R126" s="135">
        <f>R123</f>
        <v>111930</v>
      </c>
      <c r="S126" s="139">
        <f>O126-R126</f>
        <v>11562.600960182943</v>
      </c>
      <c r="T126" s="140">
        <f>S126/S129</f>
        <v>0.11415374551020653</v>
      </c>
      <c r="U126" s="141">
        <f>S123*T126</f>
        <v>20140.545762893467</v>
      </c>
      <c r="V126" s="135">
        <f>R126+U126</f>
        <v>132070.54576289345</v>
      </c>
      <c r="W126" s="142">
        <f>V126/O126</f>
        <v>1.0694612044447607</v>
      </c>
      <c r="X126" s="24"/>
      <c r="Y126" s="84">
        <f>AVERAGE($F126:$O126)</f>
        <v>133846.57895007438</v>
      </c>
      <c r="Z126" s="6">
        <f>+Y126/Y133</f>
        <v>0.27735032037451818</v>
      </c>
      <c r="AA126" s="6">
        <v>0.06</v>
      </c>
      <c r="AB126" s="6">
        <f>+AA126*(1-$P$101)</f>
        <v>3.3299999999999996E-2</v>
      </c>
      <c r="AC126" s="1">
        <f>+Z126*AB126</f>
        <v>9.2357656684714535E-3</v>
      </c>
    </row>
    <row r="127" spans="1:31" x14ac:dyDescent="0.25">
      <c r="A127" s="22" t="s">
        <v>193</v>
      </c>
      <c r="F127" s="24">
        <f t="shared" ref="F127:O127" si="116">+Z117</f>
        <v>300000</v>
      </c>
      <c r="G127" s="24">
        <f t="shared" si="116"/>
        <v>240000</v>
      </c>
      <c r="H127" s="24">
        <f t="shared" si="116"/>
        <v>180000</v>
      </c>
      <c r="I127" s="24">
        <f t="shared" si="116"/>
        <v>120000</v>
      </c>
      <c r="J127" s="24">
        <f t="shared" si="116"/>
        <v>60000</v>
      </c>
      <c r="K127" s="24">
        <f t="shared" si="116"/>
        <v>0</v>
      </c>
      <c r="L127" s="24">
        <f t="shared" si="116"/>
        <v>0</v>
      </c>
      <c r="M127" s="24">
        <f t="shared" si="116"/>
        <v>0</v>
      </c>
      <c r="N127" s="24">
        <f t="shared" si="116"/>
        <v>0</v>
      </c>
      <c r="O127" s="24">
        <f t="shared" si="116"/>
        <v>0</v>
      </c>
      <c r="P127" s="24"/>
      <c r="Q127" s="138"/>
      <c r="R127" s="135"/>
      <c r="S127" s="139"/>
      <c r="T127" s="144"/>
      <c r="U127" s="141"/>
      <c r="V127" s="135"/>
      <c r="W127" s="142"/>
      <c r="X127" s="24"/>
      <c r="Y127" s="84">
        <f>AVERAGE($F127:$O127)</f>
        <v>90000</v>
      </c>
      <c r="Z127" s="6">
        <f>+Y127/Y133</f>
        <v>0.18649358862595541</v>
      </c>
      <c r="AA127" s="6">
        <f>+$P$93</f>
        <v>0.1</v>
      </c>
      <c r="AB127" s="6">
        <f>+AA127*(1-$P$101)</f>
        <v>5.5499999999999994E-2</v>
      </c>
      <c r="AC127" s="1">
        <f>+Z127*AB127</f>
        <v>1.0350394168740524E-2</v>
      </c>
    </row>
    <row r="128" spans="1:31" x14ac:dyDescent="0.25">
      <c r="A128" s="22" t="s">
        <v>20</v>
      </c>
      <c r="F128" s="20"/>
      <c r="G128" s="20"/>
      <c r="H128" s="20"/>
      <c r="I128" s="20"/>
      <c r="J128" s="20"/>
      <c r="K128" s="20">
        <v>50289.794141521459</v>
      </c>
      <c r="L128" s="20">
        <v>58527.528548773269</v>
      </c>
      <c r="M128" s="20">
        <v>68315.026918670468</v>
      </c>
      <c r="N128" s="20">
        <v>78608.665273861785</v>
      </c>
      <c r="O128" s="20">
        <v>89727.119394626847</v>
      </c>
      <c r="P128" s="24"/>
      <c r="Q128" s="138"/>
      <c r="R128" s="145"/>
      <c r="S128" s="143">
        <f>O128-R128</f>
        <v>89727.119394626847</v>
      </c>
      <c r="T128" s="144">
        <f>S128/S129</f>
        <v>0.88584625448979348</v>
      </c>
      <c r="U128" s="141">
        <f>S123*T128</f>
        <v>156292.96215991661</v>
      </c>
      <c r="V128" s="135">
        <f>R128+U128</f>
        <v>156292.96215991661</v>
      </c>
      <c r="W128" s="142">
        <f>V128/O128</f>
        <v>1.7418698294829684</v>
      </c>
      <c r="X128" s="24"/>
      <c r="Y128" s="84">
        <f>AVERAGE($F128:$O128)</f>
        <v>69093.626855490773</v>
      </c>
      <c r="Z128" s="6">
        <f>+Y128/Y133</f>
        <v>0.14317242692736845</v>
      </c>
      <c r="AA128" s="6">
        <f>+P94</f>
        <v>0.1</v>
      </c>
      <c r="AB128" s="6">
        <f>+AA128*(1-$P$101)</f>
        <v>5.5499999999999994E-2</v>
      </c>
      <c r="AC128" s="1">
        <f>+Z128*AB128</f>
        <v>7.9460696944689477E-3</v>
      </c>
    </row>
    <row r="129" spans="1:29" ht="15.75" thickBot="1" x14ac:dyDescent="0.3">
      <c r="E129"/>
      <c r="F129"/>
      <c r="G129"/>
      <c r="H129"/>
      <c r="I129"/>
      <c r="J129"/>
      <c r="K129"/>
      <c r="L129"/>
      <c r="M129"/>
      <c r="N129"/>
      <c r="O129"/>
      <c r="P129" s="24"/>
      <c r="Q129" s="138"/>
      <c r="R129" s="147"/>
      <c r="S129" s="148">
        <f>SUM(S126:S128)</f>
        <v>101289.72035480979</v>
      </c>
      <c r="T129" s="157">
        <f>SUM(T126:T128)</f>
        <v>1</v>
      </c>
      <c r="U129" s="147"/>
      <c r="V129" s="147"/>
      <c r="W129" s="147"/>
      <c r="X129" s="24"/>
      <c r="Y129" s="84"/>
      <c r="Z129" s="6"/>
      <c r="AA129" s="41"/>
    </row>
    <row r="130" spans="1:29" ht="15.75" thickTop="1" x14ac:dyDescent="0.25"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131"/>
      <c r="R130" s="147"/>
      <c r="S130" s="147"/>
      <c r="T130" s="147"/>
      <c r="U130" s="147"/>
      <c r="V130" s="147"/>
      <c r="W130" s="147"/>
      <c r="X130" s="24"/>
      <c r="Y130" s="40"/>
      <c r="Z130" s="6"/>
      <c r="AA130" s="41"/>
    </row>
    <row r="131" spans="1:29" x14ac:dyDescent="0.25">
      <c r="A131" s="22" t="s">
        <v>22</v>
      </c>
      <c r="F131" s="24">
        <v>100000</v>
      </c>
      <c r="G131" s="24">
        <v>100000</v>
      </c>
      <c r="H131" s="24">
        <v>100000</v>
      </c>
      <c r="I131" s="24">
        <v>100000</v>
      </c>
      <c r="J131" s="24">
        <v>100000</v>
      </c>
      <c r="K131" s="24">
        <v>100000</v>
      </c>
      <c r="L131" s="24">
        <v>100000</v>
      </c>
      <c r="M131" s="24">
        <v>100000</v>
      </c>
      <c r="N131" s="24">
        <v>100000</v>
      </c>
      <c r="O131" s="24">
        <v>100000</v>
      </c>
      <c r="P131" s="24"/>
      <c r="Q131" s="131"/>
      <c r="R131" s="147"/>
      <c r="S131" s="147"/>
      <c r="T131" s="147"/>
      <c r="U131" s="147"/>
      <c r="V131" s="147"/>
      <c r="W131" s="147"/>
      <c r="X131" s="24"/>
      <c r="Y131" s="84">
        <f>AVERAGE($F131:$O131)</f>
        <v>100000</v>
      </c>
      <c r="Z131" s="6">
        <f>+SUM(Y131:Y132)/Y133</f>
        <v>0.3929836640721579</v>
      </c>
      <c r="AA131" s="97">
        <f>+U149</f>
        <v>0.19663364958179902</v>
      </c>
      <c r="AB131" s="3">
        <f>+AA131</f>
        <v>0.19663364958179902</v>
      </c>
      <c r="AC131" s="1">
        <f>+Z131*AB131</f>
        <v>7.7273812092536115E-2</v>
      </c>
    </row>
    <row r="132" spans="1:29" x14ac:dyDescent="0.25">
      <c r="A132" s="22" t="s">
        <v>12</v>
      </c>
      <c r="E132" s="24"/>
      <c r="F132" s="24">
        <f t="shared" ref="F132:O132" si="117">+F102+E102</f>
        <v>54763.448375859443</v>
      </c>
      <c r="G132" s="24">
        <f t="shared" si="117"/>
        <v>109676.09897672702</v>
      </c>
      <c r="H132" s="24">
        <f t="shared" si="117"/>
        <v>109381.93860589011</v>
      </c>
      <c r="I132" s="24">
        <f t="shared" si="117"/>
        <v>108509.54167838767</v>
      </c>
      <c r="J132" s="24">
        <f t="shared" si="117"/>
        <v>107340.03626090162</v>
      </c>
      <c r="K132" s="24">
        <f t="shared" si="117"/>
        <v>102740.83774799046</v>
      </c>
      <c r="L132" s="24">
        <f t="shared" si="117"/>
        <v>93373.01125907863</v>
      </c>
      <c r="M132" s="24">
        <f t="shared" si="117"/>
        <v>82218.785237056494</v>
      </c>
      <c r="N132" s="24">
        <f t="shared" si="117"/>
        <v>70521.907996651134</v>
      </c>
      <c r="O132" s="24">
        <f t="shared" si="117"/>
        <v>57975.502938821577</v>
      </c>
      <c r="P132" s="24"/>
      <c r="Q132" s="131"/>
      <c r="R132" s="147"/>
      <c r="S132" s="147"/>
      <c r="T132" s="147"/>
      <c r="U132" s="147"/>
      <c r="V132" s="147"/>
      <c r="W132" s="147"/>
      <c r="X132" s="24"/>
      <c r="Y132" s="84">
        <f>AVERAGE($F132:$O132)</f>
        <v>89650.110907736424</v>
      </c>
      <c r="Z132" s="41"/>
      <c r="AA132" s="41"/>
    </row>
    <row r="133" spans="1:29" ht="15.75" thickBot="1" x14ac:dyDescent="0.3"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31"/>
      <c r="R133" s="147"/>
      <c r="S133" s="147"/>
      <c r="T133" s="147"/>
      <c r="U133" s="147"/>
      <c r="V133" s="147"/>
      <c r="W133" s="147"/>
      <c r="X133" s="24"/>
      <c r="Y133" s="85">
        <f>SUM(Y126:Y132)</f>
        <v>482590.31671330158</v>
      </c>
      <c r="Z133" s="88">
        <f>SUM(Z126:Z132)</f>
        <v>0.99999999999999989</v>
      </c>
      <c r="AA133" s="86"/>
      <c r="AB133" s="87"/>
      <c r="AC133" s="98">
        <f>SUM(AC126:AC132)</f>
        <v>0.10480604162421704</v>
      </c>
    </row>
    <row r="134" spans="1:29" ht="16.5" thickTop="1" thickBot="1" x14ac:dyDescent="0.3">
      <c r="A134" s="21" t="s">
        <v>13</v>
      </c>
      <c r="F134" s="25">
        <f>+F117+F118+F126+F127+F128+F131+F132</f>
        <v>667866.68812267052</v>
      </c>
      <c r="G134" s="25">
        <f t="shared" ref="G134:O134" si="118">+G117+G118+G126+G127+G128+G131+G132</f>
        <v>661209.31838132592</v>
      </c>
      <c r="H134" s="25">
        <f t="shared" si="118"/>
        <v>598722.39451057347</v>
      </c>
      <c r="I134" s="25">
        <f t="shared" si="118"/>
        <v>535510.86468183866</v>
      </c>
      <c r="J134" s="25">
        <f t="shared" si="118"/>
        <v>471583.73687895457</v>
      </c>
      <c r="K134" s="25">
        <f t="shared" si="118"/>
        <v>451836.05288887746</v>
      </c>
      <c r="L134" s="25">
        <f t="shared" si="118"/>
        <v>443751.53816782462</v>
      </c>
      <c r="M134" s="25">
        <f t="shared" si="118"/>
        <v>435115.17287997587</v>
      </c>
      <c r="N134" s="25">
        <f t="shared" si="118"/>
        <v>425895.94762839918</v>
      </c>
      <c r="O134" s="25">
        <f t="shared" si="118"/>
        <v>416061.44592596928</v>
      </c>
      <c r="P134" s="24"/>
      <c r="Q134" s="131"/>
      <c r="R134" s="147"/>
      <c r="S134" s="147"/>
      <c r="T134" s="147"/>
      <c r="U134" s="147"/>
      <c r="V134" s="147"/>
      <c r="W134" s="147"/>
      <c r="X134" s="24"/>
      <c r="Y134" s="40"/>
      <c r="Z134" s="41"/>
      <c r="AA134" s="41"/>
    </row>
    <row r="135" spans="1:29" ht="15.75" thickTop="1" x14ac:dyDescent="0.25">
      <c r="A135" s="21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131"/>
      <c r="R135" s="24"/>
      <c r="S135" s="24"/>
      <c r="T135" s="24"/>
      <c r="U135" s="24"/>
      <c r="V135" s="24"/>
      <c r="W135" s="24"/>
      <c r="X135" s="24"/>
      <c r="Y135" s="40"/>
      <c r="Z135" s="41"/>
      <c r="AA135" s="41"/>
    </row>
    <row r="136" spans="1:29" x14ac:dyDescent="0.25">
      <c r="A136" s="21" t="s">
        <v>25</v>
      </c>
      <c r="F136" s="24">
        <f t="shared" ref="F136:O136" si="119">+F114-F134</f>
        <v>-0.13743940053973347</v>
      </c>
      <c r="G136" s="24">
        <f t="shared" si="119"/>
        <v>0.29093656304758042</v>
      </c>
      <c r="H136" s="24">
        <f>+H114-H134</f>
        <v>0.24271883221808821</v>
      </c>
      <c r="I136" s="24">
        <f t="shared" si="119"/>
        <v>4.3173262383788824E-4</v>
      </c>
      <c r="J136" s="24">
        <f t="shared" si="119"/>
        <v>-0.36178919253870845</v>
      </c>
      <c r="K136" s="24">
        <f t="shared" si="119"/>
        <v>0</v>
      </c>
      <c r="L136" s="24">
        <f t="shared" si="119"/>
        <v>0</v>
      </c>
      <c r="M136" s="24">
        <f t="shared" si="119"/>
        <v>0</v>
      </c>
      <c r="N136" s="24">
        <f t="shared" si="119"/>
        <v>0</v>
      </c>
      <c r="O136" s="24">
        <f t="shared" si="119"/>
        <v>0</v>
      </c>
      <c r="P136" s="24"/>
      <c r="Q136" s="131"/>
      <c r="R136" s="24"/>
      <c r="S136" s="24"/>
      <c r="T136" s="24"/>
      <c r="U136" s="24"/>
      <c r="V136" s="24"/>
      <c r="W136" s="24"/>
      <c r="X136" s="24"/>
      <c r="Y136" s="40"/>
      <c r="Z136" s="41"/>
      <c r="AA136" s="41"/>
    </row>
    <row r="137" spans="1:29" s="66" customFormat="1" ht="15.75" thickBot="1" x14ac:dyDescent="0.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4"/>
      <c r="Q137" s="65"/>
      <c r="R137" s="65"/>
    </row>
    <row r="138" spans="1:29" x14ac:dyDescent="0.25">
      <c r="A138" s="57" t="s">
        <v>111</v>
      </c>
      <c r="B138"/>
      <c r="C138"/>
      <c r="D138"/>
      <c r="Q138"/>
      <c r="R138"/>
      <c r="S138"/>
      <c r="T138"/>
      <c r="U138" s="93" t="s">
        <v>161</v>
      </c>
      <c r="V138" s="94" t="s">
        <v>162</v>
      </c>
      <c r="W138" s="95" t="s">
        <v>163</v>
      </c>
      <c r="X138" s="94" t="s">
        <v>164</v>
      </c>
      <c r="Y138" s="94" t="s">
        <v>165</v>
      </c>
      <c r="Z138" s="94" t="s">
        <v>166</v>
      </c>
      <c r="AA138" s="94" t="s">
        <v>167</v>
      </c>
      <c r="AB138" s="94" t="s">
        <v>168</v>
      </c>
    </row>
    <row r="139" spans="1:29" x14ac:dyDescent="0.25">
      <c r="A139" t="s">
        <v>112</v>
      </c>
      <c r="B139"/>
      <c r="C139"/>
      <c r="D139"/>
      <c r="Q139" s="189" t="s">
        <v>145</v>
      </c>
      <c r="R139" s="189"/>
      <c r="S139"/>
      <c r="T139"/>
      <c r="U139" s="89" t="s">
        <v>160</v>
      </c>
      <c r="V139" s="90">
        <v>137</v>
      </c>
      <c r="W139" s="91">
        <v>0.99</v>
      </c>
      <c r="X139" s="92">
        <v>0.378</v>
      </c>
      <c r="Y139" s="92">
        <v>0.189</v>
      </c>
      <c r="Z139" s="91">
        <v>0.75</v>
      </c>
      <c r="AA139" s="92">
        <v>3.2000000000000001E-2</v>
      </c>
      <c r="AB139" s="91">
        <v>0.78</v>
      </c>
    </row>
    <row r="140" spans="1:29" x14ac:dyDescent="0.25">
      <c r="A140"/>
      <c r="B140" t="s">
        <v>113</v>
      </c>
      <c r="C140"/>
      <c r="D140"/>
      <c r="F140" s="22">
        <f t="shared" ref="F140:O140" si="120">+F89</f>
        <v>118484.26988091337</v>
      </c>
      <c r="G140" s="22">
        <f t="shared" si="120"/>
        <v>112402.62532488332</v>
      </c>
      <c r="H140" s="22">
        <f t="shared" si="120"/>
        <v>105243.20897960718</v>
      </c>
      <c r="I140" s="22">
        <f t="shared" si="120"/>
        <v>98098.945164391858</v>
      </c>
      <c r="J140" s="22">
        <f t="shared" si="120"/>
        <v>90382.252980027988</v>
      </c>
      <c r="K140" s="22">
        <f t="shared" si="120"/>
        <v>82064.119293365569</v>
      </c>
      <c r="L140" s="22">
        <f t="shared" si="120"/>
        <v>72554.489914979495</v>
      </c>
      <c r="M140" s="22">
        <f t="shared" si="120"/>
        <v>62941.338902710471</v>
      </c>
      <c r="N140" s="22">
        <f t="shared" si="120"/>
        <v>52631.935921414348</v>
      </c>
      <c r="O140" s="22">
        <f t="shared" si="120"/>
        <v>41591.911586729635</v>
      </c>
      <c r="Q140" s="72" t="s">
        <v>147</v>
      </c>
      <c r="R140" s="125">
        <v>0.99</v>
      </c>
      <c r="S140"/>
      <c r="T140"/>
      <c r="U140" s="71"/>
      <c r="V140"/>
      <c r="W140"/>
    </row>
    <row r="141" spans="1:29" x14ac:dyDescent="0.25">
      <c r="A141"/>
      <c r="B141" t="s">
        <v>114</v>
      </c>
      <c r="C141"/>
      <c r="D141"/>
      <c r="F141" s="22">
        <f t="shared" ref="F141:O141" si="121">+F91</f>
        <v>4264</v>
      </c>
      <c r="G141" s="22">
        <f t="shared" si="121"/>
        <v>4264</v>
      </c>
      <c r="H141" s="22">
        <f t="shared" si="121"/>
        <v>4264</v>
      </c>
      <c r="I141" s="22">
        <f t="shared" si="121"/>
        <v>4264</v>
      </c>
      <c r="J141" s="22">
        <f t="shared" si="121"/>
        <v>4264</v>
      </c>
      <c r="K141" s="22">
        <f t="shared" si="121"/>
        <v>4264</v>
      </c>
      <c r="L141" s="22">
        <f t="shared" si="121"/>
        <v>4264</v>
      </c>
      <c r="M141" s="22">
        <f t="shared" si="121"/>
        <v>4264</v>
      </c>
      <c r="N141" s="22">
        <f t="shared" si="121"/>
        <v>4264</v>
      </c>
      <c r="O141" s="22">
        <f t="shared" si="121"/>
        <v>4264</v>
      </c>
      <c r="Q141" s="75" t="s">
        <v>149</v>
      </c>
      <c r="R141" s="76">
        <v>0.378</v>
      </c>
      <c r="S141"/>
      <c r="T141"/>
      <c r="U141" s="77"/>
      <c r="V141"/>
      <c r="W141" s="96" t="s">
        <v>169</v>
      </c>
      <c r="X141" s="58"/>
    </row>
    <row r="142" spans="1:29" x14ac:dyDescent="0.25">
      <c r="A142"/>
      <c r="B142" t="s">
        <v>115</v>
      </c>
      <c r="C142"/>
      <c r="D142"/>
      <c r="F142" s="22">
        <f>+F140-F141</f>
        <v>114220.26988091337</v>
      </c>
      <c r="G142" s="22">
        <f t="shared" ref="G142:O142" si="122">+G140-G141</f>
        <v>108138.62532488332</v>
      </c>
      <c r="H142" s="22">
        <f t="shared" si="122"/>
        <v>100979.20897960718</v>
      </c>
      <c r="I142" s="22">
        <f t="shared" si="122"/>
        <v>93834.945164391858</v>
      </c>
      <c r="J142" s="22">
        <f t="shared" si="122"/>
        <v>86118.252980027988</v>
      </c>
      <c r="K142" s="22">
        <f t="shared" si="122"/>
        <v>77800.119293365569</v>
      </c>
      <c r="L142" s="22">
        <f t="shared" si="122"/>
        <v>68290.489914979495</v>
      </c>
      <c r="M142" s="22">
        <f t="shared" si="122"/>
        <v>58677.338902710471</v>
      </c>
      <c r="N142" s="22">
        <f t="shared" si="122"/>
        <v>48367.935921414348</v>
      </c>
      <c r="O142" s="22">
        <f t="shared" si="122"/>
        <v>37327.911586729635</v>
      </c>
      <c r="Q142" s="75" t="s">
        <v>150</v>
      </c>
      <c r="R142" s="76">
        <f>1-R141</f>
        <v>0.622</v>
      </c>
      <c r="S142"/>
      <c r="T142"/>
      <c r="U142" s="71"/>
      <c r="V142">
        <v>2009</v>
      </c>
      <c r="W142" s="1">
        <v>0.25940000000000002</v>
      </c>
      <c r="X142" s="185"/>
    </row>
    <row r="143" spans="1:29" x14ac:dyDescent="0.25">
      <c r="A143"/>
      <c r="B143" t="s">
        <v>116</v>
      </c>
      <c r="C143"/>
      <c r="D143"/>
      <c r="F143" s="23">
        <f>+F142*$P$101</f>
        <v>50828.020097006454</v>
      </c>
      <c r="G143" s="23">
        <f t="shared" ref="G143:O143" si="123">+G142*$P$101</f>
        <v>48121.688269573082</v>
      </c>
      <c r="H143" s="23">
        <f t="shared" si="123"/>
        <v>44935.747995925194</v>
      </c>
      <c r="I143" s="23">
        <f t="shared" si="123"/>
        <v>41756.550598154376</v>
      </c>
      <c r="J143" s="23">
        <f t="shared" si="123"/>
        <v>38322.622576112459</v>
      </c>
      <c r="K143" s="23">
        <f t="shared" si="123"/>
        <v>34621.053085547675</v>
      </c>
      <c r="L143" s="23">
        <f t="shared" si="123"/>
        <v>30389.268012165874</v>
      </c>
      <c r="M143" s="23">
        <f t="shared" si="123"/>
        <v>26111.41581170616</v>
      </c>
      <c r="N143" s="23">
        <f t="shared" si="123"/>
        <v>21523.731485029384</v>
      </c>
      <c r="O143" s="23">
        <f t="shared" si="123"/>
        <v>16610.920656094688</v>
      </c>
      <c r="Q143" s="75" t="s">
        <v>131</v>
      </c>
      <c r="R143" s="79">
        <f>+$P$101</f>
        <v>0.44500000000000001</v>
      </c>
      <c r="S143"/>
      <c r="T143"/>
      <c r="U143" s="71"/>
      <c r="V143">
        <v>2010</v>
      </c>
      <c r="W143" s="1">
        <v>0.1482</v>
      </c>
      <c r="X143" s="1"/>
    </row>
    <row r="144" spans="1:29" ht="15.75" thickBot="1" x14ac:dyDescent="0.3">
      <c r="A144"/>
      <c r="B144" t="s">
        <v>117</v>
      </c>
      <c r="C144"/>
      <c r="D144"/>
      <c r="F144" s="51">
        <f>+F142-F143</f>
        <v>63392.249783906918</v>
      </c>
      <c r="G144" s="51">
        <f t="shared" ref="G144:O144" si="124">+G142-G143</f>
        <v>60016.937055310242</v>
      </c>
      <c r="H144" s="51">
        <f t="shared" si="124"/>
        <v>56043.460983681987</v>
      </c>
      <c r="I144" s="51">
        <f t="shared" si="124"/>
        <v>52078.394566237483</v>
      </c>
      <c r="J144" s="51">
        <f t="shared" si="124"/>
        <v>47795.630403915529</v>
      </c>
      <c r="K144" s="51">
        <f t="shared" si="124"/>
        <v>43179.066207817894</v>
      </c>
      <c r="L144" s="51">
        <f t="shared" si="124"/>
        <v>37901.221902813617</v>
      </c>
      <c r="M144" s="51">
        <f t="shared" si="124"/>
        <v>32565.923091004312</v>
      </c>
      <c r="N144" s="51">
        <f t="shared" si="124"/>
        <v>26844.204436384964</v>
      </c>
      <c r="O144" s="51">
        <f t="shared" si="124"/>
        <v>20716.990930634947</v>
      </c>
      <c r="Q144" s="75" t="s">
        <v>152</v>
      </c>
      <c r="R144" s="81">
        <f>R140/(1+(1-R143)*(R141/R142))</f>
        <v>0.74030704865410746</v>
      </c>
      <c r="S144"/>
      <c r="T144"/>
      <c r="U144" s="71"/>
      <c r="V144">
        <v>2011</v>
      </c>
      <c r="W144" s="1">
        <v>2.1000000000000001E-2</v>
      </c>
      <c r="X144" s="1"/>
    </row>
    <row r="145" spans="1:32" ht="15.75" thickTop="1" x14ac:dyDescent="0.25">
      <c r="A145"/>
      <c r="B145"/>
      <c r="C145"/>
      <c r="D145"/>
      <c r="Q145" s="75"/>
      <c r="R145" s="82"/>
      <c r="S145"/>
      <c r="T145" s="189" t="s">
        <v>146</v>
      </c>
      <c r="U145" s="189"/>
      <c r="V145">
        <v>2012</v>
      </c>
      <c r="W145" s="1">
        <v>0.15890000000000001</v>
      </c>
      <c r="X145" s="1"/>
    </row>
    <row r="146" spans="1:32" x14ac:dyDescent="0.25">
      <c r="A146" t="s">
        <v>118</v>
      </c>
      <c r="B146"/>
      <c r="C146"/>
      <c r="D146"/>
      <c r="Q146" s="189" t="s">
        <v>153</v>
      </c>
      <c r="R146" s="189"/>
      <c r="S146"/>
      <c r="T146" s="73" t="s">
        <v>148</v>
      </c>
      <c r="U146" s="74">
        <f>+R149</f>
        <v>1.0957627474615816</v>
      </c>
      <c r="V146">
        <v>2013</v>
      </c>
      <c r="W146" s="1">
        <v>0.32150000000000001</v>
      </c>
      <c r="X146" s="1"/>
    </row>
    <row r="147" spans="1:32" x14ac:dyDescent="0.25">
      <c r="A147"/>
      <c r="B147" t="s">
        <v>119</v>
      </c>
      <c r="C147"/>
      <c r="D147"/>
      <c r="E147" s="22">
        <f t="shared" ref="E147:N147" si="125">-(F106-E106)</f>
        <v>-5000</v>
      </c>
      <c r="F147" s="22">
        <f t="shared" si="125"/>
        <v>0</v>
      </c>
      <c r="G147" s="22">
        <f t="shared" si="125"/>
        <v>0</v>
      </c>
      <c r="H147" s="22">
        <f t="shared" si="125"/>
        <v>0</v>
      </c>
      <c r="I147" s="22">
        <f t="shared" si="125"/>
        <v>0</v>
      </c>
      <c r="J147" s="22">
        <f t="shared" si="125"/>
        <v>0</v>
      </c>
      <c r="K147" s="22">
        <f t="shared" si="125"/>
        <v>0</v>
      </c>
      <c r="L147" s="22">
        <f t="shared" si="125"/>
        <v>0</v>
      </c>
      <c r="M147" s="22">
        <f t="shared" si="125"/>
        <v>0</v>
      </c>
      <c r="N147" s="22">
        <f t="shared" si="125"/>
        <v>0</v>
      </c>
      <c r="O147" s="22">
        <f>-(Y106-O106)</f>
        <v>5000</v>
      </c>
      <c r="Q147" s="75" t="s">
        <v>154</v>
      </c>
      <c r="R147" s="79">
        <f>SUM(Z126:Z127)</f>
        <v>0.46384390900047356</v>
      </c>
      <c r="S147"/>
      <c r="T147" s="73" t="s">
        <v>284</v>
      </c>
      <c r="U147" s="186">
        <v>2.69E-2</v>
      </c>
      <c r="V147"/>
      <c r="W147"/>
    </row>
    <row r="148" spans="1:32" x14ac:dyDescent="0.25">
      <c r="A148"/>
      <c r="B148" t="s">
        <v>6</v>
      </c>
      <c r="C148"/>
      <c r="D148"/>
      <c r="E148" s="22">
        <f t="shared" ref="E148:N148" si="126">-(F108-E108)</f>
        <v>-24338.550683270034</v>
      </c>
      <c r="F148" s="22">
        <f t="shared" si="126"/>
        <v>111.13068861024294</v>
      </c>
      <c r="G148" s="22">
        <f t="shared" si="126"/>
        <v>142.34987244974764</v>
      </c>
      <c r="H148" s="22">
        <f t="shared" si="126"/>
        <v>175.4277590724414</v>
      </c>
      <c r="I148" s="22">
        <f t="shared" si="126"/>
        <v>210.45053830761026</v>
      </c>
      <c r="J148" s="22">
        <f t="shared" si="126"/>
        <v>247.50798783206119</v>
      </c>
      <c r="K148" s="22">
        <f t="shared" si="126"/>
        <v>286.69361375216613</v>
      </c>
      <c r="L148" s="22">
        <f t="shared" si="126"/>
        <v>328.10479648470209</v>
      </c>
      <c r="M148" s="22">
        <f t="shared" si="126"/>
        <v>371.84294213083558</v>
      </c>
      <c r="N148" s="22">
        <f t="shared" si="126"/>
        <v>418.01363954489352</v>
      </c>
      <c r="O148" s="22">
        <f>-(Y108-O108)</f>
        <v>22047.028845085333</v>
      </c>
      <c r="Q148" s="75" t="s">
        <v>155</v>
      </c>
      <c r="R148" s="79">
        <f>1-R147</f>
        <v>0.53615609099952644</v>
      </c>
      <c r="S148"/>
      <c r="T148" s="73" t="s">
        <v>151</v>
      </c>
      <c r="U148" s="78">
        <f>AVERAGE(W142:W146)</f>
        <v>0.18180000000000002</v>
      </c>
      <c r="V148"/>
      <c r="W148"/>
    </row>
    <row r="149" spans="1:32" ht="15.75" thickBot="1" x14ac:dyDescent="0.3">
      <c r="A149"/>
      <c r="B149" t="s">
        <v>120</v>
      </c>
      <c r="C149"/>
      <c r="D149"/>
      <c r="E149" s="22">
        <f t="shared" ref="E149:N149" si="127">-(F109-E109)</f>
        <v>-300000</v>
      </c>
      <c r="F149" s="22">
        <f t="shared" si="127"/>
        <v>1369.8106767708668</v>
      </c>
      <c r="G149" s="22">
        <f t="shared" si="127"/>
        <v>1754.6222160335165</v>
      </c>
      <c r="H149" s="22">
        <f t="shared" si="127"/>
        <v>2162.3443567619543</v>
      </c>
      <c r="I149" s="22">
        <f t="shared" si="127"/>
        <v>2594.0394855015911</v>
      </c>
      <c r="J149" s="22">
        <f t="shared" si="127"/>
        <v>3050.8142130524502</v>
      </c>
      <c r="K149" s="22">
        <f t="shared" si="127"/>
        <v>3533.8211073007551</v>
      </c>
      <c r="L149" s="22">
        <f t="shared" si="127"/>
        <v>4044.2604913640535</v>
      </c>
      <c r="M149" s="22">
        <f t="shared" si="127"/>
        <v>4583.3823094459367</v>
      </c>
      <c r="N149" s="22">
        <f t="shared" si="127"/>
        <v>5152.4880628848332</v>
      </c>
      <c r="O149" s="22">
        <f>-(Y109-O109)</f>
        <v>271754.41708088404</v>
      </c>
      <c r="Q149" s="75" t="s">
        <v>153</v>
      </c>
      <c r="R149" s="81">
        <f>R144*(1+(1-R143)*(R147/R148))</f>
        <v>1.0957627474615816</v>
      </c>
      <c r="S149"/>
      <c r="T149" s="73" t="s">
        <v>146</v>
      </c>
      <c r="U149" s="80">
        <f>U147+U146*(U148-U147)</f>
        <v>0.19663364958179902</v>
      </c>
      <c r="V149" s="71"/>
      <c r="W149" s="71"/>
    </row>
    <row r="150" spans="1:32" ht="15.75" thickTop="1" x14ac:dyDescent="0.25">
      <c r="A150"/>
      <c r="B150"/>
      <c r="C150"/>
      <c r="D150"/>
      <c r="S150"/>
      <c r="T150"/>
      <c r="U150"/>
      <c r="V150"/>
      <c r="W150"/>
    </row>
    <row r="151" spans="1:32" x14ac:dyDescent="0.25">
      <c r="A151"/>
      <c r="B151" t="s">
        <v>19</v>
      </c>
      <c r="C151"/>
      <c r="D151"/>
      <c r="E151" s="22">
        <f t="shared" ref="E151:N151" si="128">-(F111-E111)</f>
        <v>-31980</v>
      </c>
      <c r="F151" s="22">
        <f t="shared" si="128"/>
        <v>0</v>
      </c>
      <c r="G151" s="22">
        <f t="shared" si="128"/>
        <v>0</v>
      </c>
      <c r="H151" s="22">
        <f t="shared" si="128"/>
        <v>0</v>
      </c>
      <c r="I151" s="22">
        <f t="shared" si="128"/>
        <v>0</v>
      </c>
      <c r="J151" s="22">
        <f t="shared" si="128"/>
        <v>0</v>
      </c>
      <c r="K151" s="22">
        <f t="shared" si="128"/>
        <v>0</v>
      </c>
      <c r="L151" s="22">
        <f t="shared" si="128"/>
        <v>0</v>
      </c>
      <c r="M151" s="22">
        <f t="shared" si="128"/>
        <v>0</v>
      </c>
      <c r="N151" s="22">
        <f t="shared" si="128"/>
        <v>0</v>
      </c>
      <c r="O151" s="22">
        <f>-(Y111-O111)</f>
        <v>31980</v>
      </c>
      <c r="P151" s="58" t="s">
        <v>131</v>
      </c>
      <c r="Q151" s="59">
        <f>+$P$101</f>
        <v>0.44500000000000001</v>
      </c>
      <c r="R151"/>
      <c r="S151" t="s">
        <v>19</v>
      </c>
      <c r="T151"/>
      <c r="U151"/>
      <c r="V151"/>
      <c r="W151"/>
    </row>
    <row r="152" spans="1:32" x14ac:dyDescent="0.25">
      <c r="A152"/>
      <c r="B152" t="s">
        <v>121</v>
      </c>
      <c r="C152"/>
      <c r="D152"/>
      <c r="O152" s="22">
        <f>+O151*R152</f>
        <v>6396</v>
      </c>
      <c r="P152" s="60" t="s">
        <v>132</v>
      </c>
      <c r="Q152" s="61">
        <f>+O111</f>
        <v>31980</v>
      </c>
      <c r="R152" s="62">
        <v>0.2</v>
      </c>
      <c r="S152" t="s">
        <v>223</v>
      </c>
      <c r="T152"/>
      <c r="U152"/>
      <c r="V152"/>
      <c r="W152"/>
    </row>
    <row r="153" spans="1:32" x14ac:dyDescent="0.25">
      <c r="A153"/>
      <c r="B153" t="s">
        <v>122</v>
      </c>
      <c r="C153"/>
      <c r="D153"/>
      <c r="O153" s="22">
        <f>-Q153*Q151</f>
        <v>-2846.2200000000003</v>
      </c>
      <c r="P153" s="58" t="s">
        <v>133</v>
      </c>
      <c r="Q153" s="61">
        <f>SUM(O151:O152)-Q152</f>
        <v>6396</v>
      </c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x14ac:dyDescent="0.25">
      <c r="A154"/>
      <c r="B154"/>
      <c r="C154"/>
      <c r="D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x14ac:dyDescent="0.25">
      <c r="A155"/>
      <c r="B155" t="s">
        <v>7</v>
      </c>
      <c r="C155"/>
      <c r="D155"/>
      <c r="E155" s="22">
        <f t="shared" ref="E155:N155" si="129">-(F112-E112)</f>
        <v>-127920</v>
      </c>
      <c r="F155" s="22">
        <f t="shared" si="129"/>
        <v>0</v>
      </c>
      <c r="G155" s="22">
        <f t="shared" si="129"/>
        <v>0</v>
      </c>
      <c r="H155" s="22">
        <f t="shared" si="129"/>
        <v>0</v>
      </c>
      <c r="I155" s="22">
        <f t="shared" si="129"/>
        <v>0</v>
      </c>
      <c r="J155" s="22">
        <f t="shared" si="129"/>
        <v>0</v>
      </c>
      <c r="K155" s="22">
        <f t="shared" si="129"/>
        <v>0</v>
      </c>
      <c r="L155" s="22">
        <f t="shared" si="129"/>
        <v>0</v>
      </c>
      <c r="M155" s="22">
        <f t="shared" si="129"/>
        <v>0</v>
      </c>
      <c r="N155" s="22">
        <f t="shared" si="129"/>
        <v>0</v>
      </c>
      <c r="O155" s="22">
        <f>-(Y112-O112)</f>
        <v>127920</v>
      </c>
      <c r="P155" s="58" t="s">
        <v>131</v>
      </c>
      <c r="Q155" s="59">
        <f>+$P$101</f>
        <v>0.44500000000000001</v>
      </c>
      <c r="S155" t="s">
        <v>224</v>
      </c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x14ac:dyDescent="0.25">
      <c r="A156"/>
      <c r="B156" t="s">
        <v>121</v>
      </c>
      <c r="C156"/>
      <c r="D156"/>
      <c r="O156" s="22">
        <f>+-O155*R156</f>
        <v>-12792</v>
      </c>
      <c r="P156" s="60" t="s">
        <v>132</v>
      </c>
      <c r="Q156" s="61">
        <f>+O112-O113</f>
        <v>85280</v>
      </c>
      <c r="R156" s="6">
        <v>0.1</v>
      </c>
      <c r="S156" t="s">
        <v>222</v>
      </c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x14ac:dyDescent="0.25">
      <c r="A157"/>
      <c r="B157" t="s">
        <v>122</v>
      </c>
      <c r="C157"/>
      <c r="D157"/>
      <c r="O157" s="22">
        <f>-Q157*Q155</f>
        <v>-13282.36</v>
      </c>
      <c r="P157" s="58" t="s">
        <v>133</v>
      </c>
      <c r="Q157" s="61">
        <f>SUM(O155:O156)-Q156</f>
        <v>29848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x14ac:dyDescent="0.25">
      <c r="A158"/>
      <c r="B158"/>
      <c r="C158"/>
      <c r="D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x14ac:dyDescent="0.25">
      <c r="A159"/>
      <c r="B159"/>
      <c r="C159"/>
      <c r="D159"/>
      <c r="S159"/>
      <c r="T159"/>
      <c r="U159"/>
      <c r="V159"/>
      <c r="W159"/>
      <c r="X159"/>
      <c r="Y159"/>
      <c r="Z159"/>
    </row>
    <row r="160" spans="1:32" x14ac:dyDescent="0.25">
      <c r="A160"/>
      <c r="B160" t="s">
        <v>123</v>
      </c>
      <c r="C160"/>
      <c r="D160"/>
      <c r="E160" s="22">
        <f t="shared" ref="E160:N160" si="130">+F117-E117</f>
        <v>26745.660091505528</v>
      </c>
      <c r="F160" s="22">
        <f t="shared" si="130"/>
        <v>-122.12163583542861</v>
      </c>
      <c r="G160" s="22">
        <f t="shared" si="130"/>
        <v>-156.42843126345542</v>
      </c>
      <c r="H160" s="22">
        <f t="shared" si="130"/>
        <v>-192.77775722246588</v>
      </c>
      <c r="I160" s="22">
        <f t="shared" si="130"/>
        <v>-231.26432781056428</v>
      </c>
      <c r="J160" s="22">
        <f t="shared" si="130"/>
        <v>-271.98679981545138</v>
      </c>
      <c r="K160" s="22">
        <f t="shared" si="130"/>
        <v>-315.0479272001794</v>
      </c>
      <c r="L160" s="22">
        <f t="shared" si="130"/>
        <v>-360.55472141175778</v>
      </c>
      <c r="M160" s="22">
        <f t="shared" si="130"/>
        <v>-408.6186177262025</v>
      </c>
      <c r="N160" s="22">
        <f t="shared" si="130"/>
        <v>-459.35564785152383</v>
      </c>
      <c r="O160" s="22">
        <f>+Y117-O117</f>
        <v>-24227.504225368499</v>
      </c>
    </row>
    <row r="161" spans="1:18" x14ac:dyDescent="0.25">
      <c r="A161"/>
      <c r="B161" t="s">
        <v>124</v>
      </c>
      <c r="C161"/>
      <c r="D161"/>
      <c r="E161" s="22">
        <f>+F143-E143</f>
        <v>50828.020097006454</v>
      </c>
      <c r="F161" s="22">
        <f t="shared" ref="F161:O161" si="131">+G143-F143</f>
        <v>-2706.3318274333724</v>
      </c>
      <c r="G161" s="22">
        <f t="shared" si="131"/>
        <v>-3185.9402736478878</v>
      </c>
      <c r="H161" s="22">
        <f t="shared" si="131"/>
        <v>-3179.1973977708185</v>
      </c>
      <c r="I161" s="22">
        <f t="shared" si="131"/>
        <v>-3433.9280220419168</v>
      </c>
      <c r="J161" s="22">
        <f t="shared" si="131"/>
        <v>-3701.5694905647833</v>
      </c>
      <c r="K161" s="22">
        <f t="shared" si="131"/>
        <v>-4231.7850733818013</v>
      </c>
      <c r="L161" s="22">
        <f t="shared" si="131"/>
        <v>-4277.8522004597144</v>
      </c>
      <c r="M161" s="22">
        <f t="shared" si="131"/>
        <v>-4587.6843266767755</v>
      </c>
      <c r="N161" s="22">
        <f t="shared" si="131"/>
        <v>-4912.8108289346965</v>
      </c>
      <c r="O161" s="22">
        <f t="shared" si="131"/>
        <v>-16610.920656094688</v>
      </c>
    </row>
    <row r="162" spans="1:18" x14ac:dyDescent="0.25">
      <c r="A162"/>
      <c r="B162"/>
      <c r="C162"/>
      <c r="D162"/>
    </row>
    <row r="163" spans="1:18" x14ac:dyDescent="0.25">
      <c r="A163"/>
      <c r="B163"/>
      <c r="C163"/>
      <c r="D163"/>
      <c r="E163" s="67" t="s">
        <v>134</v>
      </c>
      <c r="F163" s="68" t="s">
        <v>135</v>
      </c>
      <c r="G163" s="68" t="s">
        <v>136</v>
      </c>
      <c r="H163" s="68" t="s">
        <v>137</v>
      </c>
      <c r="I163" s="67" t="s">
        <v>138</v>
      </c>
      <c r="J163" s="68" t="s">
        <v>139</v>
      </c>
      <c r="K163" s="68" t="s">
        <v>140</v>
      </c>
      <c r="L163" s="68" t="s">
        <v>141</v>
      </c>
      <c r="M163" s="67" t="s">
        <v>142</v>
      </c>
      <c r="N163" s="68" t="s">
        <v>143</v>
      </c>
      <c r="O163" s="67" t="s">
        <v>144</v>
      </c>
    </row>
    <row r="164" spans="1:18" x14ac:dyDescent="0.25">
      <c r="A164"/>
      <c r="B164"/>
      <c r="C164"/>
      <c r="D164"/>
      <c r="E164" s="69">
        <f>SUM(E145:E161)</f>
        <v>-411664.87049475807</v>
      </c>
      <c r="F164" s="69">
        <f>SUM(F145:F161)</f>
        <v>-1347.5120978876912</v>
      </c>
      <c r="G164" s="69">
        <f t="shared" ref="G164:N164" si="132">SUM(G145:G161)</f>
        <v>-1445.3966164280791</v>
      </c>
      <c r="H164" s="69">
        <f t="shared" si="132"/>
        <v>-1034.2030391588887</v>
      </c>
      <c r="I164" s="69">
        <f t="shared" si="132"/>
        <v>-860.70232604327975</v>
      </c>
      <c r="J164" s="69">
        <f t="shared" si="132"/>
        <v>-675.23408949572331</v>
      </c>
      <c r="K164" s="69">
        <f t="shared" si="132"/>
        <v>-726.31827952905951</v>
      </c>
      <c r="L164" s="69">
        <f t="shared" si="132"/>
        <v>-266.04163402271661</v>
      </c>
      <c r="M164" s="69">
        <f t="shared" si="132"/>
        <v>-41.077692826205748</v>
      </c>
      <c r="N164" s="69">
        <f t="shared" si="132"/>
        <v>198.33522564350642</v>
      </c>
      <c r="O164" s="69">
        <f>SUM(O145:O161)</f>
        <v>395338.44104450627</v>
      </c>
    </row>
    <row r="165" spans="1:18" x14ac:dyDescent="0.25">
      <c r="A165"/>
      <c r="B165"/>
      <c r="C165"/>
      <c r="D165"/>
      <c r="E165" s="69"/>
      <c r="F165" s="7">
        <f>+F144</f>
        <v>63392.249783906918</v>
      </c>
      <c r="G165" s="7">
        <f t="shared" ref="G165:N165" si="133">+G144</f>
        <v>60016.937055310242</v>
      </c>
      <c r="H165" s="7">
        <f t="shared" si="133"/>
        <v>56043.460983681987</v>
      </c>
      <c r="I165" s="7">
        <f t="shared" si="133"/>
        <v>52078.394566237483</v>
      </c>
      <c r="J165" s="7">
        <f t="shared" si="133"/>
        <v>47795.630403915529</v>
      </c>
      <c r="K165" s="7">
        <f t="shared" si="133"/>
        <v>43179.066207817894</v>
      </c>
      <c r="L165" s="7">
        <f t="shared" si="133"/>
        <v>37901.221902813617</v>
      </c>
      <c r="M165" s="7">
        <f t="shared" si="133"/>
        <v>32565.923091004312</v>
      </c>
      <c r="N165" s="7">
        <f t="shared" si="133"/>
        <v>26844.204436384964</v>
      </c>
      <c r="O165" s="7">
        <f>+O144</f>
        <v>20716.990930634947</v>
      </c>
    </row>
    <row r="166" spans="1:18" ht="15.75" thickBot="1" x14ac:dyDescent="0.3">
      <c r="A166" s="57" t="s">
        <v>125</v>
      </c>
      <c r="B166"/>
      <c r="C166"/>
      <c r="D166"/>
      <c r="E166" s="70">
        <f>SUM(E164:E165)</f>
        <v>-411664.87049475807</v>
      </c>
      <c r="F166" s="70">
        <f>SUM(F164:F165)</f>
        <v>62044.737686019231</v>
      </c>
      <c r="G166" s="70">
        <f t="shared" ref="G166" si="134">SUM(G164:G165)</f>
        <v>58571.540438882163</v>
      </c>
      <c r="H166" s="70">
        <f>SUM(H164:H165)</f>
        <v>55009.257944523095</v>
      </c>
      <c r="I166" s="70">
        <f t="shared" ref="I166:N166" si="135">SUM(I164:I165)</f>
        <v>51217.692240194199</v>
      </c>
      <c r="J166" s="70">
        <f t="shared" si="135"/>
        <v>47120.396314419806</v>
      </c>
      <c r="K166" s="70">
        <f t="shared" si="135"/>
        <v>42452.747928288838</v>
      </c>
      <c r="L166" s="70">
        <f t="shared" si="135"/>
        <v>37635.1802687909</v>
      </c>
      <c r="M166" s="70">
        <f t="shared" si="135"/>
        <v>32524.845398178106</v>
      </c>
      <c r="N166" s="70">
        <f t="shared" si="135"/>
        <v>27042.53966202847</v>
      </c>
      <c r="O166" s="70">
        <f>SUM(O164:O165)</f>
        <v>416055.43197514123</v>
      </c>
    </row>
    <row r="167" spans="1:18" ht="15.75" thickTop="1" x14ac:dyDescent="0.25">
      <c r="A167" s="194" t="s">
        <v>126</v>
      </c>
      <c r="B167" s="194"/>
      <c r="C167" s="194"/>
      <c r="D167" s="194"/>
      <c r="E167" s="1">
        <f>IRR(E166:O166)</f>
        <v>0.1125894435753152</v>
      </c>
    </row>
    <row r="168" spans="1:18" x14ac:dyDescent="0.25">
      <c r="A168" s="57"/>
      <c r="B168"/>
      <c r="C168"/>
      <c r="D168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5">
      <c r="A169" s="57" t="s">
        <v>127</v>
      </c>
      <c r="B169"/>
      <c r="C169"/>
      <c r="D169"/>
      <c r="E169" s="1">
        <f>+AC133</f>
        <v>0.10480604162421704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5">
      <c r="A170" s="57" t="s">
        <v>128</v>
      </c>
      <c r="B170"/>
      <c r="C170"/>
      <c r="D170"/>
      <c r="E170" s="22">
        <f>NPV(E169,F166:O166)</f>
        <v>429263.99995592306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5">
      <c r="A171" s="57"/>
      <c r="B171"/>
      <c r="C171"/>
      <c r="D17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5.75" x14ac:dyDescent="0.25">
      <c r="A172" s="57"/>
      <c r="B172"/>
      <c r="C172"/>
      <c r="D172"/>
      <c r="E172" s="193" t="s">
        <v>273</v>
      </c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3"/>
      <c r="Q172" s="3"/>
      <c r="R172" s="3"/>
    </row>
    <row r="173" spans="1:18" x14ac:dyDescent="0.25">
      <c r="A173" s="57"/>
      <c r="B173"/>
      <c r="C173"/>
      <c r="D173"/>
      <c r="E173" s="181" t="s">
        <v>134</v>
      </c>
      <c r="F173" s="181" t="s">
        <v>135</v>
      </c>
      <c r="G173" s="181" t="s">
        <v>136</v>
      </c>
      <c r="H173" s="181" t="s">
        <v>137</v>
      </c>
      <c r="I173" s="181" t="s">
        <v>138</v>
      </c>
      <c r="J173" s="181" t="s">
        <v>139</v>
      </c>
      <c r="K173" s="181" t="s">
        <v>140</v>
      </c>
      <c r="L173" s="181" t="s">
        <v>141</v>
      </c>
      <c r="M173" s="181" t="s">
        <v>142</v>
      </c>
      <c r="N173" s="181" t="s">
        <v>143</v>
      </c>
      <c r="O173" s="181" t="s">
        <v>144</v>
      </c>
      <c r="P173" s="3"/>
      <c r="Q173" s="3"/>
      <c r="R173" s="3"/>
    </row>
    <row r="174" spans="1:18" x14ac:dyDescent="0.25">
      <c r="A174" s="163" t="s">
        <v>271</v>
      </c>
      <c r="B174" s="162">
        <v>0.05</v>
      </c>
      <c r="C174" s="161"/>
      <c r="D174" s="161"/>
      <c r="E174" s="16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5">
      <c r="A175" s="160" t="s">
        <v>274</v>
      </c>
      <c r="B175" s="160" t="s">
        <v>278</v>
      </c>
      <c r="C175" s="160" t="s">
        <v>279</v>
      </c>
      <c r="D175" s="160" t="s">
        <v>282</v>
      </c>
      <c r="E175" s="165" t="str">
        <f>+A175</f>
        <v>Phase 1</v>
      </c>
      <c r="F175" s="164"/>
      <c r="G175" s="164"/>
      <c r="H175" s="165" t="str">
        <f>+B175</f>
        <v>Phase 2</v>
      </c>
      <c r="I175" s="164"/>
      <c r="J175" s="7"/>
      <c r="K175" s="165" t="str">
        <f>+C175</f>
        <v>Phase 3</v>
      </c>
      <c r="L175" s="7"/>
      <c r="M175" s="7"/>
      <c r="N175" s="7"/>
      <c r="O175" s="165" t="str">
        <f>+D175</f>
        <v>Launch</v>
      </c>
      <c r="P175" s="3"/>
      <c r="Q175" s="3"/>
      <c r="R175" s="3"/>
    </row>
    <row r="176" spans="1:18" x14ac:dyDescent="0.25">
      <c r="A176" s="146" t="s">
        <v>275</v>
      </c>
      <c r="B176" s="146" t="s">
        <v>276</v>
      </c>
      <c r="C176" s="146" t="s">
        <v>277</v>
      </c>
      <c r="D176" s="146" t="s">
        <v>283</v>
      </c>
      <c r="E176" s="165" t="str">
        <f>+A176</f>
        <v>Gun Store 1</v>
      </c>
      <c r="F176" s="164"/>
      <c r="G176" s="164"/>
      <c r="H176" s="165" t="str">
        <f>+B176</f>
        <v>Gun Store 2</v>
      </c>
      <c r="I176" s="164"/>
      <c r="J176" s="7"/>
      <c r="K176" s="165" t="str">
        <f>+C176</f>
        <v>Gun Store 3</v>
      </c>
      <c r="L176" s="7"/>
      <c r="M176" s="7"/>
      <c r="N176" s="7"/>
      <c r="O176" s="165" t="str">
        <f>+D176</f>
        <v>Franchise</v>
      </c>
      <c r="P176" s="3"/>
      <c r="Q176" s="3"/>
      <c r="R176" s="3"/>
    </row>
    <row r="177" spans="1:18" x14ac:dyDescent="0.25">
      <c r="A177" s="166" t="s">
        <v>280</v>
      </c>
      <c r="B177" s="166" t="s">
        <v>280</v>
      </c>
      <c r="C177" s="166"/>
      <c r="D177" s="167"/>
      <c r="E177" s="168">
        <v>-700000</v>
      </c>
      <c r="F177" s="169"/>
      <c r="G177" s="169"/>
      <c r="H177" s="169">
        <v>-700000</v>
      </c>
      <c r="I177" s="169"/>
      <c r="J177" s="169"/>
      <c r="K177" s="169">
        <v>-700000</v>
      </c>
      <c r="L177" s="169"/>
      <c r="M177" s="169"/>
      <c r="N177" s="169"/>
      <c r="O177" s="169">
        <v>-700000</v>
      </c>
      <c r="P177" s="3"/>
      <c r="Q177" s="3"/>
      <c r="R177" s="3"/>
    </row>
    <row r="178" spans="1:18" x14ac:dyDescent="0.25">
      <c r="A178" s="170">
        <v>0.75</v>
      </c>
      <c r="B178" s="170">
        <v>0.65</v>
      </c>
      <c r="C178" s="170">
        <v>0.55000000000000004</v>
      </c>
      <c r="D178" s="170"/>
      <c r="E178" s="171"/>
      <c r="F178" s="172">
        <f>+F166</f>
        <v>62044.737686019231</v>
      </c>
      <c r="G178" s="172">
        <f t="shared" ref="G178:H178" si="136">+G166</f>
        <v>58571.540438882163</v>
      </c>
      <c r="H178" s="172">
        <f t="shared" si="136"/>
        <v>55009.257944523095</v>
      </c>
      <c r="I178" s="172">
        <f>+I166*2</f>
        <v>102435.3844803884</v>
      </c>
      <c r="J178" s="172">
        <f t="shared" ref="J178:K178" si="137">+J166*2</f>
        <v>94240.792628839612</v>
      </c>
      <c r="K178" s="172">
        <f t="shared" si="137"/>
        <v>84905.495856577676</v>
      </c>
      <c r="L178" s="172">
        <f>+L166*3</f>
        <v>112905.54080637271</v>
      </c>
      <c r="M178" s="172">
        <f t="shared" ref="M178:N178" si="138">+M166*3</f>
        <v>97574.536194534317</v>
      </c>
      <c r="N178" s="172">
        <f t="shared" si="138"/>
        <v>81127.618986085407</v>
      </c>
      <c r="O178" s="172">
        <v>10000000</v>
      </c>
      <c r="P178" s="3"/>
      <c r="Q178" s="3"/>
      <c r="R178" s="3"/>
    </row>
    <row r="179" spans="1:18" x14ac:dyDescent="0.25">
      <c r="A179" s="173"/>
      <c r="B179" s="174"/>
      <c r="C179" s="173" t="s">
        <v>272</v>
      </c>
      <c r="D179" s="178">
        <f>NPV($B$174,E179:O179)*(A178*B178*C178)</f>
        <v>1139439.5920029483</v>
      </c>
      <c r="E179" s="183">
        <f>SUM(E177:E178)</f>
        <v>-700000</v>
      </c>
      <c r="F179" s="183">
        <f t="shared" ref="F179:O179" si="139">SUM(F177:F178)</f>
        <v>62044.737686019231</v>
      </c>
      <c r="G179" s="183">
        <f t="shared" si="139"/>
        <v>58571.540438882163</v>
      </c>
      <c r="H179" s="183">
        <f t="shared" si="139"/>
        <v>-644990.74205547688</v>
      </c>
      <c r="I179" s="183">
        <f t="shared" si="139"/>
        <v>102435.3844803884</v>
      </c>
      <c r="J179" s="183">
        <f t="shared" si="139"/>
        <v>94240.792628839612</v>
      </c>
      <c r="K179" s="183">
        <f t="shared" si="139"/>
        <v>-615094.50414342235</v>
      </c>
      <c r="L179" s="183">
        <f t="shared" si="139"/>
        <v>112905.54080637271</v>
      </c>
      <c r="M179" s="183">
        <f t="shared" si="139"/>
        <v>97574.536194534317</v>
      </c>
      <c r="N179" s="183">
        <f t="shared" si="139"/>
        <v>81127.618986085407</v>
      </c>
      <c r="O179" s="183">
        <f t="shared" si="139"/>
        <v>9300000</v>
      </c>
      <c r="P179" s="3"/>
      <c r="Q179" s="3"/>
      <c r="R179" s="3"/>
    </row>
    <row r="180" spans="1:18" x14ac:dyDescent="0.25">
      <c r="A180" s="166" t="s">
        <v>280</v>
      </c>
      <c r="B180" s="166" t="s">
        <v>280</v>
      </c>
      <c r="C180" s="166" t="s">
        <v>281</v>
      </c>
      <c r="D180" s="166"/>
      <c r="E180" s="168">
        <f>+E177</f>
        <v>-700000</v>
      </c>
      <c r="F180" s="169"/>
      <c r="G180" s="169"/>
      <c r="H180" s="169">
        <v>-700000</v>
      </c>
      <c r="I180" s="169"/>
      <c r="J180" s="169"/>
      <c r="K180" s="169">
        <v>-700000</v>
      </c>
      <c r="L180" s="169"/>
      <c r="M180" s="169"/>
      <c r="N180" s="169"/>
      <c r="O180" s="169"/>
      <c r="P180" s="3"/>
      <c r="Q180" s="3"/>
      <c r="R180" s="3"/>
    </row>
    <row r="181" spans="1:18" x14ac:dyDescent="0.25">
      <c r="A181" s="170">
        <f>+A178</f>
        <v>0.75</v>
      </c>
      <c r="B181" s="170">
        <f>+B178</f>
        <v>0.65</v>
      </c>
      <c r="C181" s="170">
        <f>100%-C178</f>
        <v>0.44999999999999996</v>
      </c>
      <c r="D181" s="73"/>
      <c r="E181" s="129"/>
      <c r="F181" s="172">
        <f>+F178</f>
        <v>62044.737686019231</v>
      </c>
      <c r="G181" s="172">
        <f t="shared" ref="G181:H181" si="140">+G178</f>
        <v>58571.540438882163</v>
      </c>
      <c r="H181" s="172">
        <f t="shared" si="140"/>
        <v>55009.257944523095</v>
      </c>
      <c r="I181" s="172">
        <f>+I166*2</f>
        <v>102435.3844803884</v>
      </c>
      <c r="J181" s="172">
        <f t="shared" ref="J181:K181" si="141">+J166*2</f>
        <v>94240.792628839612</v>
      </c>
      <c r="K181" s="172">
        <f t="shared" si="141"/>
        <v>84905.495856577676</v>
      </c>
      <c r="L181" s="172"/>
      <c r="M181" s="172"/>
      <c r="N181" s="172"/>
      <c r="O181" s="172"/>
      <c r="P181" s="3"/>
      <c r="Q181" s="3"/>
      <c r="R181" s="3"/>
    </row>
    <row r="182" spans="1:18" x14ac:dyDescent="0.25">
      <c r="A182" s="173"/>
      <c r="B182" s="174"/>
      <c r="C182" s="173" t="s">
        <v>272</v>
      </c>
      <c r="D182" s="178">
        <f>NPV($B$174,E182:K182)*(A181*B181*C181)</f>
        <v>-302075.18214507203</v>
      </c>
      <c r="E182" s="183">
        <f>SUM(E180:E181)</f>
        <v>-700000</v>
      </c>
      <c r="F182" s="183">
        <f t="shared" ref="F182:K182" si="142">SUM(F180:F181)</f>
        <v>62044.737686019231</v>
      </c>
      <c r="G182" s="183">
        <f t="shared" si="142"/>
        <v>58571.540438882163</v>
      </c>
      <c r="H182" s="183">
        <f t="shared" si="142"/>
        <v>-644990.74205547688</v>
      </c>
      <c r="I182" s="183">
        <f t="shared" si="142"/>
        <v>102435.3844803884</v>
      </c>
      <c r="J182" s="183">
        <f t="shared" si="142"/>
        <v>94240.792628839612</v>
      </c>
      <c r="K182" s="183">
        <f t="shared" si="142"/>
        <v>-615094.50414342235</v>
      </c>
      <c r="L182" s="106"/>
      <c r="M182" s="106"/>
      <c r="N182" s="106"/>
      <c r="O182" s="106"/>
      <c r="P182" s="3"/>
      <c r="Q182" s="3"/>
      <c r="R182" s="3"/>
    </row>
    <row r="183" spans="1:18" x14ac:dyDescent="0.25">
      <c r="A183" s="166" t="s">
        <v>280</v>
      </c>
      <c r="B183" s="166" t="s">
        <v>281</v>
      </c>
      <c r="C183" s="175"/>
      <c r="D183" s="166"/>
      <c r="E183" s="168">
        <f>+E180</f>
        <v>-700000</v>
      </c>
      <c r="F183" s="169"/>
      <c r="G183" s="169"/>
      <c r="H183" s="169">
        <v>-700000</v>
      </c>
      <c r="I183" s="169"/>
      <c r="J183" s="169"/>
      <c r="K183" s="169"/>
      <c r="L183" s="169"/>
      <c r="M183" s="169"/>
      <c r="N183" s="169"/>
      <c r="O183" s="169"/>
      <c r="P183" s="3"/>
      <c r="Q183" s="3"/>
      <c r="R183" s="3"/>
    </row>
    <row r="184" spans="1:18" x14ac:dyDescent="0.25">
      <c r="A184" s="176">
        <f>+A178</f>
        <v>0.75</v>
      </c>
      <c r="B184" s="176">
        <f>+B178</f>
        <v>0.65</v>
      </c>
      <c r="C184" s="73"/>
      <c r="D184" s="73"/>
      <c r="E184" s="129"/>
      <c r="F184" s="172">
        <f>+F166</f>
        <v>62044.737686019231</v>
      </c>
      <c r="G184" s="172">
        <f t="shared" ref="G184:H184" si="143">+G166</f>
        <v>58571.540438882163</v>
      </c>
      <c r="H184" s="172">
        <f t="shared" si="143"/>
        <v>55009.257944523095</v>
      </c>
      <c r="I184" s="172"/>
      <c r="J184" s="172"/>
      <c r="K184" s="172"/>
      <c r="L184" s="172"/>
      <c r="M184" s="172"/>
      <c r="N184" s="172"/>
      <c r="O184" s="172"/>
      <c r="P184" s="3"/>
      <c r="Q184" s="3"/>
      <c r="R184" s="3"/>
    </row>
    <row r="185" spans="1:18" x14ac:dyDescent="0.25">
      <c r="A185" s="173"/>
      <c r="B185" s="174"/>
      <c r="C185" s="173" t="s">
        <v>272</v>
      </c>
      <c r="D185" s="178">
        <f>NPV($B$174,E185:H185)*(A184*B184)</f>
        <v>-531584.35271863837</v>
      </c>
      <c r="E185" s="183">
        <f>SUM(E183:E184)</f>
        <v>-700000</v>
      </c>
      <c r="F185" s="183">
        <f t="shared" ref="F185" si="144">SUM(F183:F184)</f>
        <v>62044.737686019231</v>
      </c>
      <c r="G185" s="183">
        <f t="shared" ref="G185" si="145">SUM(G183:G184)</f>
        <v>58571.540438882163</v>
      </c>
      <c r="H185" s="183">
        <f t="shared" ref="H185" si="146">SUM(H183:H184)</f>
        <v>-644990.74205547688</v>
      </c>
      <c r="I185" s="106"/>
      <c r="J185" s="106"/>
      <c r="K185" s="106"/>
      <c r="L185" s="106"/>
      <c r="M185" s="106"/>
      <c r="N185" s="106"/>
      <c r="O185" s="106"/>
      <c r="P185" s="3"/>
      <c r="Q185" s="3"/>
      <c r="R185" s="3"/>
    </row>
    <row r="186" spans="1:18" x14ac:dyDescent="0.25">
      <c r="A186" s="166" t="s">
        <v>281</v>
      </c>
      <c r="B186" s="166"/>
      <c r="C186" s="166"/>
      <c r="D186" s="167"/>
      <c r="E186" s="168">
        <f>+E183</f>
        <v>-700000</v>
      </c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3"/>
      <c r="Q186" s="3"/>
      <c r="R186" s="3"/>
    </row>
    <row r="187" spans="1:18" x14ac:dyDescent="0.25">
      <c r="A187" s="177">
        <f>100%-A178</f>
        <v>0.25</v>
      </c>
      <c r="B187" s="73"/>
      <c r="C187" s="73"/>
      <c r="D187" s="73"/>
      <c r="E187" s="129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3"/>
      <c r="Q187" s="3"/>
      <c r="R187" s="3"/>
    </row>
    <row r="188" spans="1:18" x14ac:dyDescent="0.25">
      <c r="A188" s="173"/>
      <c r="B188" s="174"/>
      <c r="C188" s="173" t="s">
        <v>272</v>
      </c>
      <c r="D188" s="178">
        <f>NPV($B$174,E186:O188)*(A187)</f>
        <v>-166666.66666666666</v>
      </c>
      <c r="E188" s="23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3"/>
      <c r="Q188" s="3"/>
      <c r="R188" s="3"/>
    </row>
    <row r="189" spans="1:18" ht="16.5" thickBot="1" x14ac:dyDescent="0.3">
      <c r="A189" s="179"/>
      <c r="B189" s="180"/>
      <c r="C189" s="180"/>
      <c r="D189" s="182">
        <f>SUM(D179:D188)</f>
        <v>139113.39047257122</v>
      </c>
      <c r="E189" s="51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3"/>
      <c r="Q189" s="3"/>
      <c r="R189" s="3"/>
    </row>
    <row r="190" spans="1:18" ht="15.75" thickTop="1" x14ac:dyDescent="0.25">
      <c r="A190"/>
      <c r="B190"/>
      <c r="C190"/>
      <c r="D190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5">
      <c r="A191"/>
      <c r="B191"/>
      <c r="C191"/>
      <c r="D19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75" x14ac:dyDescent="0.25">
      <c r="A192" s="152" t="s">
        <v>246</v>
      </c>
      <c r="B192" s="73"/>
      <c r="C192" s="73"/>
      <c r="D192" s="73"/>
      <c r="E192" s="188" t="s">
        <v>258</v>
      </c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3"/>
      <c r="Q192" s="3"/>
      <c r="R192" s="3"/>
    </row>
    <row r="193" spans="1:18" x14ac:dyDescent="0.25">
      <c r="A193" s="146"/>
      <c r="B193" s="146"/>
      <c r="C193" s="146"/>
      <c r="D193" s="146"/>
      <c r="E193" s="14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5">
      <c r="A194" s="146" t="s">
        <v>247</v>
      </c>
      <c r="B194" s="146"/>
      <c r="C194" s="146"/>
      <c r="D194" s="146"/>
      <c r="E194" s="14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5">
      <c r="A195" s="146" t="s">
        <v>248</v>
      </c>
      <c r="B195" s="146" t="s">
        <v>249</v>
      </c>
      <c r="C195" s="146"/>
      <c r="D195" s="146"/>
      <c r="E195" s="7">
        <f>-(F126-E126)</f>
        <v>-142448.1480746615</v>
      </c>
      <c r="F195" s="7">
        <f t="shared" ref="F195:N195" si="147">-(G126-F126)</f>
        <v>1567.5293192210374</v>
      </c>
      <c r="G195" s="7">
        <f t="shared" si="147"/>
        <v>1680.8461404520494</v>
      </c>
      <c r="H195" s="7">
        <f t="shared" si="147"/>
        <v>1802.3546438522171</v>
      </c>
      <c r="I195" s="7">
        <f t="shared" si="147"/>
        <v>1932.6470067878836</v>
      </c>
      <c r="J195" s="7">
        <f t="shared" si="147"/>
        <v>2072.3582151751907</v>
      </c>
      <c r="K195" s="7">
        <f t="shared" si="147"/>
        <v>2222.1691581132764</v>
      </c>
      <c r="L195" s="7">
        <f t="shared" si="147"/>
        <v>2382.8099462295213</v>
      </c>
      <c r="M195" s="7">
        <f t="shared" si="147"/>
        <v>2555.0634699074872</v>
      </c>
      <c r="N195" s="7">
        <f t="shared" si="147"/>
        <v>2739.769214739892</v>
      </c>
      <c r="O195" s="3"/>
      <c r="P195" s="3"/>
      <c r="Q195" s="3"/>
      <c r="R195" s="3"/>
    </row>
    <row r="196" spans="1:18" x14ac:dyDescent="0.25">
      <c r="A196" s="146" t="s">
        <v>250</v>
      </c>
      <c r="B196" s="146" t="s">
        <v>251</v>
      </c>
      <c r="C196" s="146"/>
      <c r="D196" s="146"/>
      <c r="O196" s="22">
        <f>+V126</f>
        <v>132070.54576289345</v>
      </c>
    </row>
    <row r="197" spans="1:18" x14ac:dyDescent="0.25">
      <c r="A197" s="146" t="s">
        <v>250</v>
      </c>
      <c r="B197" s="146" t="s">
        <v>252</v>
      </c>
      <c r="C197" s="146"/>
      <c r="D197" s="146"/>
      <c r="F197" s="22">
        <f>+F92</f>
        <v>10027.38992440987</v>
      </c>
      <c r="G197" s="22">
        <f t="shared" ref="G197:O197" si="148">+G92</f>
        <v>9921.7125305273057</v>
      </c>
      <c r="H197" s="22">
        <f t="shared" si="148"/>
        <v>9808.3957092962974</v>
      </c>
      <c r="I197" s="22">
        <f t="shared" si="148"/>
        <v>9686.887205896126</v>
      </c>
      <c r="J197" s="22">
        <f t="shared" si="148"/>
        <v>9556.5948429604377</v>
      </c>
      <c r="K197" s="22">
        <f t="shared" si="148"/>
        <v>9416.8836345731816</v>
      </c>
      <c r="L197" s="22">
        <f t="shared" si="148"/>
        <v>9267.0726916350814</v>
      </c>
      <c r="M197" s="22">
        <f t="shared" si="148"/>
        <v>9106.43190351884</v>
      </c>
      <c r="N197" s="22">
        <f t="shared" si="148"/>
        <v>8934.1783798408669</v>
      </c>
      <c r="O197" s="22">
        <f t="shared" si="148"/>
        <v>8749.4726350084402</v>
      </c>
    </row>
    <row r="198" spans="1:18" ht="15.75" thickBot="1" x14ac:dyDescent="0.3">
      <c r="A198" s="146" t="s">
        <v>253</v>
      </c>
      <c r="B198" s="146"/>
      <c r="C198" s="146"/>
      <c r="D198" s="146"/>
      <c r="E198" s="51">
        <f>SUM(E195:E197)</f>
        <v>-142448.1480746615</v>
      </c>
      <c r="F198" s="51">
        <f>SUM(F195:F197)</f>
        <v>11594.919243630908</v>
      </c>
      <c r="G198" s="51">
        <f t="shared" ref="G198:O198" si="149">SUM(G195:G197)</f>
        <v>11602.558670979355</v>
      </c>
      <c r="H198" s="51">
        <f t="shared" si="149"/>
        <v>11610.750353148514</v>
      </c>
      <c r="I198" s="51">
        <f t="shared" si="149"/>
        <v>11619.53421268401</v>
      </c>
      <c r="J198" s="51">
        <f t="shared" si="149"/>
        <v>11628.953058135628</v>
      </c>
      <c r="K198" s="51">
        <f t="shared" si="149"/>
        <v>11639.052792686458</v>
      </c>
      <c r="L198" s="51">
        <f t="shared" si="149"/>
        <v>11649.882637864603</v>
      </c>
      <c r="M198" s="51">
        <f t="shared" si="149"/>
        <v>11661.495373426327</v>
      </c>
      <c r="N198" s="51">
        <f t="shared" si="149"/>
        <v>11673.947594580759</v>
      </c>
      <c r="O198" s="51">
        <f t="shared" si="149"/>
        <v>140820.01839790191</v>
      </c>
      <c r="P198" s="40" t="s">
        <v>257</v>
      </c>
    </row>
    <row r="199" spans="1:18" ht="15.75" thickTop="1" x14ac:dyDescent="0.25">
      <c r="A199" s="146" t="s">
        <v>126</v>
      </c>
      <c r="B199" s="146"/>
      <c r="C199" s="146"/>
      <c r="D199" s="146"/>
      <c r="E199" s="1">
        <f>IRR(E198:O198)</f>
        <v>7.5043598033047276E-2</v>
      </c>
      <c r="P199" s="40">
        <v>0.05</v>
      </c>
    </row>
    <row r="200" spans="1:18" x14ac:dyDescent="0.25">
      <c r="A200" s="146" t="s">
        <v>254</v>
      </c>
      <c r="B200" s="146"/>
      <c r="C200" s="146"/>
      <c r="D200" s="146"/>
      <c r="E200" s="1">
        <f>+Mortgage!C4*12</f>
        <v>7.0000000000000007E-2</v>
      </c>
      <c r="P200" s="40">
        <f>100%-P199</f>
        <v>0.95</v>
      </c>
    </row>
    <row r="201" spans="1:18" ht="15.75" thickBot="1" x14ac:dyDescent="0.3">
      <c r="A201" s="146" t="s">
        <v>255</v>
      </c>
      <c r="B201" s="146"/>
      <c r="C201" s="146"/>
      <c r="D201" s="146"/>
      <c r="E201" s="1">
        <f>P199*E199+P200*E200</f>
        <v>7.0252179901652362E-2</v>
      </c>
      <c r="P201" s="159">
        <f>SUM(P199:P200)</f>
        <v>1</v>
      </c>
    </row>
    <row r="202" spans="1:18" ht="15.75" thickTop="1" x14ac:dyDescent="0.25">
      <c r="A202" s="146"/>
      <c r="B202" s="146"/>
      <c r="C202" s="146"/>
      <c r="D202" s="146"/>
    </row>
    <row r="203" spans="1:18" x14ac:dyDescent="0.25">
      <c r="A203" s="146" t="s">
        <v>256</v>
      </c>
      <c r="B203" s="146"/>
      <c r="C203" s="146"/>
      <c r="D203" s="146"/>
    </row>
    <row r="204" spans="1:18" x14ac:dyDescent="0.25">
      <c r="A204" s="146" t="s">
        <v>248</v>
      </c>
      <c r="B204" s="146" t="s">
        <v>249</v>
      </c>
      <c r="C204" s="146"/>
      <c r="D204" s="146"/>
      <c r="E204" s="22">
        <f t="shared" ref="E204:N204" si="150">-(F128-E128)</f>
        <v>0</v>
      </c>
      <c r="F204" s="22">
        <f t="shared" si="150"/>
        <v>0</v>
      </c>
      <c r="G204" s="22">
        <f t="shared" si="150"/>
        <v>0</v>
      </c>
      <c r="H204" s="22">
        <f t="shared" si="150"/>
        <v>0</v>
      </c>
      <c r="I204" s="22">
        <f t="shared" si="150"/>
        <v>0</v>
      </c>
      <c r="J204" s="22">
        <f t="shared" si="150"/>
        <v>-50289.794141521459</v>
      </c>
      <c r="K204" s="22">
        <f t="shared" si="150"/>
        <v>-8237.7344072518099</v>
      </c>
      <c r="L204" s="22">
        <f t="shared" si="150"/>
        <v>-9787.4983698971992</v>
      </c>
      <c r="M204" s="22">
        <f t="shared" si="150"/>
        <v>-10293.638355191317</v>
      </c>
      <c r="N204" s="22">
        <f t="shared" si="150"/>
        <v>-11118.454120765062</v>
      </c>
    </row>
    <row r="205" spans="1:18" x14ac:dyDescent="0.25">
      <c r="A205" s="146" t="s">
        <v>250</v>
      </c>
      <c r="B205" s="146" t="s">
        <v>251</v>
      </c>
      <c r="C205" s="146"/>
      <c r="D205" s="146"/>
      <c r="O205" s="22">
        <f>+V128</f>
        <v>156292.96215991661</v>
      </c>
    </row>
    <row r="206" spans="1:18" x14ac:dyDescent="0.25">
      <c r="A206" s="146" t="s">
        <v>250</v>
      </c>
      <c r="B206" s="146" t="s">
        <v>252</v>
      </c>
      <c r="C206" s="146"/>
      <c r="D206" s="146"/>
      <c r="E206" s="22">
        <f>+F94</f>
        <v>0</v>
      </c>
      <c r="F206" s="22">
        <f>+G94</f>
        <v>0</v>
      </c>
      <c r="G206" s="22">
        <f>+H94</f>
        <v>0</v>
      </c>
      <c r="H206" s="22">
        <f t="shared" ref="H206:O206" si="151">+H94</f>
        <v>0</v>
      </c>
      <c r="I206" s="22">
        <f t="shared" si="151"/>
        <v>0</v>
      </c>
      <c r="J206" s="22">
        <f t="shared" si="151"/>
        <v>0</v>
      </c>
      <c r="K206" s="22">
        <f t="shared" si="151"/>
        <v>5028.9794141521461</v>
      </c>
      <c r="L206" s="22">
        <f t="shared" si="151"/>
        <v>5852.7528548773271</v>
      </c>
      <c r="M206" s="22">
        <f t="shared" si="151"/>
        <v>6831.5026918670474</v>
      </c>
      <c r="N206" s="22">
        <f t="shared" si="151"/>
        <v>7860.8665273861789</v>
      </c>
      <c r="O206" s="22">
        <f t="shared" si="151"/>
        <v>8972.7119394626843</v>
      </c>
    </row>
    <row r="207" spans="1:18" ht="15.75" thickBot="1" x14ac:dyDescent="0.3">
      <c r="A207" s="146" t="s">
        <v>253</v>
      </c>
      <c r="B207" s="146"/>
      <c r="C207" s="146"/>
      <c r="D207" s="146"/>
      <c r="E207" s="51">
        <f t="shared" ref="E207" si="152">SUM(E204:E206)</f>
        <v>0</v>
      </c>
      <c r="F207" s="51">
        <f t="shared" ref="F207" si="153">SUM(F204:F206)</f>
        <v>0</v>
      </c>
      <c r="G207" s="51">
        <f t="shared" ref="G207" si="154">SUM(G204:G206)</f>
        <v>0</v>
      </c>
      <c r="H207" s="51">
        <f>SUM(H204:H206)</f>
        <v>0</v>
      </c>
      <c r="I207" s="51">
        <f t="shared" ref="I207:O207" si="155">SUM(I204:I206)</f>
        <v>0</v>
      </c>
      <c r="J207" s="51">
        <f t="shared" si="155"/>
        <v>-50289.794141521459</v>
      </c>
      <c r="K207" s="51">
        <f t="shared" si="155"/>
        <v>-3208.7549930996638</v>
      </c>
      <c r="L207" s="51">
        <f t="shared" si="155"/>
        <v>-3934.7455150198721</v>
      </c>
      <c r="M207" s="51">
        <f t="shared" si="155"/>
        <v>-3462.1356633242694</v>
      </c>
      <c r="N207" s="51">
        <f t="shared" si="155"/>
        <v>-3257.587593378883</v>
      </c>
      <c r="O207" s="51">
        <f t="shared" si="155"/>
        <v>165265.67409937931</v>
      </c>
      <c r="P207" s="40" t="s">
        <v>257</v>
      </c>
    </row>
    <row r="208" spans="1:18" ht="15.75" thickTop="1" x14ac:dyDescent="0.25">
      <c r="A208" s="146" t="s">
        <v>126</v>
      </c>
      <c r="B208" s="146"/>
      <c r="C208" s="146"/>
      <c r="D208" s="146"/>
      <c r="E208" s="1">
        <f>IRR(H207:O207)</f>
        <v>0.22963954516482277</v>
      </c>
      <c r="P208" s="40">
        <v>0.05</v>
      </c>
    </row>
    <row r="209" spans="1:16" x14ac:dyDescent="0.25">
      <c r="A209" s="146" t="s">
        <v>254</v>
      </c>
      <c r="B209" s="146"/>
      <c r="C209" s="146"/>
      <c r="D209" s="146"/>
      <c r="E209" s="1">
        <f>+P94</f>
        <v>0.1</v>
      </c>
      <c r="P209" s="40">
        <f>100%-P208</f>
        <v>0.95</v>
      </c>
    </row>
    <row r="210" spans="1:16" ht="15.75" thickBot="1" x14ac:dyDescent="0.3">
      <c r="A210" s="146" t="s">
        <v>255</v>
      </c>
      <c r="B210" s="146"/>
      <c r="C210" s="146"/>
      <c r="D210" s="146"/>
      <c r="E210" s="1">
        <f>P208*E208+P209*E209</f>
        <v>0.10648197725824114</v>
      </c>
      <c r="P210" s="159">
        <f>SUM(P208:P209)</f>
        <v>1</v>
      </c>
    </row>
    <row r="211" spans="1:16" ht="15.75" thickTop="1" x14ac:dyDescent="0.25"/>
  </sheetData>
  <sheetProtection selectLockedCells="1" selectUnlockedCells="1"/>
  <mergeCells count="24">
    <mergeCell ref="Z112:AD112"/>
    <mergeCell ref="U20:X20"/>
    <mergeCell ref="U28:W28"/>
    <mergeCell ref="A1:O1"/>
    <mergeCell ref="Q139:R139"/>
    <mergeCell ref="A35:O35"/>
    <mergeCell ref="A23:O23"/>
    <mergeCell ref="A19:O19"/>
    <mergeCell ref="A27:O27"/>
    <mergeCell ref="A31:O31"/>
    <mergeCell ref="U12:X12"/>
    <mergeCell ref="U6:W6"/>
    <mergeCell ref="E192:O192"/>
    <mergeCell ref="Q146:R146"/>
    <mergeCell ref="T145:U145"/>
    <mergeCell ref="A39:O39"/>
    <mergeCell ref="A43:O43"/>
    <mergeCell ref="A48:O48"/>
    <mergeCell ref="A57:O57"/>
    <mergeCell ref="A63:O63"/>
    <mergeCell ref="A53:O53"/>
    <mergeCell ref="F119:O119"/>
    <mergeCell ref="E172:O172"/>
    <mergeCell ref="A167:D167"/>
  </mergeCells>
  <pageMargins left="0.7" right="0.7" top="0.75" bottom="0.75" header="0.51180555555555596" footer="0.51180555555555596"/>
  <pageSetup scale="55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workbookViewId="0">
      <selection activeCell="C4" sqref="C4"/>
    </sheetView>
  </sheetViews>
  <sheetFormatPr defaultColWidth="11.5703125" defaultRowHeight="12.75" x14ac:dyDescent="0.2"/>
  <cols>
    <col min="1" max="1" width="30.140625" style="7" customWidth="1"/>
    <col min="2" max="3" width="12.7109375" style="7" customWidth="1"/>
    <col min="4" max="4" width="12.85546875" style="7" customWidth="1"/>
    <col min="5" max="5" width="15.7109375" style="7" customWidth="1"/>
    <col min="6" max="6" width="12.42578125" style="7" customWidth="1"/>
    <col min="7" max="7" width="11.5703125" style="7"/>
    <col min="8" max="8" width="14.28515625" style="7" customWidth="1"/>
    <col min="9" max="16384" width="11.5703125" style="7"/>
  </cols>
  <sheetData>
    <row r="1" spans="1:8" x14ac:dyDescent="0.2">
      <c r="B1" s="7" t="s">
        <v>27</v>
      </c>
      <c r="C1" s="7">
        <f>+'The Village Gun Store'!AE109</f>
        <v>143910</v>
      </c>
    </row>
    <row r="2" spans="1:8" x14ac:dyDescent="0.2">
      <c r="A2" s="8"/>
      <c r="B2" s="8" t="s">
        <v>28</v>
      </c>
      <c r="C2" s="8">
        <v>0</v>
      </c>
      <c r="D2" s="8"/>
      <c r="E2" s="8"/>
      <c r="F2" s="8"/>
    </row>
    <row r="3" spans="1:8" x14ac:dyDescent="0.2">
      <c r="A3" s="8"/>
      <c r="B3" s="8" t="s">
        <v>29</v>
      </c>
      <c r="C3" s="8">
        <f>PMT(C4,C5,C1,C2)</f>
        <v>-957.4368208123625</v>
      </c>
      <c r="D3" s="8"/>
      <c r="E3" s="8"/>
      <c r="F3" s="8"/>
    </row>
    <row r="4" spans="1:8" ht="15" x14ac:dyDescent="0.25">
      <c r="A4" s="8"/>
      <c r="B4" s="8" t="s">
        <v>30</v>
      </c>
      <c r="C4" s="1">
        <f>7%/12</f>
        <v>5.8333333333333336E-3</v>
      </c>
      <c r="D4" s="8"/>
      <c r="E4" s="8"/>
      <c r="F4" s="8"/>
    </row>
    <row r="5" spans="1:8" x14ac:dyDescent="0.2">
      <c r="A5" s="8"/>
      <c r="B5" s="8" t="s">
        <v>31</v>
      </c>
      <c r="C5" s="8">
        <f>30*12</f>
        <v>360</v>
      </c>
      <c r="D5" s="8"/>
      <c r="E5" s="8"/>
      <c r="F5" s="8"/>
    </row>
    <row r="6" spans="1:8" x14ac:dyDescent="0.2">
      <c r="A6" s="8"/>
      <c r="B6" s="8"/>
      <c r="C6" s="8"/>
      <c r="D6" s="8"/>
      <c r="E6" s="8"/>
      <c r="F6" s="8"/>
    </row>
    <row r="7" spans="1:8" ht="16.5" customHeight="1" x14ac:dyDescent="0.2">
      <c r="A7" s="8"/>
      <c r="B7" s="9" t="s">
        <v>32</v>
      </c>
      <c r="C7" s="9" t="s">
        <v>29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</row>
    <row r="8" spans="1:8" s="12" customFormat="1" ht="16.5" customHeight="1" x14ac:dyDescent="0.2">
      <c r="A8" s="11"/>
      <c r="B8" s="11"/>
      <c r="C8" s="11"/>
      <c r="D8" s="11"/>
      <c r="E8" s="11"/>
      <c r="F8" s="11">
        <f>+C1</f>
        <v>143910</v>
      </c>
      <c r="G8" s="11"/>
      <c r="H8" s="11"/>
    </row>
    <row r="9" spans="1:8" hidden="1" x14ac:dyDescent="0.2">
      <c r="A9" s="8"/>
      <c r="B9" s="8">
        <v>1</v>
      </c>
      <c r="C9" s="8">
        <f>-$C$3</f>
        <v>957.4368208123625</v>
      </c>
      <c r="D9" s="8">
        <f>+F8*$C$4</f>
        <v>839.47500000000002</v>
      </c>
      <c r="E9" s="8">
        <f>+C9-D9</f>
        <v>117.96182081236248</v>
      </c>
      <c r="F9" s="8">
        <f>+F8-E9</f>
        <v>143792.03817918763</v>
      </c>
    </row>
    <row r="10" spans="1:8" hidden="1" x14ac:dyDescent="0.2">
      <c r="A10" s="8"/>
      <c r="B10" s="8">
        <v>2</v>
      </c>
      <c r="C10" s="8">
        <f t="shared" ref="C10:C73" si="0">-$C$3</f>
        <v>957.4368208123625</v>
      </c>
      <c r="D10" s="8">
        <f t="shared" ref="D10:D66" si="1">+F9*$C$4</f>
        <v>838.78688937859454</v>
      </c>
      <c r="E10" s="8">
        <f t="shared" ref="E10:E66" si="2">+C10-D10</f>
        <v>118.64993143376796</v>
      </c>
      <c r="F10" s="8">
        <f t="shared" ref="F10:F66" si="3">+F9-E10</f>
        <v>143673.38824775387</v>
      </c>
    </row>
    <row r="11" spans="1:8" hidden="1" x14ac:dyDescent="0.2">
      <c r="A11" s="8"/>
      <c r="B11" s="8">
        <v>3</v>
      </c>
      <c r="C11" s="8">
        <f t="shared" si="0"/>
        <v>957.4368208123625</v>
      </c>
      <c r="D11" s="8">
        <f t="shared" si="1"/>
        <v>838.09476477856424</v>
      </c>
      <c r="E11" s="8">
        <f t="shared" si="2"/>
        <v>119.34205603379826</v>
      </c>
      <c r="F11" s="8">
        <f t="shared" si="3"/>
        <v>143554.04619172006</v>
      </c>
    </row>
    <row r="12" spans="1:8" hidden="1" x14ac:dyDescent="0.2">
      <c r="A12" s="8"/>
      <c r="B12" s="8">
        <v>4</v>
      </c>
      <c r="C12" s="8">
        <f t="shared" si="0"/>
        <v>957.4368208123625</v>
      </c>
      <c r="D12" s="8">
        <f t="shared" si="1"/>
        <v>837.39860278503375</v>
      </c>
      <c r="E12" s="8">
        <f t="shared" si="2"/>
        <v>120.03821802732875</v>
      </c>
      <c r="F12" s="8">
        <f t="shared" si="3"/>
        <v>143434.00797369273</v>
      </c>
    </row>
    <row r="13" spans="1:8" hidden="1" x14ac:dyDescent="0.2">
      <c r="A13" s="8"/>
      <c r="B13" s="8">
        <v>5</v>
      </c>
      <c r="C13" s="8">
        <f t="shared" si="0"/>
        <v>957.4368208123625</v>
      </c>
      <c r="D13" s="8">
        <f t="shared" si="1"/>
        <v>836.698379846541</v>
      </c>
      <c r="E13" s="8">
        <f t="shared" si="2"/>
        <v>120.7384409658215</v>
      </c>
      <c r="F13" s="8">
        <f t="shared" si="3"/>
        <v>143313.2695327269</v>
      </c>
    </row>
    <row r="14" spans="1:8" hidden="1" x14ac:dyDescent="0.2">
      <c r="A14" s="8"/>
      <c r="B14" s="8">
        <v>6</v>
      </c>
      <c r="C14" s="8">
        <f t="shared" si="0"/>
        <v>957.4368208123625</v>
      </c>
      <c r="D14" s="8">
        <f t="shared" si="1"/>
        <v>835.99407227424035</v>
      </c>
      <c r="E14" s="8">
        <f t="shared" si="2"/>
        <v>121.44274853812215</v>
      </c>
      <c r="F14" s="8">
        <f t="shared" si="3"/>
        <v>143191.82678418877</v>
      </c>
    </row>
    <row r="15" spans="1:8" hidden="1" x14ac:dyDescent="0.2">
      <c r="A15" s="10"/>
      <c r="B15" s="8">
        <v>7</v>
      </c>
      <c r="C15" s="8">
        <f t="shared" si="0"/>
        <v>957.4368208123625</v>
      </c>
      <c r="D15" s="8">
        <f t="shared" si="1"/>
        <v>835.28565624110115</v>
      </c>
      <c r="E15" s="8">
        <f t="shared" si="2"/>
        <v>122.15116457126135</v>
      </c>
      <c r="F15" s="8">
        <f t="shared" si="3"/>
        <v>143069.67561961751</v>
      </c>
    </row>
    <row r="16" spans="1:8" hidden="1" x14ac:dyDescent="0.2">
      <c r="A16" s="8"/>
      <c r="B16" s="8">
        <v>8</v>
      </c>
      <c r="C16" s="8">
        <f t="shared" si="0"/>
        <v>957.4368208123625</v>
      </c>
      <c r="D16" s="8">
        <f t="shared" si="1"/>
        <v>834.57310778110218</v>
      </c>
      <c r="E16" s="8">
        <f t="shared" si="2"/>
        <v>122.86371303126032</v>
      </c>
      <c r="F16" s="8">
        <f t="shared" si="3"/>
        <v>142946.81190658626</v>
      </c>
    </row>
    <row r="17" spans="1:8" hidden="1" x14ac:dyDescent="0.2">
      <c r="A17" s="8"/>
      <c r="B17" s="8">
        <v>9</v>
      </c>
      <c r="C17" s="8">
        <f t="shared" si="0"/>
        <v>957.4368208123625</v>
      </c>
      <c r="D17" s="8">
        <f t="shared" si="1"/>
        <v>833.85640278841981</v>
      </c>
      <c r="E17" s="8">
        <f t="shared" si="2"/>
        <v>123.58041802394268</v>
      </c>
      <c r="F17" s="8">
        <f t="shared" si="3"/>
        <v>142823.23148856231</v>
      </c>
    </row>
    <row r="18" spans="1:8" hidden="1" x14ac:dyDescent="0.2">
      <c r="A18" s="8"/>
      <c r="B18" s="8">
        <v>10</v>
      </c>
      <c r="C18" s="8">
        <f t="shared" si="0"/>
        <v>957.4368208123625</v>
      </c>
      <c r="D18" s="8">
        <f t="shared" si="1"/>
        <v>833.13551701661345</v>
      </c>
      <c r="E18" s="8">
        <f t="shared" si="2"/>
        <v>124.30130379574905</v>
      </c>
      <c r="F18" s="8">
        <f t="shared" si="3"/>
        <v>142698.93018476656</v>
      </c>
    </row>
    <row r="19" spans="1:8" hidden="1" x14ac:dyDescent="0.2">
      <c r="A19" s="8"/>
      <c r="B19" s="8">
        <v>11</v>
      </c>
      <c r="C19" s="8">
        <f t="shared" si="0"/>
        <v>957.4368208123625</v>
      </c>
      <c r="D19" s="8">
        <f t="shared" si="1"/>
        <v>832.41042607780503</v>
      </c>
      <c r="E19" s="8">
        <f t="shared" si="2"/>
        <v>125.02639473455747</v>
      </c>
      <c r="F19" s="8">
        <f t="shared" si="3"/>
        <v>142573.903790032</v>
      </c>
    </row>
    <row r="20" spans="1:8" x14ac:dyDescent="0.2">
      <c r="A20" s="8">
        <v>1</v>
      </c>
      <c r="B20" s="13">
        <v>12</v>
      </c>
      <c r="C20" s="13">
        <f t="shared" si="0"/>
        <v>957.4368208123625</v>
      </c>
      <c r="D20" s="13">
        <f t="shared" si="1"/>
        <v>831.68110544185333</v>
      </c>
      <c r="E20" s="13">
        <f t="shared" si="2"/>
        <v>125.75571537050917</v>
      </c>
      <c r="F20" s="13">
        <f t="shared" si="3"/>
        <v>142448.1480746615</v>
      </c>
      <c r="G20" s="14">
        <f>SUM(D9:D20)</f>
        <v>10027.38992440987</v>
      </c>
      <c r="H20" s="14">
        <f>+F20</f>
        <v>142448.1480746615</v>
      </c>
    </row>
    <row r="21" spans="1:8" hidden="1" x14ac:dyDescent="0.2">
      <c r="A21" s="8"/>
      <c r="B21" s="8">
        <v>1</v>
      </c>
      <c r="C21" s="8">
        <f t="shared" si="0"/>
        <v>957.4368208123625</v>
      </c>
      <c r="D21" s="8">
        <f t="shared" si="1"/>
        <v>830.94753043552544</v>
      </c>
      <c r="E21" s="8">
        <f t="shared" si="2"/>
        <v>126.48929037683706</v>
      </c>
      <c r="F21" s="8">
        <f t="shared" si="3"/>
        <v>142321.65878428466</v>
      </c>
    </row>
    <row r="22" spans="1:8" hidden="1" x14ac:dyDescent="0.2">
      <c r="A22" s="8"/>
      <c r="B22" s="8">
        <v>2</v>
      </c>
      <c r="C22" s="8">
        <f t="shared" si="0"/>
        <v>957.4368208123625</v>
      </c>
      <c r="D22" s="8">
        <f t="shared" si="1"/>
        <v>830.20967624166053</v>
      </c>
      <c r="E22" s="8">
        <f t="shared" si="2"/>
        <v>127.22714457070197</v>
      </c>
      <c r="F22" s="8">
        <f t="shared" si="3"/>
        <v>142194.43163971396</v>
      </c>
    </row>
    <row r="23" spans="1:8" hidden="1" x14ac:dyDescent="0.2">
      <c r="A23" s="8"/>
      <c r="B23" s="8">
        <v>3</v>
      </c>
      <c r="C23" s="8">
        <f t="shared" si="0"/>
        <v>957.4368208123625</v>
      </c>
      <c r="D23" s="8">
        <f t="shared" si="1"/>
        <v>829.46751789833149</v>
      </c>
      <c r="E23" s="8">
        <f t="shared" si="2"/>
        <v>127.969302914031</v>
      </c>
      <c r="F23" s="8">
        <f t="shared" si="3"/>
        <v>142066.46233679994</v>
      </c>
    </row>
    <row r="24" spans="1:8" hidden="1" x14ac:dyDescent="0.2">
      <c r="A24" s="8"/>
      <c r="B24" s="8">
        <v>4</v>
      </c>
      <c r="C24" s="8">
        <f t="shared" si="0"/>
        <v>957.4368208123625</v>
      </c>
      <c r="D24" s="8">
        <f t="shared" si="1"/>
        <v>828.72103029799973</v>
      </c>
      <c r="E24" s="8">
        <f t="shared" si="2"/>
        <v>128.71579051436277</v>
      </c>
      <c r="F24" s="8">
        <f t="shared" si="3"/>
        <v>141937.74654628558</v>
      </c>
    </row>
    <row r="25" spans="1:8" hidden="1" x14ac:dyDescent="0.2">
      <c r="A25" s="8"/>
      <c r="B25" s="8">
        <v>5</v>
      </c>
      <c r="C25" s="8">
        <f t="shared" si="0"/>
        <v>957.4368208123625</v>
      </c>
      <c r="D25" s="8">
        <f t="shared" si="1"/>
        <v>827.97018818666595</v>
      </c>
      <c r="E25" s="8">
        <f t="shared" si="2"/>
        <v>129.46663262569655</v>
      </c>
      <c r="F25" s="8">
        <f t="shared" si="3"/>
        <v>141808.27991365988</v>
      </c>
    </row>
    <row r="26" spans="1:8" hidden="1" x14ac:dyDescent="0.2">
      <c r="A26" s="8"/>
      <c r="B26" s="8">
        <v>6</v>
      </c>
      <c r="C26" s="8">
        <f t="shared" si="0"/>
        <v>957.4368208123625</v>
      </c>
      <c r="D26" s="8">
        <f t="shared" si="1"/>
        <v>827.21496616301602</v>
      </c>
      <c r="E26" s="8">
        <f t="shared" si="2"/>
        <v>130.22185464934648</v>
      </c>
      <c r="F26" s="8">
        <f t="shared" si="3"/>
        <v>141678.05805901054</v>
      </c>
    </row>
    <row r="27" spans="1:8" hidden="1" x14ac:dyDescent="0.2">
      <c r="A27" s="8"/>
      <c r="B27" s="8">
        <v>7</v>
      </c>
      <c r="C27" s="8">
        <f t="shared" si="0"/>
        <v>957.4368208123625</v>
      </c>
      <c r="D27" s="8">
        <f t="shared" si="1"/>
        <v>826.45533867756149</v>
      </c>
      <c r="E27" s="8">
        <f t="shared" si="2"/>
        <v>130.98148213480101</v>
      </c>
      <c r="F27" s="8">
        <f t="shared" si="3"/>
        <v>141547.07657687573</v>
      </c>
    </row>
    <row r="28" spans="1:8" hidden="1" x14ac:dyDescent="0.2">
      <c r="A28" s="8"/>
      <c r="B28" s="8">
        <v>8</v>
      </c>
      <c r="C28" s="8">
        <f t="shared" si="0"/>
        <v>957.4368208123625</v>
      </c>
      <c r="D28" s="8">
        <f t="shared" si="1"/>
        <v>825.69128003177514</v>
      </c>
      <c r="E28" s="8">
        <f t="shared" si="2"/>
        <v>131.74554078058736</v>
      </c>
      <c r="F28" s="8">
        <f t="shared" si="3"/>
        <v>141415.33103609513</v>
      </c>
    </row>
    <row r="29" spans="1:8" hidden="1" x14ac:dyDescent="0.2">
      <c r="A29" s="10"/>
      <c r="B29" s="8">
        <v>9</v>
      </c>
      <c r="C29" s="8">
        <f t="shared" si="0"/>
        <v>957.4368208123625</v>
      </c>
      <c r="D29" s="8">
        <f t="shared" si="1"/>
        <v>824.9227643772216</v>
      </c>
      <c r="E29" s="8">
        <f t="shared" si="2"/>
        <v>132.5140564351409</v>
      </c>
      <c r="F29" s="8">
        <f t="shared" si="3"/>
        <v>141282.81697965998</v>
      </c>
    </row>
    <row r="30" spans="1:8" hidden="1" x14ac:dyDescent="0.2">
      <c r="A30" s="8"/>
      <c r="B30" s="8">
        <v>10</v>
      </c>
      <c r="C30" s="8">
        <f t="shared" si="0"/>
        <v>957.4368208123625</v>
      </c>
      <c r="D30" s="8">
        <f t="shared" si="1"/>
        <v>824.14976571468333</v>
      </c>
      <c r="E30" s="8">
        <f t="shared" si="2"/>
        <v>133.28705509767917</v>
      </c>
      <c r="F30" s="8">
        <f t="shared" si="3"/>
        <v>141149.52992456232</v>
      </c>
    </row>
    <row r="31" spans="1:8" hidden="1" x14ac:dyDescent="0.2">
      <c r="A31" s="8"/>
      <c r="B31" s="8">
        <v>11</v>
      </c>
      <c r="C31" s="8">
        <f t="shared" si="0"/>
        <v>957.4368208123625</v>
      </c>
      <c r="D31" s="8">
        <f t="shared" si="1"/>
        <v>823.37225789328022</v>
      </c>
      <c r="E31" s="8">
        <f t="shared" si="2"/>
        <v>134.06456291908228</v>
      </c>
      <c r="F31" s="8">
        <f t="shared" si="3"/>
        <v>141015.46536164323</v>
      </c>
    </row>
    <row r="32" spans="1:8" x14ac:dyDescent="0.2">
      <c r="A32" s="8">
        <v>2</v>
      </c>
      <c r="B32" s="13">
        <v>12</v>
      </c>
      <c r="C32" s="13">
        <f t="shared" si="0"/>
        <v>957.4368208123625</v>
      </c>
      <c r="D32" s="13">
        <f t="shared" si="1"/>
        <v>822.59021460958559</v>
      </c>
      <c r="E32" s="13">
        <f t="shared" si="2"/>
        <v>134.84660620277691</v>
      </c>
      <c r="F32" s="13">
        <f t="shared" si="3"/>
        <v>140880.61875544046</v>
      </c>
      <c r="G32" s="14">
        <f>SUM(D21:D32)</f>
        <v>9921.7125305273057</v>
      </c>
      <c r="H32" s="14">
        <f>+F32</f>
        <v>140880.61875544046</v>
      </c>
    </row>
    <row r="33" spans="1:8" hidden="1" x14ac:dyDescent="0.2">
      <c r="A33" s="8"/>
      <c r="B33" s="8">
        <v>1</v>
      </c>
      <c r="C33" s="8">
        <f t="shared" si="0"/>
        <v>957.4368208123625</v>
      </c>
      <c r="D33" s="8">
        <f t="shared" si="1"/>
        <v>821.80360940673609</v>
      </c>
      <c r="E33" s="8">
        <f t="shared" si="2"/>
        <v>135.63321140562641</v>
      </c>
      <c r="F33" s="8">
        <f t="shared" si="3"/>
        <v>140744.98554403483</v>
      </c>
    </row>
    <row r="34" spans="1:8" hidden="1" x14ac:dyDescent="0.2">
      <c r="A34" s="8"/>
      <c r="B34" s="8">
        <v>2</v>
      </c>
      <c r="C34" s="8">
        <f t="shared" si="0"/>
        <v>957.4368208123625</v>
      </c>
      <c r="D34" s="8">
        <f t="shared" si="1"/>
        <v>821.01241567353657</v>
      </c>
      <c r="E34" s="8">
        <f t="shared" si="2"/>
        <v>136.42440513882593</v>
      </c>
      <c r="F34" s="8">
        <f t="shared" si="3"/>
        <v>140608.56113889601</v>
      </c>
    </row>
    <row r="35" spans="1:8" hidden="1" x14ac:dyDescent="0.2">
      <c r="A35" s="8"/>
      <c r="B35" s="8">
        <v>3</v>
      </c>
      <c r="C35" s="8">
        <f t="shared" si="0"/>
        <v>957.4368208123625</v>
      </c>
      <c r="D35" s="8">
        <f t="shared" si="1"/>
        <v>820.21660664356011</v>
      </c>
      <c r="E35" s="8">
        <f t="shared" si="2"/>
        <v>137.22021416880239</v>
      </c>
      <c r="F35" s="8">
        <f t="shared" si="3"/>
        <v>140471.34092472721</v>
      </c>
    </row>
    <row r="36" spans="1:8" hidden="1" x14ac:dyDescent="0.2">
      <c r="A36" s="8"/>
      <c r="B36" s="8">
        <v>4</v>
      </c>
      <c r="C36" s="8">
        <f t="shared" si="0"/>
        <v>957.4368208123625</v>
      </c>
      <c r="D36" s="8">
        <f t="shared" si="1"/>
        <v>819.41615539424208</v>
      </c>
      <c r="E36" s="8">
        <f t="shared" si="2"/>
        <v>138.02066541812042</v>
      </c>
      <c r="F36" s="8">
        <f t="shared" si="3"/>
        <v>140333.32025930908</v>
      </c>
    </row>
    <row r="37" spans="1:8" hidden="1" x14ac:dyDescent="0.2">
      <c r="A37" s="8"/>
      <c r="B37" s="8">
        <v>5</v>
      </c>
      <c r="C37" s="8">
        <f t="shared" si="0"/>
        <v>957.4368208123625</v>
      </c>
      <c r="D37" s="8">
        <f t="shared" si="1"/>
        <v>818.6110348459697</v>
      </c>
      <c r="E37" s="8">
        <f t="shared" si="2"/>
        <v>138.8257859663928</v>
      </c>
      <c r="F37" s="8">
        <f t="shared" si="3"/>
        <v>140194.4944733427</v>
      </c>
    </row>
    <row r="38" spans="1:8" hidden="1" x14ac:dyDescent="0.2">
      <c r="A38" s="8"/>
      <c r="B38" s="8">
        <v>6</v>
      </c>
      <c r="C38" s="8">
        <f t="shared" si="0"/>
        <v>957.4368208123625</v>
      </c>
      <c r="D38" s="8">
        <f t="shared" si="1"/>
        <v>817.80121776116573</v>
      </c>
      <c r="E38" s="8">
        <f t="shared" si="2"/>
        <v>139.63560305119677</v>
      </c>
      <c r="F38" s="8">
        <f t="shared" si="3"/>
        <v>140054.8588702915</v>
      </c>
    </row>
    <row r="39" spans="1:8" hidden="1" x14ac:dyDescent="0.2">
      <c r="A39" s="8"/>
      <c r="B39" s="8">
        <v>7</v>
      </c>
      <c r="C39" s="8">
        <f t="shared" si="0"/>
        <v>957.4368208123625</v>
      </c>
      <c r="D39" s="8">
        <f t="shared" si="1"/>
        <v>816.98667674336707</v>
      </c>
      <c r="E39" s="8">
        <f t="shared" si="2"/>
        <v>140.45014406899543</v>
      </c>
      <c r="F39" s="8">
        <f t="shared" si="3"/>
        <v>139914.40872622249</v>
      </c>
    </row>
    <row r="40" spans="1:8" hidden="1" x14ac:dyDescent="0.2">
      <c r="A40" s="8"/>
      <c r="B40" s="8">
        <v>8</v>
      </c>
      <c r="C40" s="8">
        <f t="shared" si="0"/>
        <v>957.4368208123625</v>
      </c>
      <c r="D40" s="8">
        <f t="shared" si="1"/>
        <v>816.16738423629795</v>
      </c>
      <c r="E40" s="8">
        <f t="shared" si="2"/>
        <v>141.26943657606455</v>
      </c>
      <c r="F40" s="8">
        <f t="shared" si="3"/>
        <v>139773.13928964644</v>
      </c>
    </row>
    <row r="41" spans="1:8" hidden="1" x14ac:dyDescent="0.2">
      <c r="A41" s="8"/>
      <c r="B41" s="8">
        <v>9</v>
      </c>
      <c r="C41" s="8">
        <f t="shared" si="0"/>
        <v>957.4368208123625</v>
      </c>
      <c r="D41" s="8">
        <f t="shared" si="1"/>
        <v>815.34331252293759</v>
      </c>
      <c r="E41" s="8">
        <f t="shared" si="2"/>
        <v>142.0935082894249</v>
      </c>
      <c r="F41" s="8">
        <f t="shared" si="3"/>
        <v>139631.04578135701</v>
      </c>
    </row>
    <row r="42" spans="1:8" hidden="1" x14ac:dyDescent="0.2">
      <c r="A42" s="8"/>
      <c r="B42" s="8">
        <v>10</v>
      </c>
      <c r="C42" s="8">
        <f t="shared" si="0"/>
        <v>957.4368208123625</v>
      </c>
      <c r="D42" s="8">
        <f t="shared" si="1"/>
        <v>814.51443372458255</v>
      </c>
      <c r="E42" s="8">
        <f t="shared" si="2"/>
        <v>142.92238708777995</v>
      </c>
      <c r="F42" s="8">
        <f t="shared" si="3"/>
        <v>139488.12339426923</v>
      </c>
    </row>
    <row r="43" spans="1:8" hidden="1" x14ac:dyDescent="0.2">
      <c r="A43" s="10"/>
      <c r="B43" s="8">
        <v>11</v>
      </c>
      <c r="C43" s="8">
        <f t="shared" si="0"/>
        <v>957.4368208123625</v>
      </c>
      <c r="D43" s="8">
        <f t="shared" si="1"/>
        <v>813.68071979990395</v>
      </c>
      <c r="E43" s="8">
        <f t="shared" si="2"/>
        <v>143.75610101245854</v>
      </c>
      <c r="F43" s="8">
        <f t="shared" si="3"/>
        <v>139344.36729325677</v>
      </c>
    </row>
    <row r="44" spans="1:8" x14ac:dyDescent="0.2">
      <c r="A44" s="8">
        <v>3</v>
      </c>
      <c r="B44" s="13">
        <v>12</v>
      </c>
      <c r="C44" s="13">
        <f t="shared" si="0"/>
        <v>957.4368208123625</v>
      </c>
      <c r="D44" s="13">
        <f t="shared" si="1"/>
        <v>812.84214254399785</v>
      </c>
      <c r="E44" s="13">
        <f t="shared" si="2"/>
        <v>144.59467826836465</v>
      </c>
      <c r="F44" s="13">
        <f t="shared" si="3"/>
        <v>139199.77261498841</v>
      </c>
      <c r="G44" s="14">
        <f>SUM(D33:D44)</f>
        <v>9808.3957092962974</v>
      </c>
      <c r="H44" s="14">
        <f>+F44</f>
        <v>139199.77261498841</v>
      </c>
    </row>
    <row r="45" spans="1:8" hidden="1" x14ac:dyDescent="0.2">
      <c r="A45" s="8"/>
      <c r="B45" s="8">
        <v>1</v>
      </c>
      <c r="C45" s="8">
        <f t="shared" si="0"/>
        <v>957.4368208123625</v>
      </c>
      <c r="D45" s="8">
        <f t="shared" si="1"/>
        <v>811.99867358743245</v>
      </c>
      <c r="E45" s="8">
        <f t="shared" si="2"/>
        <v>145.43814722493005</v>
      </c>
      <c r="F45" s="8">
        <f t="shared" si="3"/>
        <v>139054.33446776349</v>
      </c>
    </row>
    <row r="46" spans="1:8" hidden="1" x14ac:dyDescent="0.2">
      <c r="A46" s="8"/>
      <c r="B46" s="8">
        <v>2</v>
      </c>
      <c r="C46" s="8">
        <f t="shared" si="0"/>
        <v>957.4368208123625</v>
      </c>
      <c r="D46" s="8">
        <f t="shared" si="1"/>
        <v>811.15028439528703</v>
      </c>
      <c r="E46" s="8">
        <f t="shared" si="2"/>
        <v>146.28653641707547</v>
      </c>
      <c r="F46" s="8">
        <f t="shared" si="3"/>
        <v>138908.0479313464</v>
      </c>
    </row>
    <row r="47" spans="1:8" hidden="1" x14ac:dyDescent="0.2">
      <c r="A47" s="8"/>
      <c r="B47" s="8">
        <v>3</v>
      </c>
      <c r="C47" s="8">
        <f t="shared" si="0"/>
        <v>957.4368208123625</v>
      </c>
      <c r="D47" s="8">
        <f t="shared" si="1"/>
        <v>810.29694626618743</v>
      </c>
      <c r="E47" s="8">
        <f t="shared" si="2"/>
        <v>147.13987454617507</v>
      </c>
      <c r="F47" s="8">
        <f t="shared" si="3"/>
        <v>138760.90805680022</v>
      </c>
    </row>
    <row r="48" spans="1:8" hidden="1" x14ac:dyDescent="0.2">
      <c r="A48" s="8"/>
      <c r="B48" s="8">
        <v>4</v>
      </c>
      <c r="C48" s="8">
        <f t="shared" si="0"/>
        <v>957.4368208123625</v>
      </c>
      <c r="D48" s="8">
        <f t="shared" si="1"/>
        <v>809.43863033133471</v>
      </c>
      <c r="E48" s="8">
        <f t="shared" si="2"/>
        <v>147.99819048102779</v>
      </c>
      <c r="F48" s="8">
        <f t="shared" si="3"/>
        <v>138612.90986631918</v>
      </c>
    </row>
    <row r="49" spans="1:8" hidden="1" x14ac:dyDescent="0.2">
      <c r="A49" s="8"/>
      <c r="B49" s="8">
        <v>5</v>
      </c>
      <c r="C49" s="8">
        <f t="shared" si="0"/>
        <v>957.4368208123625</v>
      </c>
      <c r="D49" s="8">
        <f t="shared" si="1"/>
        <v>808.57530755352866</v>
      </c>
      <c r="E49" s="8">
        <f t="shared" si="2"/>
        <v>148.86151325883384</v>
      </c>
      <c r="F49" s="8">
        <f t="shared" si="3"/>
        <v>138464.04835306035</v>
      </c>
    </row>
    <row r="50" spans="1:8" hidden="1" x14ac:dyDescent="0.2">
      <c r="A50" s="8"/>
      <c r="B50" s="8">
        <v>6</v>
      </c>
      <c r="C50" s="8">
        <f t="shared" si="0"/>
        <v>957.4368208123625</v>
      </c>
      <c r="D50" s="8">
        <f t="shared" si="1"/>
        <v>807.70694872618537</v>
      </c>
      <c r="E50" s="8">
        <f t="shared" si="2"/>
        <v>149.72987208617712</v>
      </c>
      <c r="F50" s="8">
        <f t="shared" si="3"/>
        <v>138314.31848097418</v>
      </c>
    </row>
    <row r="51" spans="1:8" hidden="1" x14ac:dyDescent="0.2">
      <c r="A51" s="8"/>
      <c r="B51" s="8">
        <v>7</v>
      </c>
      <c r="C51" s="8">
        <f t="shared" si="0"/>
        <v>957.4368208123625</v>
      </c>
      <c r="D51" s="8">
        <f t="shared" si="1"/>
        <v>806.83352447234938</v>
      </c>
      <c r="E51" s="8">
        <f t="shared" si="2"/>
        <v>150.60329634001312</v>
      </c>
      <c r="F51" s="8">
        <f t="shared" si="3"/>
        <v>138163.71518463417</v>
      </c>
    </row>
    <row r="52" spans="1:8" hidden="1" x14ac:dyDescent="0.2">
      <c r="A52" s="8"/>
      <c r="B52" s="8">
        <v>8</v>
      </c>
      <c r="C52" s="8">
        <f t="shared" si="0"/>
        <v>957.4368208123625</v>
      </c>
      <c r="D52" s="8">
        <f t="shared" si="1"/>
        <v>805.95500524369936</v>
      </c>
      <c r="E52" s="8">
        <f t="shared" si="2"/>
        <v>151.48181556866314</v>
      </c>
      <c r="F52" s="8">
        <f t="shared" si="3"/>
        <v>138012.23336906551</v>
      </c>
    </row>
    <row r="53" spans="1:8" hidden="1" x14ac:dyDescent="0.2">
      <c r="A53" s="8"/>
      <c r="B53" s="8">
        <v>9</v>
      </c>
      <c r="C53" s="8">
        <f t="shared" si="0"/>
        <v>957.4368208123625</v>
      </c>
      <c r="D53" s="8">
        <f t="shared" si="1"/>
        <v>805.07136131954883</v>
      </c>
      <c r="E53" s="8">
        <f t="shared" si="2"/>
        <v>152.36545949281367</v>
      </c>
      <c r="F53" s="8">
        <f t="shared" si="3"/>
        <v>137859.8679095727</v>
      </c>
    </row>
    <row r="54" spans="1:8" hidden="1" x14ac:dyDescent="0.2">
      <c r="A54" s="8"/>
      <c r="B54" s="8">
        <v>10</v>
      </c>
      <c r="C54" s="8">
        <f t="shared" si="0"/>
        <v>957.4368208123625</v>
      </c>
      <c r="D54" s="8">
        <f t="shared" si="1"/>
        <v>804.1825628058408</v>
      </c>
      <c r="E54" s="8">
        <f t="shared" si="2"/>
        <v>153.2542580065217</v>
      </c>
      <c r="F54" s="8">
        <f t="shared" si="3"/>
        <v>137706.61365156618</v>
      </c>
    </row>
    <row r="55" spans="1:8" hidden="1" x14ac:dyDescent="0.2">
      <c r="A55" s="8"/>
      <c r="B55" s="8">
        <v>11</v>
      </c>
      <c r="C55" s="8">
        <f t="shared" si="0"/>
        <v>957.4368208123625</v>
      </c>
      <c r="D55" s="8">
        <f t="shared" si="1"/>
        <v>803.28857963413611</v>
      </c>
      <c r="E55" s="8">
        <f t="shared" si="2"/>
        <v>154.14824117822639</v>
      </c>
      <c r="F55" s="8">
        <f t="shared" si="3"/>
        <v>137552.46541038796</v>
      </c>
    </row>
    <row r="56" spans="1:8" x14ac:dyDescent="0.2">
      <c r="A56" s="8">
        <v>4</v>
      </c>
      <c r="B56" s="13">
        <v>12</v>
      </c>
      <c r="C56" s="13">
        <f t="shared" si="0"/>
        <v>957.4368208123625</v>
      </c>
      <c r="D56" s="13">
        <f t="shared" si="1"/>
        <v>802.38938156059646</v>
      </c>
      <c r="E56" s="13">
        <f t="shared" si="2"/>
        <v>155.04743925176604</v>
      </c>
      <c r="F56" s="13">
        <f t="shared" si="3"/>
        <v>137397.41797113619</v>
      </c>
      <c r="G56" s="14">
        <f>SUM(D45:D56)</f>
        <v>9686.887205896126</v>
      </c>
      <c r="H56" s="14">
        <f>+F56</f>
        <v>137397.41797113619</v>
      </c>
    </row>
    <row r="57" spans="1:8" hidden="1" x14ac:dyDescent="0.2">
      <c r="A57" s="10"/>
      <c r="B57" s="8">
        <v>1</v>
      </c>
      <c r="C57" s="8">
        <f t="shared" si="0"/>
        <v>957.4368208123625</v>
      </c>
      <c r="D57" s="8">
        <f t="shared" si="1"/>
        <v>801.48493816496114</v>
      </c>
      <c r="E57" s="8">
        <f t="shared" si="2"/>
        <v>155.95188264740136</v>
      </c>
      <c r="F57" s="8">
        <f t="shared" si="3"/>
        <v>137241.46608848879</v>
      </c>
    </row>
    <row r="58" spans="1:8" hidden="1" x14ac:dyDescent="0.2">
      <c r="B58" s="8">
        <v>2</v>
      </c>
      <c r="C58" s="8">
        <f t="shared" si="0"/>
        <v>957.4368208123625</v>
      </c>
      <c r="D58" s="8">
        <f t="shared" si="1"/>
        <v>800.57521884951791</v>
      </c>
      <c r="E58" s="8">
        <f t="shared" si="2"/>
        <v>156.86160196284459</v>
      </c>
      <c r="F58" s="8">
        <f t="shared" si="3"/>
        <v>137084.60448652593</v>
      </c>
    </row>
    <row r="59" spans="1:8" hidden="1" x14ac:dyDescent="0.2">
      <c r="B59" s="8">
        <v>3</v>
      </c>
      <c r="C59" s="8">
        <f t="shared" si="0"/>
        <v>957.4368208123625</v>
      </c>
      <c r="D59" s="8">
        <f t="shared" si="1"/>
        <v>799.66019283806793</v>
      </c>
      <c r="E59" s="8">
        <f t="shared" si="2"/>
        <v>157.77662797429457</v>
      </c>
      <c r="F59" s="8">
        <f t="shared" si="3"/>
        <v>136926.82785855164</v>
      </c>
    </row>
    <row r="60" spans="1:8" hidden="1" x14ac:dyDescent="0.2">
      <c r="B60" s="8">
        <v>4</v>
      </c>
      <c r="C60" s="8">
        <f t="shared" si="0"/>
        <v>957.4368208123625</v>
      </c>
      <c r="D60" s="8">
        <f t="shared" si="1"/>
        <v>798.73982917488456</v>
      </c>
      <c r="E60" s="8">
        <f t="shared" si="2"/>
        <v>158.69699163747794</v>
      </c>
      <c r="F60" s="8">
        <f t="shared" si="3"/>
        <v>136768.13086691417</v>
      </c>
    </row>
    <row r="61" spans="1:8" hidden="1" x14ac:dyDescent="0.2">
      <c r="B61" s="8">
        <v>5</v>
      </c>
      <c r="C61" s="8">
        <f t="shared" si="0"/>
        <v>957.4368208123625</v>
      </c>
      <c r="D61" s="8">
        <f t="shared" si="1"/>
        <v>797.81409672366601</v>
      </c>
      <c r="E61" s="8">
        <f t="shared" si="2"/>
        <v>159.62272408869649</v>
      </c>
      <c r="F61" s="8">
        <f t="shared" si="3"/>
        <v>136608.50814282548</v>
      </c>
    </row>
    <row r="62" spans="1:8" hidden="1" x14ac:dyDescent="0.2">
      <c r="B62" s="8">
        <v>6</v>
      </c>
      <c r="C62" s="8">
        <f t="shared" si="0"/>
        <v>957.4368208123625</v>
      </c>
      <c r="D62" s="8">
        <f t="shared" si="1"/>
        <v>796.882964166482</v>
      </c>
      <c r="E62" s="8">
        <f t="shared" si="2"/>
        <v>160.5538566458805</v>
      </c>
      <c r="F62" s="8">
        <f t="shared" si="3"/>
        <v>136447.95428617959</v>
      </c>
    </row>
    <row r="63" spans="1:8" hidden="1" x14ac:dyDescent="0.2">
      <c r="B63" s="8">
        <v>7</v>
      </c>
      <c r="C63" s="8">
        <f t="shared" si="0"/>
        <v>957.4368208123625</v>
      </c>
      <c r="D63" s="8">
        <f t="shared" si="1"/>
        <v>795.94640000271431</v>
      </c>
      <c r="E63" s="8">
        <f t="shared" si="2"/>
        <v>161.49042080964819</v>
      </c>
      <c r="F63" s="8">
        <f t="shared" si="3"/>
        <v>136286.46386536994</v>
      </c>
    </row>
    <row r="64" spans="1:8" hidden="1" x14ac:dyDescent="0.2">
      <c r="B64" s="8">
        <v>8</v>
      </c>
      <c r="C64" s="8">
        <f t="shared" si="0"/>
        <v>957.4368208123625</v>
      </c>
      <c r="D64" s="8">
        <f t="shared" si="1"/>
        <v>795.00437254799135</v>
      </c>
      <c r="E64" s="8">
        <f t="shared" si="2"/>
        <v>162.43244826437115</v>
      </c>
      <c r="F64" s="8">
        <f t="shared" si="3"/>
        <v>136124.03141710558</v>
      </c>
    </row>
    <row r="65" spans="1:8" hidden="1" x14ac:dyDescent="0.2">
      <c r="B65" s="8">
        <v>9</v>
      </c>
      <c r="C65" s="8">
        <f t="shared" si="0"/>
        <v>957.4368208123625</v>
      </c>
      <c r="D65" s="8">
        <f t="shared" si="1"/>
        <v>794.05684993311593</v>
      </c>
      <c r="E65" s="8">
        <f t="shared" si="2"/>
        <v>163.37997087924657</v>
      </c>
      <c r="F65" s="8">
        <f t="shared" si="3"/>
        <v>135960.65144622634</v>
      </c>
    </row>
    <row r="66" spans="1:8" hidden="1" x14ac:dyDescent="0.2">
      <c r="B66" s="8">
        <v>10</v>
      </c>
      <c r="C66" s="8">
        <f t="shared" si="0"/>
        <v>957.4368208123625</v>
      </c>
      <c r="D66" s="8">
        <f t="shared" si="1"/>
        <v>793.10380010298707</v>
      </c>
      <c r="E66" s="8">
        <f t="shared" si="2"/>
        <v>164.33302070937543</v>
      </c>
      <c r="F66" s="8">
        <f t="shared" si="3"/>
        <v>135796.31842551698</v>
      </c>
    </row>
    <row r="67" spans="1:8" hidden="1" x14ac:dyDescent="0.2">
      <c r="B67" s="8">
        <v>11</v>
      </c>
      <c r="C67" s="8">
        <f t="shared" si="0"/>
        <v>957.4368208123625</v>
      </c>
      <c r="D67" s="8">
        <f t="shared" ref="D67:D130" si="4">+F66*$C$4</f>
        <v>792.14519081551578</v>
      </c>
      <c r="E67" s="8">
        <f t="shared" ref="E67:E130" si="5">+C67-D67</f>
        <v>165.29162999684672</v>
      </c>
      <c r="F67" s="8">
        <f t="shared" ref="F67:F130" si="6">+F66-E67</f>
        <v>135631.02679552013</v>
      </c>
    </row>
    <row r="68" spans="1:8" x14ac:dyDescent="0.2">
      <c r="A68" s="7">
        <v>5</v>
      </c>
      <c r="B68" s="13">
        <v>12</v>
      </c>
      <c r="C68" s="13">
        <f t="shared" si="0"/>
        <v>957.4368208123625</v>
      </c>
      <c r="D68" s="13">
        <f t="shared" si="4"/>
        <v>791.18098964053411</v>
      </c>
      <c r="E68" s="13">
        <f t="shared" si="5"/>
        <v>166.25583117182839</v>
      </c>
      <c r="F68" s="13">
        <f t="shared" si="6"/>
        <v>135464.77096434831</v>
      </c>
      <c r="G68" s="14">
        <f>SUM(D57:D68)</f>
        <v>9556.5948429604377</v>
      </c>
      <c r="H68" s="14">
        <f>+F68</f>
        <v>135464.77096434831</v>
      </c>
    </row>
    <row r="69" spans="1:8" hidden="1" x14ac:dyDescent="0.2">
      <c r="B69" s="8">
        <v>1</v>
      </c>
      <c r="C69" s="8">
        <f t="shared" si="0"/>
        <v>957.4368208123625</v>
      </c>
      <c r="D69" s="8">
        <f t="shared" si="4"/>
        <v>790.21116395869853</v>
      </c>
      <c r="E69" s="8">
        <f t="shared" si="5"/>
        <v>167.22565685366396</v>
      </c>
      <c r="F69" s="8">
        <f t="shared" si="6"/>
        <v>135297.54530749464</v>
      </c>
    </row>
    <row r="70" spans="1:8" hidden="1" x14ac:dyDescent="0.2">
      <c r="B70" s="8">
        <v>2</v>
      </c>
      <c r="C70" s="8">
        <f t="shared" si="0"/>
        <v>957.4368208123625</v>
      </c>
      <c r="D70" s="8">
        <f t="shared" si="4"/>
        <v>789.23568096038548</v>
      </c>
      <c r="E70" s="8">
        <f t="shared" si="5"/>
        <v>168.20113985197702</v>
      </c>
      <c r="F70" s="8">
        <f t="shared" si="6"/>
        <v>135129.34416764267</v>
      </c>
    </row>
    <row r="71" spans="1:8" hidden="1" x14ac:dyDescent="0.2">
      <c r="B71" s="8">
        <v>3</v>
      </c>
      <c r="C71" s="8">
        <f t="shared" si="0"/>
        <v>957.4368208123625</v>
      </c>
      <c r="D71" s="8">
        <f t="shared" si="4"/>
        <v>788.2545076445823</v>
      </c>
      <c r="E71" s="8">
        <f t="shared" si="5"/>
        <v>169.18231316778019</v>
      </c>
      <c r="F71" s="8">
        <f t="shared" si="6"/>
        <v>134960.16185447489</v>
      </c>
    </row>
    <row r="72" spans="1:8" hidden="1" x14ac:dyDescent="0.2">
      <c r="B72" s="8">
        <v>4</v>
      </c>
      <c r="C72" s="8">
        <f t="shared" si="0"/>
        <v>957.4368208123625</v>
      </c>
      <c r="D72" s="8">
        <f t="shared" si="4"/>
        <v>787.26761081777022</v>
      </c>
      <c r="E72" s="8">
        <f t="shared" si="5"/>
        <v>170.16920999459228</v>
      </c>
      <c r="F72" s="8">
        <f t="shared" si="6"/>
        <v>134789.99264448031</v>
      </c>
    </row>
    <row r="73" spans="1:8" hidden="1" x14ac:dyDescent="0.2">
      <c r="B73" s="8">
        <v>5</v>
      </c>
      <c r="C73" s="8">
        <f t="shared" si="0"/>
        <v>957.4368208123625</v>
      </c>
      <c r="D73" s="8">
        <f t="shared" si="4"/>
        <v>786.27495709280186</v>
      </c>
      <c r="E73" s="8">
        <f t="shared" si="5"/>
        <v>171.16186371956064</v>
      </c>
      <c r="F73" s="8">
        <f t="shared" si="6"/>
        <v>134618.83078076076</v>
      </c>
    </row>
    <row r="74" spans="1:8" hidden="1" x14ac:dyDescent="0.2">
      <c r="B74" s="8">
        <v>6</v>
      </c>
      <c r="C74" s="8">
        <f t="shared" ref="C74:C137" si="7">-$C$3</f>
        <v>957.4368208123625</v>
      </c>
      <c r="D74" s="8">
        <f t="shared" si="4"/>
        <v>785.2765128877711</v>
      </c>
      <c r="E74" s="8">
        <f t="shared" si="5"/>
        <v>172.16030792459139</v>
      </c>
      <c r="F74" s="8">
        <f t="shared" si="6"/>
        <v>134446.67047283618</v>
      </c>
    </row>
    <row r="75" spans="1:8" hidden="1" x14ac:dyDescent="0.2">
      <c r="B75" s="8">
        <v>7</v>
      </c>
      <c r="C75" s="8">
        <f t="shared" si="7"/>
        <v>957.4368208123625</v>
      </c>
      <c r="D75" s="8">
        <f t="shared" si="4"/>
        <v>784.27224442487773</v>
      </c>
      <c r="E75" s="8">
        <f t="shared" si="5"/>
        <v>173.16457638748477</v>
      </c>
      <c r="F75" s="8">
        <f t="shared" si="6"/>
        <v>134273.50589644868</v>
      </c>
    </row>
    <row r="76" spans="1:8" hidden="1" x14ac:dyDescent="0.2">
      <c r="B76" s="8">
        <v>8</v>
      </c>
      <c r="C76" s="8">
        <f t="shared" si="7"/>
        <v>957.4368208123625</v>
      </c>
      <c r="D76" s="8">
        <f t="shared" si="4"/>
        <v>783.262117729284</v>
      </c>
      <c r="E76" s="8">
        <f t="shared" si="5"/>
        <v>174.1747030830785</v>
      </c>
      <c r="F76" s="8">
        <f t="shared" si="6"/>
        <v>134099.33119336559</v>
      </c>
    </row>
    <row r="77" spans="1:8" hidden="1" x14ac:dyDescent="0.2">
      <c r="B77" s="8">
        <v>9</v>
      </c>
      <c r="C77" s="8">
        <f t="shared" si="7"/>
        <v>957.4368208123625</v>
      </c>
      <c r="D77" s="8">
        <f t="shared" si="4"/>
        <v>782.24609862796603</v>
      </c>
      <c r="E77" s="8">
        <f t="shared" si="5"/>
        <v>175.19072218439646</v>
      </c>
      <c r="F77" s="8">
        <f t="shared" si="6"/>
        <v>133924.14047118119</v>
      </c>
    </row>
    <row r="78" spans="1:8" hidden="1" x14ac:dyDescent="0.2">
      <c r="B78" s="8">
        <v>10</v>
      </c>
      <c r="C78" s="8">
        <f t="shared" si="7"/>
        <v>957.4368208123625</v>
      </c>
      <c r="D78" s="8">
        <f t="shared" si="4"/>
        <v>781.224152748557</v>
      </c>
      <c r="E78" s="8">
        <f t="shared" si="5"/>
        <v>176.21266806380549</v>
      </c>
      <c r="F78" s="8">
        <f t="shared" si="6"/>
        <v>133747.92780311737</v>
      </c>
    </row>
    <row r="79" spans="1:8" hidden="1" x14ac:dyDescent="0.2">
      <c r="B79" s="8">
        <v>11</v>
      </c>
      <c r="C79" s="8">
        <f t="shared" si="7"/>
        <v>957.4368208123625</v>
      </c>
      <c r="D79" s="8">
        <f t="shared" si="4"/>
        <v>780.1962455181847</v>
      </c>
      <c r="E79" s="8">
        <f t="shared" si="5"/>
        <v>177.2405752941778</v>
      </c>
      <c r="F79" s="8">
        <f t="shared" si="6"/>
        <v>133570.68722782319</v>
      </c>
    </row>
    <row r="80" spans="1:8" x14ac:dyDescent="0.2">
      <c r="A80" s="7">
        <v>6</v>
      </c>
      <c r="B80" s="13">
        <v>12</v>
      </c>
      <c r="C80" s="13">
        <f t="shared" si="7"/>
        <v>957.4368208123625</v>
      </c>
      <c r="D80" s="13">
        <f t="shared" si="4"/>
        <v>779.16234216230202</v>
      </c>
      <c r="E80" s="13">
        <f t="shared" si="5"/>
        <v>178.27447865006047</v>
      </c>
      <c r="F80" s="13">
        <f t="shared" si="6"/>
        <v>133392.41274917312</v>
      </c>
      <c r="G80" s="14">
        <f>SUM(D69:D80)</f>
        <v>9416.8836345731816</v>
      </c>
      <c r="H80" s="14">
        <f>+F80</f>
        <v>133392.41274917312</v>
      </c>
    </row>
    <row r="81" spans="1:8" hidden="1" x14ac:dyDescent="0.2">
      <c r="B81" s="8">
        <v>1</v>
      </c>
      <c r="C81" s="8">
        <f t="shared" si="7"/>
        <v>957.4368208123625</v>
      </c>
      <c r="D81" s="8">
        <f t="shared" si="4"/>
        <v>778.12240770350991</v>
      </c>
      <c r="E81" s="8">
        <f t="shared" si="5"/>
        <v>179.31441310885259</v>
      </c>
      <c r="F81" s="8">
        <f t="shared" si="6"/>
        <v>133213.09833606426</v>
      </c>
    </row>
    <row r="82" spans="1:8" hidden="1" x14ac:dyDescent="0.2">
      <c r="B82" s="8">
        <v>2</v>
      </c>
      <c r="C82" s="8">
        <f t="shared" si="7"/>
        <v>957.4368208123625</v>
      </c>
      <c r="D82" s="8">
        <f t="shared" si="4"/>
        <v>777.07640696037481</v>
      </c>
      <c r="E82" s="8">
        <f t="shared" si="5"/>
        <v>180.36041385198769</v>
      </c>
      <c r="F82" s="8">
        <f t="shared" si="6"/>
        <v>133032.73792221228</v>
      </c>
    </row>
    <row r="83" spans="1:8" hidden="1" x14ac:dyDescent="0.2">
      <c r="B83" s="8">
        <v>3</v>
      </c>
      <c r="C83" s="8">
        <f t="shared" si="7"/>
        <v>957.4368208123625</v>
      </c>
      <c r="D83" s="8">
        <f t="shared" si="4"/>
        <v>776.02430454623834</v>
      </c>
      <c r="E83" s="8">
        <f t="shared" si="5"/>
        <v>181.41251626612416</v>
      </c>
      <c r="F83" s="8">
        <f t="shared" si="6"/>
        <v>132851.32540594615</v>
      </c>
    </row>
    <row r="84" spans="1:8" hidden="1" x14ac:dyDescent="0.2">
      <c r="B84" s="8">
        <v>4</v>
      </c>
      <c r="C84" s="8">
        <f t="shared" si="7"/>
        <v>957.4368208123625</v>
      </c>
      <c r="D84" s="8">
        <f t="shared" si="4"/>
        <v>774.9660648680192</v>
      </c>
      <c r="E84" s="8">
        <f t="shared" si="5"/>
        <v>182.4707559443433</v>
      </c>
      <c r="F84" s="8">
        <f t="shared" si="6"/>
        <v>132668.8546500018</v>
      </c>
    </row>
    <row r="85" spans="1:8" hidden="1" x14ac:dyDescent="0.2">
      <c r="B85" s="8">
        <v>5</v>
      </c>
      <c r="C85" s="8">
        <f t="shared" si="7"/>
        <v>957.4368208123625</v>
      </c>
      <c r="D85" s="8">
        <f t="shared" si="4"/>
        <v>773.90165212501051</v>
      </c>
      <c r="E85" s="8">
        <f t="shared" si="5"/>
        <v>183.53516868735198</v>
      </c>
      <c r="F85" s="8">
        <f t="shared" si="6"/>
        <v>132485.31948131445</v>
      </c>
    </row>
    <row r="86" spans="1:8" hidden="1" x14ac:dyDescent="0.2">
      <c r="B86" s="8">
        <v>6</v>
      </c>
      <c r="C86" s="8">
        <f t="shared" si="7"/>
        <v>957.4368208123625</v>
      </c>
      <c r="D86" s="8">
        <f t="shared" si="4"/>
        <v>772.83103030766767</v>
      </c>
      <c r="E86" s="8">
        <f t="shared" si="5"/>
        <v>184.60579050469482</v>
      </c>
      <c r="F86" s="8">
        <f t="shared" si="6"/>
        <v>132300.71369080976</v>
      </c>
    </row>
    <row r="87" spans="1:8" hidden="1" x14ac:dyDescent="0.2">
      <c r="B87" s="8">
        <v>7</v>
      </c>
      <c r="C87" s="8">
        <f t="shared" si="7"/>
        <v>957.4368208123625</v>
      </c>
      <c r="D87" s="8">
        <f t="shared" si="4"/>
        <v>771.75416319639032</v>
      </c>
      <c r="E87" s="8">
        <f t="shared" si="5"/>
        <v>185.68265761597218</v>
      </c>
      <c r="F87" s="8">
        <f t="shared" si="6"/>
        <v>132115.03103319378</v>
      </c>
    </row>
    <row r="88" spans="1:8" hidden="1" x14ac:dyDescent="0.2">
      <c r="B88" s="8">
        <v>8</v>
      </c>
      <c r="C88" s="8">
        <f t="shared" si="7"/>
        <v>957.4368208123625</v>
      </c>
      <c r="D88" s="8">
        <f t="shared" si="4"/>
        <v>770.67101436029714</v>
      </c>
      <c r="E88" s="8">
        <f t="shared" si="5"/>
        <v>186.76580645206536</v>
      </c>
      <c r="F88" s="8">
        <f t="shared" si="6"/>
        <v>131928.26522674173</v>
      </c>
    </row>
    <row r="89" spans="1:8" hidden="1" x14ac:dyDescent="0.2">
      <c r="B89" s="8">
        <v>9</v>
      </c>
      <c r="C89" s="8">
        <f t="shared" si="7"/>
        <v>957.4368208123625</v>
      </c>
      <c r="D89" s="8">
        <f t="shared" si="4"/>
        <v>769.58154715599346</v>
      </c>
      <c r="E89" s="8">
        <f t="shared" si="5"/>
        <v>187.85527365636904</v>
      </c>
      <c r="F89" s="8">
        <f t="shared" si="6"/>
        <v>131740.40995308536</v>
      </c>
    </row>
    <row r="90" spans="1:8" hidden="1" x14ac:dyDescent="0.2">
      <c r="B90" s="8">
        <v>10</v>
      </c>
      <c r="C90" s="8">
        <f t="shared" si="7"/>
        <v>957.4368208123625</v>
      </c>
      <c r="D90" s="8">
        <f t="shared" si="4"/>
        <v>768.48572472633123</v>
      </c>
      <c r="E90" s="8">
        <f t="shared" si="5"/>
        <v>188.95109608603127</v>
      </c>
      <c r="F90" s="8">
        <f t="shared" si="6"/>
        <v>131551.45885699932</v>
      </c>
    </row>
    <row r="91" spans="1:8" hidden="1" x14ac:dyDescent="0.2">
      <c r="B91" s="8">
        <v>11</v>
      </c>
      <c r="C91" s="8">
        <f t="shared" si="7"/>
        <v>957.4368208123625</v>
      </c>
      <c r="D91" s="8">
        <f t="shared" si="4"/>
        <v>767.3835099991627</v>
      </c>
      <c r="E91" s="8">
        <f t="shared" si="5"/>
        <v>190.0533108131998</v>
      </c>
      <c r="F91" s="8">
        <f t="shared" si="6"/>
        <v>131361.40554618611</v>
      </c>
    </row>
    <row r="92" spans="1:8" x14ac:dyDescent="0.2">
      <c r="A92" s="7">
        <v>7</v>
      </c>
      <c r="B92" s="13">
        <v>12</v>
      </c>
      <c r="C92" s="13">
        <f t="shared" si="7"/>
        <v>957.4368208123625</v>
      </c>
      <c r="D92" s="13">
        <f t="shared" si="4"/>
        <v>766.27486568608572</v>
      </c>
      <c r="E92" s="13">
        <f t="shared" si="5"/>
        <v>191.16195512627678</v>
      </c>
      <c r="F92" s="13">
        <f t="shared" si="6"/>
        <v>131170.24359105984</v>
      </c>
      <c r="G92" s="14">
        <f>SUM(D81:D92)</f>
        <v>9267.0726916350814</v>
      </c>
      <c r="H92" s="14">
        <f>+F92</f>
        <v>131170.24359105984</v>
      </c>
    </row>
    <row r="93" spans="1:8" hidden="1" x14ac:dyDescent="0.2">
      <c r="B93" s="8">
        <v>1</v>
      </c>
      <c r="C93" s="8">
        <f t="shared" si="7"/>
        <v>957.4368208123625</v>
      </c>
      <c r="D93" s="8">
        <f t="shared" si="4"/>
        <v>765.15975428118247</v>
      </c>
      <c r="E93" s="8">
        <f t="shared" si="5"/>
        <v>192.27706653118003</v>
      </c>
      <c r="F93" s="8">
        <f t="shared" si="6"/>
        <v>130977.96652452866</v>
      </c>
    </row>
    <row r="94" spans="1:8" hidden="1" x14ac:dyDescent="0.2">
      <c r="B94" s="8">
        <v>2</v>
      </c>
      <c r="C94" s="8">
        <f t="shared" si="7"/>
        <v>957.4368208123625</v>
      </c>
      <c r="D94" s="8">
        <f t="shared" si="4"/>
        <v>764.03813805975051</v>
      </c>
      <c r="E94" s="8">
        <f t="shared" si="5"/>
        <v>193.39868275261199</v>
      </c>
      <c r="F94" s="8">
        <f t="shared" si="6"/>
        <v>130784.56784177605</v>
      </c>
    </row>
    <row r="95" spans="1:8" hidden="1" x14ac:dyDescent="0.2">
      <c r="B95" s="8">
        <v>3</v>
      </c>
      <c r="C95" s="8">
        <f t="shared" si="7"/>
        <v>957.4368208123625</v>
      </c>
      <c r="D95" s="8">
        <f t="shared" si="4"/>
        <v>762.90997907702695</v>
      </c>
      <c r="E95" s="8">
        <f t="shared" si="5"/>
        <v>194.52684173533555</v>
      </c>
      <c r="F95" s="8">
        <f t="shared" si="6"/>
        <v>130590.04100004071</v>
      </c>
    </row>
    <row r="96" spans="1:8" hidden="1" x14ac:dyDescent="0.2">
      <c r="B96" s="8">
        <v>4</v>
      </c>
      <c r="C96" s="8">
        <f t="shared" si="7"/>
        <v>957.4368208123625</v>
      </c>
      <c r="D96" s="8">
        <f t="shared" si="4"/>
        <v>761.77523916690416</v>
      </c>
      <c r="E96" s="8">
        <f t="shared" si="5"/>
        <v>195.66158164545834</v>
      </c>
      <c r="F96" s="8">
        <f t="shared" si="6"/>
        <v>130394.37941839526</v>
      </c>
    </row>
    <row r="97" spans="1:8" hidden="1" x14ac:dyDescent="0.2">
      <c r="B97" s="8">
        <v>5</v>
      </c>
      <c r="C97" s="8">
        <f t="shared" si="7"/>
        <v>957.4368208123625</v>
      </c>
      <c r="D97" s="8">
        <f t="shared" si="4"/>
        <v>760.63387994063908</v>
      </c>
      <c r="E97" s="8">
        <f t="shared" si="5"/>
        <v>196.80294087172342</v>
      </c>
      <c r="F97" s="8">
        <f t="shared" si="6"/>
        <v>130197.57647752353</v>
      </c>
    </row>
    <row r="98" spans="1:8" hidden="1" x14ac:dyDescent="0.2">
      <c r="B98" s="8">
        <v>6</v>
      </c>
      <c r="C98" s="8">
        <f t="shared" si="7"/>
        <v>957.4368208123625</v>
      </c>
      <c r="D98" s="8">
        <f t="shared" si="4"/>
        <v>759.48586278555399</v>
      </c>
      <c r="E98" s="8">
        <f t="shared" si="5"/>
        <v>197.95095802680851</v>
      </c>
      <c r="F98" s="8">
        <f t="shared" si="6"/>
        <v>129999.62551949672</v>
      </c>
    </row>
    <row r="99" spans="1:8" hidden="1" x14ac:dyDescent="0.2">
      <c r="B99" s="8">
        <v>7</v>
      </c>
      <c r="C99" s="8">
        <f t="shared" si="7"/>
        <v>957.4368208123625</v>
      </c>
      <c r="D99" s="8">
        <f t="shared" si="4"/>
        <v>758.33114886373096</v>
      </c>
      <c r="E99" s="8">
        <f t="shared" si="5"/>
        <v>199.10567194863154</v>
      </c>
      <c r="F99" s="8">
        <f t="shared" si="6"/>
        <v>129800.51984754809</v>
      </c>
    </row>
    <row r="100" spans="1:8" hidden="1" x14ac:dyDescent="0.2">
      <c r="B100" s="8">
        <v>8</v>
      </c>
      <c r="C100" s="8">
        <f t="shared" si="7"/>
        <v>957.4368208123625</v>
      </c>
      <c r="D100" s="8">
        <f t="shared" si="4"/>
        <v>757.16969911069725</v>
      </c>
      <c r="E100" s="8">
        <f t="shared" si="5"/>
        <v>200.26712170166525</v>
      </c>
      <c r="F100" s="8">
        <f t="shared" si="6"/>
        <v>129600.25272584643</v>
      </c>
    </row>
    <row r="101" spans="1:8" hidden="1" x14ac:dyDescent="0.2">
      <c r="B101" s="8">
        <v>9</v>
      </c>
      <c r="C101" s="8">
        <f t="shared" si="7"/>
        <v>957.4368208123625</v>
      </c>
      <c r="D101" s="8">
        <f t="shared" si="4"/>
        <v>756.00147423410419</v>
      </c>
      <c r="E101" s="8">
        <f t="shared" si="5"/>
        <v>201.4353465782583</v>
      </c>
      <c r="F101" s="8">
        <f t="shared" si="6"/>
        <v>129398.81737926816</v>
      </c>
    </row>
    <row r="102" spans="1:8" hidden="1" x14ac:dyDescent="0.2">
      <c r="B102" s="8">
        <v>10</v>
      </c>
      <c r="C102" s="8">
        <f t="shared" si="7"/>
        <v>957.4368208123625</v>
      </c>
      <c r="D102" s="8">
        <f t="shared" si="4"/>
        <v>754.8264347123976</v>
      </c>
      <c r="E102" s="8">
        <f t="shared" si="5"/>
        <v>202.6103860999649</v>
      </c>
      <c r="F102" s="8">
        <f t="shared" si="6"/>
        <v>129196.20699316819</v>
      </c>
    </row>
    <row r="103" spans="1:8" hidden="1" x14ac:dyDescent="0.2">
      <c r="B103" s="8">
        <v>11</v>
      </c>
      <c r="C103" s="8">
        <f t="shared" si="7"/>
        <v>957.4368208123625</v>
      </c>
      <c r="D103" s="8">
        <f t="shared" si="4"/>
        <v>753.64454079348116</v>
      </c>
      <c r="E103" s="8">
        <f t="shared" si="5"/>
        <v>203.79228001888134</v>
      </c>
      <c r="F103" s="8">
        <f t="shared" si="6"/>
        <v>128992.41471314931</v>
      </c>
    </row>
    <row r="104" spans="1:8" x14ac:dyDescent="0.2">
      <c r="A104" s="7">
        <v>8</v>
      </c>
      <c r="B104" s="13">
        <v>12</v>
      </c>
      <c r="C104" s="13">
        <f t="shared" si="7"/>
        <v>957.4368208123625</v>
      </c>
      <c r="D104" s="13">
        <f t="shared" si="4"/>
        <v>752.45575249337105</v>
      </c>
      <c r="E104" s="13">
        <f t="shared" si="5"/>
        <v>204.98106831899145</v>
      </c>
      <c r="F104" s="13">
        <f t="shared" si="6"/>
        <v>128787.43364483032</v>
      </c>
      <c r="G104" s="14">
        <f>SUM(D93:D104)</f>
        <v>9106.43190351884</v>
      </c>
      <c r="H104" s="14">
        <f>+F104</f>
        <v>128787.43364483032</v>
      </c>
    </row>
    <row r="105" spans="1:8" hidden="1" x14ac:dyDescent="0.2">
      <c r="B105" s="8">
        <v>1</v>
      </c>
      <c r="C105" s="8">
        <f t="shared" si="7"/>
        <v>957.4368208123625</v>
      </c>
      <c r="D105" s="8">
        <f t="shared" si="4"/>
        <v>751.26002959484356</v>
      </c>
      <c r="E105" s="8">
        <f t="shared" si="5"/>
        <v>206.17679121751894</v>
      </c>
      <c r="F105" s="8">
        <f t="shared" si="6"/>
        <v>128581.25685361281</v>
      </c>
    </row>
    <row r="106" spans="1:8" hidden="1" x14ac:dyDescent="0.2">
      <c r="B106" s="8">
        <v>2</v>
      </c>
      <c r="C106" s="8">
        <f t="shared" si="7"/>
        <v>957.4368208123625</v>
      </c>
      <c r="D106" s="8">
        <f t="shared" si="4"/>
        <v>750.05733164607477</v>
      </c>
      <c r="E106" s="8">
        <f t="shared" si="5"/>
        <v>207.37948916628773</v>
      </c>
      <c r="F106" s="8">
        <f t="shared" si="6"/>
        <v>128373.87736444653</v>
      </c>
    </row>
    <row r="107" spans="1:8" hidden="1" x14ac:dyDescent="0.2">
      <c r="B107" s="8">
        <v>3</v>
      </c>
      <c r="C107" s="8">
        <f t="shared" si="7"/>
        <v>957.4368208123625</v>
      </c>
      <c r="D107" s="8">
        <f t="shared" si="4"/>
        <v>748.84761795927147</v>
      </c>
      <c r="E107" s="8">
        <f t="shared" si="5"/>
        <v>208.58920285309102</v>
      </c>
      <c r="F107" s="8">
        <f t="shared" si="6"/>
        <v>128165.28816159343</v>
      </c>
    </row>
    <row r="108" spans="1:8" hidden="1" x14ac:dyDescent="0.2">
      <c r="B108" s="8">
        <v>4</v>
      </c>
      <c r="C108" s="8">
        <f t="shared" si="7"/>
        <v>957.4368208123625</v>
      </c>
      <c r="D108" s="8">
        <f t="shared" si="4"/>
        <v>747.63084760929507</v>
      </c>
      <c r="E108" s="8">
        <f t="shared" si="5"/>
        <v>209.80597320306742</v>
      </c>
      <c r="F108" s="8">
        <f t="shared" si="6"/>
        <v>127955.48218839036</v>
      </c>
    </row>
    <row r="109" spans="1:8" hidden="1" x14ac:dyDescent="0.2">
      <c r="B109" s="8">
        <v>5</v>
      </c>
      <c r="C109" s="8">
        <f t="shared" si="7"/>
        <v>957.4368208123625</v>
      </c>
      <c r="D109" s="8">
        <f t="shared" si="4"/>
        <v>746.40697943227713</v>
      </c>
      <c r="E109" s="8">
        <f t="shared" si="5"/>
        <v>211.02984138008537</v>
      </c>
      <c r="F109" s="8">
        <f t="shared" si="6"/>
        <v>127744.45234701027</v>
      </c>
    </row>
    <row r="110" spans="1:8" hidden="1" x14ac:dyDescent="0.2">
      <c r="B110" s="8">
        <v>6</v>
      </c>
      <c r="C110" s="8">
        <f t="shared" si="7"/>
        <v>957.4368208123625</v>
      </c>
      <c r="D110" s="8">
        <f t="shared" si="4"/>
        <v>745.17597202422667</v>
      </c>
      <c r="E110" s="8">
        <f t="shared" si="5"/>
        <v>212.26084878813583</v>
      </c>
      <c r="F110" s="8">
        <f t="shared" si="6"/>
        <v>127532.19149822214</v>
      </c>
    </row>
    <row r="111" spans="1:8" hidden="1" x14ac:dyDescent="0.2">
      <c r="B111" s="8">
        <v>7</v>
      </c>
      <c r="C111" s="8">
        <f t="shared" si="7"/>
        <v>957.4368208123625</v>
      </c>
      <c r="D111" s="8">
        <f t="shared" si="4"/>
        <v>743.93778373962914</v>
      </c>
      <c r="E111" s="8">
        <f t="shared" si="5"/>
        <v>213.49903707273336</v>
      </c>
      <c r="F111" s="8">
        <f t="shared" si="6"/>
        <v>127318.6924611494</v>
      </c>
    </row>
    <row r="112" spans="1:8" hidden="1" x14ac:dyDescent="0.2">
      <c r="B112" s="8">
        <v>8</v>
      </c>
      <c r="C112" s="8">
        <f t="shared" si="7"/>
        <v>957.4368208123625</v>
      </c>
      <c r="D112" s="8">
        <f t="shared" si="4"/>
        <v>742.69237269003827</v>
      </c>
      <c r="E112" s="8">
        <f t="shared" si="5"/>
        <v>214.74444812232423</v>
      </c>
      <c r="F112" s="8">
        <f t="shared" si="6"/>
        <v>127103.94801302708</v>
      </c>
    </row>
    <row r="113" spans="1:8" hidden="1" x14ac:dyDescent="0.2">
      <c r="B113" s="8">
        <v>9</v>
      </c>
      <c r="C113" s="8">
        <f t="shared" si="7"/>
        <v>957.4368208123625</v>
      </c>
      <c r="D113" s="8">
        <f t="shared" si="4"/>
        <v>741.43969674265804</v>
      </c>
      <c r="E113" s="8">
        <f t="shared" si="5"/>
        <v>215.99712406970445</v>
      </c>
      <c r="F113" s="8">
        <f t="shared" si="6"/>
        <v>126887.95088895738</v>
      </c>
    </row>
    <row r="114" spans="1:8" hidden="1" x14ac:dyDescent="0.2">
      <c r="B114" s="8">
        <v>10</v>
      </c>
      <c r="C114" s="8">
        <f t="shared" si="7"/>
        <v>957.4368208123625</v>
      </c>
      <c r="D114" s="8">
        <f t="shared" si="4"/>
        <v>740.17971351891811</v>
      </c>
      <c r="E114" s="8">
        <f t="shared" si="5"/>
        <v>217.25710729344439</v>
      </c>
      <c r="F114" s="8">
        <f t="shared" si="6"/>
        <v>126670.69378166393</v>
      </c>
    </row>
    <row r="115" spans="1:8" hidden="1" x14ac:dyDescent="0.2">
      <c r="B115" s="8">
        <v>11</v>
      </c>
      <c r="C115" s="8">
        <f t="shared" si="7"/>
        <v>957.4368208123625</v>
      </c>
      <c r="D115" s="8">
        <f t="shared" si="4"/>
        <v>738.9123803930396</v>
      </c>
      <c r="E115" s="8">
        <f t="shared" si="5"/>
        <v>218.5244404193229</v>
      </c>
      <c r="F115" s="8">
        <f t="shared" si="6"/>
        <v>126452.1693412446</v>
      </c>
    </row>
    <row r="116" spans="1:8" x14ac:dyDescent="0.2">
      <c r="A116" s="7">
        <v>9</v>
      </c>
      <c r="B116" s="13">
        <v>12</v>
      </c>
      <c r="C116" s="13">
        <f t="shared" si="7"/>
        <v>957.4368208123625</v>
      </c>
      <c r="D116" s="13">
        <f t="shared" si="4"/>
        <v>737.6376544905936</v>
      </c>
      <c r="E116" s="13">
        <f t="shared" si="5"/>
        <v>219.79916632176889</v>
      </c>
      <c r="F116" s="13">
        <f t="shared" si="6"/>
        <v>126232.37017492283</v>
      </c>
      <c r="G116" s="14">
        <f>SUM(D105:D116)</f>
        <v>8934.1783798408669</v>
      </c>
      <c r="H116" s="14">
        <f>+F116</f>
        <v>126232.37017492283</v>
      </c>
    </row>
    <row r="117" spans="1:8" hidden="1" x14ac:dyDescent="0.2">
      <c r="B117" s="8">
        <v>1</v>
      </c>
      <c r="C117" s="8">
        <f t="shared" si="7"/>
        <v>957.4368208123625</v>
      </c>
      <c r="D117" s="8">
        <f t="shared" si="4"/>
        <v>736.35549268704995</v>
      </c>
      <c r="E117" s="8">
        <f t="shared" si="5"/>
        <v>221.08132812531255</v>
      </c>
      <c r="F117" s="8">
        <f t="shared" si="6"/>
        <v>126011.28884679753</v>
      </c>
    </row>
    <row r="118" spans="1:8" hidden="1" x14ac:dyDescent="0.2">
      <c r="B118" s="8">
        <v>2</v>
      </c>
      <c r="C118" s="8">
        <f t="shared" si="7"/>
        <v>957.4368208123625</v>
      </c>
      <c r="D118" s="8">
        <f t="shared" si="4"/>
        <v>735.06585160631892</v>
      </c>
      <c r="E118" s="8">
        <f t="shared" si="5"/>
        <v>222.37096920604358</v>
      </c>
      <c r="F118" s="8">
        <f t="shared" si="6"/>
        <v>125788.91787759149</v>
      </c>
    </row>
    <row r="119" spans="1:8" hidden="1" x14ac:dyDescent="0.2">
      <c r="B119" s="8">
        <v>3</v>
      </c>
      <c r="C119" s="8">
        <f t="shared" si="7"/>
        <v>957.4368208123625</v>
      </c>
      <c r="D119" s="8">
        <f t="shared" si="4"/>
        <v>733.7686876192837</v>
      </c>
      <c r="E119" s="8">
        <f t="shared" si="5"/>
        <v>223.6681331930788</v>
      </c>
      <c r="F119" s="8">
        <f t="shared" si="6"/>
        <v>125565.24974439842</v>
      </c>
    </row>
    <row r="120" spans="1:8" hidden="1" x14ac:dyDescent="0.2">
      <c r="B120" s="8">
        <v>4</v>
      </c>
      <c r="C120" s="8">
        <f t="shared" si="7"/>
        <v>957.4368208123625</v>
      </c>
      <c r="D120" s="8">
        <f t="shared" si="4"/>
        <v>732.46395684232414</v>
      </c>
      <c r="E120" s="8">
        <f t="shared" si="5"/>
        <v>224.97286397003836</v>
      </c>
      <c r="F120" s="8">
        <f t="shared" si="6"/>
        <v>125340.27688042838</v>
      </c>
    </row>
    <row r="121" spans="1:8" hidden="1" x14ac:dyDescent="0.2">
      <c r="B121" s="8">
        <v>5</v>
      </c>
      <c r="C121" s="8">
        <f t="shared" si="7"/>
        <v>957.4368208123625</v>
      </c>
      <c r="D121" s="8">
        <f t="shared" si="4"/>
        <v>731.15161513583223</v>
      </c>
      <c r="E121" s="8">
        <f t="shared" si="5"/>
        <v>226.28520567653027</v>
      </c>
      <c r="F121" s="8">
        <f t="shared" si="6"/>
        <v>125113.99167475186</v>
      </c>
    </row>
    <row r="122" spans="1:8" hidden="1" x14ac:dyDescent="0.2">
      <c r="B122" s="8">
        <v>6</v>
      </c>
      <c r="C122" s="8">
        <f t="shared" si="7"/>
        <v>957.4368208123625</v>
      </c>
      <c r="D122" s="8">
        <f t="shared" si="4"/>
        <v>729.83161810271918</v>
      </c>
      <c r="E122" s="8">
        <f t="shared" si="5"/>
        <v>227.60520270964332</v>
      </c>
      <c r="F122" s="8">
        <f t="shared" si="6"/>
        <v>124886.38647204221</v>
      </c>
    </row>
    <row r="123" spans="1:8" hidden="1" x14ac:dyDescent="0.2">
      <c r="B123" s="8">
        <v>7</v>
      </c>
      <c r="C123" s="8">
        <f t="shared" si="7"/>
        <v>957.4368208123625</v>
      </c>
      <c r="D123" s="8">
        <f t="shared" si="4"/>
        <v>728.5039210869129</v>
      </c>
      <c r="E123" s="8">
        <f t="shared" si="5"/>
        <v>228.9328997254496</v>
      </c>
      <c r="F123" s="8">
        <f t="shared" si="6"/>
        <v>124657.45357231676</v>
      </c>
    </row>
    <row r="124" spans="1:8" hidden="1" x14ac:dyDescent="0.2">
      <c r="B124" s="8">
        <v>8</v>
      </c>
      <c r="C124" s="8">
        <f t="shared" si="7"/>
        <v>957.4368208123625</v>
      </c>
      <c r="D124" s="8">
        <f t="shared" si="4"/>
        <v>727.16847917184782</v>
      </c>
      <c r="E124" s="8">
        <f t="shared" si="5"/>
        <v>230.26834164051468</v>
      </c>
      <c r="F124" s="8">
        <f t="shared" si="6"/>
        <v>124427.18523067624</v>
      </c>
    </row>
    <row r="125" spans="1:8" hidden="1" x14ac:dyDescent="0.2">
      <c r="B125" s="8">
        <v>9</v>
      </c>
      <c r="C125" s="8">
        <f t="shared" si="7"/>
        <v>957.4368208123625</v>
      </c>
      <c r="D125" s="8">
        <f t="shared" si="4"/>
        <v>725.82524717894478</v>
      </c>
      <c r="E125" s="8">
        <f t="shared" si="5"/>
        <v>231.61157363341772</v>
      </c>
      <c r="F125" s="8">
        <f t="shared" si="6"/>
        <v>124195.57365704283</v>
      </c>
    </row>
    <row r="126" spans="1:8" hidden="1" x14ac:dyDescent="0.2">
      <c r="B126" s="8">
        <v>10</v>
      </c>
      <c r="C126" s="8">
        <f t="shared" si="7"/>
        <v>957.4368208123625</v>
      </c>
      <c r="D126" s="8">
        <f t="shared" si="4"/>
        <v>724.47417966608316</v>
      </c>
      <c r="E126" s="8">
        <f t="shared" si="5"/>
        <v>232.96264114627934</v>
      </c>
      <c r="F126" s="8">
        <f t="shared" si="6"/>
        <v>123962.61101589655</v>
      </c>
    </row>
    <row r="127" spans="1:8" hidden="1" x14ac:dyDescent="0.2">
      <c r="B127" s="8">
        <v>11</v>
      </c>
      <c r="C127" s="8">
        <f t="shared" si="7"/>
        <v>957.4368208123625</v>
      </c>
      <c r="D127" s="8">
        <f t="shared" si="4"/>
        <v>723.11523092606319</v>
      </c>
      <c r="E127" s="8">
        <f t="shared" si="5"/>
        <v>234.32158988629931</v>
      </c>
      <c r="F127" s="8">
        <f t="shared" si="6"/>
        <v>123728.28942601025</v>
      </c>
    </row>
    <row r="128" spans="1:8" x14ac:dyDescent="0.2">
      <c r="A128" s="7">
        <v>10</v>
      </c>
      <c r="B128" s="13">
        <v>12</v>
      </c>
      <c r="C128" s="13">
        <f t="shared" si="7"/>
        <v>957.4368208123625</v>
      </c>
      <c r="D128" s="13">
        <f t="shared" si="4"/>
        <v>721.74835498505979</v>
      </c>
      <c r="E128" s="13">
        <f t="shared" si="5"/>
        <v>235.68846582730271</v>
      </c>
      <c r="F128" s="13">
        <f t="shared" si="6"/>
        <v>123492.60096018294</v>
      </c>
      <c r="G128" s="14">
        <f>SUM(D117:D128)</f>
        <v>8749.4726350084402</v>
      </c>
      <c r="H128" s="14">
        <f>+F128</f>
        <v>123492.60096018294</v>
      </c>
    </row>
    <row r="129" spans="2:6" x14ac:dyDescent="0.2">
      <c r="B129" s="8">
        <v>1</v>
      </c>
      <c r="C129" s="8">
        <f t="shared" si="7"/>
        <v>957.4368208123625</v>
      </c>
      <c r="D129" s="8">
        <f t="shared" si="4"/>
        <v>720.37350560106722</v>
      </c>
      <c r="E129" s="8">
        <f t="shared" si="5"/>
        <v>237.06331521129528</v>
      </c>
      <c r="F129" s="8">
        <f t="shared" si="6"/>
        <v>123255.53764497164</v>
      </c>
    </row>
    <row r="130" spans="2:6" x14ac:dyDescent="0.2">
      <c r="B130" s="8">
        <v>2</v>
      </c>
      <c r="C130" s="8">
        <f t="shared" si="7"/>
        <v>957.4368208123625</v>
      </c>
      <c r="D130" s="8">
        <f t="shared" si="4"/>
        <v>718.99063626233465</v>
      </c>
      <c r="E130" s="8">
        <f t="shared" si="5"/>
        <v>238.44618455002785</v>
      </c>
      <c r="F130" s="8">
        <f t="shared" si="6"/>
        <v>123017.09146042161</v>
      </c>
    </row>
    <row r="131" spans="2:6" x14ac:dyDescent="0.2">
      <c r="B131" s="8">
        <v>3</v>
      </c>
      <c r="C131" s="8">
        <f t="shared" si="7"/>
        <v>957.4368208123625</v>
      </c>
      <c r="D131" s="8">
        <f t="shared" ref="D131:D194" si="8">+F130*$C$4</f>
        <v>717.5997001857927</v>
      </c>
      <c r="E131" s="8">
        <f t="shared" ref="E131:E194" si="9">+C131-D131</f>
        <v>239.8371206265698</v>
      </c>
      <c r="F131" s="8">
        <f t="shared" ref="F131:F194" si="10">+F130-E131</f>
        <v>122777.25433979504</v>
      </c>
    </row>
    <row r="132" spans="2:6" x14ac:dyDescent="0.2">
      <c r="B132" s="8">
        <v>4</v>
      </c>
      <c r="C132" s="8">
        <f t="shared" si="7"/>
        <v>957.4368208123625</v>
      </c>
      <c r="D132" s="8">
        <f t="shared" si="8"/>
        <v>716.20065031547108</v>
      </c>
      <c r="E132" s="8">
        <f t="shared" si="9"/>
        <v>241.23617049689142</v>
      </c>
      <c r="F132" s="8">
        <f t="shared" si="10"/>
        <v>122536.01816929814</v>
      </c>
    </row>
    <row r="133" spans="2:6" x14ac:dyDescent="0.2">
      <c r="B133" s="8">
        <v>5</v>
      </c>
      <c r="C133" s="8">
        <f t="shared" si="7"/>
        <v>957.4368208123625</v>
      </c>
      <c r="D133" s="8">
        <f t="shared" si="8"/>
        <v>714.79343932090592</v>
      </c>
      <c r="E133" s="8">
        <f t="shared" si="9"/>
        <v>242.64338149145658</v>
      </c>
      <c r="F133" s="8">
        <f t="shared" si="10"/>
        <v>122293.37478780668</v>
      </c>
    </row>
    <row r="134" spans="2:6" x14ac:dyDescent="0.2">
      <c r="B134" s="8">
        <v>6</v>
      </c>
      <c r="C134" s="8">
        <f t="shared" si="7"/>
        <v>957.4368208123625</v>
      </c>
      <c r="D134" s="8">
        <f t="shared" si="8"/>
        <v>713.37801959553894</v>
      </c>
      <c r="E134" s="8">
        <f t="shared" si="9"/>
        <v>244.05880121682355</v>
      </c>
      <c r="F134" s="8">
        <f t="shared" si="10"/>
        <v>122049.31598658985</v>
      </c>
    </row>
    <row r="135" spans="2:6" x14ac:dyDescent="0.2">
      <c r="B135" s="8">
        <v>7</v>
      </c>
      <c r="C135" s="8">
        <f t="shared" si="7"/>
        <v>957.4368208123625</v>
      </c>
      <c r="D135" s="8">
        <f t="shared" si="8"/>
        <v>711.95434325510746</v>
      </c>
      <c r="E135" s="8">
        <f t="shared" si="9"/>
        <v>245.48247755725504</v>
      </c>
      <c r="F135" s="8">
        <f t="shared" si="10"/>
        <v>121803.8335090326</v>
      </c>
    </row>
    <row r="136" spans="2:6" x14ac:dyDescent="0.2">
      <c r="B136" s="8">
        <v>8</v>
      </c>
      <c r="C136" s="8">
        <f t="shared" si="7"/>
        <v>957.4368208123625</v>
      </c>
      <c r="D136" s="8">
        <f t="shared" si="8"/>
        <v>710.5223621360235</v>
      </c>
      <c r="E136" s="8">
        <f t="shared" si="9"/>
        <v>246.914458676339</v>
      </c>
      <c r="F136" s="8">
        <f t="shared" si="10"/>
        <v>121556.91905035626</v>
      </c>
    </row>
    <row r="137" spans="2:6" x14ac:dyDescent="0.2">
      <c r="B137" s="8">
        <v>9</v>
      </c>
      <c r="C137" s="8">
        <f t="shared" si="7"/>
        <v>957.4368208123625</v>
      </c>
      <c r="D137" s="8">
        <f t="shared" si="8"/>
        <v>709.08202779374483</v>
      </c>
      <c r="E137" s="8">
        <f t="shared" si="9"/>
        <v>248.35479301861767</v>
      </c>
      <c r="F137" s="8">
        <f t="shared" si="10"/>
        <v>121308.56425733764</v>
      </c>
    </row>
    <row r="138" spans="2:6" x14ac:dyDescent="0.2">
      <c r="B138" s="8">
        <v>10</v>
      </c>
      <c r="C138" s="8">
        <f t="shared" ref="C138:C201" si="11">-$C$3</f>
        <v>957.4368208123625</v>
      </c>
      <c r="D138" s="8">
        <f t="shared" si="8"/>
        <v>707.63329150113623</v>
      </c>
      <c r="E138" s="8">
        <f t="shared" si="9"/>
        <v>249.80352931122627</v>
      </c>
      <c r="F138" s="8">
        <f t="shared" si="10"/>
        <v>121058.76072802641</v>
      </c>
    </row>
    <row r="139" spans="2:6" x14ac:dyDescent="0.2">
      <c r="B139" s="8">
        <v>11</v>
      </c>
      <c r="C139" s="8">
        <f t="shared" si="11"/>
        <v>957.4368208123625</v>
      </c>
      <c r="D139" s="8">
        <f t="shared" si="8"/>
        <v>706.17610424682073</v>
      </c>
      <c r="E139" s="8">
        <f t="shared" si="9"/>
        <v>251.26071656554177</v>
      </c>
      <c r="F139" s="8">
        <f t="shared" si="10"/>
        <v>120807.50001146087</v>
      </c>
    </row>
    <row r="140" spans="2:6" x14ac:dyDescent="0.2">
      <c r="B140" s="13">
        <v>12</v>
      </c>
      <c r="C140" s="8">
        <f t="shared" si="11"/>
        <v>957.4368208123625</v>
      </c>
      <c r="D140" s="8">
        <f t="shared" si="8"/>
        <v>704.71041673352181</v>
      </c>
      <c r="E140" s="8">
        <f t="shared" si="9"/>
        <v>252.72640407884069</v>
      </c>
      <c r="F140" s="8">
        <f t="shared" si="10"/>
        <v>120554.77360738203</v>
      </c>
    </row>
    <row r="141" spans="2:6" x14ac:dyDescent="0.2">
      <c r="B141" s="8">
        <v>1</v>
      </c>
      <c r="C141" s="8">
        <f t="shared" si="11"/>
        <v>957.4368208123625</v>
      </c>
      <c r="D141" s="8">
        <f t="shared" si="8"/>
        <v>703.23617937639517</v>
      </c>
      <c r="E141" s="8">
        <f t="shared" si="9"/>
        <v>254.20064143596733</v>
      </c>
      <c r="F141" s="8">
        <f t="shared" si="10"/>
        <v>120300.57296594606</v>
      </c>
    </row>
    <row r="142" spans="2:6" x14ac:dyDescent="0.2">
      <c r="B142" s="8">
        <v>2</v>
      </c>
      <c r="C142" s="8">
        <f t="shared" si="11"/>
        <v>957.4368208123625</v>
      </c>
      <c r="D142" s="8">
        <f t="shared" si="8"/>
        <v>701.75334230135206</v>
      </c>
      <c r="E142" s="8">
        <f t="shared" si="9"/>
        <v>255.68347851101043</v>
      </c>
      <c r="F142" s="8">
        <f t="shared" si="10"/>
        <v>120044.88948743505</v>
      </c>
    </row>
    <row r="143" spans="2:6" x14ac:dyDescent="0.2">
      <c r="B143" s="8">
        <v>3</v>
      </c>
      <c r="C143" s="8">
        <f t="shared" si="11"/>
        <v>957.4368208123625</v>
      </c>
      <c r="D143" s="8">
        <f t="shared" si="8"/>
        <v>700.26185534337117</v>
      </c>
      <c r="E143" s="8">
        <f t="shared" si="9"/>
        <v>257.17496546899133</v>
      </c>
      <c r="F143" s="8">
        <f t="shared" si="10"/>
        <v>119787.71452196606</v>
      </c>
    </row>
    <row r="144" spans="2:6" x14ac:dyDescent="0.2">
      <c r="B144" s="8">
        <v>4</v>
      </c>
      <c r="C144" s="8">
        <f t="shared" si="11"/>
        <v>957.4368208123625</v>
      </c>
      <c r="D144" s="8">
        <f t="shared" si="8"/>
        <v>698.76166804480204</v>
      </c>
      <c r="E144" s="8">
        <f t="shared" si="9"/>
        <v>258.67515276756046</v>
      </c>
      <c r="F144" s="8">
        <f t="shared" si="10"/>
        <v>119529.03936919849</v>
      </c>
    </row>
    <row r="145" spans="2:6" x14ac:dyDescent="0.2">
      <c r="B145" s="8">
        <v>5</v>
      </c>
      <c r="C145" s="8">
        <f t="shared" si="11"/>
        <v>957.4368208123625</v>
      </c>
      <c r="D145" s="8">
        <f t="shared" si="8"/>
        <v>697.25272965365787</v>
      </c>
      <c r="E145" s="8">
        <f t="shared" si="9"/>
        <v>260.18409115870463</v>
      </c>
      <c r="F145" s="8">
        <f t="shared" si="10"/>
        <v>119268.85527803979</v>
      </c>
    </row>
    <row r="146" spans="2:6" x14ac:dyDescent="0.2">
      <c r="B146" s="8">
        <v>6</v>
      </c>
      <c r="C146" s="8">
        <f t="shared" si="11"/>
        <v>957.4368208123625</v>
      </c>
      <c r="D146" s="8">
        <f t="shared" si="8"/>
        <v>695.73498912189882</v>
      </c>
      <c r="E146" s="8">
        <f t="shared" si="9"/>
        <v>261.70183169046368</v>
      </c>
      <c r="F146" s="8">
        <f t="shared" si="10"/>
        <v>119007.15344634933</v>
      </c>
    </row>
    <row r="147" spans="2:6" x14ac:dyDescent="0.2">
      <c r="B147" s="8">
        <v>7</v>
      </c>
      <c r="C147" s="8">
        <f t="shared" si="11"/>
        <v>957.4368208123625</v>
      </c>
      <c r="D147" s="8">
        <f t="shared" si="8"/>
        <v>694.20839510370445</v>
      </c>
      <c r="E147" s="8">
        <f t="shared" si="9"/>
        <v>263.22842570865805</v>
      </c>
      <c r="F147" s="8">
        <f t="shared" si="10"/>
        <v>118743.92502064067</v>
      </c>
    </row>
    <row r="148" spans="2:6" x14ac:dyDescent="0.2">
      <c r="B148" s="8">
        <v>8</v>
      </c>
      <c r="C148" s="8">
        <f t="shared" si="11"/>
        <v>957.4368208123625</v>
      </c>
      <c r="D148" s="8">
        <f t="shared" si="8"/>
        <v>692.67289595373734</v>
      </c>
      <c r="E148" s="8">
        <f t="shared" si="9"/>
        <v>264.76392485862516</v>
      </c>
      <c r="F148" s="8">
        <f t="shared" si="10"/>
        <v>118479.16109578205</v>
      </c>
    </row>
    <row r="149" spans="2:6" x14ac:dyDescent="0.2">
      <c r="B149" s="8">
        <v>9</v>
      </c>
      <c r="C149" s="8">
        <f t="shared" si="11"/>
        <v>957.4368208123625</v>
      </c>
      <c r="D149" s="8">
        <f t="shared" si="8"/>
        <v>691.12843972539531</v>
      </c>
      <c r="E149" s="8">
        <f t="shared" si="9"/>
        <v>266.30838108696719</v>
      </c>
      <c r="F149" s="8">
        <f t="shared" si="10"/>
        <v>118212.85271469508</v>
      </c>
    </row>
    <row r="150" spans="2:6" x14ac:dyDescent="0.2">
      <c r="B150" s="8">
        <v>10</v>
      </c>
      <c r="C150" s="8">
        <f t="shared" si="11"/>
        <v>957.4368208123625</v>
      </c>
      <c r="D150" s="8">
        <f t="shared" si="8"/>
        <v>689.57497416905471</v>
      </c>
      <c r="E150" s="8">
        <f t="shared" si="9"/>
        <v>267.86184664330779</v>
      </c>
      <c r="F150" s="8">
        <f t="shared" si="10"/>
        <v>117944.99086805177</v>
      </c>
    </row>
    <row r="151" spans="2:6" x14ac:dyDescent="0.2">
      <c r="B151" s="8">
        <v>11</v>
      </c>
      <c r="C151" s="8">
        <f t="shared" si="11"/>
        <v>957.4368208123625</v>
      </c>
      <c r="D151" s="8">
        <f t="shared" si="8"/>
        <v>688.01244673030203</v>
      </c>
      <c r="E151" s="8">
        <f t="shared" si="9"/>
        <v>269.42437408206047</v>
      </c>
      <c r="F151" s="8">
        <f t="shared" si="10"/>
        <v>117675.5664939697</v>
      </c>
    </row>
    <row r="152" spans="2:6" x14ac:dyDescent="0.2">
      <c r="B152" s="13">
        <v>12</v>
      </c>
      <c r="C152" s="8">
        <f t="shared" si="11"/>
        <v>957.4368208123625</v>
      </c>
      <c r="D152" s="8">
        <f t="shared" si="8"/>
        <v>686.44080454815662</v>
      </c>
      <c r="E152" s="8">
        <f t="shared" si="9"/>
        <v>270.99601626420588</v>
      </c>
      <c r="F152" s="8">
        <f t="shared" si="10"/>
        <v>117404.57047770549</v>
      </c>
    </row>
    <row r="153" spans="2:6" x14ac:dyDescent="0.2">
      <c r="B153" s="8">
        <v>1</v>
      </c>
      <c r="C153" s="8">
        <f t="shared" si="11"/>
        <v>957.4368208123625</v>
      </c>
      <c r="D153" s="8">
        <f t="shared" si="8"/>
        <v>684.85999445328207</v>
      </c>
      <c r="E153" s="8">
        <f t="shared" si="9"/>
        <v>272.57682635908043</v>
      </c>
      <c r="F153" s="8">
        <f t="shared" si="10"/>
        <v>117131.99365134641</v>
      </c>
    </row>
    <row r="154" spans="2:6" x14ac:dyDescent="0.2">
      <c r="B154" s="8">
        <v>2</v>
      </c>
      <c r="C154" s="8">
        <f t="shared" si="11"/>
        <v>957.4368208123625</v>
      </c>
      <c r="D154" s="8">
        <f t="shared" si="8"/>
        <v>683.26996296618745</v>
      </c>
      <c r="E154" s="8">
        <f t="shared" si="9"/>
        <v>274.16685784617505</v>
      </c>
      <c r="F154" s="8">
        <f t="shared" si="10"/>
        <v>116857.82679350024</v>
      </c>
    </row>
    <row r="155" spans="2:6" x14ac:dyDescent="0.2">
      <c r="B155" s="8">
        <v>3</v>
      </c>
      <c r="C155" s="8">
        <f t="shared" si="11"/>
        <v>957.4368208123625</v>
      </c>
      <c r="D155" s="8">
        <f t="shared" si="8"/>
        <v>681.6706562954181</v>
      </c>
      <c r="E155" s="8">
        <f t="shared" si="9"/>
        <v>275.7661645169444</v>
      </c>
      <c r="F155" s="8">
        <f t="shared" si="10"/>
        <v>116582.06062898329</v>
      </c>
    </row>
    <row r="156" spans="2:6" x14ac:dyDescent="0.2">
      <c r="B156" s="8">
        <v>4</v>
      </c>
      <c r="C156" s="8">
        <f t="shared" si="11"/>
        <v>957.4368208123625</v>
      </c>
      <c r="D156" s="8">
        <f t="shared" si="8"/>
        <v>680.06202033573595</v>
      </c>
      <c r="E156" s="8">
        <f t="shared" si="9"/>
        <v>277.37480047662655</v>
      </c>
      <c r="F156" s="8">
        <f t="shared" si="10"/>
        <v>116304.68582850667</v>
      </c>
    </row>
    <row r="157" spans="2:6" x14ac:dyDescent="0.2">
      <c r="B157" s="8">
        <v>5</v>
      </c>
      <c r="C157" s="8">
        <f t="shared" si="11"/>
        <v>957.4368208123625</v>
      </c>
      <c r="D157" s="8">
        <f t="shared" si="8"/>
        <v>678.44400066628896</v>
      </c>
      <c r="E157" s="8">
        <f t="shared" si="9"/>
        <v>278.99282014607354</v>
      </c>
      <c r="F157" s="8">
        <f t="shared" si="10"/>
        <v>116025.6930083606</v>
      </c>
    </row>
    <row r="158" spans="2:6" x14ac:dyDescent="0.2">
      <c r="B158" s="8">
        <v>6</v>
      </c>
      <c r="C158" s="8">
        <f t="shared" si="11"/>
        <v>957.4368208123625</v>
      </c>
      <c r="D158" s="8">
        <f t="shared" si="8"/>
        <v>676.81654254877014</v>
      </c>
      <c r="E158" s="8">
        <f t="shared" si="9"/>
        <v>280.62027826359235</v>
      </c>
      <c r="F158" s="8">
        <f t="shared" si="10"/>
        <v>115745.072730097</v>
      </c>
    </row>
    <row r="159" spans="2:6" x14ac:dyDescent="0.2">
      <c r="B159" s="8">
        <v>7</v>
      </c>
      <c r="C159" s="8">
        <f t="shared" si="11"/>
        <v>957.4368208123625</v>
      </c>
      <c r="D159" s="8">
        <f t="shared" si="8"/>
        <v>675.17959092556589</v>
      </c>
      <c r="E159" s="8">
        <f t="shared" si="9"/>
        <v>282.25722988679661</v>
      </c>
      <c r="F159" s="8">
        <f t="shared" si="10"/>
        <v>115462.8155002102</v>
      </c>
    </row>
    <row r="160" spans="2:6" x14ac:dyDescent="0.2">
      <c r="B160" s="8">
        <v>8</v>
      </c>
      <c r="C160" s="8">
        <f t="shared" si="11"/>
        <v>957.4368208123625</v>
      </c>
      <c r="D160" s="8">
        <f t="shared" si="8"/>
        <v>673.53309041789282</v>
      </c>
      <c r="E160" s="8">
        <f t="shared" si="9"/>
        <v>283.90373039446968</v>
      </c>
      <c r="F160" s="8">
        <f t="shared" si="10"/>
        <v>115178.91176981574</v>
      </c>
    </row>
    <row r="161" spans="2:6" x14ac:dyDescent="0.2">
      <c r="B161" s="8">
        <v>9</v>
      </c>
      <c r="C161" s="8">
        <f t="shared" si="11"/>
        <v>957.4368208123625</v>
      </c>
      <c r="D161" s="8">
        <f t="shared" si="8"/>
        <v>671.87698532392517</v>
      </c>
      <c r="E161" s="8">
        <f t="shared" si="9"/>
        <v>285.55983548843733</v>
      </c>
      <c r="F161" s="8">
        <f t="shared" si="10"/>
        <v>114893.35193432729</v>
      </c>
    </row>
    <row r="162" spans="2:6" x14ac:dyDescent="0.2">
      <c r="B162" s="8">
        <v>10</v>
      </c>
      <c r="C162" s="8">
        <f t="shared" si="11"/>
        <v>957.4368208123625</v>
      </c>
      <c r="D162" s="8">
        <f t="shared" si="8"/>
        <v>670.21121961690926</v>
      </c>
      <c r="E162" s="8">
        <f t="shared" si="9"/>
        <v>287.22560119545324</v>
      </c>
      <c r="F162" s="8">
        <f t="shared" si="10"/>
        <v>114606.12633313183</v>
      </c>
    </row>
    <row r="163" spans="2:6" x14ac:dyDescent="0.2">
      <c r="B163" s="8">
        <v>11</v>
      </c>
      <c r="C163" s="8">
        <f t="shared" si="11"/>
        <v>957.4368208123625</v>
      </c>
      <c r="D163" s="8">
        <f t="shared" si="8"/>
        <v>668.53573694326906</v>
      </c>
      <c r="E163" s="8">
        <f t="shared" si="9"/>
        <v>288.90108386909344</v>
      </c>
      <c r="F163" s="8">
        <f t="shared" si="10"/>
        <v>114317.22524926274</v>
      </c>
    </row>
    <row r="164" spans="2:6" x14ac:dyDescent="0.2">
      <c r="B164" s="13">
        <v>12</v>
      </c>
      <c r="C164" s="8">
        <f t="shared" si="11"/>
        <v>957.4368208123625</v>
      </c>
      <c r="D164" s="8">
        <f t="shared" si="8"/>
        <v>666.85048062069939</v>
      </c>
      <c r="E164" s="8">
        <f t="shared" si="9"/>
        <v>290.58634019166311</v>
      </c>
      <c r="F164" s="8">
        <f t="shared" si="10"/>
        <v>114026.63890907109</v>
      </c>
    </row>
    <row r="165" spans="2:6" x14ac:dyDescent="0.2">
      <c r="B165" s="8">
        <v>157</v>
      </c>
      <c r="C165" s="8">
        <f t="shared" si="11"/>
        <v>957.4368208123625</v>
      </c>
      <c r="D165" s="8">
        <f t="shared" si="8"/>
        <v>665.15539363624805</v>
      </c>
      <c r="E165" s="8">
        <f t="shared" si="9"/>
        <v>292.28142717611445</v>
      </c>
      <c r="F165" s="8">
        <f t="shared" si="10"/>
        <v>113734.35748189497</v>
      </c>
    </row>
    <row r="166" spans="2:6" x14ac:dyDescent="0.2">
      <c r="B166" s="8">
        <v>158</v>
      </c>
      <c r="C166" s="8">
        <f t="shared" si="11"/>
        <v>957.4368208123625</v>
      </c>
      <c r="D166" s="8">
        <f t="shared" si="8"/>
        <v>663.45041864438736</v>
      </c>
      <c r="E166" s="8">
        <f t="shared" si="9"/>
        <v>293.98640216797514</v>
      </c>
      <c r="F166" s="8">
        <f t="shared" si="10"/>
        <v>113440.37107972699</v>
      </c>
    </row>
    <row r="167" spans="2:6" x14ac:dyDescent="0.2">
      <c r="B167" s="8">
        <v>159</v>
      </c>
      <c r="C167" s="8">
        <f t="shared" si="11"/>
        <v>957.4368208123625</v>
      </c>
      <c r="D167" s="8">
        <f t="shared" si="8"/>
        <v>661.73549796507416</v>
      </c>
      <c r="E167" s="8">
        <f t="shared" si="9"/>
        <v>295.70132284728834</v>
      </c>
      <c r="F167" s="8">
        <f t="shared" si="10"/>
        <v>113144.6697568797</v>
      </c>
    </row>
    <row r="168" spans="2:6" x14ac:dyDescent="0.2">
      <c r="B168" s="8">
        <v>160</v>
      </c>
      <c r="C168" s="8">
        <f t="shared" si="11"/>
        <v>957.4368208123625</v>
      </c>
      <c r="D168" s="8">
        <f t="shared" si="8"/>
        <v>660.01057358179821</v>
      </c>
      <c r="E168" s="8">
        <f t="shared" si="9"/>
        <v>297.42624723056429</v>
      </c>
      <c r="F168" s="8">
        <f t="shared" si="10"/>
        <v>112847.24350964912</v>
      </c>
    </row>
    <row r="169" spans="2:6" x14ac:dyDescent="0.2">
      <c r="B169" s="8">
        <v>161</v>
      </c>
      <c r="C169" s="8">
        <f t="shared" si="11"/>
        <v>957.4368208123625</v>
      </c>
      <c r="D169" s="8">
        <f t="shared" si="8"/>
        <v>658.27558713961992</v>
      </c>
      <c r="E169" s="8">
        <f t="shared" si="9"/>
        <v>299.16123367274258</v>
      </c>
      <c r="F169" s="8">
        <f t="shared" si="10"/>
        <v>112548.08227597638</v>
      </c>
    </row>
    <row r="170" spans="2:6" x14ac:dyDescent="0.2">
      <c r="B170" s="8">
        <v>162</v>
      </c>
      <c r="C170" s="8">
        <f t="shared" si="11"/>
        <v>957.4368208123625</v>
      </c>
      <c r="D170" s="8">
        <f t="shared" si="8"/>
        <v>656.53047994319559</v>
      </c>
      <c r="E170" s="8">
        <f t="shared" si="9"/>
        <v>300.90634086916691</v>
      </c>
      <c r="F170" s="8">
        <f t="shared" si="10"/>
        <v>112247.17593510721</v>
      </c>
    </row>
    <row r="171" spans="2:6" x14ac:dyDescent="0.2">
      <c r="B171" s="8">
        <v>163</v>
      </c>
      <c r="C171" s="8">
        <f t="shared" si="11"/>
        <v>957.4368208123625</v>
      </c>
      <c r="D171" s="8">
        <f t="shared" si="8"/>
        <v>654.77519295479215</v>
      </c>
      <c r="E171" s="8">
        <f t="shared" si="9"/>
        <v>302.66162785757035</v>
      </c>
      <c r="F171" s="8">
        <f t="shared" si="10"/>
        <v>111944.51430724964</v>
      </c>
    </row>
    <row r="172" spans="2:6" x14ac:dyDescent="0.2">
      <c r="B172" s="8">
        <v>164</v>
      </c>
      <c r="C172" s="8">
        <f t="shared" si="11"/>
        <v>957.4368208123625</v>
      </c>
      <c r="D172" s="8">
        <f t="shared" si="8"/>
        <v>653.00966679228964</v>
      </c>
      <c r="E172" s="8">
        <f t="shared" si="9"/>
        <v>304.42715402007286</v>
      </c>
      <c r="F172" s="8">
        <f t="shared" si="10"/>
        <v>111640.08715322957</v>
      </c>
    </row>
    <row r="173" spans="2:6" x14ac:dyDescent="0.2">
      <c r="B173" s="8">
        <v>165</v>
      </c>
      <c r="C173" s="8">
        <f t="shared" si="11"/>
        <v>957.4368208123625</v>
      </c>
      <c r="D173" s="8">
        <f t="shared" si="8"/>
        <v>651.23384172717249</v>
      </c>
      <c r="E173" s="8">
        <f t="shared" si="9"/>
        <v>306.20297908519001</v>
      </c>
      <c r="F173" s="8">
        <f t="shared" si="10"/>
        <v>111333.88417414438</v>
      </c>
    </row>
    <row r="174" spans="2:6" x14ac:dyDescent="0.2">
      <c r="B174" s="8">
        <v>166</v>
      </c>
      <c r="C174" s="8">
        <f t="shared" si="11"/>
        <v>957.4368208123625</v>
      </c>
      <c r="D174" s="8">
        <f t="shared" si="8"/>
        <v>649.44765768250886</v>
      </c>
      <c r="E174" s="8">
        <f t="shared" si="9"/>
        <v>307.98916312985364</v>
      </c>
      <c r="F174" s="8">
        <f t="shared" si="10"/>
        <v>111025.89501101452</v>
      </c>
    </row>
    <row r="175" spans="2:6" x14ac:dyDescent="0.2">
      <c r="B175" s="8">
        <v>167</v>
      </c>
      <c r="C175" s="8">
        <f t="shared" si="11"/>
        <v>957.4368208123625</v>
      </c>
      <c r="D175" s="8">
        <f t="shared" si="8"/>
        <v>647.65105423091813</v>
      </c>
      <c r="E175" s="8">
        <f t="shared" si="9"/>
        <v>309.78576658144436</v>
      </c>
      <c r="F175" s="8">
        <f t="shared" si="10"/>
        <v>110716.10924443309</v>
      </c>
    </row>
    <row r="176" spans="2:6" x14ac:dyDescent="0.2">
      <c r="B176" s="8">
        <v>168</v>
      </c>
      <c r="C176" s="8">
        <f t="shared" si="11"/>
        <v>957.4368208123625</v>
      </c>
      <c r="D176" s="8">
        <f t="shared" si="8"/>
        <v>645.84397059252638</v>
      </c>
      <c r="E176" s="8">
        <f t="shared" si="9"/>
        <v>311.59285021983612</v>
      </c>
      <c r="F176" s="8">
        <f t="shared" si="10"/>
        <v>110404.51639421325</v>
      </c>
    </row>
    <row r="177" spans="2:6" x14ac:dyDescent="0.2">
      <c r="B177" s="8">
        <v>169</v>
      </c>
      <c r="C177" s="8">
        <f t="shared" si="11"/>
        <v>957.4368208123625</v>
      </c>
      <c r="D177" s="8">
        <f t="shared" si="8"/>
        <v>644.02634563291065</v>
      </c>
      <c r="E177" s="8">
        <f t="shared" si="9"/>
        <v>313.41047517945185</v>
      </c>
      <c r="F177" s="8">
        <f t="shared" si="10"/>
        <v>110091.1059190338</v>
      </c>
    </row>
    <row r="178" spans="2:6" x14ac:dyDescent="0.2">
      <c r="B178" s="8">
        <v>170</v>
      </c>
      <c r="C178" s="8">
        <f t="shared" si="11"/>
        <v>957.4368208123625</v>
      </c>
      <c r="D178" s="8">
        <f t="shared" si="8"/>
        <v>642.19811786103048</v>
      </c>
      <c r="E178" s="8">
        <f t="shared" si="9"/>
        <v>315.23870295133202</v>
      </c>
      <c r="F178" s="8">
        <f t="shared" si="10"/>
        <v>109775.86721608246</v>
      </c>
    </row>
    <row r="179" spans="2:6" x14ac:dyDescent="0.2">
      <c r="B179" s="8">
        <v>171</v>
      </c>
      <c r="C179" s="8">
        <f t="shared" si="11"/>
        <v>957.4368208123625</v>
      </c>
      <c r="D179" s="8">
        <f t="shared" si="8"/>
        <v>640.35922542714775</v>
      </c>
      <c r="E179" s="8">
        <f t="shared" si="9"/>
        <v>317.07759538521475</v>
      </c>
      <c r="F179" s="8">
        <f t="shared" si="10"/>
        <v>109458.78962069725</v>
      </c>
    </row>
    <row r="180" spans="2:6" x14ac:dyDescent="0.2">
      <c r="B180" s="8">
        <v>172</v>
      </c>
      <c r="C180" s="8">
        <f t="shared" si="11"/>
        <v>957.4368208123625</v>
      </c>
      <c r="D180" s="8">
        <f t="shared" si="8"/>
        <v>638.50960612073402</v>
      </c>
      <c r="E180" s="8">
        <f t="shared" si="9"/>
        <v>318.92721469162848</v>
      </c>
      <c r="F180" s="8">
        <f t="shared" si="10"/>
        <v>109139.86240600562</v>
      </c>
    </row>
    <row r="181" spans="2:6" x14ac:dyDescent="0.2">
      <c r="B181" s="8">
        <v>173</v>
      </c>
      <c r="C181" s="8">
        <f t="shared" si="11"/>
        <v>957.4368208123625</v>
      </c>
      <c r="D181" s="8">
        <f t="shared" si="8"/>
        <v>636.64919736836612</v>
      </c>
      <c r="E181" s="8">
        <f t="shared" si="9"/>
        <v>320.78762344399638</v>
      </c>
      <c r="F181" s="8">
        <f t="shared" si="10"/>
        <v>108819.07478256163</v>
      </c>
    </row>
    <row r="182" spans="2:6" x14ac:dyDescent="0.2">
      <c r="B182" s="8">
        <v>174</v>
      </c>
      <c r="C182" s="8">
        <f t="shared" si="11"/>
        <v>957.4368208123625</v>
      </c>
      <c r="D182" s="8">
        <f t="shared" si="8"/>
        <v>634.77793623160949</v>
      </c>
      <c r="E182" s="8">
        <f t="shared" si="9"/>
        <v>322.65888458075301</v>
      </c>
      <c r="F182" s="8">
        <f t="shared" si="10"/>
        <v>108496.41589798087</v>
      </c>
    </row>
    <row r="183" spans="2:6" x14ac:dyDescent="0.2">
      <c r="B183" s="8">
        <v>175</v>
      </c>
      <c r="C183" s="8">
        <f t="shared" si="11"/>
        <v>957.4368208123625</v>
      </c>
      <c r="D183" s="8">
        <f t="shared" si="8"/>
        <v>632.89575940488839</v>
      </c>
      <c r="E183" s="8">
        <f t="shared" si="9"/>
        <v>324.5410614074741</v>
      </c>
      <c r="F183" s="8">
        <f t="shared" si="10"/>
        <v>108171.87483657339</v>
      </c>
    </row>
    <row r="184" spans="2:6" x14ac:dyDescent="0.2">
      <c r="B184" s="8">
        <v>176</v>
      </c>
      <c r="C184" s="8">
        <f t="shared" si="11"/>
        <v>957.4368208123625</v>
      </c>
      <c r="D184" s="8">
        <f t="shared" si="8"/>
        <v>631.00260321334486</v>
      </c>
      <c r="E184" s="8">
        <f t="shared" si="9"/>
        <v>326.43421759901764</v>
      </c>
      <c r="F184" s="8">
        <f t="shared" si="10"/>
        <v>107845.44061897437</v>
      </c>
    </row>
    <row r="185" spans="2:6" x14ac:dyDescent="0.2">
      <c r="B185" s="8">
        <v>177</v>
      </c>
      <c r="C185" s="8">
        <f t="shared" si="11"/>
        <v>957.4368208123625</v>
      </c>
      <c r="D185" s="8">
        <f t="shared" si="8"/>
        <v>629.09840361068393</v>
      </c>
      <c r="E185" s="8">
        <f t="shared" si="9"/>
        <v>328.33841720167857</v>
      </c>
      <c r="F185" s="8">
        <f t="shared" si="10"/>
        <v>107517.10220177269</v>
      </c>
    </row>
    <row r="186" spans="2:6" x14ac:dyDescent="0.2">
      <c r="B186" s="8">
        <v>178</v>
      </c>
      <c r="C186" s="8">
        <f t="shared" si="11"/>
        <v>957.4368208123625</v>
      </c>
      <c r="D186" s="8">
        <f t="shared" si="8"/>
        <v>627.18309617700743</v>
      </c>
      <c r="E186" s="8">
        <f t="shared" si="9"/>
        <v>330.25372463535507</v>
      </c>
      <c r="F186" s="8">
        <f t="shared" si="10"/>
        <v>107186.84847713733</v>
      </c>
    </row>
    <row r="187" spans="2:6" x14ac:dyDescent="0.2">
      <c r="B187" s="8">
        <v>179</v>
      </c>
      <c r="C187" s="8">
        <f t="shared" si="11"/>
        <v>957.4368208123625</v>
      </c>
      <c r="D187" s="8">
        <f t="shared" si="8"/>
        <v>625.25661611663452</v>
      </c>
      <c r="E187" s="8">
        <f t="shared" si="9"/>
        <v>332.18020469572798</v>
      </c>
      <c r="F187" s="8">
        <f t="shared" si="10"/>
        <v>106854.6682724416</v>
      </c>
    </row>
    <row r="188" spans="2:6" x14ac:dyDescent="0.2">
      <c r="B188" s="8">
        <v>180</v>
      </c>
      <c r="C188" s="8">
        <f t="shared" si="11"/>
        <v>957.4368208123625</v>
      </c>
      <c r="D188" s="8">
        <f t="shared" si="8"/>
        <v>623.3188982559094</v>
      </c>
      <c r="E188" s="8">
        <f t="shared" si="9"/>
        <v>334.1179225564531</v>
      </c>
      <c r="F188" s="8">
        <f t="shared" si="10"/>
        <v>106520.55034988515</v>
      </c>
    </row>
    <row r="189" spans="2:6" x14ac:dyDescent="0.2">
      <c r="B189" s="8">
        <v>181</v>
      </c>
      <c r="C189" s="8">
        <f t="shared" si="11"/>
        <v>957.4368208123625</v>
      </c>
      <c r="D189" s="8">
        <f t="shared" si="8"/>
        <v>621.3698770409967</v>
      </c>
      <c r="E189" s="8">
        <f t="shared" si="9"/>
        <v>336.0669437713658</v>
      </c>
      <c r="F189" s="8">
        <f t="shared" si="10"/>
        <v>106184.48340611378</v>
      </c>
    </row>
    <row r="190" spans="2:6" x14ac:dyDescent="0.2">
      <c r="B190" s="8">
        <v>182</v>
      </c>
      <c r="C190" s="8">
        <f t="shared" si="11"/>
        <v>957.4368208123625</v>
      </c>
      <c r="D190" s="8">
        <f t="shared" si="8"/>
        <v>619.40948653566375</v>
      </c>
      <c r="E190" s="8">
        <f t="shared" si="9"/>
        <v>338.02733427669875</v>
      </c>
      <c r="F190" s="8">
        <f t="shared" si="10"/>
        <v>105846.45607183708</v>
      </c>
    </row>
    <row r="191" spans="2:6" x14ac:dyDescent="0.2">
      <c r="B191" s="8">
        <v>183</v>
      </c>
      <c r="C191" s="8">
        <f t="shared" si="11"/>
        <v>957.4368208123625</v>
      </c>
      <c r="D191" s="8">
        <f t="shared" si="8"/>
        <v>617.43766041904962</v>
      </c>
      <c r="E191" s="8">
        <f t="shared" si="9"/>
        <v>339.99916039331288</v>
      </c>
      <c r="F191" s="8">
        <f t="shared" si="10"/>
        <v>105506.45691144376</v>
      </c>
    </row>
    <row r="192" spans="2:6" x14ac:dyDescent="0.2">
      <c r="B192" s="8">
        <v>184</v>
      </c>
      <c r="C192" s="8">
        <f t="shared" si="11"/>
        <v>957.4368208123625</v>
      </c>
      <c r="D192" s="8">
        <f t="shared" si="8"/>
        <v>615.45433198342198</v>
      </c>
      <c r="E192" s="8">
        <f t="shared" si="9"/>
        <v>341.98248882894052</v>
      </c>
      <c r="F192" s="8">
        <f t="shared" si="10"/>
        <v>105164.47442261482</v>
      </c>
    </row>
    <row r="193" spans="2:6" x14ac:dyDescent="0.2">
      <c r="B193" s="8">
        <v>185</v>
      </c>
      <c r="C193" s="8">
        <f t="shared" si="11"/>
        <v>957.4368208123625</v>
      </c>
      <c r="D193" s="8">
        <f t="shared" si="8"/>
        <v>613.45943413191981</v>
      </c>
      <c r="E193" s="8">
        <f t="shared" si="9"/>
        <v>343.97738668044269</v>
      </c>
      <c r="F193" s="8">
        <f t="shared" si="10"/>
        <v>104820.49703593437</v>
      </c>
    </row>
    <row r="194" spans="2:6" x14ac:dyDescent="0.2">
      <c r="B194" s="8">
        <v>186</v>
      </c>
      <c r="C194" s="8">
        <f t="shared" si="11"/>
        <v>957.4368208123625</v>
      </c>
      <c r="D194" s="8">
        <f t="shared" si="8"/>
        <v>611.45289937628388</v>
      </c>
      <c r="E194" s="8">
        <f t="shared" si="9"/>
        <v>345.98392143607862</v>
      </c>
      <c r="F194" s="8">
        <f t="shared" si="10"/>
        <v>104474.51311449829</v>
      </c>
    </row>
    <row r="195" spans="2:6" x14ac:dyDescent="0.2">
      <c r="B195" s="8">
        <v>187</v>
      </c>
      <c r="C195" s="8">
        <f t="shared" si="11"/>
        <v>957.4368208123625</v>
      </c>
      <c r="D195" s="8">
        <f t="shared" ref="D195:D258" si="12">+F194*$C$4</f>
        <v>609.43465983457338</v>
      </c>
      <c r="E195" s="8">
        <f t="shared" ref="E195:E258" si="13">+C195-D195</f>
        <v>348.00216097778912</v>
      </c>
      <c r="F195" s="8">
        <f t="shared" ref="F195:F258" si="14">+F194-E195</f>
        <v>104126.5109535205</v>
      </c>
    </row>
    <row r="196" spans="2:6" x14ac:dyDescent="0.2">
      <c r="B196" s="8">
        <v>188</v>
      </c>
      <c r="C196" s="8">
        <f t="shared" si="11"/>
        <v>957.4368208123625</v>
      </c>
      <c r="D196" s="8">
        <f t="shared" si="12"/>
        <v>607.40464722886964</v>
      </c>
      <c r="E196" s="8">
        <f t="shared" si="13"/>
        <v>350.03217358349286</v>
      </c>
      <c r="F196" s="8">
        <f t="shared" si="14"/>
        <v>103776.47877993701</v>
      </c>
    </row>
    <row r="197" spans="2:6" x14ac:dyDescent="0.2">
      <c r="B197" s="8">
        <v>189</v>
      </c>
      <c r="C197" s="8">
        <f t="shared" si="11"/>
        <v>957.4368208123625</v>
      </c>
      <c r="D197" s="8">
        <f t="shared" si="12"/>
        <v>605.36279288296589</v>
      </c>
      <c r="E197" s="8">
        <f t="shared" si="13"/>
        <v>352.07402792939661</v>
      </c>
      <c r="F197" s="8">
        <f t="shared" si="14"/>
        <v>103424.40475200761</v>
      </c>
    </row>
    <row r="198" spans="2:6" x14ac:dyDescent="0.2">
      <c r="B198" s="8">
        <v>190</v>
      </c>
      <c r="C198" s="8">
        <f t="shared" si="11"/>
        <v>957.4368208123625</v>
      </c>
      <c r="D198" s="8">
        <f t="shared" si="12"/>
        <v>603.30902772004447</v>
      </c>
      <c r="E198" s="8">
        <f t="shared" si="13"/>
        <v>354.12779309231803</v>
      </c>
      <c r="F198" s="8">
        <f t="shared" si="14"/>
        <v>103070.27695891529</v>
      </c>
    </row>
    <row r="199" spans="2:6" x14ac:dyDescent="0.2">
      <c r="B199" s="8">
        <v>191</v>
      </c>
      <c r="C199" s="8">
        <f t="shared" si="11"/>
        <v>957.4368208123625</v>
      </c>
      <c r="D199" s="8">
        <f t="shared" si="12"/>
        <v>601.24328226033924</v>
      </c>
      <c r="E199" s="8">
        <f t="shared" si="13"/>
        <v>356.19353855202326</v>
      </c>
      <c r="F199" s="8">
        <f t="shared" si="14"/>
        <v>102714.08342036327</v>
      </c>
    </row>
    <row r="200" spans="2:6" x14ac:dyDescent="0.2">
      <c r="B200" s="8">
        <v>192</v>
      </c>
      <c r="C200" s="8">
        <f t="shared" si="11"/>
        <v>957.4368208123625</v>
      </c>
      <c r="D200" s="8">
        <f t="shared" si="12"/>
        <v>599.16548661878574</v>
      </c>
      <c r="E200" s="8">
        <f t="shared" si="13"/>
        <v>358.27133419357676</v>
      </c>
      <c r="F200" s="8">
        <f t="shared" si="14"/>
        <v>102355.8120861697</v>
      </c>
    </row>
    <row r="201" spans="2:6" x14ac:dyDescent="0.2">
      <c r="B201" s="8">
        <v>193</v>
      </c>
      <c r="C201" s="8">
        <f t="shared" si="11"/>
        <v>957.4368208123625</v>
      </c>
      <c r="D201" s="8">
        <f t="shared" si="12"/>
        <v>597.07557050265655</v>
      </c>
      <c r="E201" s="8">
        <f t="shared" si="13"/>
        <v>360.36125030970595</v>
      </c>
      <c r="F201" s="8">
        <f t="shared" si="14"/>
        <v>101995.45083585999</v>
      </c>
    </row>
    <row r="202" spans="2:6" x14ac:dyDescent="0.2">
      <c r="B202" s="8">
        <v>194</v>
      </c>
      <c r="C202" s="8">
        <f t="shared" ref="C202:C265" si="15">-$C$3</f>
        <v>957.4368208123625</v>
      </c>
      <c r="D202" s="8">
        <f t="shared" si="12"/>
        <v>594.97346320918325</v>
      </c>
      <c r="E202" s="8">
        <f t="shared" si="13"/>
        <v>362.46335760317925</v>
      </c>
      <c r="F202" s="8">
        <f t="shared" si="14"/>
        <v>101632.98747825681</v>
      </c>
    </row>
    <row r="203" spans="2:6" x14ac:dyDescent="0.2">
      <c r="B203" s="8">
        <v>195</v>
      </c>
      <c r="C203" s="8">
        <f t="shared" si="15"/>
        <v>957.4368208123625</v>
      </c>
      <c r="D203" s="8">
        <f t="shared" si="12"/>
        <v>592.85909362316477</v>
      </c>
      <c r="E203" s="8">
        <f t="shared" si="13"/>
        <v>364.57772718919773</v>
      </c>
      <c r="F203" s="8">
        <f t="shared" si="14"/>
        <v>101268.40975106761</v>
      </c>
    </row>
    <row r="204" spans="2:6" x14ac:dyDescent="0.2">
      <c r="B204" s="8">
        <v>196</v>
      </c>
      <c r="C204" s="8">
        <f t="shared" si="15"/>
        <v>957.4368208123625</v>
      </c>
      <c r="D204" s="8">
        <f t="shared" si="12"/>
        <v>590.73239021456106</v>
      </c>
      <c r="E204" s="8">
        <f t="shared" si="13"/>
        <v>366.70443059780143</v>
      </c>
      <c r="F204" s="8">
        <f t="shared" si="14"/>
        <v>100901.7053204698</v>
      </c>
    </row>
    <row r="205" spans="2:6" x14ac:dyDescent="0.2">
      <c r="B205" s="8">
        <v>197</v>
      </c>
      <c r="C205" s="8">
        <f t="shared" si="15"/>
        <v>957.4368208123625</v>
      </c>
      <c r="D205" s="8">
        <f t="shared" si="12"/>
        <v>588.5932810360739</v>
      </c>
      <c r="E205" s="8">
        <f t="shared" si="13"/>
        <v>368.84353977628859</v>
      </c>
      <c r="F205" s="8">
        <f t="shared" si="14"/>
        <v>100532.86178069351</v>
      </c>
    </row>
    <row r="206" spans="2:6" x14ac:dyDescent="0.2">
      <c r="B206" s="8">
        <v>198</v>
      </c>
      <c r="C206" s="8">
        <f t="shared" si="15"/>
        <v>957.4368208123625</v>
      </c>
      <c r="D206" s="8">
        <f t="shared" si="12"/>
        <v>586.44169372071212</v>
      </c>
      <c r="E206" s="8">
        <f t="shared" si="13"/>
        <v>370.99512709165037</v>
      </c>
      <c r="F206" s="8">
        <f t="shared" si="14"/>
        <v>100161.86665360186</v>
      </c>
    </row>
    <row r="207" spans="2:6" x14ac:dyDescent="0.2">
      <c r="B207" s="8">
        <v>199</v>
      </c>
      <c r="C207" s="8">
        <f t="shared" si="15"/>
        <v>957.4368208123625</v>
      </c>
      <c r="D207" s="8">
        <f t="shared" si="12"/>
        <v>584.27755547934419</v>
      </c>
      <c r="E207" s="8">
        <f t="shared" si="13"/>
        <v>373.15926533301831</v>
      </c>
      <c r="F207" s="8">
        <f t="shared" si="14"/>
        <v>99788.707388268842</v>
      </c>
    </row>
    <row r="208" spans="2:6" x14ac:dyDescent="0.2">
      <c r="B208" s="8">
        <v>200</v>
      </c>
      <c r="C208" s="8">
        <f t="shared" si="15"/>
        <v>957.4368208123625</v>
      </c>
      <c r="D208" s="8">
        <f t="shared" si="12"/>
        <v>582.10079309823493</v>
      </c>
      <c r="E208" s="8">
        <f t="shared" si="13"/>
        <v>375.33602771412757</v>
      </c>
      <c r="F208" s="8">
        <f t="shared" si="14"/>
        <v>99413.371360554709</v>
      </c>
    </row>
    <row r="209" spans="2:6" x14ac:dyDescent="0.2">
      <c r="B209" s="8">
        <v>201</v>
      </c>
      <c r="C209" s="8">
        <f t="shared" si="15"/>
        <v>957.4368208123625</v>
      </c>
      <c r="D209" s="8">
        <f t="shared" si="12"/>
        <v>579.91133293656912</v>
      </c>
      <c r="E209" s="8">
        <f t="shared" si="13"/>
        <v>377.52548787579337</v>
      </c>
      <c r="F209" s="8">
        <f t="shared" si="14"/>
        <v>99035.84587267891</v>
      </c>
    </row>
    <row r="210" spans="2:6" x14ac:dyDescent="0.2">
      <c r="B210" s="8">
        <v>202</v>
      </c>
      <c r="C210" s="8">
        <f t="shared" si="15"/>
        <v>957.4368208123625</v>
      </c>
      <c r="D210" s="8">
        <f t="shared" si="12"/>
        <v>577.70910092396036</v>
      </c>
      <c r="E210" s="8">
        <f t="shared" si="13"/>
        <v>379.72771988840213</v>
      </c>
      <c r="F210" s="8">
        <f t="shared" si="14"/>
        <v>98656.118152790514</v>
      </c>
    </row>
    <row r="211" spans="2:6" x14ac:dyDescent="0.2">
      <c r="B211" s="8">
        <v>203</v>
      </c>
      <c r="C211" s="8">
        <f t="shared" si="15"/>
        <v>957.4368208123625</v>
      </c>
      <c r="D211" s="8">
        <f t="shared" si="12"/>
        <v>575.49402255794473</v>
      </c>
      <c r="E211" s="8">
        <f t="shared" si="13"/>
        <v>381.94279825441777</v>
      </c>
      <c r="F211" s="8">
        <f t="shared" si="14"/>
        <v>98274.175354536099</v>
      </c>
    </row>
    <row r="212" spans="2:6" x14ac:dyDescent="0.2">
      <c r="B212" s="8">
        <v>204</v>
      </c>
      <c r="C212" s="8">
        <f t="shared" si="15"/>
        <v>957.4368208123625</v>
      </c>
      <c r="D212" s="8">
        <f t="shared" si="12"/>
        <v>573.26602290146059</v>
      </c>
      <c r="E212" s="8">
        <f t="shared" si="13"/>
        <v>384.17079791090191</v>
      </c>
      <c r="F212" s="8">
        <f t="shared" si="14"/>
        <v>97890.004556625194</v>
      </c>
    </row>
    <row r="213" spans="2:6" x14ac:dyDescent="0.2">
      <c r="B213" s="8">
        <v>205</v>
      </c>
      <c r="C213" s="8">
        <f t="shared" si="15"/>
        <v>957.4368208123625</v>
      </c>
      <c r="D213" s="8">
        <f t="shared" si="12"/>
        <v>571.02502658031369</v>
      </c>
      <c r="E213" s="8">
        <f t="shared" si="13"/>
        <v>386.41179423204881</v>
      </c>
      <c r="F213" s="8">
        <f t="shared" si="14"/>
        <v>97503.592762393149</v>
      </c>
    </row>
    <row r="214" spans="2:6" x14ac:dyDescent="0.2">
      <c r="B214" s="8">
        <v>206</v>
      </c>
      <c r="C214" s="8">
        <f t="shared" si="15"/>
        <v>957.4368208123625</v>
      </c>
      <c r="D214" s="8">
        <f t="shared" si="12"/>
        <v>568.77095778062676</v>
      </c>
      <c r="E214" s="8">
        <f t="shared" si="13"/>
        <v>388.66586303173574</v>
      </c>
      <c r="F214" s="8">
        <f t="shared" si="14"/>
        <v>97114.92689936141</v>
      </c>
    </row>
    <row r="215" spans="2:6" x14ac:dyDescent="0.2">
      <c r="B215" s="8">
        <v>207</v>
      </c>
      <c r="C215" s="8">
        <f t="shared" si="15"/>
        <v>957.4368208123625</v>
      </c>
      <c r="D215" s="8">
        <f t="shared" si="12"/>
        <v>566.5037402462749</v>
      </c>
      <c r="E215" s="8">
        <f t="shared" si="13"/>
        <v>390.9330805660876</v>
      </c>
      <c r="F215" s="8">
        <f t="shared" si="14"/>
        <v>96723.993818795323</v>
      </c>
    </row>
    <row r="216" spans="2:6" x14ac:dyDescent="0.2">
      <c r="B216" s="8">
        <v>208</v>
      </c>
      <c r="C216" s="8">
        <f t="shared" si="15"/>
        <v>957.4368208123625</v>
      </c>
      <c r="D216" s="8">
        <f t="shared" si="12"/>
        <v>564.22329727630608</v>
      </c>
      <c r="E216" s="8">
        <f t="shared" si="13"/>
        <v>393.21352353605641</v>
      </c>
      <c r="F216" s="8">
        <f t="shared" si="14"/>
        <v>96330.780295259261</v>
      </c>
    </row>
    <row r="217" spans="2:6" x14ac:dyDescent="0.2">
      <c r="B217" s="8">
        <v>209</v>
      </c>
      <c r="C217" s="8">
        <f t="shared" si="15"/>
        <v>957.4368208123625</v>
      </c>
      <c r="D217" s="8">
        <f t="shared" si="12"/>
        <v>561.92955172234576</v>
      </c>
      <c r="E217" s="8">
        <f t="shared" si="13"/>
        <v>395.50726909001673</v>
      </c>
      <c r="F217" s="8">
        <f t="shared" si="14"/>
        <v>95935.273026169249</v>
      </c>
    </row>
    <row r="218" spans="2:6" x14ac:dyDescent="0.2">
      <c r="B218" s="8">
        <v>210</v>
      </c>
      <c r="C218" s="8">
        <f t="shared" si="15"/>
        <v>957.4368208123625</v>
      </c>
      <c r="D218" s="8">
        <f t="shared" si="12"/>
        <v>559.62242598598732</v>
      </c>
      <c r="E218" s="8">
        <f t="shared" si="13"/>
        <v>397.81439482637518</v>
      </c>
      <c r="F218" s="8">
        <f t="shared" si="14"/>
        <v>95537.458631342874</v>
      </c>
    </row>
    <row r="219" spans="2:6" x14ac:dyDescent="0.2">
      <c r="B219" s="8">
        <v>211</v>
      </c>
      <c r="C219" s="8">
        <f t="shared" si="15"/>
        <v>957.4368208123625</v>
      </c>
      <c r="D219" s="8">
        <f t="shared" si="12"/>
        <v>557.3018420161668</v>
      </c>
      <c r="E219" s="8">
        <f t="shared" si="13"/>
        <v>400.1349787961957</v>
      </c>
      <c r="F219" s="8">
        <f t="shared" si="14"/>
        <v>95137.323652546678</v>
      </c>
    </row>
    <row r="220" spans="2:6" x14ac:dyDescent="0.2">
      <c r="B220" s="8">
        <v>212</v>
      </c>
      <c r="C220" s="8">
        <f t="shared" si="15"/>
        <v>957.4368208123625</v>
      </c>
      <c r="D220" s="8">
        <f t="shared" si="12"/>
        <v>554.96772130652232</v>
      </c>
      <c r="E220" s="8">
        <f t="shared" si="13"/>
        <v>402.46909950584018</v>
      </c>
      <c r="F220" s="8">
        <f t="shared" si="14"/>
        <v>94734.854553040845</v>
      </c>
    </row>
    <row r="221" spans="2:6" x14ac:dyDescent="0.2">
      <c r="B221" s="8">
        <v>213</v>
      </c>
      <c r="C221" s="8">
        <f t="shared" si="15"/>
        <v>957.4368208123625</v>
      </c>
      <c r="D221" s="8">
        <f t="shared" si="12"/>
        <v>552.61998489273833</v>
      </c>
      <c r="E221" s="8">
        <f t="shared" si="13"/>
        <v>404.81683591962417</v>
      </c>
      <c r="F221" s="8">
        <f t="shared" si="14"/>
        <v>94330.037717121217</v>
      </c>
    </row>
    <row r="222" spans="2:6" x14ac:dyDescent="0.2">
      <c r="B222" s="8">
        <v>214</v>
      </c>
      <c r="C222" s="8">
        <f t="shared" si="15"/>
        <v>957.4368208123625</v>
      </c>
      <c r="D222" s="8">
        <f t="shared" si="12"/>
        <v>550.25855334987375</v>
      </c>
      <c r="E222" s="8">
        <f t="shared" si="13"/>
        <v>407.17826746248875</v>
      </c>
      <c r="F222" s="8">
        <f t="shared" si="14"/>
        <v>93922.859449658732</v>
      </c>
    </row>
    <row r="223" spans="2:6" x14ac:dyDescent="0.2">
      <c r="B223" s="8">
        <v>215</v>
      </c>
      <c r="C223" s="8">
        <f t="shared" si="15"/>
        <v>957.4368208123625</v>
      </c>
      <c r="D223" s="8">
        <f t="shared" si="12"/>
        <v>547.88334678967601</v>
      </c>
      <c r="E223" s="8">
        <f t="shared" si="13"/>
        <v>409.55347402268649</v>
      </c>
      <c r="F223" s="8">
        <f t="shared" si="14"/>
        <v>93513.305975636045</v>
      </c>
    </row>
    <row r="224" spans="2:6" x14ac:dyDescent="0.2">
      <c r="B224" s="8">
        <v>216</v>
      </c>
      <c r="C224" s="8">
        <f t="shared" si="15"/>
        <v>957.4368208123625</v>
      </c>
      <c r="D224" s="8">
        <f t="shared" si="12"/>
        <v>545.49428485787701</v>
      </c>
      <c r="E224" s="8">
        <f t="shared" si="13"/>
        <v>411.94253595448549</v>
      </c>
      <c r="F224" s="8">
        <f t="shared" si="14"/>
        <v>93101.363439681561</v>
      </c>
    </row>
    <row r="225" spans="2:6" x14ac:dyDescent="0.2">
      <c r="B225" s="8">
        <v>217</v>
      </c>
      <c r="C225" s="8">
        <f t="shared" si="15"/>
        <v>957.4368208123625</v>
      </c>
      <c r="D225" s="8">
        <f t="shared" si="12"/>
        <v>543.09128673147575</v>
      </c>
      <c r="E225" s="8">
        <f t="shared" si="13"/>
        <v>414.34553408088675</v>
      </c>
      <c r="F225" s="8">
        <f t="shared" si="14"/>
        <v>92687.017905600675</v>
      </c>
    </row>
    <row r="226" spans="2:6" x14ac:dyDescent="0.2">
      <c r="B226" s="8">
        <v>218</v>
      </c>
      <c r="C226" s="8">
        <f t="shared" si="15"/>
        <v>957.4368208123625</v>
      </c>
      <c r="D226" s="8">
        <f t="shared" si="12"/>
        <v>540.67427111600398</v>
      </c>
      <c r="E226" s="8">
        <f t="shared" si="13"/>
        <v>416.76254969635852</v>
      </c>
      <c r="F226" s="8">
        <f t="shared" si="14"/>
        <v>92270.255355904315</v>
      </c>
    </row>
    <row r="227" spans="2:6" x14ac:dyDescent="0.2">
      <c r="B227" s="8">
        <v>219</v>
      </c>
      <c r="C227" s="8">
        <f t="shared" si="15"/>
        <v>957.4368208123625</v>
      </c>
      <c r="D227" s="8">
        <f t="shared" si="12"/>
        <v>538.24315624277517</v>
      </c>
      <c r="E227" s="8">
        <f t="shared" si="13"/>
        <v>419.19366456958733</v>
      </c>
      <c r="F227" s="8">
        <f t="shared" si="14"/>
        <v>91851.061691334733</v>
      </c>
    </row>
    <row r="228" spans="2:6" x14ac:dyDescent="0.2">
      <c r="B228" s="8">
        <v>220</v>
      </c>
      <c r="C228" s="8">
        <f t="shared" si="15"/>
        <v>957.4368208123625</v>
      </c>
      <c r="D228" s="8">
        <f t="shared" si="12"/>
        <v>535.79785986611932</v>
      </c>
      <c r="E228" s="8">
        <f t="shared" si="13"/>
        <v>421.63896094624317</v>
      </c>
      <c r="F228" s="8">
        <f t="shared" si="14"/>
        <v>91429.422730388484</v>
      </c>
    </row>
    <row r="229" spans="2:6" x14ac:dyDescent="0.2">
      <c r="B229" s="8">
        <v>221</v>
      </c>
      <c r="C229" s="8">
        <f t="shared" si="15"/>
        <v>957.4368208123625</v>
      </c>
      <c r="D229" s="8">
        <f t="shared" si="12"/>
        <v>533.33829926059946</v>
      </c>
      <c r="E229" s="8">
        <f t="shared" si="13"/>
        <v>424.09852155176304</v>
      </c>
      <c r="F229" s="8">
        <f t="shared" si="14"/>
        <v>91005.324208836726</v>
      </c>
    </row>
    <row r="230" spans="2:6" x14ac:dyDescent="0.2">
      <c r="B230" s="8">
        <v>222</v>
      </c>
      <c r="C230" s="8">
        <f t="shared" si="15"/>
        <v>957.4368208123625</v>
      </c>
      <c r="D230" s="8">
        <f t="shared" si="12"/>
        <v>530.86439121821422</v>
      </c>
      <c r="E230" s="8">
        <f t="shared" si="13"/>
        <v>426.57242959414828</v>
      </c>
      <c r="F230" s="8">
        <f t="shared" si="14"/>
        <v>90578.751779242579</v>
      </c>
    </row>
    <row r="231" spans="2:6" x14ac:dyDescent="0.2">
      <c r="B231" s="8">
        <v>223</v>
      </c>
      <c r="C231" s="8">
        <f t="shared" si="15"/>
        <v>957.4368208123625</v>
      </c>
      <c r="D231" s="8">
        <f t="shared" si="12"/>
        <v>528.37605204558179</v>
      </c>
      <c r="E231" s="8">
        <f t="shared" si="13"/>
        <v>429.06076876678071</v>
      </c>
      <c r="F231" s="8">
        <f t="shared" si="14"/>
        <v>90149.691010475799</v>
      </c>
    </row>
    <row r="232" spans="2:6" x14ac:dyDescent="0.2">
      <c r="B232" s="8">
        <v>224</v>
      </c>
      <c r="C232" s="8">
        <f t="shared" si="15"/>
        <v>957.4368208123625</v>
      </c>
      <c r="D232" s="8">
        <f t="shared" si="12"/>
        <v>525.8731975611089</v>
      </c>
      <c r="E232" s="8">
        <f t="shared" si="13"/>
        <v>431.5636232512536</v>
      </c>
      <c r="F232" s="8">
        <f t="shared" si="14"/>
        <v>89718.127387224551</v>
      </c>
    </row>
    <row r="233" spans="2:6" x14ac:dyDescent="0.2">
      <c r="B233" s="8">
        <v>225</v>
      </c>
      <c r="C233" s="8">
        <f t="shared" si="15"/>
        <v>957.4368208123625</v>
      </c>
      <c r="D233" s="8">
        <f t="shared" si="12"/>
        <v>523.35574309214326</v>
      </c>
      <c r="E233" s="8">
        <f t="shared" si="13"/>
        <v>434.08107772021924</v>
      </c>
      <c r="F233" s="8">
        <f t="shared" si="14"/>
        <v>89284.046309504338</v>
      </c>
    </row>
    <row r="234" spans="2:6" x14ac:dyDescent="0.2">
      <c r="B234" s="8">
        <v>226</v>
      </c>
      <c r="C234" s="8">
        <f t="shared" si="15"/>
        <v>957.4368208123625</v>
      </c>
      <c r="D234" s="8">
        <f t="shared" si="12"/>
        <v>520.82360347210863</v>
      </c>
      <c r="E234" s="8">
        <f t="shared" si="13"/>
        <v>436.61321734025387</v>
      </c>
      <c r="F234" s="8">
        <f t="shared" si="14"/>
        <v>88847.433092164079</v>
      </c>
    </row>
    <row r="235" spans="2:6" x14ac:dyDescent="0.2">
      <c r="B235" s="8">
        <v>227</v>
      </c>
      <c r="C235" s="8">
        <f t="shared" si="15"/>
        <v>957.4368208123625</v>
      </c>
      <c r="D235" s="8">
        <f t="shared" si="12"/>
        <v>518.27669303762377</v>
      </c>
      <c r="E235" s="8">
        <f t="shared" si="13"/>
        <v>439.16012777473873</v>
      </c>
      <c r="F235" s="8">
        <f t="shared" si="14"/>
        <v>88408.27296438934</v>
      </c>
    </row>
    <row r="236" spans="2:6" x14ac:dyDescent="0.2">
      <c r="B236" s="8">
        <v>228</v>
      </c>
      <c r="C236" s="8">
        <f t="shared" si="15"/>
        <v>957.4368208123625</v>
      </c>
      <c r="D236" s="8">
        <f t="shared" si="12"/>
        <v>515.71492562560445</v>
      </c>
      <c r="E236" s="8">
        <f t="shared" si="13"/>
        <v>441.72189518675805</v>
      </c>
      <c r="F236" s="8">
        <f t="shared" si="14"/>
        <v>87966.551069202585</v>
      </c>
    </row>
    <row r="237" spans="2:6" x14ac:dyDescent="0.2">
      <c r="B237" s="8">
        <v>229</v>
      </c>
      <c r="C237" s="8">
        <f t="shared" si="15"/>
        <v>957.4368208123625</v>
      </c>
      <c r="D237" s="8">
        <f t="shared" si="12"/>
        <v>513.1382145703484</v>
      </c>
      <c r="E237" s="8">
        <f t="shared" si="13"/>
        <v>444.2986062420141</v>
      </c>
      <c r="F237" s="8">
        <f t="shared" si="14"/>
        <v>87522.252462960576</v>
      </c>
    </row>
    <row r="238" spans="2:6" x14ac:dyDescent="0.2">
      <c r="B238" s="8">
        <v>230</v>
      </c>
      <c r="C238" s="8">
        <f t="shared" si="15"/>
        <v>957.4368208123625</v>
      </c>
      <c r="D238" s="8">
        <f t="shared" si="12"/>
        <v>510.54647270060337</v>
      </c>
      <c r="E238" s="8">
        <f t="shared" si="13"/>
        <v>446.89034811175912</v>
      </c>
      <c r="F238" s="8">
        <f t="shared" si="14"/>
        <v>87075.362114848816</v>
      </c>
    </row>
    <row r="239" spans="2:6" x14ac:dyDescent="0.2">
      <c r="B239" s="8">
        <v>231</v>
      </c>
      <c r="C239" s="8">
        <f t="shared" si="15"/>
        <v>957.4368208123625</v>
      </c>
      <c r="D239" s="8">
        <f t="shared" si="12"/>
        <v>507.9396123366181</v>
      </c>
      <c r="E239" s="8">
        <f t="shared" si="13"/>
        <v>449.4972084757444</v>
      </c>
      <c r="F239" s="8">
        <f t="shared" si="14"/>
        <v>86625.86490637307</v>
      </c>
    </row>
    <row r="240" spans="2:6" x14ac:dyDescent="0.2">
      <c r="B240" s="8">
        <v>232</v>
      </c>
      <c r="C240" s="8">
        <f t="shared" si="15"/>
        <v>957.4368208123625</v>
      </c>
      <c r="D240" s="8">
        <f t="shared" si="12"/>
        <v>505.31754528717624</v>
      </c>
      <c r="E240" s="8">
        <f t="shared" si="13"/>
        <v>452.11927552518625</v>
      </c>
      <c r="F240" s="8">
        <f t="shared" si="14"/>
        <v>86173.745630847887</v>
      </c>
    </row>
    <row r="241" spans="2:6" x14ac:dyDescent="0.2">
      <c r="B241" s="8">
        <v>233</v>
      </c>
      <c r="C241" s="8">
        <f t="shared" si="15"/>
        <v>957.4368208123625</v>
      </c>
      <c r="D241" s="8">
        <f t="shared" si="12"/>
        <v>502.68018284661269</v>
      </c>
      <c r="E241" s="8">
        <f t="shared" si="13"/>
        <v>454.7566379657498</v>
      </c>
      <c r="F241" s="8">
        <f t="shared" si="14"/>
        <v>85718.988992882136</v>
      </c>
    </row>
    <row r="242" spans="2:6" x14ac:dyDescent="0.2">
      <c r="B242" s="8">
        <v>234</v>
      </c>
      <c r="C242" s="8">
        <f t="shared" si="15"/>
        <v>957.4368208123625</v>
      </c>
      <c r="D242" s="8">
        <f t="shared" si="12"/>
        <v>500.02743579181248</v>
      </c>
      <c r="E242" s="8">
        <f t="shared" si="13"/>
        <v>457.40938502055002</v>
      </c>
      <c r="F242" s="8">
        <f t="shared" si="14"/>
        <v>85261.579607861582</v>
      </c>
    </row>
    <row r="243" spans="2:6" x14ac:dyDescent="0.2">
      <c r="B243" s="8">
        <v>235</v>
      </c>
      <c r="C243" s="8">
        <f t="shared" si="15"/>
        <v>957.4368208123625</v>
      </c>
      <c r="D243" s="8">
        <f t="shared" si="12"/>
        <v>497.35921437919257</v>
      </c>
      <c r="E243" s="8">
        <f t="shared" si="13"/>
        <v>460.07760643316993</v>
      </c>
      <c r="F243" s="8">
        <f t="shared" si="14"/>
        <v>84801.502001428409</v>
      </c>
    </row>
    <row r="244" spans="2:6" x14ac:dyDescent="0.2">
      <c r="B244" s="8">
        <v>236</v>
      </c>
      <c r="C244" s="8">
        <f t="shared" si="15"/>
        <v>957.4368208123625</v>
      </c>
      <c r="D244" s="8">
        <f t="shared" si="12"/>
        <v>494.67542834166574</v>
      </c>
      <c r="E244" s="8">
        <f t="shared" si="13"/>
        <v>462.76139247069676</v>
      </c>
      <c r="F244" s="8">
        <f t="shared" si="14"/>
        <v>84338.740608957713</v>
      </c>
    </row>
    <row r="245" spans="2:6" x14ac:dyDescent="0.2">
      <c r="B245" s="8">
        <v>237</v>
      </c>
      <c r="C245" s="8">
        <f t="shared" si="15"/>
        <v>957.4368208123625</v>
      </c>
      <c r="D245" s="8">
        <f t="shared" si="12"/>
        <v>491.97598688558668</v>
      </c>
      <c r="E245" s="8">
        <f t="shared" si="13"/>
        <v>465.46083392677582</v>
      </c>
      <c r="F245" s="8">
        <f t="shared" si="14"/>
        <v>83873.27977503094</v>
      </c>
    </row>
    <row r="246" spans="2:6" x14ac:dyDescent="0.2">
      <c r="B246" s="8">
        <v>238</v>
      </c>
      <c r="C246" s="8">
        <f t="shared" si="15"/>
        <v>957.4368208123625</v>
      </c>
      <c r="D246" s="8">
        <f t="shared" si="12"/>
        <v>489.26079868768051</v>
      </c>
      <c r="E246" s="8">
        <f t="shared" si="13"/>
        <v>468.17602212468199</v>
      </c>
      <c r="F246" s="8">
        <f t="shared" si="14"/>
        <v>83405.10375290626</v>
      </c>
    </row>
    <row r="247" spans="2:6" x14ac:dyDescent="0.2">
      <c r="B247" s="8">
        <v>239</v>
      </c>
      <c r="C247" s="8">
        <f t="shared" si="15"/>
        <v>957.4368208123625</v>
      </c>
      <c r="D247" s="8">
        <f t="shared" si="12"/>
        <v>486.5297718919532</v>
      </c>
      <c r="E247" s="8">
        <f t="shared" si="13"/>
        <v>470.9070489204093</v>
      </c>
      <c r="F247" s="8">
        <f t="shared" si="14"/>
        <v>82934.196703985857</v>
      </c>
    </row>
    <row r="248" spans="2:6" x14ac:dyDescent="0.2">
      <c r="B248" s="8">
        <v>240</v>
      </c>
      <c r="C248" s="8">
        <f t="shared" si="15"/>
        <v>957.4368208123625</v>
      </c>
      <c r="D248" s="8">
        <f t="shared" si="12"/>
        <v>483.78281410658417</v>
      </c>
      <c r="E248" s="8">
        <f t="shared" si="13"/>
        <v>473.65400670577833</v>
      </c>
      <c r="F248" s="8">
        <f t="shared" si="14"/>
        <v>82460.542697280078</v>
      </c>
    </row>
    <row r="249" spans="2:6" x14ac:dyDescent="0.2">
      <c r="B249" s="8">
        <v>241</v>
      </c>
      <c r="C249" s="8">
        <f t="shared" si="15"/>
        <v>957.4368208123625</v>
      </c>
      <c r="D249" s="8">
        <f t="shared" si="12"/>
        <v>481.01983240080045</v>
      </c>
      <c r="E249" s="8">
        <f t="shared" si="13"/>
        <v>476.41698841156204</v>
      </c>
      <c r="F249" s="8">
        <f t="shared" si="14"/>
        <v>81984.125708868509</v>
      </c>
    </row>
    <row r="250" spans="2:6" x14ac:dyDescent="0.2">
      <c r="B250" s="8">
        <v>242</v>
      </c>
      <c r="C250" s="8">
        <f t="shared" si="15"/>
        <v>957.4368208123625</v>
      </c>
      <c r="D250" s="8">
        <f t="shared" si="12"/>
        <v>478.24073330173297</v>
      </c>
      <c r="E250" s="8">
        <f t="shared" si="13"/>
        <v>479.19608751062952</v>
      </c>
      <c r="F250" s="8">
        <f t="shared" si="14"/>
        <v>81504.929621357878</v>
      </c>
    </row>
    <row r="251" spans="2:6" x14ac:dyDescent="0.2">
      <c r="B251" s="8">
        <v>243</v>
      </c>
      <c r="C251" s="8">
        <f t="shared" si="15"/>
        <v>957.4368208123625</v>
      </c>
      <c r="D251" s="8">
        <f t="shared" si="12"/>
        <v>475.44542279125432</v>
      </c>
      <c r="E251" s="8">
        <f t="shared" si="13"/>
        <v>481.99139802110818</v>
      </c>
      <c r="F251" s="8">
        <f t="shared" si="14"/>
        <v>81022.938223336765</v>
      </c>
    </row>
    <row r="252" spans="2:6" x14ac:dyDescent="0.2">
      <c r="B252" s="8">
        <v>244</v>
      </c>
      <c r="C252" s="8">
        <f t="shared" si="15"/>
        <v>957.4368208123625</v>
      </c>
      <c r="D252" s="8">
        <f t="shared" si="12"/>
        <v>472.63380630279784</v>
      </c>
      <c r="E252" s="8">
        <f t="shared" si="13"/>
        <v>484.80301450956466</v>
      </c>
      <c r="F252" s="8">
        <f t="shared" si="14"/>
        <v>80538.135208827196</v>
      </c>
    </row>
    <row r="253" spans="2:6" x14ac:dyDescent="0.2">
      <c r="B253" s="8">
        <v>245</v>
      </c>
      <c r="C253" s="8">
        <f t="shared" si="15"/>
        <v>957.4368208123625</v>
      </c>
      <c r="D253" s="8">
        <f t="shared" si="12"/>
        <v>469.80578871815868</v>
      </c>
      <c r="E253" s="8">
        <f t="shared" si="13"/>
        <v>487.63103209420382</v>
      </c>
      <c r="F253" s="8">
        <f t="shared" si="14"/>
        <v>80050.504176732997</v>
      </c>
    </row>
    <row r="254" spans="2:6" x14ac:dyDescent="0.2">
      <c r="B254" s="8">
        <v>246</v>
      </c>
      <c r="C254" s="8">
        <f t="shared" si="15"/>
        <v>957.4368208123625</v>
      </c>
      <c r="D254" s="8">
        <f t="shared" si="12"/>
        <v>466.96127436427582</v>
      </c>
      <c r="E254" s="8">
        <f t="shared" si="13"/>
        <v>490.47554644808667</v>
      </c>
      <c r="F254" s="8">
        <f t="shared" si="14"/>
        <v>79560.028630284913</v>
      </c>
    </row>
    <row r="255" spans="2:6" x14ac:dyDescent="0.2">
      <c r="B255" s="8">
        <v>247</v>
      </c>
      <c r="C255" s="8">
        <f t="shared" si="15"/>
        <v>957.4368208123625</v>
      </c>
      <c r="D255" s="8">
        <f t="shared" si="12"/>
        <v>464.10016700999535</v>
      </c>
      <c r="E255" s="8">
        <f t="shared" si="13"/>
        <v>493.33665380236715</v>
      </c>
      <c r="F255" s="8">
        <f t="shared" si="14"/>
        <v>79066.691976482543</v>
      </c>
    </row>
    <row r="256" spans="2:6" x14ac:dyDescent="0.2">
      <c r="B256" s="8">
        <v>248</v>
      </c>
      <c r="C256" s="8">
        <f t="shared" si="15"/>
        <v>957.4368208123625</v>
      </c>
      <c r="D256" s="8">
        <f t="shared" si="12"/>
        <v>461.22236986281484</v>
      </c>
      <c r="E256" s="8">
        <f t="shared" si="13"/>
        <v>496.21445094954765</v>
      </c>
      <c r="F256" s="8">
        <f t="shared" si="14"/>
        <v>78570.477525533002</v>
      </c>
    </row>
    <row r="257" spans="2:6" x14ac:dyDescent="0.2">
      <c r="B257" s="8">
        <v>249</v>
      </c>
      <c r="C257" s="8">
        <f t="shared" si="15"/>
        <v>957.4368208123625</v>
      </c>
      <c r="D257" s="8">
        <f t="shared" si="12"/>
        <v>458.32778556560919</v>
      </c>
      <c r="E257" s="8">
        <f t="shared" si="13"/>
        <v>499.10903524675331</v>
      </c>
      <c r="F257" s="8">
        <f t="shared" si="14"/>
        <v>78071.368490286244</v>
      </c>
    </row>
    <row r="258" spans="2:6" x14ac:dyDescent="0.2">
      <c r="B258" s="8">
        <v>250</v>
      </c>
      <c r="C258" s="8">
        <f t="shared" si="15"/>
        <v>957.4368208123625</v>
      </c>
      <c r="D258" s="8">
        <f t="shared" si="12"/>
        <v>455.41631619333646</v>
      </c>
      <c r="E258" s="8">
        <f t="shared" si="13"/>
        <v>502.02050461902604</v>
      </c>
      <c r="F258" s="8">
        <f t="shared" si="14"/>
        <v>77569.34798566722</v>
      </c>
    </row>
    <row r="259" spans="2:6" x14ac:dyDescent="0.2">
      <c r="B259" s="8">
        <v>251</v>
      </c>
      <c r="C259" s="8">
        <f t="shared" si="15"/>
        <v>957.4368208123625</v>
      </c>
      <c r="D259" s="8">
        <f t="shared" ref="D259:D322" si="16">+F258*$C$4</f>
        <v>452.48786324972548</v>
      </c>
      <c r="E259" s="8">
        <f t="shared" ref="E259:E322" si="17">+C259-D259</f>
        <v>504.94895756263702</v>
      </c>
      <c r="F259" s="8">
        <f t="shared" ref="F259:F322" si="18">+F258-E259</f>
        <v>77064.399028104584</v>
      </c>
    </row>
    <row r="260" spans="2:6" x14ac:dyDescent="0.2">
      <c r="B260" s="8">
        <v>252</v>
      </c>
      <c r="C260" s="8">
        <f t="shared" si="15"/>
        <v>957.4368208123625</v>
      </c>
      <c r="D260" s="8">
        <f t="shared" si="16"/>
        <v>449.54232766394341</v>
      </c>
      <c r="E260" s="8">
        <f t="shared" si="17"/>
        <v>507.89449314841909</v>
      </c>
      <c r="F260" s="8">
        <f t="shared" si="18"/>
        <v>76556.50453495617</v>
      </c>
    </row>
    <row r="261" spans="2:6" x14ac:dyDescent="0.2">
      <c r="B261" s="8">
        <v>253</v>
      </c>
      <c r="C261" s="8">
        <f t="shared" si="15"/>
        <v>957.4368208123625</v>
      </c>
      <c r="D261" s="8">
        <f t="shared" si="16"/>
        <v>446.57960978724435</v>
      </c>
      <c r="E261" s="8">
        <f t="shared" si="17"/>
        <v>510.85721102511815</v>
      </c>
      <c r="F261" s="8">
        <f t="shared" si="18"/>
        <v>76045.647323931058</v>
      </c>
    </row>
    <row r="262" spans="2:6" x14ac:dyDescent="0.2">
      <c r="B262" s="8">
        <v>254</v>
      </c>
      <c r="C262" s="8">
        <f t="shared" si="15"/>
        <v>957.4368208123625</v>
      </c>
      <c r="D262" s="8">
        <f t="shared" si="16"/>
        <v>443.59960938959784</v>
      </c>
      <c r="E262" s="8">
        <f t="shared" si="17"/>
        <v>513.83721142276465</v>
      </c>
      <c r="F262" s="8">
        <f t="shared" si="18"/>
        <v>75531.81011250829</v>
      </c>
    </row>
    <row r="263" spans="2:6" x14ac:dyDescent="0.2">
      <c r="B263" s="8">
        <v>255</v>
      </c>
      <c r="C263" s="8">
        <f t="shared" si="15"/>
        <v>957.4368208123625</v>
      </c>
      <c r="D263" s="8">
        <f t="shared" si="16"/>
        <v>440.6022256562984</v>
      </c>
      <c r="E263" s="8">
        <f t="shared" si="17"/>
        <v>516.8345951560641</v>
      </c>
      <c r="F263" s="8">
        <f t="shared" si="18"/>
        <v>75014.975517352228</v>
      </c>
    </row>
    <row r="264" spans="2:6" x14ac:dyDescent="0.2">
      <c r="B264" s="8">
        <v>256</v>
      </c>
      <c r="C264" s="8">
        <f t="shared" si="15"/>
        <v>957.4368208123625</v>
      </c>
      <c r="D264" s="8">
        <f t="shared" si="16"/>
        <v>437.58735718455466</v>
      </c>
      <c r="E264" s="8">
        <f t="shared" si="17"/>
        <v>519.84946362780784</v>
      </c>
      <c r="F264" s="8">
        <f t="shared" si="18"/>
        <v>74495.126053724423</v>
      </c>
    </row>
    <row r="265" spans="2:6" x14ac:dyDescent="0.2">
      <c r="B265" s="8">
        <v>257</v>
      </c>
      <c r="C265" s="8">
        <f t="shared" si="15"/>
        <v>957.4368208123625</v>
      </c>
      <c r="D265" s="8">
        <f t="shared" si="16"/>
        <v>434.55490198005913</v>
      </c>
      <c r="E265" s="8">
        <f t="shared" si="17"/>
        <v>522.88191883230343</v>
      </c>
      <c r="F265" s="8">
        <f t="shared" si="18"/>
        <v>73972.244134892113</v>
      </c>
    </row>
    <row r="266" spans="2:6" x14ac:dyDescent="0.2">
      <c r="B266" s="8">
        <v>258</v>
      </c>
      <c r="C266" s="8">
        <f t="shared" ref="C266:C329" si="19">-$C$3</f>
        <v>957.4368208123625</v>
      </c>
      <c r="D266" s="8">
        <f t="shared" si="16"/>
        <v>431.50475745353737</v>
      </c>
      <c r="E266" s="8">
        <f t="shared" si="17"/>
        <v>525.93206335882519</v>
      </c>
      <c r="F266" s="8">
        <f t="shared" si="18"/>
        <v>73446.312071533292</v>
      </c>
    </row>
    <row r="267" spans="2:6" x14ac:dyDescent="0.2">
      <c r="B267" s="8">
        <v>259</v>
      </c>
      <c r="C267" s="8">
        <f t="shared" si="19"/>
        <v>957.4368208123625</v>
      </c>
      <c r="D267" s="8">
        <f t="shared" si="16"/>
        <v>428.43682041727754</v>
      </c>
      <c r="E267" s="8">
        <f t="shared" si="17"/>
        <v>529.00000039508495</v>
      </c>
      <c r="F267" s="8">
        <f t="shared" si="18"/>
        <v>72917.312071138207</v>
      </c>
    </row>
    <row r="268" spans="2:6" x14ac:dyDescent="0.2">
      <c r="B268" s="8">
        <v>260</v>
      </c>
      <c r="C268" s="8">
        <f t="shared" si="19"/>
        <v>957.4368208123625</v>
      </c>
      <c r="D268" s="8">
        <f t="shared" si="16"/>
        <v>425.35098708163957</v>
      </c>
      <c r="E268" s="8">
        <f t="shared" si="17"/>
        <v>532.08583373072292</v>
      </c>
      <c r="F268" s="8">
        <f t="shared" si="18"/>
        <v>72385.226237407478</v>
      </c>
    </row>
    <row r="269" spans="2:6" x14ac:dyDescent="0.2">
      <c r="B269" s="8">
        <v>261</v>
      </c>
      <c r="C269" s="8">
        <f t="shared" si="19"/>
        <v>957.4368208123625</v>
      </c>
      <c r="D269" s="8">
        <f t="shared" si="16"/>
        <v>422.24715305154365</v>
      </c>
      <c r="E269" s="8">
        <f t="shared" si="17"/>
        <v>535.18966776081879</v>
      </c>
      <c r="F269" s="8">
        <f t="shared" si="18"/>
        <v>71850.036569646662</v>
      </c>
    </row>
    <row r="270" spans="2:6" x14ac:dyDescent="0.2">
      <c r="B270" s="8">
        <v>262</v>
      </c>
      <c r="C270" s="8">
        <f t="shared" si="19"/>
        <v>957.4368208123625</v>
      </c>
      <c r="D270" s="8">
        <f t="shared" si="16"/>
        <v>419.12521332293886</v>
      </c>
      <c r="E270" s="8">
        <f t="shared" si="17"/>
        <v>538.31160748942364</v>
      </c>
      <c r="F270" s="8">
        <f t="shared" si="18"/>
        <v>71311.724962157241</v>
      </c>
    </row>
    <row r="271" spans="2:6" x14ac:dyDescent="0.2">
      <c r="B271" s="8">
        <v>263</v>
      </c>
      <c r="C271" s="8">
        <f t="shared" si="19"/>
        <v>957.4368208123625</v>
      </c>
      <c r="D271" s="8">
        <f t="shared" si="16"/>
        <v>415.9850622792506</v>
      </c>
      <c r="E271" s="8">
        <f t="shared" si="17"/>
        <v>541.45175853311184</v>
      </c>
      <c r="F271" s="8">
        <f t="shared" si="18"/>
        <v>70770.273203624136</v>
      </c>
    </row>
    <row r="272" spans="2:6" x14ac:dyDescent="0.2">
      <c r="B272" s="8">
        <v>264</v>
      </c>
      <c r="C272" s="8">
        <f t="shared" si="19"/>
        <v>957.4368208123625</v>
      </c>
      <c r="D272" s="8">
        <f t="shared" si="16"/>
        <v>412.82659368780747</v>
      </c>
      <c r="E272" s="8">
        <f t="shared" si="17"/>
        <v>544.61022712455497</v>
      </c>
      <c r="F272" s="8">
        <f t="shared" si="18"/>
        <v>70225.662976499574</v>
      </c>
    </row>
    <row r="273" spans="2:6" x14ac:dyDescent="0.2">
      <c r="B273" s="8">
        <v>265</v>
      </c>
      <c r="C273" s="8">
        <f t="shared" si="19"/>
        <v>957.4368208123625</v>
      </c>
      <c r="D273" s="8">
        <f t="shared" si="16"/>
        <v>409.64970069624752</v>
      </c>
      <c r="E273" s="8">
        <f t="shared" si="17"/>
        <v>547.78712011611492</v>
      </c>
      <c r="F273" s="8">
        <f t="shared" si="18"/>
        <v>69677.875856383456</v>
      </c>
    </row>
    <row r="274" spans="2:6" x14ac:dyDescent="0.2">
      <c r="B274" s="8">
        <v>266</v>
      </c>
      <c r="C274" s="8">
        <f t="shared" si="19"/>
        <v>957.4368208123625</v>
      </c>
      <c r="D274" s="8">
        <f t="shared" si="16"/>
        <v>406.45427582890352</v>
      </c>
      <c r="E274" s="8">
        <f t="shared" si="17"/>
        <v>550.98254498345898</v>
      </c>
      <c r="F274" s="8">
        <f t="shared" si="18"/>
        <v>69126.893311399996</v>
      </c>
    </row>
    <row r="275" spans="2:6" x14ac:dyDescent="0.2">
      <c r="B275" s="8">
        <v>267</v>
      </c>
      <c r="C275" s="8">
        <f t="shared" si="19"/>
        <v>957.4368208123625</v>
      </c>
      <c r="D275" s="8">
        <f t="shared" si="16"/>
        <v>403.24021098316666</v>
      </c>
      <c r="E275" s="8">
        <f t="shared" si="17"/>
        <v>554.19660982919584</v>
      </c>
      <c r="F275" s="8">
        <f t="shared" si="18"/>
        <v>68572.696701570807</v>
      </c>
    </row>
    <row r="276" spans="2:6" x14ac:dyDescent="0.2">
      <c r="B276" s="8">
        <v>268</v>
      </c>
      <c r="C276" s="8">
        <f t="shared" si="19"/>
        <v>957.4368208123625</v>
      </c>
      <c r="D276" s="8">
        <f t="shared" si="16"/>
        <v>400.00739742582971</v>
      </c>
      <c r="E276" s="8">
        <f t="shared" si="17"/>
        <v>557.42942338653279</v>
      </c>
      <c r="F276" s="8">
        <f t="shared" si="18"/>
        <v>68015.26727818427</v>
      </c>
    </row>
    <row r="277" spans="2:6" x14ac:dyDescent="0.2">
      <c r="B277" s="8">
        <v>269</v>
      </c>
      <c r="C277" s="8">
        <f t="shared" si="19"/>
        <v>957.4368208123625</v>
      </c>
      <c r="D277" s="8">
        <f t="shared" si="16"/>
        <v>396.75572578940825</v>
      </c>
      <c r="E277" s="8">
        <f t="shared" si="17"/>
        <v>560.6810950229542</v>
      </c>
      <c r="F277" s="8">
        <f t="shared" si="18"/>
        <v>67454.586183161315</v>
      </c>
    </row>
    <row r="278" spans="2:6" x14ac:dyDescent="0.2">
      <c r="B278" s="8">
        <v>270</v>
      </c>
      <c r="C278" s="8">
        <f t="shared" si="19"/>
        <v>957.4368208123625</v>
      </c>
      <c r="D278" s="8">
        <f t="shared" si="16"/>
        <v>393.48508606844103</v>
      </c>
      <c r="E278" s="8">
        <f t="shared" si="17"/>
        <v>563.95173474392141</v>
      </c>
      <c r="F278" s="8">
        <f t="shared" si="18"/>
        <v>66890.63444841739</v>
      </c>
    </row>
    <row r="279" spans="2:6" x14ac:dyDescent="0.2">
      <c r="B279" s="8">
        <v>271</v>
      </c>
      <c r="C279" s="8">
        <f t="shared" si="19"/>
        <v>957.4368208123625</v>
      </c>
      <c r="D279" s="8">
        <f t="shared" si="16"/>
        <v>390.19536761576813</v>
      </c>
      <c r="E279" s="8">
        <f t="shared" si="17"/>
        <v>567.24145319659442</v>
      </c>
      <c r="F279" s="8">
        <f t="shared" si="18"/>
        <v>66323.392995220798</v>
      </c>
    </row>
    <row r="280" spans="2:6" x14ac:dyDescent="0.2">
      <c r="B280" s="8">
        <v>272</v>
      </c>
      <c r="C280" s="8">
        <f t="shared" si="19"/>
        <v>957.4368208123625</v>
      </c>
      <c r="D280" s="8">
        <f t="shared" si="16"/>
        <v>386.88645913878798</v>
      </c>
      <c r="E280" s="8">
        <f t="shared" si="17"/>
        <v>570.55036167357457</v>
      </c>
      <c r="F280" s="8">
        <f t="shared" si="18"/>
        <v>65752.842633547218</v>
      </c>
    </row>
    <row r="281" spans="2:6" x14ac:dyDescent="0.2">
      <c r="B281" s="8">
        <v>273</v>
      </c>
      <c r="C281" s="8">
        <f t="shared" si="19"/>
        <v>957.4368208123625</v>
      </c>
      <c r="D281" s="8">
        <f t="shared" si="16"/>
        <v>383.5582486956921</v>
      </c>
      <c r="E281" s="8">
        <f t="shared" si="17"/>
        <v>573.8785721166704</v>
      </c>
      <c r="F281" s="8">
        <f t="shared" si="18"/>
        <v>65178.964061430546</v>
      </c>
    </row>
    <row r="282" spans="2:6" x14ac:dyDescent="0.2">
      <c r="B282" s="8">
        <v>274</v>
      </c>
      <c r="C282" s="8">
        <f t="shared" si="19"/>
        <v>957.4368208123625</v>
      </c>
      <c r="D282" s="8">
        <f t="shared" si="16"/>
        <v>380.21062369167822</v>
      </c>
      <c r="E282" s="8">
        <f t="shared" si="17"/>
        <v>577.22619712068422</v>
      </c>
      <c r="F282" s="8">
        <f t="shared" si="18"/>
        <v>64601.737864309864</v>
      </c>
    </row>
    <row r="283" spans="2:6" x14ac:dyDescent="0.2">
      <c r="B283" s="8">
        <v>275</v>
      </c>
      <c r="C283" s="8">
        <f t="shared" si="19"/>
        <v>957.4368208123625</v>
      </c>
      <c r="D283" s="8">
        <f t="shared" si="16"/>
        <v>376.84347087514089</v>
      </c>
      <c r="E283" s="8">
        <f t="shared" si="17"/>
        <v>580.59334993722155</v>
      </c>
      <c r="F283" s="8">
        <f t="shared" si="18"/>
        <v>64021.144514372645</v>
      </c>
    </row>
    <row r="284" spans="2:6" x14ac:dyDescent="0.2">
      <c r="B284" s="8">
        <v>276</v>
      </c>
      <c r="C284" s="8">
        <f t="shared" si="19"/>
        <v>957.4368208123625</v>
      </c>
      <c r="D284" s="8">
        <f t="shared" si="16"/>
        <v>373.45667633384045</v>
      </c>
      <c r="E284" s="8">
        <f t="shared" si="17"/>
        <v>583.98014447852211</v>
      </c>
      <c r="F284" s="8">
        <f t="shared" si="18"/>
        <v>63437.164369894126</v>
      </c>
    </row>
    <row r="285" spans="2:6" x14ac:dyDescent="0.2">
      <c r="B285" s="8">
        <v>277</v>
      </c>
      <c r="C285" s="8">
        <f t="shared" si="19"/>
        <v>957.4368208123625</v>
      </c>
      <c r="D285" s="8">
        <f t="shared" si="16"/>
        <v>370.05012549104907</v>
      </c>
      <c r="E285" s="8">
        <f t="shared" si="17"/>
        <v>587.38669532131348</v>
      </c>
      <c r="F285" s="8">
        <f t="shared" si="18"/>
        <v>62849.777674572812</v>
      </c>
    </row>
    <row r="286" spans="2:6" x14ac:dyDescent="0.2">
      <c r="B286" s="8">
        <v>278</v>
      </c>
      <c r="C286" s="8">
        <f t="shared" si="19"/>
        <v>957.4368208123625</v>
      </c>
      <c r="D286" s="8">
        <f t="shared" si="16"/>
        <v>366.62370310167478</v>
      </c>
      <c r="E286" s="8">
        <f t="shared" si="17"/>
        <v>590.81311771068772</v>
      </c>
      <c r="F286" s="8">
        <f t="shared" si="18"/>
        <v>62258.964556862127</v>
      </c>
    </row>
    <row r="287" spans="2:6" x14ac:dyDescent="0.2">
      <c r="B287" s="8">
        <v>279</v>
      </c>
      <c r="C287" s="8">
        <f t="shared" si="19"/>
        <v>957.4368208123625</v>
      </c>
      <c r="D287" s="8">
        <f t="shared" si="16"/>
        <v>363.17729324836245</v>
      </c>
      <c r="E287" s="8">
        <f t="shared" si="17"/>
        <v>594.25952756400011</v>
      </c>
      <c r="F287" s="8">
        <f t="shared" si="18"/>
        <v>61664.705029298129</v>
      </c>
    </row>
    <row r="288" spans="2:6" x14ac:dyDescent="0.2">
      <c r="B288" s="8">
        <v>280</v>
      </c>
      <c r="C288" s="8">
        <f t="shared" si="19"/>
        <v>957.4368208123625</v>
      </c>
      <c r="D288" s="8">
        <f t="shared" si="16"/>
        <v>359.71077933757243</v>
      </c>
      <c r="E288" s="8">
        <f t="shared" si="17"/>
        <v>597.72604147479001</v>
      </c>
      <c r="F288" s="8">
        <f t="shared" si="18"/>
        <v>61066.978987823342</v>
      </c>
    </row>
    <row r="289" spans="2:6" x14ac:dyDescent="0.2">
      <c r="B289" s="8">
        <v>281</v>
      </c>
      <c r="C289" s="8">
        <f t="shared" si="19"/>
        <v>957.4368208123625</v>
      </c>
      <c r="D289" s="8">
        <f t="shared" si="16"/>
        <v>356.2240440956362</v>
      </c>
      <c r="E289" s="8">
        <f t="shared" si="17"/>
        <v>601.21277671672624</v>
      </c>
      <c r="F289" s="8">
        <f t="shared" si="18"/>
        <v>60465.766211106617</v>
      </c>
    </row>
    <row r="290" spans="2:6" x14ac:dyDescent="0.2">
      <c r="B290" s="8">
        <v>282</v>
      </c>
      <c r="C290" s="8">
        <f t="shared" si="19"/>
        <v>957.4368208123625</v>
      </c>
      <c r="D290" s="8">
        <f t="shared" si="16"/>
        <v>352.7169695647886</v>
      </c>
      <c r="E290" s="8">
        <f t="shared" si="17"/>
        <v>604.71985124757384</v>
      </c>
      <c r="F290" s="8">
        <f t="shared" si="18"/>
        <v>59861.046359859043</v>
      </c>
    </row>
    <row r="291" spans="2:6" x14ac:dyDescent="0.2">
      <c r="B291" s="8">
        <v>283</v>
      </c>
      <c r="C291" s="8">
        <f t="shared" si="19"/>
        <v>957.4368208123625</v>
      </c>
      <c r="D291" s="8">
        <f t="shared" si="16"/>
        <v>349.18943709917778</v>
      </c>
      <c r="E291" s="8">
        <f t="shared" si="17"/>
        <v>608.24738371318472</v>
      </c>
      <c r="F291" s="8">
        <f t="shared" si="18"/>
        <v>59252.798976145859</v>
      </c>
    </row>
    <row r="292" spans="2:6" x14ac:dyDescent="0.2">
      <c r="B292" s="8">
        <v>284</v>
      </c>
      <c r="C292" s="8">
        <f t="shared" si="19"/>
        <v>957.4368208123625</v>
      </c>
      <c r="D292" s="8">
        <f t="shared" si="16"/>
        <v>345.64132736085088</v>
      </c>
      <c r="E292" s="8">
        <f t="shared" si="17"/>
        <v>611.79549345151167</v>
      </c>
      <c r="F292" s="8">
        <f t="shared" si="18"/>
        <v>58641.003482694345</v>
      </c>
    </row>
    <row r="293" spans="2:6" x14ac:dyDescent="0.2">
      <c r="B293" s="8">
        <v>285</v>
      </c>
      <c r="C293" s="8">
        <f t="shared" si="19"/>
        <v>957.4368208123625</v>
      </c>
      <c r="D293" s="8">
        <f t="shared" si="16"/>
        <v>342.07252031571704</v>
      </c>
      <c r="E293" s="8">
        <f t="shared" si="17"/>
        <v>615.36430049664546</v>
      </c>
      <c r="F293" s="8">
        <f t="shared" si="18"/>
        <v>58025.639182197701</v>
      </c>
    </row>
    <row r="294" spans="2:6" x14ac:dyDescent="0.2">
      <c r="B294" s="8">
        <v>286</v>
      </c>
      <c r="C294" s="8">
        <f t="shared" si="19"/>
        <v>957.4368208123625</v>
      </c>
      <c r="D294" s="8">
        <f t="shared" si="16"/>
        <v>338.48289522948659</v>
      </c>
      <c r="E294" s="8">
        <f t="shared" si="17"/>
        <v>618.95392558287585</v>
      </c>
      <c r="F294" s="8">
        <f t="shared" si="18"/>
        <v>57406.685256614823</v>
      </c>
    </row>
    <row r="295" spans="2:6" x14ac:dyDescent="0.2">
      <c r="B295" s="8">
        <v>287</v>
      </c>
      <c r="C295" s="8">
        <f t="shared" si="19"/>
        <v>957.4368208123625</v>
      </c>
      <c r="D295" s="8">
        <f t="shared" si="16"/>
        <v>334.87233066358647</v>
      </c>
      <c r="E295" s="8">
        <f t="shared" si="17"/>
        <v>622.56449014877603</v>
      </c>
      <c r="F295" s="8">
        <f t="shared" si="18"/>
        <v>56784.120766466047</v>
      </c>
    </row>
    <row r="296" spans="2:6" x14ac:dyDescent="0.2">
      <c r="B296" s="8">
        <v>288</v>
      </c>
      <c r="C296" s="8">
        <f t="shared" si="19"/>
        <v>957.4368208123625</v>
      </c>
      <c r="D296" s="8">
        <f t="shared" si="16"/>
        <v>331.24070447105197</v>
      </c>
      <c r="E296" s="8">
        <f t="shared" si="17"/>
        <v>626.19611634131047</v>
      </c>
      <c r="F296" s="8">
        <f t="shared" si="18"/>
        <v>56157.92465012474</v>
      </c>
    </row>
    <row r="297" spans="2:6" x14ac:dyDescent="0.2">
      <c r="B297" s="8">
        <v>289</v>
      </c>
      <c r="C297" s="8">
        <f t="shared" si="19"/>
        <v>957.4368208123625</v>
      </c>
      <c r="D297" s="8">
        <f t="shared" si="16"/>
        <v>327.58789379239431</v>
      </c>
      <c r="E297" s="8">
        <f t="shared" si="17"/>
        <v>629.84892701996819</v>
      </c>
      <c r="F297" s="8">
        <f t="shared" si="18"/>
        <v>55528.075723104768</v>
      </c>
    </row>
    <row r="298" spans="2:6" x14ac:dyDescent="0.2">
      <c r="B298" s="8">
        <v>290</v>
      </c>
      <c r="C298" s="8">
        <f t="shared" si="19"/>
        <v>957.4368208123625</v>
      </c>
      <c r="D298" s="8">
        <f t="shared" si="16"/>
        <v>323.91377505144447</v>
      </c>
      <c r="E298" s="8">
        <f t="shared" si="17"/>
        <v>633.52304576091797</v>
      </c>
      <c r="F298" s="8">
        <f t="shared" si="18"/>
        <v>54894.552677343847</v>
      </c>
    </row>
    <row r="299" spans="2:6" x14ac:dyDescent="0.2">
      <c r="B299" s="8">
        <v>291</v>
      </c>
      <c r="C299" s="8">
        <f t="shared" si="19"/>
        <v>957.4368208123625</v>
      </c>
      <c r="D299" s="8">
        <f t="shared" si="16"/>
        <v>320.21822395117243</v>
      </c>
      <c r="E299" s="8">
        <f t="shared" si="17"/>
        <v>637.21859686119001</v>
      </c>
      <c r="F299" s="8">
        <f t="shared" si="18"/>
        <v>54257.334080482658</v>
      </c>
    </row>
    <row r="300" spans="2:6" x14ac:dyDescent="0.2">
      <c r="B300" s="8">
        <v>292</v>
      </c>
      <c r="C300" s="8">
        <f t="shared" si="19"/>
        <v>957.4368208123625</v>
      </c>
      <c r="D300" s="8">
        <f t="shared" si="16"/>
        <v>316.50111546948222</v>
      </c>
      <c r="E300" s="8">
        <f t="shared" si="17"/>
        <v>640.93570534288028</v>
      </c>
      <c r="F300" s="8">
        <f t="shared" si="18"/>
        <v>53616.398375139775</v>
      </c>
    </row>
    <row r="301" spans="2:6" x14ac:dyDescent="0.2">
      <c r="B301" s="8">
        <v>293</v>
      </c>
      <c r="C301" s="8">
        <f t="shared" si="19"/>
        <v>957.4368208123625</v>
      </c>
      <c r="D301" s="8">
        <f t="shared" si="16"/>
        <v>312.76232385498201</v>
      </c>
      <c r="E301" s="8">
        <f t="shared" si="17"/>
        <v>644.67449695738048</v>
      </c>
      <c r="F301" s="8">
        <f t="shared" si="18"/>
        <v>52971.723878182398</v>
      </c>
    </row>
    <row r="302" spans="2:6" x14ac:dyDescent="0.2">
      <c r="B302" s="8">
        <v>294</v>
      </c>
      <c r="C302" s="8">
        <f t="shared" si="19"/>
        <v>957.4368208123625</v>
      </c>
      <c r="D302" s="8">
        <f t="shared" si="16"/>
        <v>309.00172262273065</v>
      </c>
      <c r="E302" s="8">
        <f t="shared" si="17"/>
        <v>648.43509818963184</v>
      </c>
      <c r="F302" s="8">
        <f t="shared" si="18"/>
        <v>52323.288779992763</v>
      </c>
    </row>
    <row r="303" spans="2:6" x14ac:dyDescent="0.2">
      <c r="B303" s="8">
        <v>295</v>
      </c>
      <c r="C303" s="8">
        <f t="shared" si="19"/>
        <v>957.4368208123625</v>
      </c>
      <c r="D303" s="8">
        <f t="shared" si="16"/>
        <v>305.21918454995779</v>
      </c>
      <c r="E303" s="8">
        <f t="shared" si="17"/>
        <v>652.21763626240477</v>
      </c>
      <c r="F303" s="8">
        <f t="shared" si="18"/>
        <v>51671.071143730362</v>
      </c>
    </row>
    <row r="304" spans="2:6" x14ac:dyDescent="0.2">
      <c r="B304" s="8">
        <v>296</v>
      </c>
      <c r="C304" s="8">
        <f t="shared" si="19"/>
        <v>957.4368208123625</v>
      </c>
      <c r="D304" s="8">
        <f t="shared" si="16"/>
        <v>301.41458167176046</v>
      </c>
      <c r="E304" s="8">
        <f t="shared" si="17"/>
        <v>656.0222391406021</v>
      </c>
      <c r="F304" s="8">
        <f t="shared" si="18"/>
        <v>51015.048904589763</v>
      </c>
    </row>
    <row r="305" spans="2:6" x14ac:dyDescent="0.2">
      <c r="B305" s="8">
        <v>297</v>
      </c>
      <c r="C305" s="8">
        <f t="shared" si="19"/>
        <v>957.4368208123625</v>
      </c>
      <c r="D305" s="8">
        <f t="shared" si="16"/>
        <v>297.58778527677362</v>
      </c>
      <c r="E305" s="8">
        <f t="shared" si="17"/>
        <v>659.84903553558888</v>
      </c>
      <c r="F305" s="8">
        <f t="shared" si="18"/>
        <v>50355.199869054173</v>
      </c>
    </row>
    <row r="306" spans="2:6" x14ac:dyDescent="0.2">
      <c r="B306" s="8">
        <v>298</v>
      </c>
      <c r="C306" s="8">
        <f t="shared" si="19"/>
        <v>957.4368208123625</v>
      </c>
      <c r="D306" s="8">
        <f t="shared" si="16"/>
        <v>293.73866590281602</v>
      </c>
      <c r="E306" s="8">
        <f t="shared" si="17"/>
        <v>663.69815490954647</v>
      </c>
      <c r="F306" s="8">
        <f t="shared" si="18"/>
        <v>49691.50171414463</v>
      </c>
    </row>
    <row r="307" spans="2:6" x14ac:dyDescent="0.2">
      <c r="B307" s="8">
        <v>299</v>
      </c>
      <c r="C307" s="8">
        <f t="shared" si="19"/>
        <v>957.4368208123625</v>
      </c>
      <c r="D307" s="8">
        <f t="shared" si="16"/>
        <v>289.86709333251036</v>
      </c>
      <c r="E307" s="8">
        <f t="shared" si="17"/>
        <v>667.56972747985219</v>
      </c>
      <c r="F307" s="8">
        <f t="shared" si="18"/>
        <v>49023.931986664778</v>
      </c>
    </row>
    <row r="308" spans="2:6" x14ac:dyDescent="0.2">
      <c r="B308" s="8">
        <v>300</v>
      </c>
      <c r="C308" s="8">
        <f t="shared" si="19"/>
        <v>957.4368208123625</v>
      </c>
      <c r="D308" s="8">
        <f t="shared" si="16"/>
        <v>285.97293658887787</v>
      </c>
      <c r="E308" s="8">
        <f t="shared" si="17"/>
        <v>671.46388422348468</v>
      </c>
      <c r="F308" s="8">
        <f t="shared" si="18"/>
        <v>48352.468102441293</v>
      </c>
    </row>
    <row r="309" spans="2:6" x14ac:dyDescent="0.2">
      <c r="B309" s="8">
        <v>301</v>
      </c>
      <c r="C309" s="8">
        <f t="shared" si="19"/>
        <v>957.4368208123625</v>
      </c>
      <c r="D309" s="8">
        <f t="shared" si="16"/>
        <v>282.05606393090756</v>
      </c>
      <c r="E309" s="8">
        <f t="shared" si="17"/>
        <v>675.380756881455</v>
      </c>
      <c r="F309" s="8">
        <f t="shared" si="18"/>
        <v>47677.087345559841</v>
      </c>
    </row>
    <row r="310" spans="2:6" x14ac:dyDescent="0.2">
      <c r="B310" s="8">
        <v>302</v>
      </c>
      <c r="C310" s="8">
        <f t="shared" si="19"/>
        <v>957.4368208123625</v>
      </c>
      <c r="D310" s="8">
        <f t="shared" si="16"/>
        <v>278.11634284909911</v>
      </c>
      <c r="E310" s="8">
        <f t="shared" si="17"/>
        <v>679.32047796326333</v>
      </c>
      <c r="F310" s="8">
        <f t="shared" si="18"/>
        <v>46997.766867596576</v>
      </c>
    </row>
    <row r="311" spans="2:6" x14ac:dyDescent="0.2">
      <c r="B311" s="8">
        <v>303</v>
      </c>
      <c r="C311" s="8">
        <f t="shared" si="19"/>
        <v>957.4368208123625</v>
      </c>
      <c r="D311" s="8">
        <f t="shared" si="16"/>
        <v>274.15364006098002</v>
      </c>
      <c r="E311" s="8">
        <f t="shared" si="17"/>
        <v>683.28318075138247</v>
      </c>
      <c r="F311" s="8">
        <f t="shared" si="18"/>
        <v>46314.483686845197</v>
      </c>
    </row>
    <row r="312" spans="2:6" x14ac:dyDescent="0.2">
      <c r="B312" s="8">
        <v>304</v>
      </c>
      <c r="C312" s="8">
        <f t="shared" si="19"/>
        <v>957.4368208123625</v>
      </c>
      <c r="D312" s="8">
        <f t="shared" si="16"/>
        <v>270.16782150659697</v>
      </c>
      <c r="E312" s="8">
        <f t="shared" si="17"/>
        <v>687.26899930576553</v>
      </c>
      <c r="F312" s="8">
        <f t="shared" si="18"/>
        <v>45627.214687539432</v>
      </c>
    </row>
    <row r="313" spans="2:6" x14ac:dyDescent="0.2">
      <c r="B313" s="8">
        <v>305</v>
      </c>
      <c r="C313" s="8">
        <f t="shared" si="19"/>
        <v>957.4368208123625</v>
      </c>
      <c r="D313" s="8">
        <f t="shared" si="16"/>
        <v>266.15875234398004</v>
      </c>
      <c r="E313" s="8">
        <f t="shared" si="17"/>
        <v>691.27806846838246</v>
      </c>
      <c r="F313" s="8">
        <f t="shared" si="18"/>
        <v>44935.93661907105</v>
      </c>
    </row>
    <row r="314" spans="2:6" x14ac:dyDescent="0.2">
      <c r="B314" s="8">
        <v>306</v>
      </c>
      <c r="C314" s="8">
        <f t="shared" si="19"/>
        <v>957.4368208123625</v>
      </c>
      <c r="D314" s="8">
        <f t="shared" si="16"/>
        <v>262.12629694458116</v>
      </c>
      <c r="E314" s="8">
        <f t="shared" si="17"/>
        <v>695.31052386778128</v>
      </c>
      <c r="F314" s="8">
        <f t="shared" si="18"/>
        <v>44240.626095203268</v>
      </c>
    </row>
    <row r="315" spans="2:6" x14ac:dyDescent="0.2">
      <c r="B315" s="8">
        <v>307</v>
      </c>
      <c r="C315" s="8">
        <f t="shared" si="19"/>
        <v>957.4368208123625</v>
      </c>
      <c r="D315" s="8">
        <f t="shared" si="16"/>
        <v>258.07031888868573</v>
      </c>
      <c r="E315" s="8">
        <f t="shared" si="17"/>
        <v>699.36650192367676</v>
      </c>
      <c r="F315" s="8">
        <f t="shared" si="18"/>
        <v>43541.259593279588</v>
      </c>
    </row>
    <row r="316" spans="2:6" x14ac:dyDescent="0.2">
      <c r="B316" s="8">
        <v>308</v>
      </c>
      <c r="C316" s="8">
        <f t="shared" si="19"/>
        <v>957.4368208123625</v>
      </c>
      <c r="D316" s="8">
        <f t="shared" si="16"/>
        <v>253.99068096079762</v>
      </c>
      <c r="E316" s="8">
        <f t="shared" si="17"/>
        <v>703.44613985156491</v>
      </c>
      <c r="F316" s="8">
        <f t="shared" si="18"/>
        <v>42837.813453428025</v>
      </c>
    </row>
    <row r="317" spans="2:6" x14ac:dyDescent="0.2">
      <c r="B317" s="8">
        <v>309</v>
      </c>
      <c r="C317" s="8">
        <f t="shared" si="19"/>
        <v>957.4368208123625</v>
      </c>
      <c r="D317" s="8">
        <f t="shared" si="16"/>
        <v>249.88724514499683</v>
      </c>
      <c r="E317" s="8">
        <f t="shared" si="17"/>
        <v>707.54957566736562</v>
      </c>
      <c r="F317" s="8">
        <f t="shared" si="18"/>
        <v>42130.263877760663</v>
      </c>
    </row>
    <row r="318" spans="2:6" x14ac:dyDescent="0.2">
      <c r="B318" s="8">
        <v>310</v>
      </c>
      <c r="C318" s="8">
        <f t="shared" si="19"/>
        <v>957.4368208123625</v>
      </c>
      <c r="D318" s="8">
        <f t="shared" si="16"/>
        <v>245.75987262027056</v>
      </c>
      <c r="E318" s="8">
        <f t="shared" si="17"/>
        <v>711.67694819209191</v>
      </c>
      <c r="F318" s="8">
        <f t="shared" si="18"/>
        <v>41418.58692956857</v>
      </c>
    </row>
    <row r="319" spans="2:6" x14ac:dyDescent="0.2">
      <c r="B319" s="8">
        <v>311</v>
      </c>
      <c r="C319" s="8">
        <f t="shared" si="19"/>
        <v>957.4368208123625</v>
      </c>
      <c r="D319" s="8">
        <f t="shared" si="16"/>
        <v>241.60842375581666</v>
      </c>
      <c r="E319" s="8">
        <f t="shared" si="17"/>
        <v>715.82839705654578</v>
      </c>
      <c r="F319" s="8">
        <f t="shared" si="18"/>
        <v>40702.758532512024</v>
      </c>
    </row>
    <row r="320" spans="2:6" x14ac:dyDescent="0.2">
      <c r="B320" s="8">
        <v>312</v>
      </c>
      <c r="C320" s="8">
        <f t="shared" si="19"/>
        <v>957.4368208123625</v>
      </c>
      <c r="D320" s="8">
        <f t="shared" si="16"/>
        <v>237.43275810632014</v>
      </c>
      <c r="E320" s="8">
        <f t="shared" si="17"/>
        <v>720.0040627060423</v>
      </c>
      <c r="F320" s="8">
        <f t="shared" si="18"/>
        <v>39982.754469805979</v>
      </c>
    </row>
    <row r="321" spans="2:6" x14ac:dyDescent="0.2">
      <c r="B321" s="8">
        <v>313</v>
      </c>
      <c r="C321" s="8">
        <f t="shared" si="19"/>
        <v>957.4368208123625</v>
      </c>
      <c r="D321" s="8">
        <f t="shared" si="16"/>
        <v>233.23273440720155</v>
      </c>
      <c r="E321" s="8">
        <f t="shared" si="17"/>
        <v>724.20408640516098</v>
      </c>
      <c r="F321" s="8">
        <f t="shared" si="18"/>
        <v>39258.55038340082</v>
      </c>
    </row>
    <row r="322" spans="2:6" x14ac:dyDescent="0.2">
      <c r="B322" s="8">
        <v>314</v>
      </c>
      <c r="C322" s="8">
        <f t="shared" si="19"/>
        <v>957.4368208123625</v>
      </c>
      <c r="D322" s="8">
        <f t="shared" si="16"/>
        <v>229.00821056983813</v>
      </c>
      <c r="E322" s="8">
        <f t="shared" si="17"/>
        <v>728.42861024252443</v>
      </c>
      <c r="F322" s="8">
        <f t="shared" si="18"/>
        <v>38530.121773158295</v>
      </c>
    </row>
    <row r="323" spans="2:6" x14ac:dyDescent="0.2">
      <c r="B323" s="8">
        <v>315</v>
      </c>
      <c r="C323" s="8">
        <f t="shared" si="19"/>
        <v>957.4368208123625</v>
      </c>
      <c r="D323" s="8">
        <f t="shared" ref="D323:D364" si="20">+F322*$C$4</f>
        <v>224.75904367675673</v>
      </c>
      <c r="E323" s="8">
        <f t="shared" ref="E323:E364" si="21">+C323-D323</f>
        <v>732.67777713560577</v>
      </c>
      <c r="F323" s="8">
        <f t="shared" ref="F323:F364" si="22">+F322-E323</f>
        <v>37797.443996022688</v>
      </c>
    </row>
    <row r="324" spans="2:6" x14ac:dyDescent="0.2">
      <c r="B324" s="8">
        <v>316</v>
      </c>
      <c r="C324" s="8">
        <f t="shared" si="19"/>
        <v>957.4368208123625</v>
      </c>
      <c r="D324" s="8">
        <f t="shared" si="20"/>
        <v>220.48508997679903</v>
      </c>
      <c r="E324" s="8">
        <f t="shared" si="21"/>
        <v>736.95173083556347</v>
      </c>
      <c r="F324" s="8">
        <f t="shared" si="22"/>
        <v>37060.492265187124</v>
      </c>
    </row>
    <row r="325" spans="2:6" x14ac:dyDescent="0.2">
      <c r="B325" s="8">
        <v>317</v>
      </c>
      <c r="C325" s="8">
        <f t="shared" si="19"/>
        <v>957.4368208123625</v>
      </c>
      <c r="D325" s="8">
        <f t="shared" si="20"/>
        <v>216.18620488025823</v>
      </c>
      <c r="E325" s="8">
        <f t="shared" si="21"/>
        <v>741.25061593210421</v>
      </c>
      <c r="F325" s="8">
        <f t="shared" si="22"/>
        <v>36319.241649255018</v>
      </c>
    </row>
    <row r="326" spans="2:6" x14ac:dyDescent="0.2">
      <c r="B326" s="8">
        <v>318</v>
      </c>
      <c r="C326" s="8">
        <f t="shared" si="19"/>
        <v>957.4368208123625</v>
      </c>
      <c r="D326" s="8">
        <f t="shared" si="20"/>
        <v>211.86224295398762</v>
      </c>
      <c r="E326" s="8">
        <f t="shared" si="21"/>
        <v>745.57457785837482</v>
      </c>
      <c r="F326" s="8">
        <f t="shared" si="22"/>
        <v>35573.667071396645</v>
      </c>
    </row>
    <row r="327" spans="2:6" x14ac:dyDescent="0.2">
      <c r="B327" s="8">
        <v>319</v>
      </c>
      <c r="C327" s="8">
        <f t="shared" si="19"/>
        <v>957.4368208123625</v>
      </c>
      <c r="D327" s="8">
        <f t="shared" si="20"/>
        <v>207.51305791648045</v>
      </c>
      <c r="E327" s="8">
        <f t="shared" si="21"/>
        <v>749.92376289588208</v>
      </c>
      <c r="F327" s="8">
        <f t="shared" si="22"/>
        <v>34823.743308500765</v>
      </c>
    </row>
    <row r="328" spans="2:6" x14ac:dyDescent="0.2">
      <c r="B328" s="8">
        <v>320</v>
      </c>
      <c r="C328" s="8">
        <f t="shared" si="19"/>
        <v>957.4368208123625</v>
      </c>
      <c r="D328" s="8">
        <f t="shared" si="20"/>
        <v>203.13850263292113</v>
      </c>
      <c r="E328" s="8">
        <f t="shared" si="21"/>
        <v>754.29831817944137</v>
      </c>
      <c r="F328" s="8">
        <f t="shared" si="22"/>
        <v>34069.444990321324</v>
      </c>
    </row>
    <row r="329" spans="2:6" x14ac:dyDescent="0.2">
      <c r="B329" s="8">
        <v>321</v>
      </c>
      <c r="C329" s="8">
        <f t="shared" si="19"/>
        <v>957.4368208123625</v>
      </c>
      <c r="D329" s="8">
        <f t="shared" si="20"/>
        <v>198.73842911020773</v>
      </c>
      <c r="E329" s="8">
        <f t="shared" si="21"/>
        <v>758.69839170215482</v>
      </c>
      <c r="F329" s="8">
        <f t="shared" si="22"/>
        <v>33310.746598619167</v>
      </c>
    </row>
    <row r="330" spans="2:6" x14ac:dyDescent="0.2">
      <c r="B330" s="8">
        <v>322</v>
      </c>
      <c r="C330" s="8">
        <f t="shared" ref="C330:C364" si="23">-$C$3</f>
        <v>957.4368208123625</v>
      </c>
      <c r="D330" s="8">
        <f t="shared" si="20"/>
        <v>194.31268849194515</v>
      </c>
      <c r="E330" s="8">
        <f t="shared" si="21"/>
        <v>763.1241323204174</v>
      </c>
      <c r="F330" s="8">
        <f t="shared" si="22"/>
        <v>32547.622466298752</v>
      </c>
    </row>
    <row r="331" spans="2:6" x14ac:dyDescent="0.2">
      <c r="B331" s="8">
        <v>323</v>
      </c>
      <c r="C331" s="8">
        <f t="shared" si="23"/>
        <v>957.4368208123625</v>
      </c>
      <c r="D331" s="8">
        <f t="shared" si="20"/>
        <v>189.86113105340939</v>
      </c>
      <c r="E331" s="8">
        <f t="shared" si="21"/>
        <v>767.5756897589531</v>
      </c>
      <c r="F331" s="8">
        <f t="shared" si="22"/>
        <v>31780.046776539799</v>
      </c>
    </row>
    <row r="332" spans="2:6" x14ac:dyDescent="0.2">
      <c r="B332" s="8">
        <v>324</v>
      </c>
      <c r="C332" s="8">
        <f t="shared" si="23"/>
        <v>957.4368208123625</v>
      </c>
      <c r="D332" s="8">
        <f t="shared" si="20"/>
        <v>185.38360619648216</v>
      </c>
      <c r="E332" s="8">
        <f t="shared" si="21"/>
        <v>772.05321461588028</v>
      </c>
      <c r="F332" s="8">
        <f t="shared" si="22"/>
        <v>31007.993561923919</v>
      </c>
    </row>
    <row r="333" spans="2:6" x14ac:dyDescent="0.2">
      <c r="B333" s="8">
        <v>325</v>
      </c>
      <c r="C333" s="8">
        <f t="shared" si="23"/>
        <v>957.4368208123625</v>
      </c>
      <c r="D333" s="8">
        <f t="shared" si="20"/>
        <v>180.87996244455621</v>
      </c>
      <c r="E333" s="8">
        <f t="shared" si="21"/>
        <v>776.55685836780629</v>
      </c>
      <c r="F333" s="8">
        <f t="shared" si="22"/>
        <v>30231.436703556112</v>
      </c>
    </row>
    <row r="334" spans="2:6" x14ac:dyDescent="0.2">
      <c r="B334" s="8">
        <v>326</v>
      </c>
      <c r="C334" s="8">
        <f t="shared" si="23"/>
        <v>957.4368208123625</v>
      </c>
      <c r="D334" s="8">
        <f t="shared" si="20"/>
        <v>176.35004743741067</v>
      </c>
      <c r="E334" s="8">
        <f t="shared" si="21"/>
        <v>781.0867733749518</v>
      </c>
      <c r="F334" s="8">
        <f t="shared" si="22"/>
        <v>29450.349930181161</v>
      </c>
    </row>
    <row r="335" spans="2:6" x14ac:dyDescent="0.2">
      <c r="B335" s="8">
        <v>327</v>
      </c>
      <c r="C335" s="8">
        <f t="shared" si="23"/>
        <v>957.4368208123625</v>
      </c>
      <c r="D335" s="8">
        <f t="shared" si="20"/>
        <v>171.79370792605678</v>
      </c>
      <c r="E335" s="8">
        <f t="shared" si="21"/>
        <v>785.64311288630574</v>
      </c>
      <c r="F335" s="8">
        <f t="shared" si="22"/>
        <v>28664.706817294857</v>
      </c>
    </row>
    <row r="336" spans="2:6" x14ac:dyDescent="0.2">
      <c r="B336" s="8">
        <v>328</v>
      </c>
      <c r="C336" s="8">
        <f t="shared" si="23"/>
        <v>957.4368208123625</v>
      </c>
      <c r="D336" s="8">
        <f t="shared" si="20"/>
        <v>167.21078976755334</v>
      </c>
      <c r="E336" s="8">
        <f t="shared" si="21"/>
        <v>790.22603104480913</v>
      </c>
      <c r="F336" s="8">
        <f t="shared" si="22"/>
        <v>27874.480786250046</v>
      </c>
    </row>
    <row r="337" spans="2:6" x14ac:dyDescent="0.2">
      <c r="B337" s="8">
        <v>329</v>
      </c>
      <c r="C337" s="8">
        <f t="shared" si="23"/>
        <v>957.4368208123625</v>
      </c>
      <c r="D337" s="8">
        <f t="shared" si="20"/>
        <v>162.60113791979194</v>
      </c>
      <c r="E337" s="8">
        <f t="shared" si="21"/>
        <v>794.8356828925705</v>
      </c>
      <c r="F337" s="8">
        <f t="shared" si="22"/>
        <v>27079.645103357474</v>
      </c>
    </row>
    <row r="338" spans="2:6" x14ac:dyDescent="0.2">
      <c r="B338" s="8">
        <v>330</v>
      </c>
      <c r="C338" s="8">
        <f t="shared" si="23"/>
        <v>957.4368208123625</v>
      </c>
      <c r="D338" s="8">
        <f t="shared" si="20"/>
        <v>157.96459643625195</v>
      </c>
      <c r="E338" s="8">
        <f t="shared" si="21"/>
        <v>799.47222437611049</v>
      </c>
      <c r="F338" s="8">
        <f t="shared" si="22"/>
        <v>26280.172878981364</v>
      </c>
    </row>
    <row r="339" spans="2:6" x14ac:dyDescent="0.2">
      <c r="B339" s="8">
        <v>331</v>
      </c>
      <c r="C339" s="8">
        <f t="shared" si="23"/>
        <v>957.4368208123625</v>
      </c>
      <c r="D339" s="8">
        <f t="shared" si="20"/>
        <v>153.30100846072463</v>
      </c>
      <c r="E339" s="8">
        <f t="shared" si="21"/>
        <v>804.13581235163792</v>
      </c>
      <c r="F339" s="8">
        <f t="shared" si="22"/>
        <v>25476.037066629728</v>
      </c>
    </row>
    <row r="340" spans="2:6" x14ac:dyDescent="0.2">
      <c r="B340" s="8">
        <v>332</v>
      </c>
      <c r="C340" s="8">
        <f t="shared" si="23"/>
        <v>957.4368208123625</v>
      </c>
      <c r="D340" s="8">
        <f t="shared" si="20"/>
        <v>148.61021622200676</v>
      </c>
      <c r="E340" s="8">
        <f t="shared" si="21"/>
        <v>808.82660459035571</v>
      </c>
      <c r="F340" s="8">
        <f t="shared" si="22"/>
        <v>24667.210462039373</v>
      </c>
    </row>
    <row r="341" spans="2:6" x14ac:dyDescent="0.2">
      <c r="B341" s="8">
        <v>333</v>
      </c>
      <c r="C341" s="8">
        <f t="shared" si="23"/>
        <v>957.4368208123625</v>
      </c>
      <c r="D341" s="8">
        <f t="shared" si="20"/>
        <v>143.89206102856301</v>
      </c>
      <c r="E341" s="8">
        <f t="shared" si="21"/>
        <v>813.54475978379946</v>
      </c>
      <c r="F341" s="8">
        <f t="shared" si="22"/>
        <v>23853.665702255574</v>
      </c>
    </row>
    <row r="342" spans="2:6" x14ac:dyDescent="0.2">
      <c r="B342" s="8">
        <v>334</v>
      </c>
      <c r="C342" s="8">
        <f t="shared" si="23"/>
        <v>957.4368208123625</v>
      </c>
      <c r="D342" s="8">
        <f t="shared" si="20"/>
        <v>139.14638326315753</v>
      </c>
      <c r="E342" s="8">
        <f t="shared" si="21"/>
        <v>818.29043754920497</v>
      </c>
      <c r="F342" s="8">
        <f t="shared" si="22"/>
        <v>23035.37526470637</v>
      </c>
    </row>
    <row r="343" spans="2:6" x14ac:dyDescent="0.2">
      <c r="B343" s="8">
        <v>335</v>
      </c>
      <c r="C343" s="8">
        <f t="shared" si="23"/>
        <v>957.4368208123625</v>
      </c>
      <c r="D343" s="8">
        <f t="shared" si="20"/>
        <v>134.37302237745382</v>
      </c>
      <c r="E343" s="8">
        <f t="shared" si="21"/>
        <v>823.06379843490868</v>
      </c>
      <c r="F343" s="8">
        <f t="shared" si="22"/>
        <v>22212.311466271462</v>
      </c>
    </row>
    <row r="344" spans="2:6" x14ac:dyDescent="0.2">
      <c r="B344" s="8">
        <v>336</v>
      </c>
      <c r="C344" s="8">
        <f t="shared" si="23"/>
        <v>957.4368208123625</v>
      </c>
      <c r="D344" s="8">
        <f t="shared" si="20"/>
        <v>129.57181688658352</v>
      </c>
      <c r="E344" s="8">
        <f t="shared" si="21"/>
        <v>827.86500392577898</v>
      </c>
      <c r="F344" s="8">
        <f t="shared" si="22"/>
        <v>21384.446462345684</v>
      </c>
    </row>
    <row r="345" spans="2:6" x14ac:dyDescent="0.2">
      <c r="B345" s="8">
        <v>337</v>
      </c>
      <c r="C345" s="8">
        <f t="shared" si="23"/>
        <v>957.4368208123625</v>
      </c>
      <c r="D345" s="8">
        <f t="shared" si="20"/>
        <v>124.74260436368317</v>
      </c>
      <c r="E345" s="8">
        <f t="shared" si="21"/>
        <v>832.6942164486793</v>
      </c>
      <c r="F345" s="8">
        <f t="shared" si="22"/>
        <v>20551.752245897005</v>
      </c>
    </row>
    <row r="346" spans="2:6" x14ac:dyDescent="0.2">
      <c r="B346" s="8">
        <v>338</v>
      </c>
      <c r="C346" s="8">
        <f t="shared" si="23"/>
        <v>957.4368208123625</v>
      </c>
      <c r="D346" s="8">
        <f t="shared" si="20"/>
        <v>119.8852214343992</v>
      </c>
      <c r="E346" s="8">
        <f t="shared" si="21"/>
        <v>837.55159937796327</v>
      </c>
      <c r="F346" s="8">
        <f t="shared" si="22"/>
        <v>19714.200646519042</v>
      </c>
    </row>
    <row r="347" spans="2:6" x14ac:dyDescent="0.2">
      <c r="B347" s="8">
        <v>339</v>
      </c>
      <c r="C347" s="8">
        <f t="shared" si="23"/>
        <v>957.4368208123625</v>
      </c>
      <c r="D347" s="8">
        <f t="shared" si="20"/>
        <v>114.99950377136109</v>
      </c>
      <c r="E347" s="8">
        <f t="shared" si="21"/>
        <v>842.43731704100139</v>
      </c>
      <c r="F347" s="8">
        <f t="shared" si="22"/>
        <v>18871.763329478043</v>
      </c>
    </row>
    <row r="348" spans="2:6" x14ac:dyDescent="0.2">
      <c r="B348" s="8">
        <v>340</v>
      </c>
      <c r="C348" s="8">
        <f t="shared" si="23"/>
        <v>957.4368208123625</v>
      </c>
      <c r="D348" s="8">
        <f t="shared" si="20"/>
        <v>110.08528608862191</v>
      </c>
      <c r="E348" s="8">
        <f t="shared" si="21"/>
        <v>847.35153472374054</v>
      </c>
      <c r="F348" s="8">
        <f t="shared" si="22"/>
        <v>18024.411794754302</v>
      </c>
    </row>
    <row r="349" spans="2:6" x14ac:dyDescent="0.2">
      <c r="B349" s="8">
        <v>341</v>
      </c>
      <c r="C349" s="8">
        <f t="shared" si="23"/>
        <v>957.4368208123625</v>
      </c>
      <c r="D349" s="8">
        <f t="shared" si="20"/>
        <v>105.14240213606676</v>
      </c>
      <c r="E349" s="8">
        <f t="shared" si="21"/>
        <v>852.29441867629578</v>
      </c>
      <c r="F349" s="8">
        <f t="shared" si="22"/>
        <v>17172.117376078008</v>
      </c>
    </row>
    <row r="350" spans="2:6" x14ac:dyDescent="0.2">
      <c r="B350" s="8">
        <v>342</v>
      </c>
      <c r="C350" s="8">
        <f t="shared" si="23"/>
        <v>957.4368208123625</v>
      </c>
      <c r="D350" s="8">
        <f t="shared" si="20"/>
        <v>100.17068469378839</v>
      </c>
      <c r="E350" s="8">
        <f t="shared" si="21"/>
        <v>857.26613611857408</v>
      </c>
      <c r="F350" s="8">
        <f t="shared" si="22"/>
        <v>16314.851239959433</v>
      </c>
    </row>
    <row r="351" spans="2:6" x14ac:dyDescent="0.2">
      <c r="B351" s="8">
        <v>343</v>
      </c>
      <c r="C351" s="8">
        <f t="shared" si="23"/>
        <v>957.4368208123625</v>
      </c>
      <c r="D351" s="8">
        <f t="shared" si="20"/>
        <v>95.169965566430022</v>
      </c>
      <c r="E351" s="8">
        <f t="shared" si="21"/>
        <v>862.26685524593245</v>
      </c>
      <c r="F351" s="8">
        <f t="shared" si="22"/>
        <v>15452.5843847135</v>
      </c>
    </row>
    <row r="352" spans="2:6" x14ac:dyDescent="0.2">
      <c r="B352" s="8">
        <v>344</v>
      </c>
      <c r="C352" s="8">
        <f t="shared" si="23"/>
        <v>957.4368208123625</v>
      </c>
      <c r="D352" s="8">
        <f t="shared" si="20"/>
        <v>90.140075577495423</v>
      </c>
      <c r="E352" s="8">
        <f t="shared" si="21"/>
        <v>867.2967452348671</v>
      </c>
      <c r="F352" s="8">
        <f t="shared" si="22"/>
        <v>14585.287639478633</v>
      </c>
    </row>
    <row r="353" spans="2:6" x14ac:dyDescent="0.2">
      <c r="B353" s="8">
        <v>345</v>
      </c>
      <c r="C353" s="8">
        <f t="shared" si="23"/>
        <v>957.4368208123625</v>
      </c>
      <c r="D353" s="8">
        <f t="shared" si="20"/>
        <v>85.080844563625362</v>
      </c>
      <c r="E353" s="8">
        <f t="shared" si="21"/>
        <v>872.35597624873708</v>
      </c>
      <c r="F353" s="8">
        <f t="shared" si="22"/>
        <v>13712.931663229896</v>
      </c>
    </row>
    <row r="354" spans="2:6" x14ac:dyDescent="0.2">
      <c r="B354" s="8">
        <v>346</v>
      </c>
      <c r="C354" s="8">
        <f t="shared" si="23"/>
        <v>957.4368208123625</v>
      </c>
      <c r="D354" s="8">
        <f t="shared" si="20"/>
        <v>79.992101368841062</v>
      </c>
      <c r="E354" s="8">
        <f t="shared" si="21"/>
        <v>877.44471944352142</v>
      </c>
      <c r="F354" s="8">
        <f t="shared" si="22"/>
        <v>12835.486943786374</v>
      </c>
    </row>
    <row r="355" spans="2:6" x14ac:dyDescent="0.2">
      <c r="B355" s="8">
        <v>347</v>
      </c>
      <c r="C355" s="8">
        <f t="shared" si="23"/>
        <v>957.4368208123625</v>
      </c>
      <c r="D355" s="8">
        <f t="shared" si="20"/>
        <v>74.873673838753859</v>
      </c>
      <c r="E355" s="8">
        <f t="shared" si="21"/>
        <v>882.56314697360858</v>
      </c>
      <c r="F355" s="8">
        <f t="shared" si="22"/>
        <v>11952.923796812765</v>
      </c>
    </row>
    <row r="356" spans="2:6" x14ac:dyDescent="0.2">
      <c r="B356" s="8">
        <v>348</v>
      </c>
      <c r="C356" s="8">
        <f t="shared" si="23"/>
        <v>957.4368208123625</v>
      </c>
      <c r="D356" s="8">
        <f t="shared" si="20"/>
        <v>69.725388814741137</v>
      </c>
      <c r="E356" s="8">
        <f t="shared" si="21"/>
        <v>887.71143199762139</v>
      </c>
      <c r="F356" s="8">
        <f t="shared" si="22"/>
        <v>11065.212364815145</v>
      </c>
    </row>
    <row r="357" spans="2:6" x14ac:dyDescent="0.2">
      <c r="B357" s="8">
        <v>349</v>
      </c>
      <c r="C357" s="8">
        <f t="shared" si="23"/>
        <v>957.4368208123625</v>
      </c>
      <c r="D357" s="8">
        <f t="shared" si="20"/>
        <v>64.547072128088345</v>
      </c>
      <c r="E357" s="8">
        <f t="shared" si="21"/>
        <v>892.8897486842742</v>
      </c>
      <c r="F357" s="8">
        <f t="shared" si="22"/>
        <v>10172.32261613087</v>
      </c>
    </row>
    <row r="358" spans="2:6" x14ac:dyDescent="0.2">
      <c r="B358" s="8">
        <v>350</v>
      </c>
      <c r="C358" s="8">
        <f t="shared" si="23"/>
        <v>957.4368208123625</v>
      </c>
      <c r="D358" s="8">
        <f t="shared" si="20"/>
        <v>59.338548594096743</v>
      </c>
      <c r="E358" s="8">
        <f t="shared" si="21"/>
        <v>898.09827221826572</v>
      </c>
      <c r="F358" s="8">
        <f t="shared" si="22"/>
        <v>9274.224343912605</v>
      </c>
    </row>
    <row r="359" spans="2:6" x14ac:dyDescent="0.2">
      <c r="B359" s="8">
        <v>351</v>
      </c>
      <c r="C359" s="8">
        <f t="shared" si="23"/>
        <v>957.4368208123625</v>
      </c>
      <c r="D359" s="8">
        <f t="shared" si="20"/>
        <v>54.099642006156863</v>
      </c>
      <c r="E359" s="8">
        <f t="shared" si="21"/>
        <v>903.33717880620566</v>
      </c>
      <c r="F359" s="8">
        <f t="shared" si="22"/>
        <v>8370.8871651064001</v>
      </c>
    </row>
    <row r="360" spans="2:6" x14ac:dyDescent="0.2">
      <c r="B360" s="8">
        <v>352</v>
      </c>
      <c r="C360" s="8">
        <f t="shared" si="23"/>
        <v>957.4368208123625</v>
      </c>
      <c r="D360" s="8">
        <f t="shared" si="20"/>
        <v>48.830175129787335</v>
      </c>
      <c r="E360" s="8">
        <f t="shared" si="21"/>
        <v>908.60664568257516</v>
      </c>
      <c r="F360" s="8">
        <f t="shared" si="22"/>
        <v>7462.2805194238244</v>
      </c>
    </row>
    <row r="361" spans="2:6" x14ac:dyDescent="0.2">
      <c r="B361" s="8">
        <v>353</v>
      </c>
      <c r="C361" s="8">
        <f t="shared" si="23"/>
        <v>957.4368208123625</v>
      </c>
      <c r="D361" s="8">
        <f t="shared" si="20"/>
        <v>43.529969696638979</v>
      </c>
      <c r="E361" s="8">
        <f t="shared" si="21"/>
        <v>913.9068511157235</v>
      </c>
      <c r="F361" s="8">
        <f t="shared" si="22"/>
        <v>6548.3736683081006</v>
      </c>
    </row>
    <row r="362" spans="2:6" x14ac:dyDescent="0.2">
      <c r="B362" s="8">
        <v>354</v>
      </c>
      <c r="C362" s="8">
        <f t="shared" si="23"/>
        <v>957.4368208123625</v>
      </c>
      <c r="D362" s="8">
        <f t="shared" si="20"/>
        <v>38.198846398463921</v>
      </c>
      <c r="E362" s="8">
        <f t="shared" si="21"/>
        <v>919.23797441389854</v>
      </c>
      <c r="F362" s="8">
        <f t="shared" si="22"/>
        <v>5629.1356938942017</v>
      </c>
    </row>
    <row r="363" spans="2:6" x14ac:dyDescent="0.2">
      <c r="B363" s="8">
        <v>355</v>
      </c>
      <c r="C363" s="8">
        <f t="shared" si="23"/>
        <v>957.4368208123625</v>
      </c>
      <c r="D363" s="8">
        <f t="shared" si="20"/>
        <v>32.836624881049509</v>
      </c>
      <c r="E363" s="8">
        <f t="shared" si="21"/>
        <v>924.60019593131301</v>
      </c>
      <c r="F363" s="8">
        <f t="shared" si="22"/>
        <v>4704.5354979628883</v>
      </c>
    </row>
    <row r="364" spans="2:6" x14ac:dyDescent="0.2">
      <c r="B364" s="8">
        <v>356</v>
      </c>
      <c r="C364" s="8">
        <f t="shared" si="23"/>
        <v>957.4368208123625</v>
      </c>
      <c r="D364" s="8">
        <f t="shared" si="20"/>
        <v>27.443123738116849</v>
      </c>
      <c r="E364" s="8">
        <f t="shared" si="21"/>
        <v>929.99369707424569</v>
      </c>
      <c r="F364" s="8">
        <f t="shared" si="22"/>
        <v>3774.5418008886427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Village Gun Store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2019-08-22T21:17:28Z</dcterms:created>
  <dcterms:modified xsi:type="dcterms:W3CDTF">2019-08-22T21:17:35Z</dcterms:modified>
</cp:coreProperties>
</file>