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autoCompressPictures="0"/>
  <bookViews>
    <workbookView xWindow="-60" yWindow="0" windowWidth="20730" windowHeight="11760" tabRatio="500"/>
  </bookViews>
  <sheets>
    <sheet name="Forecast" sheetId="1" r:id="rId1"/>
    <sheet name="Mortgage" sheetId="2" r:id="rId2"/>
    <sheet name="Cost of Capital Labor Division" sheetId="3" r:id="rId3"/>
    <sheet name="Bankruptcy" sheetId="4" r:id="rId4"/>
    <sheet name="Scenarios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3">Bankruptcy!$A$1:$I$116</definedName>
    <definedName name="_xlnm.Print_Area" localSheetId="0">Forecast!$A$1:$M$103</definedName>
    <definedName name="_xlnm.Print_Area" localSheetId="4">Scenarios!$A$74:$M$171</definedName>
    <definedName name="_xlnm.Print_Titles" localSheetId="3">Bankruptcy!$1:$2</definedName>
    <definedName name="_xlnm.Print_Titles" localSheetId="0">Forecast!$1:$1</definedName>
    <definedName name="_xlnm.Print_Titles" localSheetId="4">Scenarios!$1:$2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5" i="4" l="1"/>
  <c r="A100" i="4"/>
  <c r="A99" i="4"/>
  <c r="A102" i="4"/>
  <c r="A101" i="4"/>
  <c r="D165" i="5"/>
  <c r="D167" i="5" s="1"/>
  <c r="C165" i="5"/>
  <c r="C167" i="5" s="1"/>
  <c r="C101" i="5"/>
  <c r="M89" i="5"/>
  <c r="M83" i="5"/>
  <c r="L83" i="5"/>
  <c r="K83" i="5"/>
  <c r="J83" i="5"/>
  <c r="I83" i="5"/>
  <c r="H83" i="5"/>
  <c r="G83" i="5"/>
  <c r="F83" i="5"/>
  <c r="E83" i="5"/>
  <c r="D83" i="5"/>
  <c r="C83" i="5"/>
  <c r="D77" i="5"/>
  <c r="D74" i="5"/>
  <c r="E74" i="5" s="1"/>
  <c r="F74" i="5" s="1"/>
  <c r="G74" i="5" s="1"/>
  <c r="H74" i="5" s="1"/>
  <c r="I74" i="5" s="1"/>
  <c r="J74" i="5" s="1"/>
  <c r="K74" i="5" s="1"/>
  <c r="L74" i="5" s="1"/>
  <c r="M74" i="5" s="1"/>
  <c r="M61" i="5"/>
  <c r="L61" i="5"/>
  <c r="K61" i="5"/>
  <c r="J61" i="5"/>
  <c r="I61" i="5"/>
  <c r="H61" i="5"/>
  <c r="G61" i="5"/>
  <c r="F61" i="5"/>
  <c r="E61" i="5"/>
  <c r="D61" i="5"/>
  <c r="D52" i="5"/>
  <c r="I51" i="5"/>
  <c r="E51" i="5"/>
  <c r="D51" i="5"/>
  <c r="C91" i="5" s="1"/>
  <c r="D50" i="5"/>
  <c r="E50" i="5" s="1"/>
  <c r="M46" i="5"/>
  <c r="L46" i="5"/>
  <c r="K46" i="5"/>
  <c r="J46" i="5"/>
  <c r="I46" i="5"/>
  <c r="H46" i="5"/>
  <c r="G46" i="5"/>
  <c r="F46" i="5"/>
  <c r="E46" i="5"/>
  <c r="D46" i="5"/>
  <c r="M37" i="5"/>
  <c r="L37" i="5"/>
  <c r="K37" i="5"/>
  <c r="J37" i="5"/>
  <c r="I37" i="5"/>
  <c r="H37" i="5"/>
  <c r="G37" i="5"/>
  <c r="F37" i="5"/>
  <c r="E37" i="5"/>
  <c r="D37" i="5"/>
  <c r="M36" i="5"/>
  <c r="L36" i="5"/>
  <c r="K36" i="5"/>
  <c r="J36" i="5"/>
  <c r="I36" i="5"/>
  <c r="H36" i="5"/>
  <c r="G36" i="5"/>
  <c r="F36" i="5"/>
  <c r="E36" i="5"/>
  <c r="D36" i="5"/>
  <c r="I34" i="5"/>
  <c r="I77" i="5" s="1"/>
  <c r="E34" i="5"/>
  <c r="E77" i="5" s="1"/>
  <c r="D34" i="5"/>
  <c r="E31" i="5"/>
  <c r="F31" i="5" s="1"/>
  <c r="G31" i="5" s="1"/>
  <c r="H31" i="5" s="1"/>
  <c r="I31" i="5" s="1"/>
  <c r="J31" i="5" s="1"/>
  <c r="K31" i="5" s="1"/>
  <c r="L31" i="5" s="1"/>
  <c r="M31" i="5" s="1"/>
  <c r="M22" i="5"/>
  <c r="L22" i="5"/>
  <c r="K22" i="5"/>
  <c r="J22" i="5"/>
  <c r="I22" i="5"/>
  <c r="H22" i="5"/>
  <c r="G22" i="5"/>
  <c r="F22" i="5"/>
  <c r="E22" i="5"/>
  <c r="O18" i="5"/>
  <c r="D13" i="5"/>
  <c r="E13" i="5" s="1"/>
  <c r="F13" i="5" s="1"/>
  <c r="G13" i="5" s="1"/>
  <c r="H13" i="5" s="1"/>
  <c r="I13" i="5" s="1"/>
  <c r="J13" i="5" s="1"/>
  <c r="K13" i="5" s="1"/>
  <c r="L13" i="5" s="1"/>
  <c r="M13" i="5" s="1"/>
  <c r="E12" i="5"/>
  <c r="F12" i="5" s="1"/>
  <c r="G12" i="5" s="1"/>
  <c r="H12" i="5" s="1"/>
  <c r="I12" i="5" s="1"/>
  <c r="J12" i="5" s="1"/>
  <c r="K12" i="5" s="1"/>
  <c r="L12" i="5" s="1"/>
  <c r="M12" i="5" s="1"/>
  <c r="R11" i="5"/>
  <c r="R12" i="5" s="1"/>
  <c r="E11" i="5"/>
  <c r="E25" i="5" s="1"/>
  <c r="E47" i="5" s="1"/>
  <c r="D11" i="5"/>
  <c r="D10" i="5"/>
  <c r="D24" i="5" s="1"/>
  <c r="E10" i="4"/>
  <c r="F10" i="4" s="1"/>
  <c r="E11" i="4"/>
  <c r="F11" i="4" s="1"/>
  <c r="N11" i="4"/>
  <c r="N12" i="4" s="1"/>
  <c r="F12" i="4"/>
  <c r="G12" i="4" s="1"/>
  <c r="H12" i="4" s="1"/>
  <c r="I12" i="4" s="1"/>
  <c r="E13" i="4"/>
  <c r="F13" i="4" s="1"/>
  <c r="G13" i="4" s="1"/>
  <c r="H13" i="4" s="1"/>
  <c r="I13" i="4" s="1"/>
  <c r="K18" i="4"/>
  <c r="E22" i="4"/>
  <c r="F22" i="4"/>
  <c r="G22" i="4"/>
  <c r="H22" i="4"/>
  <c r="I22" i="4"/>
  <c r="F31" i="4"/>
  <c r="G31" i="4" s="1"/>
  <c r="H31" i="4" s="1"/>
  <c r="I31" i="4" s="1"/>
  <c r="E36" i="4"/>
  <c r="E82" i="4" s="1"/>
  <c r="F36" i="4"/>
  <c r="F82" i="4" s="1"/>
  <c r="G36" i="4"/>
  <c r="H36" i="4"/>
  <c r="I36" i="4"/>
  <c r="I82" i="4" s="1"/>
  <c r="I83" i="4" s="1"/>
  <c r="E37" i="4"/>
  <c r="E91" i="4" s="1"/>
  <c r="F37" i="4"/>
  <c r="F91" i="4" s="1"/>
  <c r="G37" i="4"/>
  <c r="G91" i="4" s="1"/>
  <c r="H37" i="4"/>
  <c r="H91" i="4" s="1"/>
  <c r="I37" i="4"/>
  <c r="I91" i="4" s="1"/>
  <c r="I92" i="4" s="1"/>
  <c r="E50" i="4"/>
  <c r="F50" i="4" s="1"/>
  <c r="G50" i="4" s="1"/>
  <c r="H50" i="4" s="1"/>
  <c r="I50" i="4" s="1"/>
  <c r="C101" i="4" s="1"/>
  <c r="E51" i="4"/>
  <c r="E34" i="4" s="1"/>
  <c r="E52" i="4" s="1"/>
  <c r="E63" i="4"/>
  <c r="C80" i="4" s="1"/>
  <c r="C83" i="4" s="1"/>
  <c r="F63" i="4"/>
  <c r="G63" i="4"/>
  <c r="H63" i="4"/>
  <c r="G80" i="4" s="1"/>
  <c r="I63" i="4"/>
  <c r="H80" i="4" s="1"/>
  <c r="H83" i="4" s="1"/>
  <c r="G82" i="4"/>
  <c r="H82" i="4"/>
  <c r="C85" i="4"/>
  <c r="C89" i="4"/>
  <c r="C92" i="4" s="1"/>
  <c r="E89" i="4"/>
  <c r="F89" i="4"/>
  <c r="G89" i="4"/>
  <c r="H89" i="4"/>
  <c r="C94" i="4"/>
  <c r="D98" i="4"/>
  <c r="G83" i="4" l="1"/>
  <c r="F51" i="5"/>
  <c r="J51" i="5"/>
  <c r="E91" i="5"/>
  <c r="F80" i="4"/>
  <c r="F83" i="4" s="1"/>
  <c r="G51" i="5"/>
  <c r="K51" i="5"/>
  <c r="K34" i="5" s="1"/>
  <c r="K77" i="5" s="1"/>
  <c r="I91" i="5"/>
  <c r="D91" i="5"/>
  <c r="H51" i="5"/>
  <c r="M51" i="5"/>
  <c r="N61" i="5"/>
  <c r="G92" i="4"/>
  <c r="I51" i="4"/>
  <c r="E80" i="4"/>
  <c r="E83" i="4" s="1"/>
  <c r="H51" i="4"/>
  <c r="H34" i="4" s="1"/>
  <c r="F51" i="4"/>
  <c r="F34" i="4" s="1"/>
  <c r="F52" i="4" s="1"/>
  <c r="E25" i="4"/>
  <c r="E47" i="4" s="1"/>
  <c r="H92" i="4"/>
  <c r="E92" i="4"/>
  <c r="F92" i="4"/>
  <c r="F50" i="5"/>
  <c r="K91" i="5"/>
  <c r="F11" i="5"/>
  <c r="D25" i="5"/>
  <c r="D47" i="5" s="1"/>
  <c r="L51" i="5"/>
  <c r="E52" i="5"/>
  <c r="C87" i="5"/>
  <c r="E10" i="5"/>
  <c r="D87" i="5"/>
  <c r="C84" i="4"/>
  <c r="C86" i="4" s="1"/>
  <c r="F25" i="4"/>
  <c r="F47" i="4" s="1"/>
  <c r="G11" i="4"/>
  <c r="G10" i="4"/>
  <c r="F24" i="4"/>
  <c r="G51" i="4"/>
  <c r="G34" i="4" s="1"/>
  <c r="E24" i="4"/>
  <c r="M91" i="5" l="1"/>
  <c r="M34" i="5"/>
  <c r="M77" i="5" s="1"/>
  <c r="J91" i="5"/>
  <c r="J34" i="5"/>
  <c r="J77" i="5" s="1"/>
  <c r="H91" i="5"/>
  <c r="H34" i="5"/>
  <c r="H77" i="5" s="1"/>
  <c r="G91" i="5"/>
  <c r="G34" i="5"/>
  <c r="G77" i="5" s="1"/>
  <c r="F91" i="5"/>
  <c r="F34" i="5"/>
  <c r="F77" i="5" s="1"/>
  <c r="I34" i="4"/>
  <c r="C102" i="4"/>
  <c r="C108" i="4" s="1"/>
  <c r="C114" i="4" s="1"/>
  <c r="D114" i="4" s="1"/>
  <c r="D116" i="4" s="1"/>
  <c r="E115" i="4" s="1"/>
  <c r="C93" i="4"/>
  <c r="C95" i="4" s="1"/>
  <c r="F52" i="5"/>
  <c r="G50" i="5"/>
  <c r="L34" i="5"/>
  <c r="L77" i="5" s="1"/>
  <c r="L91" i="5"/>
  <c r="D27" i="5"/>
  <c r="F25" i="5"/>
  <c r="F47" i="5" s="1"/>
  <c r="G11" i="5"/>
  <c r="D84" i="5"/>
  <c r="C84" i="5"/>
  <c r="E24" i="5"/>
  <c r="F10" i="5"/>
  <c r="E87" i="5"/>
  <c r="F30" i="4"/>
  <c r="F27" i="4"/>
  <c r="F39" i="4" s="1"/>
  <c r="H10" i="4"/>
  <c r="G24" i="4"/>
  <c r="E30" i="4"/>
  <c r="E27" i="4"/>
  <c r="G52" i="4"/>
  <c r="H11" i="4"/>
  <c r="G25" i="4"/>
  <c r="G47" i="4" s="1"/>
  <c r="G25" i="5" l="1"/>
  <c r="G47" i="5" s="1"/>
  <c r="F84" i="5" s="1"/>
  <c r="H11" i="5"/>
  <c r="E84" i="5"/>
  <c r="D58" i="5"/>
  <c r="D48" i="5"/>
  <c r="D39" i="5"/>
  <c r="F24" i="5"/>
  <c r="G10" i="5"/>
  <c r="E27" i="5"/>
  <c r="E39" i="5" s="1"/>
  <c r="H50" i="5"/>
  <c r="F87" i="5"/>
  <c r="D76" i="5"/>
  <c r="D78" i="5" s="1"/>
  <c r="G52" i="5"/>
  <c r="F40" i="4"/>
  <c r="F60" i="4" s="1"/>
  <c r="H52" i="4"/>
  <c r="I11" i="4"/>
  <c r="I25" i="4" s="1"/>
  <c r="I47" i="4" s="1"/>
  <c r="D99" i="4" s="1"/>
  <c r="H25" i="4"/>
  <c r="H47" i="4" s="1"/>
  <c r="E114" i="4"/>
  <c r="F48" i="4"/>
  <c r="F54" i="4" s="1"/>
  <c r="F59" i="4"/>
  <c r="E48" i="4"/>
  <c r="E54" i="4" s="1"/>
  <c r="E59" i="4"/>
  <c r="E39" i="4"/>
  <c r="G30" i="4"/>
  <c r="G27" i="4"/>
  <c r="I10" i="4"/>
  <c r="I24" i="4" s="1"/>
  <c r="H24" i="4"/>
  <c r="G39" i="4" l="1"/>
  <c r="G40" i="4" s="1"/>
  <c r="G60" i="4" s="1"/>
  <c r="F41" i="4"/>
  <c r="E40" i="5"/>
  <c r="E59" i="5" s="1"/>
  <c r="H52" i="5"/>
  <c r="H25" i="5"/>
  <c r="H47" i="5" s="1"/>
  <c r="I11" i="5"/>
  <c r="D79" i="5"/>
  <c r="D80" i="5" s="1"/>
  <c r="G24" i="5"/>
  <c r="H10" i="5"/>
  <c r="G84" i="5"/>
  <c r="F27" i="5"/>
  <c r="F76" i="5"/>
  <c r="F78" i="5" s="1"/>
  <c r="E58" i="5"/>
  <c r="D95" i="5" s="1"/>
  <c r="E48" i="5"/>
  <c r="D40" i="5"/>
  <c r="D59" i="5" s="1"/>
  <c r="I50" i="5"/>
  <c r="D85" i="5"/>
  <c r="C85" i="5"/>
  <c r="D54" i="5"/>
  <c r="G87" i="5"/>
  <c r="C95" i="5"/>
  <c r="E76" i="5"/>
  <c r="E78" i="5" s="1"/>
  <c r="E40" i="4"/>
  <c r="E60" i="4" s="1"/>
  <c r="I52" i="4"/>
  <c r="H27" i="4"/>
  <c r="H30" i="4"/>
  <c r="I27" i="4"/>
  <c r="I30" i="4"/>
  <c r="G48" i="4"/>
  <c r="G54" i="4" s="1"/>
  <c r="G59" i="4"/>
  <c r="H39" i="4" l="1"/>
  <c r="H40" i="4" s="1"/>
  <c r="H60" i="4" s="1"/>
  <c r="G41" i="4"/>
  <c r="J50" i="5"/>
  <c r="I87" i="5"/>
  <c r="H24" i="5"/>
  <c r="I10" i="5"/>
  <c r="D41" i="5"/>
  <c r="D66" i="5" s="1"/>
  <c r="G39" i="5"/>
  <c r="G27" i="5"/>
  <c r="G76" i="5" s="1"/>
  <c r="G78" i="5" s="1"/>
  <c r="E41" i="5"/>
  <c r="E54" i="5"/>
  <c r="C96" i="5"/>
  <c r="C98" i="5"/>
  <c r="F80" i="5"/>
  <c r="F79" i="5"/>
  <c r="I25" i="5"/>
  <c r="I47" i="5" s="1"/>
  <c r="J11" i="5"/>
  <c r="F48" i="5"/>
  <c r="E85" i="5" s="1"/>
  <c r="F58" i="5"/>
  <c r="E95" i="5" s="1"/>
  <c r="H84" i="5"/>
  <c r="E79" i="5"/>
  <c r="E96" i="5" s="1"/>
  <c r="E80" i="5"/>
  <c r="H87" i="5"/>
  <c r="F39" i="5"/>
  <c r="I52" i="5"/>
  <c r="E41" i="4"/>
  <c r="E68" i="4" s="1"/>
  <c r="E70" i="4" s="1"/>
  <c r="E72" i="4" s="1"/>
  <c r="I59" i="4"/>
  <c r="I48" i="4"/>
  <c r="D100" i="4" s="1"/>
  <c r="H48" i="4"/>
  <c r="H54" i="4" s="1"/>
  <c r="H59" i="4"/>
  <c r="I39" i="4"/>
  <c r="E98" i="5" l="1"/>
  <c r="H41" i="4"/>
  <c r="K50" i="5"/>
  <c r="J87" i="5" s="1"/>
  <c r="G79" i="5"/>
  <c r="D96" i="5"/>
  <c r="D98" i="5" s="1"/>
  <c r="G48" i="5"/>
  <c r="G58" i="5"/>
  <c r="F95" i="5" s="1"/>
  <c r="G40" i="5"/>
  <c r="G59" i="5" s="1"/>
  <c r="F54" i="5"/>
  <c r="J52" i="5"/>
  <c r="J25" i="5"/>
  <c r="J47" i="5" s="1"/>
  <c r="K11" i="5"/>
  <c r="E66" i="5"/>
  <c r="D68" i="5"/>
  <c r="D70" i="5" s="1"/>
  <c r="F40" i="5"/>
  <c r="F59" i="5" s="1"/>
  <c r="I24" i="5"/>
  <c r="J10" i="5"/>
  <c r="H27" i="5"/>
  <c r="H76" i="5" s="1"/>
  <c r="H78" i="5" s="1"/>
  <c r="I40" i="4"/>
  <c r="I60" i="4" s="1"/>
  <c r="D105" i="4"/>
  <c r="D108" i="4" s="1"/>
  <c r="D111" i="4" s="1"/>
  <c r="F115" i="4" s="1"/>
  <c r="I54" i="4"/>
  <c r="F68" i="4"/>
  <c r="H79" i="5" l="1"/>
  <c r="H80" i="5" s="1"/>
  <c r="G54" i="5"/>
  <c r="I84" i="5"/>
  <c r="K52" i="5"/>
  <c r="F41" i="5"/>
  <c r="F66" i="5" s="1"/>
  <c r="H58" i="5"/>
  <c r="H48" i="5"/>
  <c r="G96" i="5"/>
  <c r="H39" i="5"/>
  <c r="F85" i="5"/>
  <c r="E68" i="5"/>
  <c r="E70" i="5" s="1"/>
  <c r="G80" i="5"/>
  <c r="F96" i="5"/>
  <c r="G41" i="5"/>
  <c r="J24" i="5"/>
  <c r="K10" i="5"/>
  <c r="K25" i="5"/>
  <c r="K47" i="5" s="1"/>
  <c r="L11" i="5"/>
  <c r="G95" i="5"/>
  <c r="L50" i="5"/>
  <c r="K87" i="5" s="1"/>
  <c r="I27" i="5"/>
  <c r="I76" i="5" s="1"/>
  <c r="I78" i="5" s="1"/>
  <c r="F114" i="4"/>
  <c r="G114" i="4" s="1"/>
  <c r="H114" i="4" s="1"/>
  <c r="G115" i="4"/>
  <c r="G68" i="4"/>
  <c r="F70" i="4"/>
  <c r="F72" i="4" s="1"/>
  <c r="I41" i="4"/>
  <c r="F98" i="5" l="1"/>
  <c r="G66" i="5"/>
  <c r="I58" i="5"/>
  <c r="H95" i="5" s="1"/>
  <c r="I48" i="5"/>
  <c r="L52" i="5"/>
  <c r="I39" i="5"/>
  <c r="J76" i="5"/>
  <c r="J78" i="5" s="1"/>
  <c r="J39" i="5"/>
  <c r="J27" i="5"/>
  <c r="H40" i="5"/>
  <c r="H59" i="5" s="1"/>
  <c r="K84" i="5"/>
  <c r="K24" i="5"/>
  <c r="L10" i="5"/>
  <c r="M50" i="5"/>
  <c r="M87" i="5" s="1"/>
  <c r="L87" i="5"/>
  <c r="H85" i="5"/>
  <c r="H54" i="5"/>
  <c r="G85" i="5"/>
  <c r="G68" i="5"/>
  <c r="G70" i="5" s="1"/>
  <c r="G98" i="5"/>
  <c r="J84" i="5"/>
  <c r="I79" i="5"/>
  <c r="I80" i="5" s="1"/>
  <c r="L25" i="5"/>
  <c r="L47" i="5" s="1"/>
  <c r="M11" i="5"/>
  <c r="M25" i="5" s="1"/>
  <c r="M47" i="5" s="1"/>
  <c r="M84" i="5" s="1"/>
  <c r="F68" i="5"/>
  <c r="F70" i="5" s="1"/>
  <c r="H68" i="4"/>
  <c r="G70" i="4"/>
  <c r="G72" i="4" s="1"/>
  <c r="J79" i="5" l="1"/>
  <c r="I96" i="5" s="1"/>
  <c r="L84" i="5"/>
  <c r="L24" i="5"/>
  <c r="M10" i="5"/>
  <c r="M24" i="5" s="1"/>
  <c r="I40" i="5"/>
  <c r="I59" i="5" s="1"/>
  <c r="K27" i="5"/>
  <c r="K76" i="5" s="1"/>
  <c r="K78" i="5" s="1"/>
  <c r="M52" i="5"/>
  <c r="J40" i="5"/>
  <c r="J59" i="5" s="1"/>
  <c r="H41" i="5"/>
  <c r="H66" i="5" s="1"/>
  <c r="H68" i="5" s="1"/>
  <c r="H70" i="5" s="1"/>
  <c r="I54" i="5"/>
  <c r="H96" i="5"/>
  <c r="H98" i="5" s="1"/>
  <c r="J58" i="5"/>
  <c r="I95" i="5" s="1"/>
  <c r="J48" i="5"/>
  <c r="I85" i="5" s="1"/>
  <c r="I68" i="4"/>
  <c r="I70" i="4" s="1"/>
  <c r="I72" i="4" s="1"/>
  <c r="H70" i="4"/>
  <c r="H72" i="4" s="1"/>
  <c r="I41" i="5" l="1"/>
  <c r="J67" i="4"/>
  <c r="J65" i="4" s="1"/>
  <c r="I98" i="5"/>
  <c r="K80" i="5"/>
  <c r="K79" i="5"/>
  <c r="N91" i="5"/>
  <c r="M92" i="5" s="1"/>
  <c r="M93" i="5" s="1"/>
  <c r="M27" i="5"/>
  <c r="M76" i="5" s="1"/>
  <c r="M78" i="5" s="1"/>
  <c r="I66" i="5"/>
  <c r="K39" i="5"/>
  <c r="L39" i="5"/>
  <c r="L27" i="5"/>
  <c r="L76" i="5" s="1"/>
  <c r="L78" i="5" s="1"/>
  <c r="J96" i="5"/>
  <c r="K58" i="5"/>
  <c r="J95" i="5" s="1"/>
  <c r="K48" i="5"/>
  <c r="J85" i="5" s="1"/>
  <c r="J54" i="5"/>
  <c r="J41" i="5"/>
  <c r="J80" i="5"/>
  <c r="M39" i="5" l="1"/>
  <c r="J66" i="5"/>
  <c r="J68" i="5" s="1"/>
  <c r="J70" i="5" s="1"/>
  <c r="J66" i="4"/>
  <c r="M79" i="5"/>
  <c r="M96" i="5" s="1"/>
  <c r="L79" i="5"/>
  <c r="L80" i="5"/>
  <c r="L40" i="5"/>
  <c r="L59" i="5" s="1"/>
  <c r="M40" i="5"/>
  <c r="M59" i="5" s="1"/>
  <c r="K54" i="5"/>
  <c r="K40" i="5"/>
  <c r="K59" i="5" s="1"/>
  <c r="K95" i="5"/>
  <c r="J98" i="5"/>
  <c r="L58" i="5"/>
  <c r="L48" i="5"/>
  <c r="M58" i="5"/>
  <c r="M48" i="5"/>
  <c r="I68" i="5"/>
  <c r="I70" i="5" s="1"/>
  <c r="L96" i="5" l="1"/>
  <c r="K96" i="5"/>
  <c r="M80" i="5"/>
  <c r="M41" i="5"/>
  <c r="M85" i="5"/>
  <c r="M98" i="5" s="1"/>
  <c r="M54" i="5"/>
  <c r="M95" i="5"/>
  <c r="L41" i="5"/>
  <c r="L85" i="5"/>
  <c r="L98" i="5" s="1"/>
  <c r="L54" i="5"/>
  <c r="L95" i="5"/>
  <c r="K41" i="5"/>
  <c r="K66" i="5" s="1"/>
  <c r="K85" i="5"/>
  <c r="K98" i="5" s="1"/>
  <c r="C99" i="5" l="1"/>
  <c r="C102" i="5"/>
  <c r="B165" i="5" s="1"/>
  <c r="B167" i="5" s="1"/>
  <c r="C170" i="5" s="1"/>
  <c r="L66" i="5"/>
  <c r="K68" i="5"/>
  <c r="K70" i="5" s="1"/>
  <c r="M66" i="5" l="1"/>
  <c r="L68" i="5"/>
  <c r="L70" i="5" s="1"/>
  <c r="M68" i="5" l="1"/>
  <c r="M70" i="5" s="1"/>
  <c r="N65" i="5"/>
  <c r="O64" i="5" l="1"/>
  <c r="O63" i="5"/>
  <c r="R11" i="1" l="1"/>
  <c r="R12" i="1" s="1"/>
  <c r="D50" i="1" l="1"/>
  <c r="D51" i="1"/>
  <c r="M46" i="1"/>
  <c r="L46" i="1"/>
  <c r="K46" i="1"/>
  <c r="J46" i="1"/>
  <c r="I46" i="1"/>
  <c r="H46" i="1"/>
  <c r="G46" i="1"/>
  <c r="F46" i="1"/>
  <c r="E46" i="1"/>
  <c r="D46" i="1"/>
  <c r="H37" i="1" l="1"/>
  <c r="I37" i="1"/>
  <c r="J37" i="1"/>
  <c r="K37" i="1"/>
  <c r="L37" i="1"/>
  <c r="M37" i="1"/>
  <c r="M90" i="1"/>
  <c r="C92" i="1"/>
  <c r="C88" i="1"/>
  <c r="D84" i="1"/>
  <c r="E84" i="1"/>
  <c r="F84" i="1"/>
  <c r="G84" i="1"/>
  <c r="H84" i="1"/>
  <c r="I84" i="1"/>
  <c r="J84" i="1"/>
  <c r="K84" i="1"/>
  <c r="L84" i="1"/>
  <c r="M84" i="1"/>
  <c r="C84" i="1"/>
  <c r="D75" i="1"/>
  <c r="E75" i="1" s="1"/>
  <c r="F75" i="1" s="1"/>
  <c r="G75" i="1" s="1"/>
  <c r="H75" i="1" s="1"/>
  <c r="I75" i="1" s="1"/>
  <c r="J75" i="1" s="1"/>
  <c r="K75" i="1" s="1"/>
  <c r="L75" i="1" s="1"/>
  <c r="M75" i="1" s="1"/>
  <c r="G37" i="1" l="1"/>
  <c r="B2" i="3"/>
  <c r="B21" i="3"/>
  <c r="B24" i="3" l="1"/>
  <c r="D34" i="1" l="1"/>
  <c r="D78" i="1" s="1"/>
  <c r="E31" i="1"/>
  <c r="D37" i="1" l="1"/>
  <c r="D13" i="1"/>
  <c r="E13" i="1" s="1"/>
  <c r="F13" i="1" s="1"/>
  <c r="G13" i="1" s="1"/>
  <c r="H13" i="1" s="1"/>
  <c r="I13" i="1" s="1"/>
  <c r="J13" i="1" s="1"/>
  <c r="K13" i="1" s="1"/>
  <c r="L13" i="1" s="1"/>
  <c r="M13" i="1" s="1"/>
  <c r="E12" i="1"/>
  <c r="F12" i="1" s="1"/>
  <c r="G12" i="1" s="1"/>
  <c r="H12" i="1" s="1"/>
  <c r="I12" i="1" s="1"/>
  <c r="J12" i="1" s="1"/>
  <c r="K12" i="1" s="1"/>
  <c r="L12" i="1" s="1"/>
  <c r="M12" i="1" s="1"/>
  <c r="E50" i="1"/>
  <c r="H51" i="1"/>
  <c r="D52" i="1"/>
  <c r="E51" i="1"/>
  <c r="F51" i="1"/>
  <c r="G51" i="1"/>
  <c r="I51" i="1"/>
  <c r="J51" i="1"/>
  <c r="K51" i="1"/>
  <c r="L51" i="1"/>
  <c r="M51" i="1"/>
  <c r="F31" i="1"/>
  <c r="G31" i="1" s="1"/>
  <c r="H31" i="1" s="1"/>
  <c r="I31" i="1" s="1"/>
  <c r="J31" i="1" s="1"/>
  <c r="K31" i="1" s="1"/>
  <c r="L31" i="1" s="1"/>
  <c r="M31" i="1" s="1"/>
  <c r="E37" i="1"/>
  <c r="E22" i="1"/>
  <c r="F22" i="1"/>
  <c r="G22" i="1"/>
  <c r="H22" i="1"/>
  <c r="I22" i="1"/>
  <c r="J22" i="1"/>
  <c r="K22" i="1"/>
  <c r="L22" i="1"/>
  <c r="M22" i="1"/>
  <c r="D22" i="1"/>
  <c r="I3" i="2"/>
  <c r="I5" i="2"/>
  <c r="B3" i="2"/>
  <c r="G61" i="1"/>
  <c r="F37" i="1"/>
  <c r="F61" i="1"/>
  <c r="E61" i="1"/>
  <c r="D61" i="1"/>
  <c r="H92" i="1" l="1"/>
  <c r="K34" i="1"/>
  <c r="K78" i="1" s="1"/>
  <c r="K92" i="1"/>
  <c r="I34" i="1"/>
  <c r="I78" i="1" s="1"/>
  <c r="I92" i="1"/>
  <c r="H34" i="1"/>
  <c r="H78" i="1" s="1"/>
  <c r="G34" i="1"/>
  <c r="G78" i="1" s="1"/>
  <c r="G92" i="1"/>
  <c r="F34" i="1"/>
  <c r="F78" i="1" s="1"/>
  <c r="F92" i="1"/>
  <c r="J34" i="1"/>
  <c r="J78" i="1" s="1"/>
  <c r="J92" i="1"/>
  <c r="M34" i="1"/>
  <c r="M78" i="1" s="1"/>
  <c r="E34" i="1"/>
  <c r="E78" i="1" s="1"/>
  <c r="E92" i="1"/>
  <c r="D92" i="1"/>
  <c r="L34" i="1"/>
  <c r="L78" i="1" s="1"/>
  <c r="L92" i="1"/>
  <c r="F50" i="1"/>
  <c r="E88" i="1" s="1"/>
  <c r="D88" i="1"/>
  <c r="I9" i="2"/>
  <c r="E114" i="2" s="1"/>
  <c r="D11" i="1"/>
  <c r="D10" i="1"/>
  <c r="D3" i="2"/>
  <c r="E52" i="1" l="1"/>
  <c r="F52" i="1" s="1"/>
  <c r="G52" i="1" s="1"/>
  <c r="G50" i="1"/>
  <c r="F88" i="1" s="1"/>
  <c r="E129" i="2"/>
  <c r="E118" i="2"/>
  <c r="E84" i="2"/>
  <c r="E74" i="2"/>
  <c r="E53" i="2"/>
  <c r="E43" i="2"/>
  <c r="E35" i="2"/>
  <c r="E87" i="2"/>
  <c r="E137" i="2"/>
  <c r="E75" i="2"/>
  <c r="E146" i="2"/>
  <c r="E103" i="2"/>
  <c r="E10" i="2"/>
  <c r="E25" i="2"/>
  <c r="E128" i="2"/>
  <c r="E60" i="2"/>
  <c r="E81" i="2"/>
  <c r="E138" i="2"/>
  <c r="E9" i="2"/>
  <c r="E112" i="2"/>
  <c r="E72" i="2"/>
  <c r="E37" i="2"/>
  <c r="E68" i="2"/>
  <c r="E82" i="2"/>
  <c r="E24" i="2"/>
  <c r="E136" i="2"/>
  <c r="E73" i="2"/>
  <c r="E135" i="2"/>
  <c r="E98" i="2"/>
  <c r="E86" i="2"/>
  <c r="E130" i="2"/>
  <c r="E56" i="2"/>
  <c r="E83" i="2"/>
  <c r="E153" i="2"/>
  <c r="E89" i="2"/>
  <c r="E20" i="2"/>
  <c r="E67" i="2"/>
  <c r="E144" i="2"/>
  <c r="E101" i="2"/>
  <c r="E105" i="2"/>
  <c r="E13" i="2"/>
  <c r="E150" i="2"/>
  <c r="E8" i="2"/>
  <c r="E113" i="2"/>
  <c r="E106" i="2"/>
  <c r="E34" i="2"/>
  <c r="E71" i="2"/>
  <c r="E27" i="2"/>
  <c r="E50" i="2"/>
  <c r="E117" i="2"/>
  <c r="E69" i="2"/>
  <c r="E66" i="2"/>
  <c r="E151" i="2"/>
  <c r="E90" i="2"/>
  <c r="E123" i="2"/>
  <c r="E26" i="2"/>
  <c r="E30" i="2"/>
  <c r="E44" i="2"/>
  <c r="E139" i="2"/>
  <c r="E115" i="2"/>
  <c r="E55" i="2"/>
  <c r="E19" i="2"/>
  <c r="E14" i="2"/>
  <c r="E131" i="2"/>
  <c r="E148" i="2"/>
  <c r="E22" i="2"/>
  <c r="E36" i="2"/>
  <c r="E149" i="2"/>
  <c r="E65" i="2"/>
  <c r="E104" i="2"/>
  <c r="E88" i="2"/>
  <c r="E116" i="2"/>
  <c r="E58" i="2"/>
  <c r="E134" i="2"/>
  <c r="E4" i="2"/>
  <c r="E7" i="2"/>
  <c r="E59" i="2"/>
  <c r="E42" i="2"/>
  <c r="E85" i="2"/>
  <c r="E99" i="2"/>
  <c r="E97" i="2"/>
  <c r="E5" i="2"/>
  <c r="E152" i="2"/>
  <c r="E96" i="2"/>
  <c r="E39" i="2"/>
  <c r="E40" i="2"/>
  <c r="E70" i="2"/>
  <c r="E121" i="2"/>
  <c r="E119" i="2"/>
  <c r="E100" i="2"/>
  <c r="D24" i="1"/>
  <c r="E10" i="1"/>
  <c r="E64" i="2"/>
  <c r="E155" i="2"/>
  <c r="E11" i="2"/>
  <c r="E6" i="2"/>
  <c r="E102" i="2"/>
  <c r="E80" i="2"/>
  <c r="E23" i="2"/>
  <c r="E45" i="2"/>
  <c r="E91" i="2"/>
  <c r="E154" i="2"/>
  <c r="E38" i="2"/>
  <c r="E57" i="2"/>
  <c r="E52" i="2"/>
  <c r="E133" i="2"/>
  <c r="E122" i="2"/>
  <c r="E29" i="2"/>
  <c r="E132" i="2"/>
  <c r="E21" i="2"/>
  <c r="E12" i="2"/>
  <c r="E107" i="2"/>
  <c r="E51" i="2"/>
  <c r="E49" i="2"/>
  <c r="E54" i="2"/>
  <c r="E145" i="2"/>
  <c r="E120" i="2"/>
  <c r="E3" i="2"/>
  <c r="C3" i="2" s="1"/>
  <c r="F3" i="2" s="1"/>
  <c r="B4" i="2" s="1"/>
  <c r="D4" i="2" s="1"/>
  <c r="C4" i="2" s="1"/>
  <c r="F4" i="2" s="1"/>
  <c r="B5" i="2" s="1"/>
  <c r="E28" i="2"/>
  <c r="E41" i="2"/>
  <c r="E147" i="2"/>
  <c r="D25" i="1"/>
  <c r="D47" i="1" s="1"/>
  <c r="E11" i="1"/>
  <c r="C85" i="1" l="1"/>
  <c r="H50" i="1"/>
  <c r="G88" i="1" s="1"/>
  <c r="D27" i="1"/>
  <c r="D77" i="1" s="1"/>
  <c r="D5" i="2"/>
  <c r="C5" i="2" s="1"/>
  <c r="F5" i="2" s="1"/>
  <c r="B6" i="2" s="1"/>
  <c r="F10" i="1"/>
  <c r="E24" i="1"/>
  <c r="F11" i="1"/>
  <c r="E25" i="1"/>
  <c r="E47" i="1" s="1"/>
  <c r="H52" i="1"/>
  <c r="D79" i="1" l="1"/>
  <c r="D80" i="1"/>
  <c r="D81" i="1" s="1"/>
  <c r="I50" i="1"/>
  <c r="H88" i="1" s="1"/>
  <c r="D85" i="1"/>
  <c r="G10" i="1"/>
  <c r="F24" i="1"/>
  <c r="D6" i="2"/>
  <c r="E27" i="1"/>
  <c r="E77" i="1" s="1"/>
  <c r="D58" i="1"/>
  <c r="C96" i="1" s="1"/>
  <c r="D48" i="1"/>
  <c r="I52" i="1"/>
  <c r="G11" i="1"/>
  <c r="F25" i="1"/>
  <c r="F47" i="1" s="1"/>
  <c r="E85" i="1" s="1"/>
  <c r="E79" i="1" l="1"/>
  <c r="E80" i="1" s="1"/>
  <c r="E81" i="1" s="1"/>
  <c r="D54" i="1"/>
  <c r="C86" i="1"/>
  <c r="J50" i="1"/>
  <c r="I88" i="1" s="1"/>
  <c r="J52" i="1"/>
  <c r="E48" i="1"/>
  <c r="D86" i="1" s="1"/>
  <c r="E58" i="1"/>
  <c r="H11" i="1"/>
  <c r="G25" i="1"/>
  <c r="G47" i="1" s="1"/>
  <c r="C6" i="2"/>
  <c r="F27" i="1"/>
  <c r="F77" i="1" s="1"/>
  <c r="H10" i="1"/>
  <c r="G24" i="1"/>
  <c r="D96" i="1" l="1"/>
  <c r="F79" i="1"/>
  <c r="F80" i="1" s="1"/>
  <c r="F81" i="1" s="1"/>
  <c r="K50" i="1"/>
  <c r="J88" i="1" s="1"/>
  <c r="E54" i="1"/>
  <c r="F85" i="1"/>
  <c r="F6" i="2"/>
  <c r="B7" i="2" s="1"/>
  <c r="K52" i="1"/>
  <c r="H25" i="1"/>
  <c r="H47" i="1" s="1"/>
  <c r="G85" i="1" s="1"/>
  <c r="I11" i="1"/>
  <c r="G27" i="1"/>
  <c r="G77" i="1" s="1"/>
  <c r="I10" i="1"/>
  <c r="H24" i="1"/>
  <c r="F48" i="1"/>
  <c r="F58" i="1"/>
  <c r="E96" i="1" l="1"/>
  <c r="G79" i="1"/>
  <c r="G80" i="1" s="1"/>
  <c r="G81" i="1" s="1"/>
  <c r="F54" i="1"/>
  <c r="E86" i="1"/>
  <c r="L50" i="1"/>
  <c r="K88" i="1" s="1"/>
  <c r="D7" i="2"/>
  <c r="C7" i="2" s="1"/>
  <c r="F7" i="2" s="1"/>
  <c r="B8" i="2" s="1"/>
  <c r="G48" i="1"/>
  <c r="G58" i="1"/>
  <c r="I24" i="1"/>
  <c r="J10" i="1"/>
  <c r="L52" i="1"/>
  <c r="J11" i="1"/>
  <c r="I25" i="1"/>
  <c r="H27" i="1"/>
  <c r="H77" i="1" s="1"/>
  <c r="I47" i="1" l="1"/>
  <c r="H85" i="1" s="1"/>
  <c r="F96" i="1"/>
  <c r="H79" i="1"/>
  <c r="H80" i="1" s="1"/>
  <c r="H81" i="1" s="1"/>
  <c r="G54" i="1"/>
  <c r="F86" i="1"/>
  <c r="M50" i="1"/>
  <c r="M88" i="1" s="1"/>
  <c r="H58" i="1"/>
  <c r="H48" i="1"/>
  <c r="G86" i="1" s="1"/>
  <c r="J24" i="1"/>
  <c r="K10" i="1"/>
  <c r="D8" i="2"/>
  <c r="C8" i="2" s="1"/>
  <c r="F8" i="2" s="1"/>
  <c r="B9" i="2" s="1"/>
  <c r="I27" i="1"/>
  <c r="I77" i="1" s="1"/>
  <c r="J25" i="1"/>
  <c r="J47" i="1" s="1"/>
  <c r="K11" i="1"/>
  <c r="M52" i="1"/>
  <c r="M94" i="1" s="1"/>
  <c r="G96" i="1" l="1"/>
  <c r="I79" i="1"/>
  <c r="I80" i="1" s="1"/>
  <c r="I81" i="1" s="1"/>
  <c r="L88" i="1"/>
  <c r="H54" i="1"/>
  <c r="I85" i="1"/>
  <c r="D9" i="2"/>
  <c r="C9" i="2" s="1"/>
  <c r="F9" i="2" s="1"/>
  <c r="B10" i="2" s="1"/>
  <c r="K24" i="1"/>
  <c r="L10" i="1"/>
  <c r="J27" i="1"/>
  <c r="J77" i="1" s="1"/>
  <c r="K25" i="1"/>
  <c r="K47" i="1" s="1"/>
  <c r="L11" i="1"/>
  <c r="I48" i="1"/>
  <c r="I58" i="1"/>
  <c r="H96" i="1" l="1"/>
  <c r="J79" i="1"/>
  <c r="J80" i="1" s="1"/>
  <c r="J81" i="1" s="1"/>
  <c r="I54" i="1"/>
  <c r="J85" i="1"/>
  <c r="H86" i="1"/>
  <c r="D10" i="2"/>
  <c r="C10" i="2" s="1"/>
  <c r="F10" i="2"/>
  <c r="B11" i="2" s="1"/>
  <c r="M10" i="1"/>
  <c r="M24" i="1" s="1"/>
  <c r="L24" i="1"/>
  <c r="K27" i="1"/>
  <c r="K77" i="1" s="1"/>
  <c r="L25" i="1"/>
  <c r="L47" i="1" s="1"/>
  <c r="K85" i="1" s="1"/>
  <c r="M11" i="1"/>
  <c r="M25" i="1" s="1"/>
  <c r="M47" i="1" s="1"/>
  <c r="M85" i="1" s="1"/>
  <c r="J58" i="1"/>
  <c r="J48" i="1"/>
  <c r="I86" i="1" s="1"/>
  <c r="I96" i="1" l="1"/>
  <c r="K79" i="1"/>
  <c r="K80" i="1" s="1"/>
  <c r="K81" i="1" s="1"/>
  <c r="J54" i="1"/>
  <c r="L85" i="1"/>
  <c r="K58" i="1"/>
  <c r="K48" i="1"/>
  <c r="J86" i="1" s="1"/>
  <c r="L27" i="1"/>
  <c r="L77" i="1" s="1"/>
  <c r="M27" i="1"/>
  <c r="M77" i="1" s="1"/>
  <c r="D11" i="2"/>
  <c r="C11" i="2" s="1"/>
  <c r="F11" i="2" s="1"/>
  <c r="B12" i="2" s="1"/>
  <c r="J96" i="1" l="1"/>
  <c r="M79" i="1"/>
  <c r="M80" i="1" s="1"/>
  <c r="M81" i="1" s="1"/>
  <c r="L79" i="1"/>
  <c r="L80" i="1" s="1"/>
  <c r="L81" i="1" s="1"/>
  <c r="K54" i="1"/>
  <c r="M58" i="1"/>
  <c r="M96" i="1" s="1"/>
  <c r="M48" i="1"/>
  <c r="L58" i="1"/>
  <c r="L48" i="1"/>
  <c r="D12" i="2"/>
  <c r="C12" i="2" s="1"/>
  <c r="F12" i="2" s="1"/>
  <c r="B13" i="2" s="1"/>
  <c r="L96" i="1" l="1"/>
  <c r="K96" i="1"/>
  <c r="L54" i="1"/>
  <c r="L86" i="1"/>
  <c r="M54" i="1"/>
  <c r="M86" i="1"/>
  <c r="K86" i="1"/>
  <c r="D13" i="2"/>
  <c r="C13" i="2" s="1"/>
  <c r="F13" i="2" s="1"/>
  <c r="B14" i="2" s="1"/>
  <c r="D14" i="2" l="1"/>
  <c r="C14" i="2" l="1"/>
  <c r="D15" i="2"/>
  <c r="D36" i="1" s="1"/>
  <c r="D39" i="1" s="1"/>
  <c r="D40" i="1" l="1"/>
  <c r="C15" i="2"/>
  <c r="F14" i="2"/>
  <c r="B19" i="2" s="1"/>
  <c r="D41" i="1" l="1"/>
  <c r="D66" i="1" s="1"/>
  <c r="D59" i="1"/>
  <c r="D19" i="2"/>
  <c r="C97" i="1" l="1"/>
  <c r="C99" i="1" s="1"/>
  <c r="D68" i="1"/>
  <c r="D70" i="1" s="1"/>
  <c r="C19" i="2"/>
  <c r="F19" i="2" l="1"/>
  <c r="B20" i="2" s="1"/>
  <c r="D20" i="2" l="1"/>
  <c r="C20" i="2" l="1"/>
  <c r="F20" i="2" l="1"/>
  <c r="B21" i="2" s="1"/>
  <c r="D21" i="2" l="1"/>
  <c r="C21" i="2" l="1"/>
  <c r="F21" i="2" l="1"/>
  <c r="B22" i="2" s="1"/>
  <c r="D22" i="2" l="1"/>
  <c r="C22" i="2" l="1"/>
  <c r="F22" i="2" l="1"/>
  <c r="B23" i="2" s="1"/>
  <c r="D23" i="2" l="1"/>
  <c r="C23" i="2" l="1"/>
  <c r="F23" i="2" l="1"/>
  <c r="B24" i="2" s="1"/>
  <c r="D24" i="2" l="1"/>
  <c r="C24" i="2" s="1"/>
  <c r="F24" i="2" s="1"/>
  <c r="B25" i="2" s="1"/>
  <c r="D25" i="2" l="1"/>
  <c r="C25" i="2" s="1"/>
  <c r="F25" i="2"/>
  <c r="B26" i="2" s="1"/>
  <c r="D26" i="2" l="1"/>
  <c r="C26" i="2" s="1"/>
  <c r="F26" i="2" s="1"/>
  <c r="B27" i="2" s="1"/>
  <c r="D27" i="2" l="1"/>
  <c r="C27" i="2" s="1"/>
  <c r="F27" i="2" s="1"/>
  <c r="B28" i="2" s="1"/>
  <c r="D28" i="2" l="1"/>
  <c r="C28" i="2" s="1"/>
  <c r="F28" i="2" s="1"/>
  <c r="B29" i="2" s="1"/>
  <c r="D29" i="2" l="1"/>
  <c r="C29" i="2" s="1"/>
  <c r="F29" i="2" s="1"/>
  <c r="B30" i="2" s="1"/>
  <c r="D30" i="2" l="1"/>
  <c r="C30" i="2" l="1"/>
  <c r="D31" i="2"/>
  <c r="E36" i="1" s="1"/>
  <c r="E39" i="1" s="1"/>
  <c r="E40" i="1" s="1"/>
  <c r="D97" i="1" l="1"/>
  <c r="D99" i="1" s="1"/>
  <c r="E59" i="1"/>
  <c r="C31" i="2"/>
  <c r="F30" i="2"/>
  <c r="B34" i="2" s="1"/>
  <c r="D34" i="2" l="1"/>
  <c r="E41" i="1"/>
  <c r="E66" i="1" s="1"/>
  <c r="E68" i="1" l="1"/>
  <c r="E70" i="1" s="1"/>
  <c r="C34" i="2"/>
  <c r="F34" i="2" l="1"/>
  <c r="B35" i="2" s="1"/>
  <c r="D35" i="2" l="1"/>
  <c r="C35" i="2" l="1"/>
  <c r="F35" i="2" l="1"/>
  <c r="B36" i="2" s="1"/>
  <c r="D36" i="2" l="1"/>
  <c r="C36" i="2" l="1"/>
  <c r="F36" i="2" l="1"/>
  <c r="B37" i="2" s="1"/>
  <c r="D37" i="2" l="1"/>
  <c r="C37" i="2" l="1"/>
  <c r="F37" i="2" l="1"/>
  <c r="B38" i="2" s="1"/>
  <c r="D38" i="2" l="1"/>
  <c r="C38" i="2" l="1"/>
  <c r="F38" i="2" l="1"/>
  <c r="B39" i="2" s="1"/>
  <c r="D39" i="2" l="1"/>
  <c r="C39" i="2" s="1"/>
  <c r="F39" i="2" s="1"/>
  <c r="B40" i="2" s="1"/>
  <c r="D40" i="2" l="1"/>
  <c r="C40" i="2" s="1"/>
  <c r="F40" i="2" s="1"/>
  <c r="B41" i="2" s="1"/>
  <c r="D41" i="2" l="1"/>
  <c r="C41" i="2" s="1"/>
  <c r="F41" i="2" s="1"/>
  <c r="B42" i="2" s="1"/>
  <c r="D42" i="2" l="1"/>
  <c r="C42" i="2" s="1"/>
  <c r="F42" i="2" s="1"/>
  <c r="B43" i="2" s="1"/>
  <c r="D43" i="2" l="1"/>
  <c r="C43" i="2" s="1"/>
  <c r="F43" i="2" s="1"/>
  <c r="B44" i="2" s="1"/>
  <c r="D44" i="2" l="1"/>
  <c r="C44" i="2" s="1"/>
  <c r="F44" i="2" s="1"/>
  <c r="B45" i="2" s="1"/>
  <c r="D45" i="2" l="1"/>
  <c r="C45" i="2" l="1"/>
  <c r="D46" i="2"/>
  <c r="F36" i="1" s="1"/>
  <c r="F39" i="1" s="1"/>
  <c r="F40" i="1" s="1"/>
  <c r="E97" i="1" l="1"/>
  <c r="E99" i="1" s="1"/>
  <c r="F59" i="1"/>
  <c r="C46" i="2"/>
  <c r="F45" i="2"/>
  <c r="B49" i="2" s="1"/>
  <c r="D49" i="2" l="1"/>
  <c r="F41" i="1"/>
  <c r="F66" i="1" s="1"/>
  <c r="F68" i="1" l="1"/>
  <c r="F70" i="1" s="1"/>
  <c r="C49" i="2"/>
  <c r="F49" i="2" l="1"/>
  <c r="B50" i="2" s="1"/>
  <c r="D50" i="2" l="1"/>
  <c r="C50" i="2" l="1"/>
  <c r="F50" i="2" l="1"/>
  <c r="B51" i="2" s="1"/>
  <c r="D51" i="2" l="1"/>
  <c r="C51" i="2" l="1"/>
  <c r="F51" i="2" l="1"/>
  <c r="B52" i="2" s="1"/>
  <c r="D52" i="2" l="1"/>
  <c r="C52" i="2" l="1"/>
  <c r="F52" i="2" l="1"/>
  <c r="B53" i="2" s="1"/>
  <c r="D53" i="2" l="1"/>
  <c r="C53" i="2" l="1"/>
  <c r="F53" i="2" l="1"/>
  <c r="B54" i="2" s="1"/>
  <c r="D54" i="2" l="1"/>
  <c r="C54" i="2" s="1"/>
  <c r="F54" i="2" s="1"/>
  <c r="B55" i="2" s="1"/>
  <c r="D55" i="2" l="1"/>
  <c r="C55" i="2" s="1"/>
  <c r="F55" i="2" s="1"/>
  <c r="B56" i="2" s="1"/>
  <c r="D56" i="2" l="1"/>
  <c r="C56" i="2" s="1"/>
  <c r="F56" i="2" s="1"/>
  <c r="B57" i="2" s="1"/>
  <c r="D57" i="2" l="1"/>
  <c r="C57" i="2" s="1"/>
  <c r="F57" i="2" s="1"/>
  <c r="B58" i="2" s="1"/>
  <c r="D58" i="2" l="1"/>
  <c r="C58" i="2" s="1"/>
  <c r="F58" i="2" s="1"/>
  <c r="B59" i="2" s="1"/>
  <c r="D59" i="2" l="1"/>
  <c r="C59" i="2" s="1"/>
  <c r="F59" i="2" s="1"/>
  <c r="B60" i="2" s="1"/>
  <c r="D60" i="2" l="1"/>
  <c r="C60" i="2" l="1"/>
  <c r="D61" i="2"/>
  <c r="G36" i="1" s="1"/>
  <c r="G39" i="1" s="1"/>
  <c r="G40" i="1" s="1"/>
  <c r="F97" i="1" l="1"/>
  <c r="F99" i="1" s="1"/>
  <c r="G59" i="1"/>
  <c r="C61" i="2"/>
  <c r="F60" i="2"/>
  <c r="B64" i="2" s="1"/>
  <c r="D64" i="2" l="1"/>
  <c r="G41" i="1"/>
  <c r="G66" i="1" s="1"/>
  <c r="G68" i="1" l="1"/>
  <c r="G70" i="1" s="1"/>
  <c r="C64" i="2"/>
  <c r="F64" i="2" l="1"/>
  <c r="B65" i="2" s="1"/>
  <c r="D65" i="2" l="1"/>
  <c r="C65" i="2" l="1"/>
  <c r="F65" i="2" l="1"/>
  <c r="B66" i="2" s="1"/>
  <c r="D66" i="2" l="1"/>
  <c r="C66" i="2" l="1"/>
  <c r="F66" i="2" l="1"/>
  <c r="B67" i="2" s="1"/>
  <c r="D67" i="2" l="1"/>
  <c r="C67" i="2" l="1"/>
  <c r="F67" i="2" l="1"/>
  <c r="B68" i="2" s="1"/>
  <c r="D68" i="2" l="1"/>
  <c r="C68" i="2" l="1"/>
  <c r="F68" i="2" l="1"/>
  <c r="B69" i="2" s="1"/>
  <c r="D69" i="2" l="1"/>
  <c r="C69" i="2" s="1"/>
  <c r="F69" i="2" s="1"/>
  <c r="B70" i="2" s="1"/>
  <c r="D70" i="2" l="1"/>
  <c r="C70" i="2" s="1"/>
  <c r="F70" i="2" s="1"/>
  <c r="B71" i="2" s="1"/>
  <c r="D71" i="2" l="1"/>
  <c r="C71" i="2" s="1"/>
  <c r="F71" i="2" s="1"/>
  <c r="B72" i="2" s="1"/>
  <c r="D72" i="2" l="1"/>
  <c r="C72" i="2" s="1"/>
  <c r="F72" i="2" s="1"/>
  <c r="B73" i="2" s="1"/>
  <c r="D73" i="2" l="1"/>
  <c r="C73" i="2" s="1"/>
  <c r="F73" i="2" s="1"/>
  <c r="B74" i="2" s="1"/>
  <c r="D74" i="2" l="1"/>
  <c r="C74" i="2" s="1"/>
  <c r="F74" i="2" s="1"/>
  <c r="B75" i="2" s="1"/>
  <c r="D75" i="2" l="1"/>
  <c r="C75" i="2" l="1"/>
  <c r="D76" i="2"/>
  <c r="H36" i="1" s="1"/>
  <c r="H39" i="1" s="1"/>
  <c r="H40" i="1" s="1"/>
  <c r="G97" i="1" l="1"/>
  <c r="G99" i="1" s="1"/>
  <c r="H59" i="1"/>
  <c r="C76" i="2"/>
  <c r="F75" i="2"/>
  <c r="H61" i="1" l="1"/>
  <c r="B80" i="2"/>
  <c r="H41" i="1"/>
  <c r="H66" i="1" s="1"/>
  <c r="H68" i="1" l="1"/>
  <c r="H70" i="1" s="1"/>
  <c r="D80" i="2"/>
  <c r="C80" i="2" l="1"/>
  <c r="F80" i="2" l="1"/>
  <c r="B81" i="2" s="1"/>
  <c r="D81" i="2" l="1"/>
  <c r="C81" i="2" l="1"/>
  <c r="F81" i="2" l="1"/>
  <c r="B82" i="2" s="1"/>
  <c r="D82" i="2" l="1"/>
  <c r="C82" i="2" l="1"/>
  <c r="F82" i="2" l="1"/>
  <c r="B83" i="2" s="1"/>
  <c r="D83" i="2" l="1"/>
  <c r="C83" i="2" l="1"/>
  <c r="F83" i="2" l="1"/>
  <c r="B84" i="2" s="1"/>
  <c r="D84" i="2" l="1"/>
  <c r="C84" i="2" l="1"/>
  <c r="F84" i="2" l="1"/>
  <c r="B85" i="2" s="1"/>
  <c r="D85" i="2" l="1"/>
  <c r="C85" i="2" s="1"/>
  <c r="F85" i="2" s="1"/>
  <c r="B86" i="2" s="1"/>
  <c r="D86" i="2" l="1"/>
  <c r="C86" i="2" s="1"/>
  <c r="F86" i="2" s="1"/>
  <c r="B87" i="2" s="1"/>
  <c r="D87" i="2" l="1"/>
  <c r="C87" i="2" s="1"/>
  <c r="F87" i="2" s="1"/>
  <c r="B88" i="2" s="1"/>
  <c r="D88" i="2" l="1"/>
  <c r="C88" i="2" s="1"/>
  <c r="F88" i="2" s="1"/>
  <c r="B89" i="2" s="1"/>
  <c r="D89" i="2" l="1"/>
  <c r="C89" i="2" s="1"/>
  <c r="F89" i="2" s="1"/>
  <c r="B90" i="2" s="1"/>
  <c r="D90" i="2" l="1"/>
  <c r="C90" i="2" s="1"/>
  <c r="F90" i="2" s="1"/>
  <c r="B91" i="2" s="1"/>
  <c r="D91" i="2" l="1"/>
  <c r="C91" i="2" l="1"/>
  <c r="D92" i="2"/>
  <c r="I36" i="1" s="1"/>
  <c r="I39" i="1" s="1"/>
  <c r="I40" i="1" s="1"/>
  <c r="H97" i="1" l="1"/>
  <c r="H99" i="1" s="1"/>
  <c r="I59" i="1"/>
  <c r="C92" i="2"/>
  <c r="F91" i="2"/>
  <c r="I61" i="1" l="1"/>
  <c r="B96" i="2"/>
  <c r="I41" i="1"/>
  <c r="I66" i="1" s="1"/>
  <c r="D96" i="2" l="1"/>
  <c r="I68" i="1"/>
  <c r="I70" i="1" s="1"/>
  <c r="C96" i="2" l="1"/>
  <c r="F96" i="2" l="1"/>
  <c r="B97" i="2" s="1"/>
  <c r="D97" i="2" l="1"/>
  <c r="C97" i="2" l="1"/>
  <c r="F97" i="2" l="1"/>
  <c r="B98" i="2" s="1"/>
  <c r="D98" i="2" l="1"/>
  <c r="C98" i="2" l="1"/>
  <c r="F98" i="2" l="1"/>
  <c r="B99" i="2" s="1"/>
  <c r="D99" i="2" l="1"/>
  <c r="C99" i="2" l="1"/>
  <c r="F99" i="2" l="1"/>
  <c r="B100" i="2" s="1"/>
  <c r="D100" i="2" l="1"/>
  <c r="C100" i="2" l="1"/>
  <c r="F100" i="2" l="1"/>
  <c r="B101" i="2" s="1"/>
  <c r="D101" i="2" l="1"/>
  <c r="C101" i="2" s="1"/>
  <c r="F101" i="2" s="1"/>
  <c r="B102" i="2" s="1"/>
  <c r="D102" i="2" l="1"/>
  <c r="C102" i="2" s="1"/>
  <c r="F102" i="2"/>
  <c r="B103" i="2" s="1"/>
  <c r="D103" i="2" l="1"/>
  <c r="C103" i="2" s="1"/>
  <c r="F103" i="2" s="1"/>
  <c r="B104" i="2" s="1"/>
  <c r="D104" i="2" l="1"/>
  <c r="C104" i="2" s="1"/>
  <c r="F104" i="2" s="1"/>
  <c r="B105" i="2" s="1"/>
  <c r="D105" i="2" l="1"/>
  <c r="C105" i="2" s="1"/>
  <c r="F105" i="2" s="1"/>
  <c r="B106" i="2" s="1"/>
  <c r="D106" i="2" l="1"/>
  <c r="C106" i="2" s="1"/>
  <c r="F106" i="2" s="1"/>
  <c r="B107" i="2" s="1"/>
  <c r="D107" i="2" l="1"/>
  <c r="C107" i="2" l="1"/>
  <c r="D108" i="2"/>
  <c r="J36" i="1" s="1"/>
  <c r="J39" i="1" s="1"/>
  <c r="J40" i="1" s="1"/>
  <c r="I97" i="1" l="1"/>
  <c r="I99" i="1" s="1"/>
  <c r="J59" i="1"/>
  <c r="C108" i="2"/>
  <c r="F107" i="2"/>
  <c r="J61" i="1" l="1"/>
  <c r="B112" i="2"/>
  <c r="J41" i="1"/>
  <c r="J66" i="1" s="1"/>
  <c r="J68" i="1" l="1"/>
  <c r="J70" i="1" s="1"/>
  <c r="D112" i="2"/>
  <c r="C112" i="2" l="1"/>
  <c r="F112" i="2" l="1"/>
  <c r="B113" i="2" s="1"/>
  <c r="D113" i="2" l="1"/>
  <c r="C113" i="2" l="1"/>
  <c r="F113" i="2" l="1"/>
  <c r="B114" i="2" s="1"/>
  <c r="D114" i="2" l="1"/>
  <c r="C114" i="2" l="1"/>
  <c r="F114" i="2" l="1"/>
  <c r="B115" i="2" s="1"/>
  <c r="D115" i="2" l="1"/>
  <c r="C115" i="2" l="1"/>
  <c r="F115" i="2" l="1"/>
  <c r="B116" i="2" s="1"/>
  <c r="D116" i="2" l="1"/>
  <c r="C116" i="2" l="1"/>
  <c r="F116" i="2" l="1"/>
  <c r="B117" i="2" s="1"/>
  <c r="D117" i="2" l="1"/>
  <c r="C117" i="2" s="1"/>
  <c r="F117" i="2" s="1"/>
  <c r="B118" i="2" s="1"/>
  <c r="D118" i="2" l="1"/>
  <c r="C118" i="2" s="1"/>
  <c r="F118" i="2" s="1"/>
  <c r="B119" i="2" s="1"/>
  <c r="D119" i="2" l="1"/>
  <c r="C119" i="2" s="1"/>
  <c r="F119" i="2" s="1"/>
  <c r="B120" i="2" s="1"/>
  <c r="D120" i="2" l="1"/>
  <c r="C120" i="2" s="1"/>
  <c r="F120" i="2" s="1"/>
  <c r="B121" i="2" s="1"/>
  <c r="D121" i="2" l="1"/>
  <c r="C121" i="2" s="1"/>
  <c r="F121" i="2" s="1"/>
  <c r="B122" i="2" s="1"/>
  <c r="D122" i="2" l="1"/>
  <c r="C122" i="2" s="1"/>
  <c r="F122" i="2" s="1"/>
  <c r="B123" i="2" s="1"/>
  <c r="D123" i="2" l="1"/>
  <c r="C123" i="2" l="1"/>
  <c r="D124" i="2"/>
  <c r="K36" i="1" s="1"/>
  <c r="K39" i="1" s="1"/>
  <c r="K40" i="1" s="1"/>
  <c r="J97" i="1" l="1"/>
  <c r="J99" i="1" s="1"/>
  <c r="K59" i="1"/>
  <c r="C124" i="2"/>
  <c r="F123" i="2"/>
  <c r="B128" i="2" l="1"/>
  <c r="K61" i="1"/>
  <c r="K41" i="1"/>
  <c r="K66" i="1" s="1"/>
  <c r="K68" i="1" l="1"/>
  <c r="K70" i="1" s="1"/>
  <c r="D128" i="2"/>
  <c r="C128" i="2" l="1"/>
  <c r="F128" i="2" l="1"/>
  <c r="B129" i="2" s="1"/>
  <c r="D129" i="2" l="1"/>
  <c r="C129" i="2" l="1"/>
  <c r="F129" i="2" l="1"/>
  <c r="B130" i="2" s="1"/>
  <c r="D130" i="2" l="1"/>
  <c r="C130" i="2" l="1"/>
  <c r="F130" i="2" l="1"/>
  <c r="B131" i="2" s="1"/>
  <c r="D131" i="2" l="1"/>
  <c r="C131" i="2" l="1"/>
  <c r="F131" i="2" l="1"/>
  <c r="B132" i="2" s="1"/>
  <c r="D132" i="2" l="1"/>
  <c r="C132" i="2" l="1"/>
  <c r="F132" i="2" l="1"/>
  <c r="B133" i="2" s="1"/>
  <c r="D133" i="2" l="1"/>
  <c r="C133" i="2" s="1"/>
  <c r="F133" i="2" s="1"/>
  <c r="B134" i="2" s="1"/>
  <c r="D134" i="2" l="1"/>
  <c r="C134" i="2" s="1"/>
  <c r="F134" i="2" s="1"/>
  <c r="B135" i="2" s="1"/>
  <c r="D135" i="2" l="1"/>
  <c r="C135" i="2" s="1"/>
  <c r="F135" i="2" s="1"/>
  <c r="B136" i="2" s="1"/>
  <c r="D136" i="2" l="1"/>
  <c r="C136" i="2" s="1"/>
  <c r="F136" i="2" s="1"/>
  <c r="B137" i="2" s="1"/>
  <c r="D137" i="2" l="1"/>
  <c r="C137" i="2" s="1"/>
  <c r="F137" i="2"/>
  <c r="B138" i="2" s="1"/>
  <c r="D138" i="2" l="1"/>
  <c r="C138" i="2" s="1"/>
  <c r="F138" i="2" s="1"/>
  <c r="B139" i="2" s="1"/>
  <c r="D139" i="2" l="1"/>
  <c r="C139" i="2" l="1"/>
  <c r="D140" i="2"/>
  <c r="L36" i="1" s="1"/>
  <c r="L39" i="1" s="1"/>
  <c r="L40" i="1" s="1"/>
  <c r="K97" i="1" l="1"/>
  <c r="K99" i="1" s="1"/>
  <c r="L59" i="1"/>
  <c r="C140" i="2"/>
  <c r="F139" i="2"/>
  <c r="L61" i="1" l="1"/>
  <c r="B144" i="2"/>
  <c r="L41" i="1"/>
  <c r="L66" i="1" s="1"/>
  <c r="L68" i="1" s="1"/>
  <c r="L70" i="1" s="1"/>
  <c r="D144" i="2" l="1"/>
  <c r="C144" i="2" l="1"/>
  <c r="F144" i="2" l="1"/>
  <c r="B145" i="2" s="1"/>
  <c r="D145" i="2" l="1"/>
  <c r="C145" i="2" l="1"/>
  <c r="F145" i="2" l="1"/>
  <c r="B146" i="2" s="1"/>
  <c r="D146" i="2" l="1"/>
  <c r="C146" i="2" l="1"/>
  <c r="F146" i="2" l="1"/>
  <c r="B147" i="2" s="1"/>
  <c r="D147" i="2" l="1"/>
  <c r="C147" i="2" l="1"/>
  <c r="F147" i="2" l="1"/>
  <c r="B148" i="2" s="1"/>
  <c r="D148" i="2" l="1"/>
  <c r="C148" i="2" l="1"/>
  <c r="F148" i="2" l="1"/>
  <c r="B149" i="2" s="1"/>
  <c r="D149" i="2" l="1"/>
  <c r="C149" i="2" s="1"/>
  <c r="F149" i="2" s="1"/>
  <c r="B150" i="2" s="1"/>
  <c r="D150" i="2" l="1"/>
  <c r="C150" i="2" s="1"/>
  <c r="F150" i="2" s="1"/>
  <c r="B151" i="2" s="1"/>
  <c r="D151" i="2" l="1"/>
  <c r="C151" i="2" s="1"/>
  <c r="F151" i="2" s="1"/>
  <c r="B152" i="2" s="1"/>
  <c r="D152" i="2" l="1"/>
  <c r="C152" i="2" s="1"/>
  <c r="F152" i="2" s="1"/>
  <c r="B153" i="2" s="1"/>
  <c r="D153" i="2" l="1"/>
  <c r="C153" i="2" s="1"/>
  <c r="F153" i="2" s="1"/>
  <c r="B154" i="2" s="1"/>
  <c r="D154" i="2" l="1"/>
  <c r="C154" i="2" s="1"/>
  <c r="F154" i="2" s="1"/>
  <c r="B155" i="2" s="1"/>
  <c r="D155" i="2" l="1"/>
  <c r="C155" i="2" l="1"/>
  <c r="D156" i="2"/>
  <c r="M36" i="1" l="1"/>
  <c r="M39" i="1" s="1"/>
  <c r="M40" i="1" s="1"/>
  <c r="M59" i="1" s="1"/>
  <c r="M97" i="1"/>
  <c r="L97" i="1"/>
  <c r="L99" i="1" s="1"/>
  <c r="C156" i="2"/>
  <c r="F155" i="2"/>
  <c r="M61" i="1" s="1"/>
  <c r="N61" i="1" s="1"/>
  <c r="M99" i="1" l="1"/>
  <c r="C100" i="1" s="1"/>
  <c r="M41" i="1"/>
  <c r="M66" i="1" s="1"/>
  <c r="M68" i="1" l="1"/>
  <c r="M70" i="1" s="1"/>
  <c r="N65" i="1"/>
  <c r="O64" i="1" l="1"/>
  <c r="B7" i="3" s="1"/>
  <c r="B28" i="3" s="1"/>
  <c r="O63" i="1"/>
  <c r="B6" i="3" s="1"/>
  <c r="C28" i="3" l="1"/>
  <c r="B8" i="3"/>
  <c r="B14" i="3" s="1"/>
  <c r="B30" i="3" l="1"/>
  <c r="C102" i="1" s="1"/>
  <c r="C103" i="1" s="1"/>
</calcChain>
</file>

<file path=xl/sharedStrings.xml><?xml version="1.0" encoding="utf-8"?>
<sst xmlns="http://schemas.openxmlformats.org/spreadsheetml/2006/main" count="595" uniqueCount="167">
  <si>
    <t>FORECAST</t>
  </si>
  <si>
    <t>Store Sales</t>
  </si>
  <si>
    <t>Internet Sales</t>
  </si>
  <si>
    <t>Total Sales</t>
  </si>
  <si>
    <t>Year 1</t>
  </si>
  <si>
    <t>Year 2</t>
  </si>
  <si>
    <t>Year 3</t>
  </si>
  <si>
    <t>Year 4</t>
  </si>
  <si>
    <t>SALES UNIT FORECASTS</t>
  </si>
  <si>
    <t>Forecasted Store Sales (units)</t>
  </si>
  <si>
    <t>Forecasted Internet Sales (units)</t>
  </si>
  <si>
    <t>Average Store Sales Price</t>
  </si>
  <si>
    <t>Average Internet Sales Price</t>
  </si>
  <si>
    <t>Cost of Goods Sold: Cupcake</t>
  </si>
  <si>
    <t>RATIOS USED IN FORECAST</t>
  </si>
  <si>
    <t>Average Collection Period - Internet Sales</t>
  </si>
  <si>
    <t>Inventory Days - All Sales</t>
  </si>
  <si>
    <t>Average Payables Period - COGS</t>
  </si>
  <si>
    <t>INCOME STATEMENT</t>
  </si>
  <si>
    <t>Sales Revenue - Stores</t>
  </si>
  <si>
    <t>Sales Revenue - Internet</t>
  </si>
  <si>
    <t>Cost of Goods Sold</t>
  </si>
  <si>
    <t>Operating Expenses</t>
  </si>
  <si>
    <t>Marketing &amp; Advertising</t>
  </si>
  <si>
    <t>General and Administrative</t>
  </si>
  <si>
    <t>Store Building Maintenance Exp</t>
  </si>
  <si>
    <t>Depreciation Expense</t>
  </si>
  <si>
    <t>Mortgage Loan Interest Expense</t>
  </si>
  <si>
    <t>Extra Bank Loan Interest Expense</t>
  </si>
  <si>
    <t>Taxable Income</t>
  </si>
  <si>
    <t>Income Tax Expense</t>
  </si>
  <si>
    <t>Net Income</t>
  </si>
  <si>
    <t>BALANCE SHEET</t>
  </si>
  <si>
    <t>Assets</t>
  </si>
  <si>
    <t>Minimum Cash Inventory</t>
  </si>
  <si>
    <t>Cash Above Minimum</t>
  </si>
  <si>
    <t>Accounts Receivable</t>
  </si>
  <si>
    <t>Inventory</t>
  </si>
  <si>
    <t>Land</t>
  </si>
  <si>
    <t>Buildings</t>
  </si>
  <si>
    <t>Less:  Accumulated Depreciation</t>
  </si>
  <si>
    <t>Total Assets</t>
  </si>
  <si>
    <t>Liabilities and Equity</t>
  </si>
  <si>
    <t>Liaiblities</t>
  </si>
  <si>
    <t>Accounts Payable</t>
  </si>
  <si>
    <t>Income Tax Payable</t>
  </si>
  <si>
    <t>Mortgage Loan</t>
  </si>
  <si>
    <t>Extra Bank Loan</t>
  </si>
  <si>
    <t>Equity</t>
  </si>
  <si>
    <t>Common Stock</t>
  </si>
  <si>
    <t>Retained Earnings</t>
  </si>
  <si>
    <t>Total Liabilities and Equity</t>
  </si>
  <si>
    <t>DFN</t>
  </si>
  <si>
    <t>Beg Balance</t>
  </si>
  <si>
    <t>Principal</t>
  </si>
  <si>
    <t xml:space="preserve">Interest </t>
  </si>
  <si>
    <t>Payment</t>
  </si>
  <si>
    <t>End Balance</t>
  </si>
  <si>
    <t>Rate</t>
  </si>
  <si>
    <t>Per Rate</t>
  </si>
  <si>
    <t>FV</t>
  </si>
  <si>
    <t>Per</t>
  </si>
  <si>
    <t>Type</t>
  </si>
  <si>
    <t>PV</t>
  </si>
  <si>
    <t>TOTALS</t>
  </si>
  <si>
    <t>January</t>
  </si>
  <si>
    <t xml:space="preserve">February </t>
  </si>
  <si>
    <t xml:space="preserve">March </t>
  </si>
  <si>
    <t xml:space="preserve">April </t>
  </si>
  <si>
    <t>May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</si>
  <si>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</si>
  <si>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</si>
  <si>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</si>
  <si>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</si>
  <si>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</si>
  <si>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</si>
  <si>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</si>
  <si>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 xml:space="preserve">January </t>
  </si>
  <si>
    <t xml:space="preserve">May </t>
  </si>
  <si>
    <t>August</t>
  </si>
  <si>
    <t>November</t>
  </si>
  <si>
    <t>December</t>
  </si>
  <si>
    <t>March</t>
  </si>
  <si>
    <t>June</t>
  </si>
  <si>
    <t>Year 5</t>
  </si>
  <si>
    <t>Year 6</t>
  </si>
  <si>
    <t>Year 7</t>
  </si>
  <si>
    <t>Year 8</t>
  </si>
  <si>
    <t>Year 9</t>
  </si>
  <si>
    <t>Year 10</t>
  </si>
  <si>
    <t>The "Original" Yummy Cupcakes</t>
  </si>
  <si>
    <t>Constant</t>
  </si>
  <si>
    <t>BETA</t>
  </si>
  <si>
    <t>Tax Rate %</t>
  </si>
  <si>
    <t>Unlevered Beta  (Theoretical)</t>
  </si>
  <si>
    <t>T-Bill</t>
  </si>
  <si>
    <t>New Debt %</t>
  </si>
  <si>
    <t>New Equity %</t>
  </si>
  <si>
    <t>Relevered Beta (Theoretical)</t>
  </si>
  <si>
    <t>CAPM</t>
  </si>
  <si>
    <t>S&amp;P 500</t>
  </si>
  <si>
    <t>Cost of Equity ( = Return of Equity)</t>
  </si>
  <si>
    <t>Long Term Debt</t>
  </si>
  <si>
    <t>Interest Expense</t>
  </si>
  <si>
    <t>Interest Rate</t>
  </si>
  <si>
    <t>Cost of Debt</t>
  </si>
  <si>
    <t>Debt</t>
  </si>
  <si>
    <t>WACC</t>
  </si>
  <si>
    <t>Unlevered Beta</t>
  </si>
  <si>
    <t>FREE CASH FLOWS</t>
  </si>
  <si>
    <t>Cash from Operations</t>
  </si>
  <si>
    <t>Operating Profit</t>
  </si>
  <si>
    <t>Less: Depreciation</t>
  </si>
  <si>
    <t>Taxable Operating Profit</t>
  </si>
  <si>
    <t>Taxes on Operations (=Taxes Payable)</t>
  </si>
  <si>
    <t>Net Cash from Operations</t>
  </si>
  <si>
    <t>Cash in/out from Changes in Balance Sheet</t>
  </si>
  <si>
    <t>Minimum Cash Balance</t>
  </si>
  <si>
    <t>Adjustment for Resale</t>
  </si>
  <si>
    <t>Taxes on Resale</t>
  </si>
  <si>
    <t>Taxes Payable (=Taxes on Operations)</t>
  </si>
  <si>
    <t>TOTAL FREE CASH FLOWS</t>
  </si>
  <si>
    <t>IRR</t>
  </si>
  <si>
    <t>WACC COMPUTED FROM FORECAST</t>
  </si>
  <si>
    <t>NPV USING COMPUTED WACC</t>
  </si>
  <si>
    <t>Per Acre</t>
  </si>
  <si>
    <t>Annual Change</t>
  </si>
  <si>
    <t>Depreciable Life</t>
  </si>
  <si>
    <t>Tax Rate</t>
  </si>
  <si>
    <t>On the $</t>
  </si>
  <si>
    <t>TOTAL</t>
  </si>
  <si>
    <t>Unsecured</t>
  </si>
  <si>
    <t>Prop</t>
  </si>
  <si>
    <t>Remaining</t>
  </si>
  <si>
    <t>Secured</t>
  </si>
  <si>
    <t>% Sale</t>
  </si>
  <si>
    <t>Expected IRR</t>
  </si>
  <si>
    <t>IRR if not in Bankruptcy</t>
  </si>
  <si>
    <t>Prob</t>
  </si>
  <si>
    <t>Total Cash Flows</t>
  </si>
  <si>
    <t>Interest Payments</t>
  </si>
  <si>
    <t>(+)</t>
  </si>
  <si>
    <t>Paid in Bankruptcy</t>
  </si>
  <si>
    <t>(-)</t>
  </si>
  <si>
    <t>Extra Bank Loan Cash Flows</t>
  </si>
  <si>
    <t>Mortgage Loan Cash Flows</t>
  </si>
  <si>
    <t>RETURN OF DEBTHOLDERS</t>
  </si>
  <si>
    <t>Price per SqFT</t>
  </si>
  <si>
    <t>Square Feet</t>
  </si>
  <si>
    <t>tax rate</t>
  </si>
  <si>
    <t>interest rate</t>
  </si>
  <si>
    <t>Year Depreciation</t>
  </si>
  <si>
    <t>of Sales</t>
  </si>
  <si>
    <t>Made up</t>
  </si>
  <si>
    <t>Yearly % change</t>
  </si>
  <si>
    <t>FREE CASH FLOWS - 10% Probability</t>
  </si>
  <si>
    <t>FREE CASH FLOWS - 50% Probability</t>
  </si>
  <si>
    <t>FREE CASH FLOWS - 40% Probability</t>
  </si>
  <si>
    <t>NPV of Forecast 1</t>
  </si>
  <si>
    <t>NPV of Forecast 2</t>
  </si>
  <si>
    <t>NPV of Forecast 3</t>
  </si>
  <si>
    <t>Total Expected Value</t>
  </si>
  <si>
    <t xml:space="preserve"> Cost Per Sq Ft</t>
  </si>
  <si>
    <t>Cost Per Acre</t>
  </si>
  <si>
    <t>Cash</t>
  </si>
  <si>
    <t>Admin Costs</t>
  </si>
  <si>
    <t>Mortgage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</si>
</sst>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\-??_);_(@_)"/>
    <numFmt numFmtId="165" formatCode="0.0%"/>
    <numFmt numFmtId="166" formatCode="_(* #,##0.000000_);_(* \(#,##0.000000\);_(* \-??_);_(@_)"/>
    <numFmt numFmtId="167" formatCode="_(\$* #,##0_);_(\$* \(#,##0\);_(\$* \-??_);_(@_)"/>
    <numFmt numFmtId="168" formatCode="0.0"/>
    <numFmt numFmtId="169" formatCode="_(* #,##0_);_(* \(#,##0\);_(* &quot;-&quot;??_);_(@_)"/>
    <numFmt numFmtId="170" formatCode="[$$-409]#,##0.00;[Red]\-[$$-409]#,##0.00"/>
    <numFmt numFmtId="171" formatCode="_(&quot;$&quot;* #,##0_);_(&quot;$&quot;* \(#,##0\);_(&quot;$&quot;* &quot;-&quot;??_);_(@_)"/>
    <numFmt numFmtId="172" formatCode="0.000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1">
    <xf numFmtId="0" fontId="0" fillId="0" borderId="0" xfId="0"/>
    <xf numFmtId="10" fontId="0" fillId="0" borderId="0" xfId="0" applyNumberFormat="1"/>
    <xf numFmtId="0" fontId="0" fillId="0" borderId="0" xfId="0" applyFont="1" applyAlignment="1">
      <alignment wrapText="1"/>
    </xf>
    <xf numFmtId="170" fontId="0" fillId="0" borderId="0" xfId="0" applyNumberFormat="1" applyFont="1" applyAlignment="1">
      <alignment wrapText="1"/>
    </xf>
    <xf numFmtId="170" fontId="0" fillId="0" borderId="0" xfId="0" applyNumberFormat="1"/>
    <xf numFmtId="0" fontId="0" fillId="0" borderId="0" xfId="0" applyNumberFormat="1"/>
    <xf numFmtId="170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3" fillId="0" borderId="0" xfId="0" applyFont="1"/>
    <xf numFmtId="0" fontId="3" fillId="0" borderId="1" xfId="0" applyFont="1" applyBorder="1"/>
    <xf numFmtId="0" fontId="8" fillId="0" borderId="1" xfId="0" applyFont="1" applyBorder="1"/>
    <xf numFmtId="0" fontId="3" fillId="0" borderId="1" xfId="0" applyFont="1" applyBorder="1" applyAlignment="1">
      <alignment wrapText="1"/>
    </xf>
    <xf numFmtId="0" fontId="12" fillId="2" borderId="7" xfId="25" applyFont="1" applyFill="1" applyBorder="1" applyAlignment="1">
      <alignment horizontal="centerContinuous" vertical="center"/>
    </xf>
    <xf numFmtId="0" fontId="1" fillId="3" borderId="0" xfId="25" applyFill="1"/>
    <xf numFmtId="0" fontId="1" fillId="4" borderId="0" xfId="25" applyFill="1"/>
    <xf numFmtId="0" fontId="1" fillId="0" borderId="0" xfId="25"/>
    <xf numFmtId="0" fontId="10" fillId="5" borderId="8" xfId="25" applyFont="1" applyFill="1" applyBorder="1" applyAlignment="1">
      <alignment horizontal="left" vertical="center"/>
    </xf>
    <xf numFmtId="10" fontId="9" fillId="6" borderId="5" xfId="27" applyNumberFormat="1" applyFont="1" applyFill="1" applyBorder="1"/>
    <xf numFmtId="0" fontId="10" fillId="5" borderId="9" xfId="25" applyFont="1" applyFill="1" applyBorder="1" applyAlignment="1">
      <alignment horizontal="left" vertical="center"/>
    </xf>
    <xf numFmtId="172" fontId="1" fillId="7" borderId="7" xfId="25" applyNumberFormat="1" applyFill="1" applyBorder="1"/>
    <xf numFmtId="10" fontId="0" fillId="0" borderId="0" xfId="27" applyNumberFormat="1" applyFont="1"/>
    <xf numFmtId="0" fontId="1" fillId="0" borderId="0" xfId="25" applyBorder="1"/>
    <xf numFmtId="10" fontId="11" fillId="6" borderId="5" xfId="27" applyNumberFormat="1" applyFont="1" applyFill="1" applyBorder="1"/>
    <xf numFmtId="43" fontId="0" fillId="7" borderId="5" xfId="26" applyNumberFormat="1" applyFont="1" applyFill="1" applyBorder="1"/>
    <xf numFmtId="165" fontId="0" fillId="7" borderId="7" xfId="27" applyNumberFormat="1" applyFont="1" applyFill="1" applyBorder="1"/>
    <xf numFmtId="10" fontId="1" fillId="0" borderId="0" xfId="25" applyNumberFormat="1"/>
    <xf numFmtId="0" fontId="1" fillId="0" borderId="0" xfId="25" applyFill="1"/>
    <xf numFmtId="0" fontId="10" fillId="0" borderId="0" xfId="25" applyFont="1" applyBorder="1" applyAlignment="1">
      <alignment horizontal="centerContinuous" vertical="center"/>
    </xf>
    <xf numFmtId="10" fontId="0" fillId="0" borderId="7" xfId="27" applyNumberFormat="1" applyFont="1" applyBorder="1"/>
    <xf numFmtId="165" fontId="1" fillId="0" borderId="10" xfId="25" applyNumberFormat="1" applyBorder="1"/>
    <xf numFmtId="165" fontId="0" fillId="0" borderId="11" xfId="27" applyNumberFormat="1" applyFont="1" applyBorder="1"/>
    <xf numFmtId="165" fontId="10" fillId="8" borderId="7" xfId="25" applyNumberFormat="1" applyFont="1" applyFill="1" applyBorder="1"/>
    <xf numFmtId="0" fontId="10" fillId="0" borderId="0" xfId="25" applyFont="1" applyBorder="1"/>
    <xf numFmtId="10" fontId="0" fillId="0" borderId="0" xfId="27" applyNumberFormat="1" applyFont="1" applyBorder="1"/>
    <xf numFmtId="10" fontId="10" fillId="0" borderId="0" xfId="25" applyNumberFormat="1" applyFont="1" applyBorder="1"/>
    <xf numFmtId="9" fontId="0" fillId="0" borderId="0" xfId="27" applyFont="1" applyBorder="1"/>
    <xf numFmtId="0" fontId="13" fillId="0" borderId="0" xfId="0" applyFont="1"/>
    <xf numFmtId="0" fontId="14" fillId="0" borderId="0" xfId="4" applyFont="1"/>
    <xf numFmtId="171" fontId="13" fillId="0" borderId="0" xfId="2" applyNumberFormat="1" applyFont="1" applyBorder="1"/>
    <xf numFmtId="10" fontId="13" fillId="0" borderId="0" xfId="3" applyNumberFormat="1" applyFont="1" applyFill="1"/>
    <xf numFmtId="165" fontId="13" fillId="0" borderId="0" xfId="3" applyNumberFormat="1" applyFont="1" applyFill="1"/>
    <xf numFmtId="44" fontId="13" fillId="0" borderId="0" xfId="2" applyFont="1" applyBorder="1"/>
    <xf numFmtId="9" fontId="13" fillId="0" borderId="0" xfId="3" applyFont="1"/>
    <xf numFmtId="165" fontId="13" fillId="0" borderId="0" xfId="3" applyNumberFormat="1" applyFont="1"/>
    <xf numFmtId="9" fontId="13" fillId="0" borderId="0" xfId="3" applyFont="1" applyBorder="1"/>
    <xf numFmtId="169" fontId="13" fillId="0" borderId="0" xfId="1" applyNumberFormat="1" applyFont="1" applyBorder="1" applyAlignment="1">
      <alignment horizontal="right"/>
    </xf>
    <xf numFmtId="9" fontId="14" fillId="0" borderId="0" xfId="4" applyNumberFormat="1" applyFont="1"/>
    <xf numFmtId="167" fontId="13" fillId="0" borderId="0" xfId="2" applyNumberFormat="1" applyFont="1" applyBorder="1"/>
    <xf numFmtId="168" fontId="14" fillId="0" borderId="0" xfId="4" applyNumberFormat="1" applyFont="1"/>
    <xf numFmtId="10" fontId="13" fillId="0" borderId="0" xfId="3" applyNumberFormat="1" applyFont="1"/>
    <xf numFmtId="167" fontId="13" fillId="0" borderId="0" xfId="2" applyNumberFormat="1" applyFont="1"/>
    <xf numFmtId="167" fontId="14" fillId="0" borderId="0" xfId="4" applyNumberFormat="1" applyFont="1"/>
    <xf numFmtId="167" fontId="13" fillId="0" borderId="0" xfId="0" applyNumberFormat="1" applyFont="1"/>
    <xf numFmtId="171" fontId="13" fillId="0" borderId="0" xfId="2" applyNumberFormat="1" applyFont="1"/>
    <xf numFmtId="10" fontId="13" fillId="0" borderId="0" xfId="0" applyNumberFormat="1" applyFont="1"/>
    <xf numFmtId="6" fontId="13" fillId="0" borderId="0" xfId="0" applyNumberFormat="1" applyFont="1"/>
    <xf numFmtId="0" fontId="15" fillId="0" borderId="1" xfId="0" applyFont="1" applyBorder="1"/>
    <xf numFmtId="0" fontId="16" fillId="0" borderId="0" xfId="4" applyFont="1"/>
    <xf numFmtId="171" fontId="14" fillId="0" borderId="0" xfId="2" applyNumberFormat="1" applyFont="1"/>
    <xf numFmtId="0" fontId="14" fillId="0" borderId="0" xfId="4" applyFont="1" applyBorder="1"/>
    <xf numFmtId="0" fontId="16" fillId="0" borderId="0" xfId="4" applyFont="1" applyBorder="1"/>
    <xf numFmtId="169" fontId="14" fillId="0" borderId="0" xfId="1" applyNumberFormat="1" applyFont="1" applyBorder="1" applyAlignment="1">
      <alignment horizontal="right"/>
    </xf>
    <xf numFmtId="0" fontId="14" fillId="0" borderId="4" xfId="4" applyFont="1" applyBorder="1"/>
    <xf numFmtId="0" fontId="14" fillId="0" borderId="2" xfId="4" applyFont="1" applyBorder="1"/>
    <xf numFmtId="167" fontId="14" fillId="0" borderId="2" xfId="2" applyNumberFormat="1" applyFont="1" applyFill="1" applyBorder="1" applyAlignment="1" applyProtection="1"/>
    <xf numFmtId="167" fontId="14" fillId="0" borderId="0" xfId="2" applyNumberFormat="1" applyFont="1" applyFill="1" applyBorder="1" applyAlignment="1" applyProtection="1"/>
    <xf numFmtId="167" fontId="14" fillId="0" borderId="3" xfId="2" applyNumberFormat="1" applyFont="1" applyFill="1" applyBorder="1" applyAlignment="1" applyProtection="1"/>
    <xf numFmtId="0" fontId="14" fillId="0" borderId="3" xfId="4" applyFont="1" applyBorder="1"/>
    <xf numFmtId="169" fontId="14" fillId="0" borderId="0" xfId="1" applyNumberFormat="1" applyFont="1" applyFill="1" applyBorder="1" applyAlignment="1" applyProtection="1"/>
    <xf numFmtId="167" fontId="14" fillId="0" borderId="6" xfId="4" applyNumberFormat="1" applyFont="1" applyBorder="1"/>
    <xf numFmtId="167" fontId="14" fillId="0" borderId="2" xfId="4" applyNumberFormat="1" applyFont="1" applyBorder="1"/>
    <xf numFmtId="167" fontId="14" fillId="0" borderId="0" xfId="4" applyNumberFormat="1" applyFont="1" applyBorder="1"/>
    <xf numFmtId="167" fontId="14" fillId="0" borderId="3" xfId="4" applyNumberFormat="1" applyFont="1" applyBorder="1"/>
    <xf numFmtId="9" fontId="14" fillId="0" borderId="0" xfId="3" applyFont="1"/>
    <xf numFmtId="0" fontId="17" fillId="0" borderId="0" xfId="0" applyFont="1"/>
    <xf numFmtId="0" fontId="13" fillId="0" borderId="1" xfId="0" applyFont="1" applyBorder="1"/>
    <xf numFmtId="0" fontId="14" fillId="0" borderId="12" xfId="4" applyFont="1" applyBorder="1"/>
    <xf numFmtId="167" fontId="14" fillId="0" borderId="13" xfId="2" applyNumberFormat="1" applyFont="1" applyFill="1" applyBorder="1" applyAlignment="1" applyProtection="1"/>
    <xf numFmtId="0" fontId="14" fillId="0" borderId="13" xfId="4" applyFont="1" applyBorder="1"/>
    <xf numFmtId="167" fontId="14" fillId="0" borderId="14" xfId="2" applyNumberFormat="1" applyFont="1" applyFill="1" applyBorder="1" applyAlignment="1" applyProtection="1"/>
    <xf numFmtId="167" fontId="14" fillId="0" borderId="15" xfId="2" applyNumberFormat="1" applyFont="1" applyFill="1" applyBorder="1" applyAlignment="1" applyProtection="1"/>
    <xf numFmtId="167" fontId="14" fillId="0" borderId="16" xfId="2" applyNumberFormat="1" applyFont="1" applyFill="1" applyBorder="1" applyAlignment="1" applyProtection="1"/>
    <xf numFmtId="0" fontId="14" fillId="0" borderId="17" xfId="4" applyFont="1" applyBorder="1"/>
    <xf numFmtId="167" fontId="13" fillId="0" borderId="18" xfId="2" applyNumberFormat="1" applyFont="1" applyBorder="1"/>
    <xf numFmtId="167" fontId="14" fillId="0" borderId="18" xfId="2" applyNumberFormat="1" applyFont="1" applyFill="1" applyBorder="1" applyAlignment="1" applyProtection="1"/>
    <xf numFmtId="0" fontId="14" fillId="0" borderId="18" xfId="4" applyFont="1" applyBorder="1"/>
    <xf numFmtId="169" fontId="14" fillId="0" borderId="18" xfId="1" applyNumberFormat="1" applyFont="1" applyFill="1" applyBorder="1" applyAlignment="1" applyProtection="1"/>
    <xf numFmtId="167" fontId="14" fillId="0" borderId="20" xfId="2" applyNumberFormat="1" applyFont="1" applyFill="1" applyBorder="1" applyAlignment="1" applyProtection="1"/>
    <xf numFmtId="0" fontId="14" fillId="0" borderId="20" xfId="4" applyFont="1" applyBorder="1"/>
    <xf numFmtId="167" fontId="14" fillId="0" borderId="21" xfId="2" applyNumberFormat="1" applyFont="1" applyFill="1" applyBorder="1" applyAlignment="1" applyProtection="1"/>
    <xf numFmtId="0" fontId="14" fillId="0" borderId="24" xfId="4" applyFont="1" applyBorder="1"/>
    <xf numFmtId="167" fontId="13" fillId="0" borderId="25" xfId="2" applyNumberFormat="1" applyFont="1" applyBorder="1"/>
    <xf numFmtId="167" fontId="14" fillId="0" borderId="25" xfId="2" applyNumberFormat="1" applyFont="1" applyFill="1" applyBorder="1" applyAlignment="1" applyProtection="1"/>
    <xf numFmtId="0" fontId="14" fillId="0" borderId="25" xfId="4" applyFont="1" applyBorder="1"/>
    <xf numFmtId="169" fontId="14" fillId="0" borderId="25" xfId="1" applyNumberFormat="1" applyFont="1" applyFill="1" applyBorder="1" applyAlignment="1" applyProtection="1"/>
    <xf numFmtId="167" fontId="14" fillId="0" borderId="27" xfId="4" applyNumberFormat="1" applyFont="1" applyBorder="1"/>
    <xf numFmtId="167" fontId="14" fillId="0" borderId="28" xfId="4" applyNumberFormat="1" applyFont="1" applyBorder="1"/>
    <xf numFmtId="171" fontId="13" fillId="0" borderId="25" xfId="2" applyNumberFormat="1" applyFont="1" applyBorder="1"/>
    <xf numFmtId="171" fontId="13" fillId="0" borderId="18" xfId="2" applyNumberFormat="1" applyFont="1" applyBorder="1"/>
    <xf numFmtId="44" fontId="13" fillId="0" borderId="25" xfId="2" applyFont="1" applyBorder="1"/>
    <xf numFmtId="44" fontId="13" fillId="0" borderId="18" xfId="2" applyFont="1" applyBorder="1"/>
    <xf numFmtId="9" fontId="13" fillId="0" borderId="25" xfId="3" applyFont="1" applyBorder="1"/>
    <xf numFmtId="9" fontId="13" fillId="0" borderId="18" xfId="3" applyFont="1" applyBorder="1"/>
    <xf numFmtId="169" fontId="14" fillId="0" borderId="25" xfId="1" applyNumberFormat="1" applyFont="1" applyBorder="1" applyAlignment="1">
      <alignment horizontal="right"/>
    </xf>
    <xf numFmtId="169" fontId="14" fillId="0" borderId="18" xfId="1" applyNumberFormat="1" applyFont="1" applyBorder="1" applyAlignment="1">
      <alignment horizontal="right"/>
    </xf>
    <xf numFmtId="169" fontId="13" fillId="0" borderId="25" xfId="1" applyNumberFormat="1" applyFont="1" applyBorder="1" applyAlignment="1">
      <alignment horizontal="right"/>
    </xf>
    <xf numFmtId="169" fontId="13" fillId="0" borderId="18" xfId="1" applyNumberFormat="1" applyFont="1" applyBorder="1" applyAlignment="1">
      <alignment horizontal="right"/>
    </xf>
    <xf numFmtId="164" fontId="13" fillId="0" borderId="26" xfId="1" applyNumberFormat="1" applyFont="1" applyBorder="1"/>
    <xf numFmtId="0" fontId="14" fillId="0" borderId="23" xfId="4" applyFont="1" applyBorder="1"/>
    <xf numFmtId="0" fontId="14" fillId="0" borderId="19" xfId="4" applyFont="1" applyBorder="1"/>
    <xf numFmtId="0" fontId="16" fillId="0" borderId="10" xfId="4" applyFont="1" applyBorder="1" applyAlignment="1">
      <alignment horizontal="centerContinuous" vertical="center"/>
    </xf>
    <xf numFmtId="0" fontId="16" fillId="0" borderId="22" xfId="4" applyFont="1" applyBorder="1" applyAlignment="1">
      <alignment horizontal="centerContinuous" vertical="center"/>
    </xf>
    <xf numFmtId="0" fontId="16" fillId="0" borderId="11" xfId="4" applyFont="1" applyBorder="1" applyAlignment="1">
      <alignment horizontal="centerContinuous" vertical="center"/>
    </xf>
    <xf numFmtId="0" fontId="14" fillId="0" borderId="26" xfId="4" applyFont="1" applyBorder="1"/>
    <xf numFmtId="171" fontId="14" fillId="0" borderId="25" xfId="2" applyNumberFormat="1" applyFont="1" applyFill="1" applyBorder="1" applyAlignment="1" applyProtection="1"/>
    <xf numFmtId="171" fontId="14" fillId="0" borderId="0" xfId="2" applyNumberFormat="1" applyFont="1" applyFill="1" applyBorder="1" applyAlignment="1" applyProtection="1"/>
    <xf numFmtId="171" fontId="14" fillId="0" borderId="18" xfId="2" applyNumberFormat="1" applyFont="1" applyFill="1" applyBorder="1" applyAlignment="1" applyProtection="1"/>
    <xf numFmtId="167" fontId="14" fillId="0" borderId="23" xfId="2" applyNumberFormat="1" applyFont="1" applyFill="1" applyBorder="1" applyAlignment="1" applyProtection="1"/>
    <xf numFmtId="167" fontId="14" fillId="0" borderId="13" xfId="4" applyNumberFormat="1" applyFont="1" applyBorder="1"/>
    <xf numFmtId="167" fontId="14" fillId="0" borderId="20" xfId="4" applyNumberFormat="1" applyFont="1" applyBorder="1"/>
    <xf numFmtId="167" fontId="14" fillId="0" borderId="29" xfId="4" applyNumberFormat="1" applyFont="1" applyBorder="1"/>
    <xf numFmtId="167" fontId="14" fillId="0" borderId="30" xfId="4" applyNumberFormat="1" applyFont="1" applyBorder="1"/>
    <xf numFmtId="167" fontId="14" fillId="0" borderId="31" xfId="4" applyNumberFormat="1" applyFont="1" applyBorder="1"/>
    <xf numFmtId="167" fontId="14" fillId="0" borderId="32" xfId="4" applyNumberFormat="1" applyFont="1" applyBorder="1"/>
    <xf numFmtId="167" fontId="14" fillId="0" borderId="33" xfId="4" applyNumberFormat="1" applyFont="1" applyBorder="1"/>
    <xf numFmtId="167" fontId="16" fillId="0" borderId="31" xfId="2" applyNumberFormat="1" applyFont="1" applyFill="1" applyBorder="1" applyAlignment="1" applyProtection="1"/>
    <xf numFmtId="167" fontId="14" fillId="0" borderId="30" xfId="2" applyNumberFormat="1" applyFont="1" applyFill="1" applyBorder="1" applyAlignment="1" applyProtection="1"/>
    <xf numFmtId="167" fontId="14" fillId="0" borderId="31" xfId="2" applyNumberFormat="1" applyFont="1" applyFill="1" applyBorder="1" applyAlignment="1" applyProtection="1"/>
    <xf numFmtId="167" fontId="14" fillId="0" borderId="32" xfId="2" applyNumberFormat="1" applyFont="1" applyFill="1" applyBorder="1" applyAlignment="1" applyProtection="1"/>
    <xf numFmtId="0" fontId="14" fillId="0" borderId="10" xfId="4" applyFont="1" applyBorder="1"/>
    <xf numFmtId="0" fontId="14" fillId="0" borderId="22" xfId="4" applyFont="1" applyBorder="1"/>
    <xf numFmtId="0" fontId="14" fillId="0" borderId="11" xfId="4" applyFont="1" applyBorder="1"/>
    <xf numFmtId="166" fontId="16" fillId="0" borderId="10" xfId="4" applyNumberFormat="1" applyFont="1" applyBorder="1" applyAlignment="1">
      <alignment horizontal="centerContinuous" vertical="center"/>
    </xf>
    <xf numFmtId="166" fontId="16" fillId="0" borderId="22" xfId="4" applyNumberFormat="1" applyFont="1" applyBorder="1" applyAlignment="1">
      <alignment horizontal="centerContinuous" vertical="center"/>
    </xf>
    <xf numFmtId="166" fontId="16" fillId="0" borderId="11" xfId="4" applyNumberFormat="1" applyFont="1" applyBorder="1" applyAlignment="1">
      <alignment horizontal="centerContinuous" vertical="center"/>
    </xf>
    <xf numFmtId="0" fontId="15" fillId="0" borderId="0" xfId="0" applyFont="1" applyBorder="1"/>
    <xf numFmtId="0" fontId="13" fillId="0" borderId="0" xfId="0" applyFont="1" applyBorder="1"/>
    <xf numFmtId="0" fontId="4" fillId="0" borderId="0" xfId="4"/>
    <xf numFmtId="0" fontId="0" fillId="0" borderId="19" xfId="0" applyBorder="1"/>
    <xf numFmtId="0" fontId="4" fillId="0" borderId="23" xfId="4" applyBorder="1"/>
    <xf numFmtId="165" fontId="2" fillId="0" borderId="23" xfId="3" applyNumberFormat="1" applyFill="1" applyBorder="1"/>
    <xf numFmtId="167" fontId="2" fillId="0" borderId="23" xfId="2" applyNumberFormat="1" applyFill="1" applyBorder="1"/>
    <xf numFmtId="167" fontId="2" fillId="0" borderId="23" xfId="2" applyNumberFormat="1" applyBorder="1"/>
    <xf numFmtId="0" fontId="0" fillId="0" borderId="18" xfId="0" applyBorder="1"/>
    <xf numFmtId="44" fontId="2" fillId="0" borderId="0" xfId="2" applyBorder="1"/>
    <xf numFmtId="167" fontId="2" fillId="0" borderId="0" xfId="2" applyNumberFormat="1" applyFill="1" applyBorder="1"/>
    <xf numFmtId="167" fontId="4" fillId="0" borderId="0" xfId="4" applyNumberFormat="1" applyFill="1" applyBorder="1"/>
    <xf numFmtId="165" fontId="2" fillId="0" borderId="0" xfId="3" applyNumberFormat="1" applyFill="1" applyBorder="1"/>
    <xf numFmtId="167" fontId="2" fillId="0" borderId="0" xfId="3" applyNumberFormat="1" applyFill="1" applyBorder="1"/>
    <xf numFmtId="167" fontId="2" fillId="0" borderId="1" xfId="3" applyNumberFormat="1" applyFill="1" applyBorder="1"/>
    <xf numFmtId="165" fontId="4" fillId="0" borderId="0" xfId="4" applyNumberFormat="1" applyFill="1" applyBorder="1"/>
    <xf numFmtId="0" fontId="4" fillId="0" borderId="0" xfId="4" applyFill="1" applyBorder="1"/>
    <xf numFmtId="9" fontId="2" fillId="0" borderId="25" xfId="3" applyBorder="1"/>
    <xf numFmtId="0" fontId="4" fillId="0" borderId="1" xfId="4" applyFill="1" applyBorder="1"/>
    <xf numFmtId="167" fontId="2" fillId="0" borderId="1" xfId="2" applyNumberFormat="1" applyFill="1" applyBorder="1"/>
    <xf numFmtId="0" fontId="4" fillId="0" borderId="0" xfId="4" applyBorder="1"/>
    <xf numFmtId="0" fontId="0" fillId="0" borderId="0" xfId="0" applyBorder="1"/>
    <xf numFmtId="167" fontId="2" fillId="0" borderId="0" xfId="2" applyNumberFormat="1" applyBorder="1"/>
    <xf numFmtId="0" fontId="0" fillId="0" borderId="25" xfId="0" applyBorder="1"/>
    <xf numFmtId="169" fontId="4" fillId="0" borderId="0" xfId="4" applyNumberFormat="1" applyBorder="1"/>
    <xf numFmtId="167" fontId="4" fillId="0" borderId="0" xfId="4" applyNumberFormat="1" applyBorder="1"/>
    <xf numFmtId="0" fontId="0" fillId="0" borderId="17" xfId="0" applyBorder="1"/>
    <xf numFmtId="0" fontId="4" fillId="0" borderId="12" xfId="4" applyBorder="1"/>
    <xf numFmtId="9" fontId="4" fillId="0" borderId="0" xfId="4" applyNumberFormat="1"/>
    <xf numFmtId="10" fontId="4" fillId="0" borderId="0" xfId="4" applyNumberFormat="1"/>
    <xf numFmtId="167" fontId="4" fillId="0" borderId="0" xfId="4" applyNumberFormat="1"/>
    <xf numFmtId="10" fontId="2" fillId="0" borderId="0" xfId="3" applyNumberFormat="1"/>
    <xf numFmtId="167" fontId="4" fillId="0" borderId="6" xfId="4" applyNumberFormat="1" applyBorder="1"/>
    <xf numFmtId="167" fontId="2" fillId="0" borderId="0" xfId="2" applyNumberFormat="1"/>
    <xf numFmtId="0" fontId="18" fillId="0" borderId="0" xfId="4" applyFont="1" applyBorder="1"/>
    <xf numFmtId="0" fontId="4" fillId="0" borderId="1" xfId="4" applyBorder="1"/>
    <xf numFmtId="0" fontId="18" fillId="0" borderId="0" xfId="4" applyFont="1"/>
    <xf numFmtId="167" fontId="4" fillId="0" borderId="33" xfId="2" applyNumberFormat="1" applyFont="1" applyFill="1" applyBorder="1" applyAlignment="1" applyProtection="1"/>
    <xf numFmtId="167" fontId="4" fillId="0" borderId="30" xfId="2" applyNumberFormat="1" applyFont="1" applyFill="1" applyBorder="1" applyAlignment="1" applyProtection="1"/>
    <xf numFmtId="167" fontId="4" fillId="0" borderId="31" xfId="2" applyNumberFormat="1" applyFont="1" applyFill="1" applyBorder="1" applyAlignment="1" applyProtection="1"/>
    <xf numFmtId="167" fontId="4" fillId="0" borderId="29" xfId="2" applyNumberFormat="1" applyFont="1" applyFill="1" applyBorder="1" applyAlignment="1" applyProtection="1"/>
    <xf numFmtId="167" fontId="4" fillId="0" borderId="21" xfId="2" applyNumberFormat="1" applyFont="1" applyFill="1" applyBorder="1" applyAlignment="1" applyProtection="1"/>
    <xf numFmtId="167" fontId="4" fillId="0" borderId="23" xfId="2" applyNumberFormat="1" applyFont="1" applyFill="1" applyBorder="1" applyAlignment="1" applyProtection="1"/>
    <xf numFmtId="167" fontId="4" fillId="0" borderId="15" xfId="2" applyNumberFormat="1" applyFont="1" applyFill="1" applyBorder="1" applyAlignment="1" applyProtection="1"/>
    <xf numFmtId="167" fontId="4" fillId="0" borderId="14" xfId="2" applyNumberFormat="1" applyFont="1" applyFill="1" applyBorder="1" applyAlignment="1" applyProtection="1"/>
    <xf numFmtId="167" fontId="4" fillId="0" borderId="20" xfId="2" applyNumberFormat="1" applyFont="1" applyFill="1" applyBorder="1" applyAlignment="1" applyProtection="1"/>
    <xf numFmtId="167" fontId="4" fillId="0" borderId="0" xfId="2" applyNumberFormat="1" applyFont="1" applyFill="1" applyBorder="1" applyAlignment="1" applyProtection="1"/>
    <xf numFmtId="167" fontId="4" fillId="0" borderId="2" xfId="2" applyNumberFormat="1" applyFont="1" applyFill="1" applyBorder="1" applyAlignment="1" applyProtection="1"/>
    <xf numFmtId="167" fontId="4" fillId="0" borderId="13" xfId="2" applyNumberFormat="1" applyFont="1" applyFill="1" applyBorder="1" applyAlignment="1" applyProtection="1"/>
    <xf numFmtId="9" fontId="4" fillId="0" borderId="0" xfId="3" applyFont="1"/>
    <xf numFmtId="167" fontId="4" fillId="0" borderId="34" xfId="2" applyNumberFormat="1" applyFont="1" applyFill="1" applyBorder="1" applyAlignment="1" applyProtection="1"/>
    <xf numFmtId="167" fontId="4" fillId="0" borderId="12" xfId="2" applyNumberFormat="1" applyFont="1" applyFill="1" applyBorder="1" applyAlignment="1" applyProtection="1"/>
    <xf numFmtId="167" fontId="4" fillId="0" borderId="35" xfId="2" applyNumberFormat="1" applyFont="1" applyFill="1" applyBorder="1" applyAlignment="1" applyProtection="1"/>
    <xf numFmtId="167" fontId="4" fillId="0" borderId="36" xfId="2" applyNumberFormat="1" applyFont="1" applyFill="1" applyBorder="1" applyAlignment="1" applyProtection="1"/>
    <xf numFmtId="167" fontId="19" fillId="0" borderId="11" xfId="2" applyNumberFormat="1" applyFont="1" applyFill="1" applyBorder="1" applyAlignment="1" applyProtection="1">
      <alignment horizontal="centerContinuous" vertical="center"/>
    </xf>
    <xf numFmtId="167" fontId="19" fillId="0" borderId="22" xfId="2" applyNumberFormat="1" applyFont="1" applyFill="1" applyBorder="1" applyAlignment="1" applyProtection="1">
      <alignment horizontal="centerContinuous" vertical="center"/>
    </xf>
    <xf numFmtId="167" fontId="19" fillId="0" borderId="10" xfId="2" applyNumberFormat="1" applyFont="1" applyFill="1" applyBorder="1" applyAlignment="1" applyProtection="1">
      <alignment horizontal="centerContinuous" vertical="center"/>
    </xf>
    <xf numFmtId="167" fontId="4" fillId="0" borderId="37" xfId="4" applyNumberFormat="1" applyBorder="1"/>
    <xf numFmtId="167" fontId="4" fillId="0" borderId="38" xfId="4" applyNumberFormat="1" applyBorder="1"/>
    <xf numFmtId="167" fontId="4" fillId="0" borderId="39" xfId="4" applyNumberFormat="1" applyBorder="1"/>
    <xf numFmtId="167" fontId="4" fillId="0" borderId="40" xfId="4" applyNumberFormat="1" applyBorder="1"/>
    <xf numFmtId="0" fontId="4" fillId="0" borderId="19" xfId="4" applyBorder="1"/>
    <xf numFmtId="0" fontId="4" fillId="0" borderId="26" xfId="4" applyBorder="1"/>
    <xf numFmtId="167" fontId="4" fillId="0" borderId="18" xfId="2" applyNumberFormat="1" applyFont="1" applyFill="1" applyBorder="1" applyAlignment="1" applyProtection="1"/>
    <xf numFmtId="167" fontId="4" fillId="0" borderId="25" xfId="2" applyNumberFormat="1" applyFont="1" applyFill="1" applyBorder="1" applyAlignment="1" applyProtection="1"/>
    <xf numFmtId="167" fontId="2" fillId="0" borderId="18" xfId="2" applyNumberFormat="1" applyBorder="1"/>
    <xf numFmtId="167" fontId="2" fillId="0" borderId="25" xfId="2" applyNumberFormat="1" applyBorder="1"/>
    <xf numFmtId="0" fontId="4" fillId="0" borderId="18" xfId="4" applyBorder="1"/>
    <xf numFmtId="0" fontId="4" fillId="0" borderId="25" xfId="4" applyBorder="1"/>
    <xf numFmtId="171" fontId="2" fillId="0" borderId="18" xfId="2" applyNumberFormat="1" applyBorder="1"/>
    <xf numFmtId="171" fontId="2" fillId="0" borderId="0" xfId="2" applyNumberFormat="1" applyBorder="1"/>
    <xf numFmtId="171" fontId="4" fillId="0" borderId="18" xfId="2" applyNumberFormat="1" applyFont="1" applyFill="1" applyBorder="1" applyAlignment="1" applyProtection="1"/>
    <xf numFmtId="171" fontId="4" fillId="0" borderId="0" xfId="2" applyNumberFormat="1" applyFont="1" applyFill="1" applyBorder="1" applyAlignment="1" applyProtection="1"/>
    <xf numFmtId="171" fontId="4" fillId="0" borderId="25" xfId="2" applyNumberFormat="1" applyFont="1" applyFill="1" applyBorder="1" applyAlignment="1" applyProtection="1"/>
    <xf numFmtId="0" fontId="18" fillId="0" borderId="11" xfId="4" applyFont="1" applyBorder="1" applyAlignment="1">
      <alignment horizontal="centerContinuous" vertical="center"/>
    </xf>
    <xf numFmtId="0" fontId="18" fillId="0" borderId="22" xfId="4" applyFont="1" applyBorder="1" applyAlignment="1">
      <alignment horizontal="centerContinuous" vertical="center"/>
    </xf>
    <xf numFmtId="0" fontId="18" fillId="0" borderId="10" xfId="4" applyFont="1" applyBorder="1" applyAlignment="1">
      <alignment horizontal="centerContinuous" vertical="center"/>
    </xf>
    <xf numFmtId="167" fontId="4" fillId="0" borderId="41" xfId="4" applyNumberFormat="1" applyBorder="1"/>
    <xf numFmtId="167" fontId="4" fillId="0" borderId="22" xfId="4" applyNumberFormat="1" applyBorder="1"/>
    <xf numFmtId="167" fontId="4" fillId="0" borderId="42" xfId="4" applyNumberFormat="1" applyBorder="1"/>
    <xf numFmtId="167" fontId="4" fillId="0" borderId="43" xfId="4" applyNumberFormat="1" applyBorder="1"/>
    <xf numFmtId="167" fontId="4" fillId="0" borderId="19" xfId="2" applyNumberFormat="1" applyFont="1" applyFill="1" applyBorder="1" applyAlignment="1" applyProtection="1"/>
    <xf numFmtId="167" fontId="4" fillId="0" borderId="26" xfId="2" applyNumberFormat="1" applyFont="1" applyFill="1" applyBorder="1" applyAlignment="1" applyProtection="1"/>
    <xf numFmtId="0" fontId="4" fillId="0" borderId="0" xfId="4" applyFont="1"/>
    <xf numFmtId="9" fontId="2" fillId="0" borderId="0" xfId="3"/>
    <xf numFmtId="165" fontId="2" fillId="0" borderId="0" xfId="3" applyNumberFormat="1" applyFill="1"/>
    <xf numFmtId="171" fontId="2" fillId="0" borderId="25" xfId="2" applyNumberFormat="1" applyBorder="1"/>
    <xf numFmtId="9" fontId="0" fillId="0" borderId="0" xfId="3" applyFont="1"/>
    <xf numFmtId="10" fontId="2" fillId="0" borderId="0" xfId="3" applyNumberFormat="1" applyFill="1"/>
    <xf numFmtId="168" fontId="4" fillId="0" borderId="0" xfId="4" applyNumberFormat="1"/>
    <xf numFmtId="0" fontId="4" fillId="0" borderId="17" xfId="4" applyBorder="1"/>
    <xf numFmtId="0" fontId="4" fillId="0" borderId="24" xfId="4" applyBorder="1"/>
    <xf numFmtId="166" fontId="18" fillId="0" borderId="11" xfId="4" applyNumberFormat="1" applyFont="1" applyBorder="1" applyAlignment="1">
      <alignment horizontal="centerContinuous" vertical="center"/>
    </xf>
    <xf numFmtId="166" fontId="18" fillId="0" borderId="22" xfId="4" applyNumberFormat="1" applyFont="1" applyBorder="1" applyAlignment="1">
      <alignment horizontal="centerContinuous" vertical="center"/>
    </xf>
    <xf numFmtId="166" fontId="18" fillId="0" borderId="10" xfId="4" applyNumberFormat="1" applyFont="1" applyBorder="1" applyAlignment="1">
      <alignment horizontal="centerContinuous" vertical="center"/>
    </xf>
    <xf numFmtId="0" fontId="4" fillId="0" borderId="4" xfId="4" applyBorder="1"/>
    <xf numFmtId="164" fontId="2" fillId="0" borderId="25" xfId="1" applyNumberFormat="1" applyBorder="1"/>
    <xf numFmtId="0" fontId="4" fillId="0" borderId="44" xfId="4" applyBorder="1"/>
    <xf numFmtId="169" fontId="4" fillId="0" borderId="18" xfId="1" applyNumberFormat="1" applyFont="1" applyBorder="1" applyAlignment="1">
      <alignment horizontal="right"/>
    </xf>
    <xf numFmtId="169" fontId="4" fillId="0" borderId="0" xfId="1" applyNumberFormat="1" applyFont="1" applyBorder="1" applyAlignment="1">
      <alignment horizontal="right"/>
    </xf>
    <xf numFmtId="169" fontId="2" fillId="0" borderId="25" xfId="1" applyNumberFormat="1" applyBorder="1" applyAlignment="1">
      <alignment horizontal="right"/>
    </xf>
    <xf numFmtId="169" fontId="2" fillId="0" borderId="18" xfId="1" applyNumberFormat="1" applyBorder="1" applyAlignment="1">
      <alignment horizontal="right"/>
    </xf>
    <xf numFmtId="169" fontId="2" fillId="0" borderId="0" xfId="1" applyNumberFormat="1" applyBorder="1" applyAlignment="1">
      <alignment horizontal="right"/>
    </xf>
    <xf numFmtId="169" fontId="4" fillId="0" borderId="25" xfId="1" applyNumberFormat="1" applyFont="1" applyBorder="1" applyAlignment="1">
      <alignment horizontal="right"/>
    </xf>
    <xf numFmtId="165" fontId="2" fillId="0" borderId="0" xfId="3" applyNumberFormat="1"/>
    <xf numFmtId="44" fontId="2" fillId="0" borderId="18" xfId="2" applyBorder="1"/>
    <xf numFmtId="44" fontId="2" fillId="0" borderId="25" xfId="2" applyBorder="1"/>
    <xf numFmtId="9" fontId="2" fillId="0" borderId="18" xfId="3" applyBorder="1"/>
    <xf numFmtId="9" fontId="2" fillId="0" borderId="0" xfId="3" applyBorder="1"/>
    <xf numFmtId="169" fontId="2" fillId="0" borderId="18" xfId="1" applyNumberFormat="1" applyBorder="1"/>
    <xf numFmtId="169" fontId="2" fillId="0" borderId="0" xfId="1" applyNumberFormat="1" applyBorder="1"/>
    <xf numFmtId="169" fontId="2" fillId="0" borderId="25" xfId="1" applyNumberFormat="1" applyBorder="1"/>
    <xf numFmtId="0" fontId="4" fillId="0" borderId="0" xfId="4" applyAlignment="1">
      <alignment horizontal="left"/>
    </xf>
    <xf numFmtId="0" fontId="4" fillId="0" borderId="0" xfId="4" applyAlignment="1">
      <alignment horizontal="left" vertical="center"/>
    </xf>
    <xf numFmtId="171" fontId="4" fillId="0" borderId="0" xfId="2" applyNumberFormat="1" applyFont="1"/>
    <xf numFmtId="0" fontId="20" fillId="0" borderId="0" xfId="0" applyFont="1" applyBorder="1"/>
    <xf numFmtId="0" fontId="0" fillId="0" borderId="23" xfId="0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15" fillId="0" borderId="23" xfId="0" applyFont="1" applyBorder="1"/>
    <xf numFmtId="0" fontId="13" fillId="0" borderId="23" xfId="0" applyFont="1" applyBorder="1"/>
    <xf numFmtId="169" fontId="13" fillId="0" borderId="25" xfId="1" applyNumberFormat="1" applyFont="1" applyBorder="1"/>
    <xf numFmtId="169" fontId="13" fillId="0" borderId="0" xfId="1" applyNumberFormat="1" applyFont="1" applyBorder="1"/>
    <xf numFmtId="169" fontId="13" fillId="0" borderId="18" xfId="1" applyNumberFormat="1" applyFont="1" applyBorder="1"/>
    <xf numFmtId="166" fontId="16" fillId="0" borderId="43" xfId="4" applyNumberFormat="1" applyFont="1" applyBorder="1" applyAlignment="1">
      <alignment horizontal="centerContinuous" vertical="center"/>
    </xf>
    <xf numFmtId="166" fontId="16" fillId="0" borderId="42" xfId="4" applyNumberFormat="1" applyFont="1" applyBorder="1" applyAlignment="1">
      <alignment horizontal="centerContinuous" vertical="center"/>
    </xf>
    <xf numFmtId="166" fontId="16" fillId="0" borderId="41" xfId="4" applyNumberFormat="1" applyFont="1" applyBorder="1" applyAlignment="1">
      <alignment horizontal="centerContinuous" vertical="center"/>
    </xf>
    <xf numFmtId="171" fontId="13" fillId="0" borderId="0" xfId="2" applyNumberFormat="1" applyFont="1" applyFill="1"/>
    <xf numFmtId="167" fontId="14" fillId="0" borderId="45" xfId="2" applyNumberFormat="1" applyFont="1" applyFill="1" applyBorder="1" applyAlignment="1" applyProtection="1"/>
    <xf numFmtId="167" fontId="14" fillId="0" borderId="1" xfId="2" applyNumberFormat="1" applyFont="1" applyFill="1" applyBorder="1" applyAlignment="1" applyProtection="1"/>
    <xf numFmtId="167" fontId="14" fillId="0" borderId="44" xfId="2" applyNumberFormat="1" applyFont="1" applyFill="1" applyBorder="1" applyAlignment="1" applyProtection="1"/>
    <xf numFmtId="167" fontId="14" fillId="0" borderId="46" xfId="4" applyNumberFormat="1" applyFont="1" applyBorder="1"/>
    <xf numFmtId="167" fontId="14" fillId="0" borderId="47" xfId="4" applyNumberFormat="1" applyFont="1" applyBorder="1"/>
    <xf numFmtId="167" fontId="14" fillId="0" borderId="48" xfId="4" applyNumberFormat="1" applyFont="1" applyBorder="1"/>
    <xf numFmtId="167" fontId="14" fillId="0" borderId="49" xfId="4" applyNumberFormat="1" applyFont="1" applyBorder="1"/>
    <xf numFmtId="169" fontId="14" fillId="0" borderId="13" xfId="1" applyNumberFormat="1" applyFont="1" applyFill="1" applyBorder="1" applyAlignment="1" applyProtection="1"/>
    <xf numFmtId="167" fontId="13" fillId="0" borderId="13" xfId="2" applyNumberFormat="1" applyFont="1" applyBorder="1"/>
    <xf numFmtId="167" fontId="13" fillId="0" borderId="2" xfId="2" applyNumberFormat="1" applyFont="1" applyBorder="1"/>
    <xf numFmtId="44" fontId="13" fillId="0" borderId="3" xfId="2" applyFont="1" applyBorder="1"/>
    <xf numFmtId="44" fontId="13" fillId="0" borderId="2" xfId="2" applyFont="1" applyBorder="1"/>
    <xf numFmtId="44" fontId="13" fillId="0" borderId="20" xfId="2" applyFont="1" applyBorder="1"/>
    <xf numFmtId="167" fontId="13" fillId="0" borderId="3" xfId="2" applyNumberFormat="1" applyFont="1" applyBorder="1"/>
    <xf numFmtId="167" fontId="13" fillId="0" borderId="20" xfId="2" applyNumberFormat="1" applyFont="1" applyBorder="1"/>
    <xf numFmtId="167" fontId="14" fillId="0" borderId="46" xfId="2" applyNumberFormat="1" applyFont="1" applyFill="1" applyBorder="1" applyAlignment="1" applyProtection="1"/>
    <xf numFmtId="167" fontId="14" fillId="0" borderId="6" xfId="2" applyNumberFormat="1" applyFont="1" applyFill="1" applyBorder="1" applyAlignment="1" applyProtection="1"/>
    <xf numFmtId="167" fontId="14" fillId="0" borderId="47" xfId="2" applyNumberFormat="1" applyFont="1" applyFill="1" applyBorder="1" applyAlignment="1" applyProtection="1"/>
    <xf numFmtId="167" fontId="14" fillId="0" borderId="48" xfId="2" applyNumberFormat="1" applyFont="1" applyFill="1" applyBorder="1" applyAlignment="1" applyProtection="1"/>
    <xf numFmtId="167" fontId="14" fillId="0" borderId="49" xfId="2" applyNumberFormat="1" applyFont="1" applyFill="1" applyBorder="1" applyAlignment="1" applyProtection="1"/>
    <xf numFmtId="0" fontId="14" fillId="0" borderId="1" xfId="4" applyFont="1" applyBorder="1"/>
    <xf numFmtId="0" fontId="13" fillId="0" borderId="25" xfId="0" applyFont="1" applyBorder="1"/>
    <xf numFmtId="167" fontId="13" fillId="0" borderId="0" xfId="0" applyNumberFormat="1" applyFont="1" applyBorder="1"/>
    <xf numFmtId="167" fontId="13" fillId="0" borderId="18" xfId="0" applyNumberFormat="1" applyFont="1" applyBorder="1"/>
    <xf numFmtId="169" fontId="13" fillId="0" borderId="0" xfId="0" applyNumberFormat="1" applyFont="1" applyBorder="1"/>
    <xf numFmtId="169" fontId="13" fillId="0" borderId="18" xfId="0" applyNumberFormat="1" applyFont="1" applyBorder="1"/>
    <xf numFmtId="43" fontId="13" fillId="0" borderId="0" xfId="0" applyNumberFormat="1" applyFont="1" applyBorder="1"/>
    <xf numFmtId="43" fontId="13" fillId="0" borderId="18" xfId="0" applyNumberFormat="1" applyFont="1" applyBorder="1"/>
    <xf numFmtId="0" fontId="13" fillId="0" borderId="18" xfId="0" applyFont="1" applyBorder="1"/>
    <xf numFmtId="167" fontId="13" fillId="0" borderId="25" xfId="0" applyNumberFormat="1" applyFont="1" applyBorder="1"/>
    <xf numFmtId="171" fontId="13" fillId="0" borderId="27" xfId="2" applyNumberFormat="1" applyFont="1" applyBorder="1"/>
    <xf numFmtId="171" fontId="13" fillId="0" borderId="6" xfId="2" applyNumberFormat="1" applyFont="1" applyBorder="1"/>
    <xf numFmtId="171" fontId="13" fillId="0" borderId="28" xfId="2" applyNumberFormat="1" applyFont="1" applyBorder="1"/>
    <xf numFmtId="169" fontId="15" fillId="0" borderId="0" xfId="1" applyNumberFormat="1" applyFont="1"/>
    <xf numFmtId="169" fontId="13" fillId="0" borderId="0" xfId="1" applyNumberFormat="1" applyFont="1"/>
    <xf numFmtId="169" fontId="13" fillId="0" borderId="10" xfId="1" applyNumberFormat="1" applyFont="1" applyBorder="1"/>
    <xf numFmtId="169" fontId="13" fillId="0" borderId="22" xfId="1" applyNumberFormat="1" applyFont="1" applyBorder="1"/>
    <xf numFmtId="169" fontId="13" fillId="0" borderId="11" xfId="1" applyNumberFormat="1" applyFont="1" applyBorder="1"/>
    <xf numFmtId="171" fontId="13" fillId="0" borderId="24" xfId="2" applyNumberFormat="1" applyFont="1" applyBorder="1"/>
    <xf numFmtId="171" fontId="13" fillId="0" borderId="12" xfId="2" applyNumberFormat="1" applyFont="1" applyBorder="1"/>
    <xf numFmtId="171" fontId="13" fillId="0" borderId="17" xfId="2" applyNumberFormat="1" applyFont="1" applyBorder="1"/>
    <xf numFmtId="171" fontId="13" fillId="0" borderId="26" xfId="2" applyNumberFormat="1" applyFont="1" applyBorder="1"/>
    <xf numFmtId="171" fontId="13" fillId="0" borderId="23" xfId="2" applyNumberFormat="1" applyFont="1" applyBorder="1"/>
    <xf numFmtId="171" fontId="13" fillId="0" borderId="19" xfId="2" applyNumberFormat="1" applyFont="1" applyBorder="1"/>
    <xf numFmtId="169" fontId="13" fillId="0" borderId="23" xfId="1" applyNumberFormat="1" applyFont="1" applyBorder="1"/>
    <xf numFmtId="9" fontId="13" fillId="0" borderId="23" xfId="3" applyFont="1" applyBorder="1"/>
    <xf numFmtId="0" fontId="13" fillId="0" borderId="26" xfId="0" applyFont="1" applyBorder="1"/>
    <xf numFmtId="0" fontId="13" fillId="0" borderId="19" xfId="0" applyFont="1" applyBorder="1"/>
    <xf numFmtId="169" fontId="15" fillId="0" borderId="1" xfId="1" applyNumberFormat="1" applyFont="1" applyBorder="1" applyAlignment="1">
      <alignment horizontal="centerContinuous" vertical="center"/>
    </xf>
    <xf numFmtId="171" fontId="13" fillId="0" borderId="7" xfId="2" applyNumberFormat="1" applyFont="1" applyFill="1" applyBorder="1"/>
    <xf numFmtId="169" fontId="14" fillId="0" borderId="0" xfId="1" applyNumberFormat="1" applyFont="1"/>
    <xf numFmtId="169" fontId="4" fillId="0" borderId="0" xfId="1" applyNumberFormat="1" applyFont="1" applyBorder="1"/>
    <xf numFmtId="0" fontId="0" fillId="0" borderId="24" xfId="0" applyBorder="1"/>
    <xf numFmtId="0" fontId="0" fillId="0" borderId="26" xfId="0" applyBorder="1"/>
    <xf numFmtId="167" fontId="0" fillId="0" borderId="25" xfId="0" applyNumberFormat="1" applyBorder="1"/>
    <xf numFmtId="167" fontId="0" fillId="0" borderId="0" xfId="2" applyNumberFormat="1" applyFont="1" applyFill="1" applyBorder="1"/>
    <xf numFmtId="167" fontId="3" fillId="0" borderId="12" xfId="2" applyNumberFormat="1" applyFont="1" applyBorder="1" applyAlignment="1">
      <alignment horizontal="centerContinuous" vertical="center"/>
    </xf>
    <xf numFmtId="0" fontId="19" fillId="0" borderId="12" xfId="4" applyFont="1" applyBorder="1" applyAlignment="1">
      <alignment horizontal="centerContinuous" vertical="center"/>
    </xf>
  </cellXfs>
  <cellStyles count="28">
    <cellStyle name="Comma" xfId="1" builtinId="3"/>
    <cellStyle name="Comma 2" xfId="26"/>
    <cellStyle name="Currency" xfId="2" builtinId="4"/>
    <cellStyle name="Excel Built-in Normal" xfId="4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  <cellStyle name="Normal 2" xfId="25"/>
    <cellStyle name="Percent" xfId="3" builtinId="5"/>
    <cellStyle name="Percent 2" xfId="2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dan/Desktop/Winter%202014/B401/Group%20Project/OG%20Yummy%20Cupcak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dan/Desktop/Winter%202014/B401/WACC/WhaleysResor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anda-raegodi/Downloads/Yummy%20Cupcakes%20Forecast%20-%2010yr%20(5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anda-raegodi/Downloads/OG%20Yummy%20Cupcak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anda90/AppData/Local/Temp/Number%204%20-%20Different%20Cashflow%20Scenari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dan/Desktop/Winter%202014/B401/OG%20Yummy%20Cupcak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swer"/>
      <sheetName val="Mortgage"/>
      <sheetName val="Sheet1"/>
      <sheetName val="Sheet2"/>
      <sheetName val="Sheet3"/>
      <sheetName val="K"/>
    </sheetNames>
    <sheetDataSet>
      <sheetData sheetId="0"/>
      <sheetData sheetId="1">
        <row r="13">
          <cell r="F13">
            <v>935984.02921710885</v>
          </cell>
        </row>
        <row r="27">
          <cell r="F27">
            <v>921250.9747683102</v>
          </cell>
        </row>
        <row r="41">
          <cell r="F41">
            <v>905764.14929231594</v>
          </cell>
        </row>
        <row r="55">
          <cell r="F55">
            <v>889484.9884328068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swer"/>
      <sheetName val="Mortgage"/>
      <sheetName val="Cost of Capital Labor Division"/>
    </sheetNames>
    <sheetDataSet>
      <sheetData sheetId="0">
        <row r="11">
          <cell r="D11">
            <v>0.05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"/>
      <sheetName val="Mortgage"/>
      <sheetName val="Cost of Capital Labor Division"/>
      <sheetName val="Bankruptcy"/>
      <sheetName val="Sheet2"/>
    </sheetNames>
    <sheetDataSet>
      <sheetData sheetId="0" refreshError="1"/>
      <sheetData sheetId="1" refreshError="1">
        <row r="2">
          <cell r="I2">
            <v>0.05</v>
          </cell>
        </row>
        <row r="15">
          <cell r="D15">
            <v>47181.694240492783</v>
          </cell>
        </row>
        <row r="31">
          <cell r="D31">
            <v>46464.610574585146</v>
          </cell>
        </row>
        <row r="46">
          <cell r="D46">
            <v>45710.839547389696</v>
          </cell>
        </row>
        <row r="61">
          <cell r="D61">
            <v>44918.504163874662</v>
          </cell>
        </row>
        <row r="75">
          <cell r="F75">
            <v>872372.95480780327</v>
          </cell>
        </row>
        <row r="76">
          <cell r="D76">
            <v>44085.631398380152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swer"/>
      <sheetName val="Mortgage"/>
      <sheetName val="Sheet1"/>
      <sheetName val="Sheet2"/>
      <sheetName val="Sheet3"/>
      <sheetName val="K"/>
    </sheetNames>
    <sheetDataSet>
      <sheetData sheetId="0" refreshError="1"/>
      <sheetData sheetId="1" refreshError="1">
        <row r="13">
          <cell r="F13">
            <v>935984.02921710885</v>
          </cell>
        </row>
        <row r="27">
          <cell r="F27">
            <v>921250.9747683102</v>
          </cell>
        </row>
        <row r="41">
          <cell r="F41">
            <v>905764.14929231594</v>
          </cell>
        </row>
        <row r="55">
          <cell r="F55">
            <v>889484.9884328068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"/>
      <sheetName val="Mortgage"/>
      <sheetName val="Cost of Capital Labor Division"/>
      <sheetName val="Forecast 2"/>
      <sheetName val="Cost of Capital Labor Divis 2"/>
      <sheetName val="Forecast 3"/>
      <sheetName val="Cost of Capital Labor Divis 3"/>
      <sheetName val="Sheet1"/>
    </sheetNames>
    <sheetDataSet>
      <sheetData sheetId="0"/>
      <sheetData sheetId="1">
        <row r="15">
          <cell r="D15">
            <v>47181.694240492783</v>
          </cell>
        </row>
        <row r="31">
          <cell r="D31">
            <v>46464.610574585146</v>
          </cell>
        </row>
        <row r="46">
          <cell r="D46">
            <v>45710.839547389696</v>
          </cell>
        </row>
        <row r="61">
          <cell r="D61">
            <v>44918.504163874662</v>
          </cell>
        </row>
        <row r="75">
          <cell r="F75">
            <v>872372.95480780327</v>
          </cell>
        </row>
        <row r="76">
          <cell r="D76">
            <v>44085.631398380152</v>
          </cell>
        </row>
        <row r="91">
          <cell r="F91">
            <v>854385.43706592836</v>
          </cell>
        </row>
        <row r="92">
          <cell r="D92">
            <v>43210.147281508929</v>
          </cell>
        </row>
        <row r="107">
          <cell r="F107">
            <v>835477.64377819758</v>
          </cell>
        </row>
        <row r="108">
          <cell r="D108">
            <v>42289.871735653265</v>
          </cell>
        </row>
        <row r="123">
          <cell r="F123">
            <v>815602.49190111109</v>
          </cell>
        </row>
        <row r="124">
          <cell r="D124">
            <v>41322.51314629746</v>
          </cell>
        </row>
        <row r="139">
          <cell r="F139">
            <v>794710.4895333054</v>
          </cell>
        </row>
        <row r="140">
          <cell r="D140">
            <v>40305.662655578031</v>
          </cell>
        </row>
        <row r="155">
          <cell r="F155">
            <v>772749.6126738129</v>
          </cell>
        </row>
        <row r="156">
          <cell r="D156">
            <v>39236.788163891426</v>
          </cell>
        </row>
      </sheetData>
      <sheetData sheetId="2">
        <row r="30">
          <cell r="B30">
            <v>3.8211490682146146E-2</v>
          </cell>
        </row>
      </sheetData>
      <sheetData sheetId="3">
        <row r="101">
          <cell r="C101">
            <v>1086196.9579066182</v>
          </cell>
        </row>
      </sheetData>
      <sheetData sheetId="4"/>
      <sheetData sheetId="5">
        <row r="101">
          <cell r="C101">
            <v>204984.08720016788</v>
          </cell>
        </row>
      </sheetData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swer"/>
      <sheetName val="Mortgage"/>
      <sheetName val="Sheet1"/>
      <sheetName val="Sheet2"/>
      <sheetName val="Sheet3"/>
      <sheetName val="K"/>
    </sheetNames>
    <sheetDataSet>
      <sheetData sheetId="0"/>
      <sheetData sheetId="1">
        <row r="13">
          <cell r="F13">
            <v>935984.02921710885</v>
          </cell>
        </row>
        <row r="27">
          <cell r="F27">
            <v>921250.9747683102</v>
          </cell>
        </row>
        <row r="41">
          <cell r="F41">
            <v>905764.14929231594</v>
          </cell>
        </row>
        <row r="55">
          <cell r="F55">
            <v>889484.9884328068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03"/>
  <sheetViews>
    <sheetView tabSelected="1" view="pageBreakPreview" topLeftCell="A37" zoomScale="80" zoomScaleNormal="80" zoomScaleSheetLayoutView="80" workbookViewId="0">
      <selection activeCell="L110" sqref="L110"/>
    </sheetView>
  </sheetViews>
  <sheetFormatPr defaultColWidth="11" defaultRowHeight="15.75" x14ac:dyDescent="0.25"/>
  <cols>
    <col min="1" max="1" width="5.5" style="37" customWidth="1"/>
    <col min="2" max="2" width="39.25" style="37" bestFit="1" customWidth="1"/>
    <col min="3" max="3" width="19.375" style="37" customWidth="1"/>
    <col min="4" max="5" width="13.5" style="37" bestFit="1" customWidth="1"/>
    <col min="6" max="6" width="13" style="37" bestFit="1" customWidth="1"/>
    <col min="7" max="7" width="12.625" style="37" bestFit="1" customWidth="1"/>
    <col min="8" max="13" width="13.5" style="37" bestFit="1" customWidth="1"/>
    <col min="14" max="14" width="12" style="37" bestFit="1" customWidth="1"/>
    <col min="15" max="15" width="13.625" style="37" customWidth="1"/>
    <col min="16" max="16384" width="11" style="37"/>
  </cols>
  <sheetData>
    <row r="1" spans="1:19" x14ac:dyDescent="0.25">
      <c r="A1" s="57" t="s">
        <v>90</v>
      </c>
      <c r="B1" s="57"/>
      <c r="C1" s="57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9" x14ac:dyDescent="0.25">
      <c r="A2" s="136"/>
      <c r="B2" s="136"/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9" x14ac:dyDescent="0.25">
      <c r="A3" s="5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x14ac:dyDescent="0.25">
      <c r="A4" s="58"/>
      <c r="B4" s="38" t="s">
        <v>108</v>
      </c>
      <c r="C4" s="38">
        <v>0.85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19" x14ac:dyDescent="0.25">
      <c r="A5" s="58"/>
      <c r="B5" s="38" t="s">
        <v>1</v>
      </c>
      <c r="C5" s="47">
        <v>0.75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x14ac:dyDescent="0.25">
      <c r="A6" s="58"/>
      <c r="B6" s="38" t="s">
        <v>2</v>
      </c>
      <c r="C6" s="47">
        <v>0.25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19" ht="16.5" thickBot="1" x14ac:dyDescent="0.3">
      <c r="A7" s="58"/>
      <c r="B7" s="38" t="s">
        <v>3</v>
      </c>
      <c r="C7" s="313">
        <v>280541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</row>
    <row r="8" spans="1:19" ht="16.5" thickBot="1" x14ac:dyDescent="0.3">
      <c r="A8" s="60"/>
      <c r="B8" s="60"/>
      <c r="C8" s="60"/>
      <c r="D8" s="111" t="s">
        <v>4</v>
      </c>
      <c r="E8" s="112" t="s">
        <v>5</v>
      </c>
      <c r="F8" s="112" t="s">
        <v>6</v>
      </c>
      <c r="G8" s="112" t="s">
        <v>7</v>
      </c>
      <c r="H8" s="112" t="s">
        <v>84</v>
      </c>
      <c r="I8" s="112" t="s">
        <v>85</v>
      </c>
      <c r="J8" s="112" t="s">
        <v>86</v>
      </c>
      <c r="K8" s="112" t="s">
        <v>87</v>
      </c>
      <c r="L8" s="112" t="s">
        <v>88</v>
      </c>
      <c r="M8" s="113" t="s">
        <v>89</v>
      </c>
      <c r="N8" s="38"/>
      <c r="O8" s="38"/>
      <c r="P8" s="38"/>
      <c r="Q8" s="38"/>
      <c r="R8" s="38"/>
      <c r="S8" s="38"/>
    </row>
    <row r="9" spans="1:19" x14ac:dyDescent="0.25">
      <c r="A9" s="61" t="s">
        <v>8</v>
      </c>
      <c r="B9" s="60"/>
      <c r="C9" s="60"/>
      <c r="D9" s="91"/>
      <c r="E9" s="77"/>
      <c r="F9" s="77"/>
      <c r="G9" s="77"/>
      <c r="H9" s="77"/>
      <c r="I9" s="77"/>
      <c r="J9" s="77"/>
      <c r="K9" s="77"/>
      <c r="L9" s="77"/>
      <c r="M9" s="83"/>
      <c r="N9" s="38"/>
      <c r="O9" s="38"/>
      <c r="P9" s="38"/>
      <c r="Q9" s="38"/>
      <c r="R9" s="38"/>
      <c r="S9" s="38"/>
    </row>
    <row r="10" spans="1:19" x14ac:dyDescent="0.25">
      <c r="A10" s="60" t="s">
        <v>9</v>
      </c>
      <c r="B10" s="60"/>
      <c r="C10" s="60"/>
      <c r="D10" s="256">
        <f>C7*C5</f>
        <v>210405.75</v>
      </c>
      <c r="E10" s="257">
        <f>(1+$N10)*D10</f>
        <v>216191.90812500002</v>
      </c>
      <c r="F10" s="257">
        <f t="shared" ref="E10:G13" si="0">(1+$N10)*E10</f>
        <v>222137.18559843753</v>
      </c>
      <c r="G10" s="257">
        <f t="shared" si="0"/>
        <v>228245.95820239457</v>
      </c>
      <c r="H10" s="257">
        <f t="shared" ref="H10:M10" si="1">(1+$N10)*G10</f>
        <v>234522.72205296045</v>
      </c>
      <c r="I10" s="257">
        <f t="shared" si="1"/>
        <v>240972.0969094169</v>
      </c>
      <c r="J10" s="257">
        <f t="shared" si="1"/>
        <v>247598.82957442588</v>
      </c>
      <c r="K10" s="257">
        <f t="shared" si="1"/>
        <v>254407.79738772262</v>
      </c>
      <c r="L10" s="257">
        <f t="shared" si="1"/>
        <v>261404.01181588502</v>
      </c>
      <c r="M10" s="258">
        <f t="shared" si="1"/>
        <v>268592.62214082188</v>
      </c>
      <c r="N10" s="40">
        <v>2.75E-2</v>
      </c>
      <c r="O10" s="38" t="s">
        <v>126</v>
      </c>
      <c r="P10" s="38"/>
      <c r="Q10" s="38"/>
      <c r="R10" s="38"/>
      <c r="S10" s="38"/>
    </row>
    <row r="11" spans="1:19" x14ac:dyDescent="0.25">
      <c r="A11" s="60" t="s">
        <v>10</v>
      </c>
      <c r="B11" s="60"/>
      <c r="C11" s="60"/>
      <c r="D11" s="256">
        <f>C7*C6</f>
        <v>70135.25</v>
      </c>
      <c r="E11" s="257">
        <f t="shared" si="0"/>
        <v>77148.775000000009</v>
      </c>
      <c r="F11" s="257">
        <f t="shared" si="0"/>
        <v>84863.652500000011</v>
      </c>
      <c r="G11" s="257">
        <f t="shared" si="0"/>
        <v>93350.017750000014</v>
      </c>
      <c r="H11" s="257">
        <f t="shared" ref="H11:M11" si="2">(1+$N11)*G11</f>
        <v>102685.01952500003</v>
      </c>
      <c r="I11" s="257">
        <f t="shared" si="2"/>
        <v>112953.52147750003</v>
      </c>
      <c r="J11" s="257">
        <f t="shared" si="2"/>
        <v>124248.87362525005</v>
      </c>
      <c r="K11" s="257">
        <f t="shared" si="2"/>
        <v>136673.76098777508</v>
      </c>
      <c r="L11" s="257">
        <f t="shared" si="2"/>
        <v>150341.1370865526</v>
      </c>
      <c r="M11" s="258">
        <f t="shared" si="2"/>
        <v>165375.25079520786</v>
      </c>
      <c r="N11" s="41">
        <v>0.1</v>
      </c>
      <c r="O11" s="38" t="s">
        <v>126</v>
      </c>
      <c r="P11" s="38"/>
      <c r="Q11" s="38"/>
      <c r="R11" s="38">
        <f>37/12</f>
        <v>3.0833333333333335</v>
      </c>
      <c r="S11" s="38"/>
    </row>
    <row r="12" spans="1:19" x14ac:dyDescent="0.25">
      <c r="A12" s="60" t="s">
        <v>11</v>
      </c>
      <c r="B12" s="60"/>
      <c r="C12" s="60"/>
      <c r="D12" s="100">
        <v>3.08</v>
      </c>
      <c r="E12" s="42">
        <f t="shared" si="0"/>
        <v>3.1108000000000002</v>
      </c>
      <c r="F12" s="42">
        <f t="shared" si="0"/>
        <v>3.1419080000000004</v>
      </c>
      <c r="G12" s="42">
        <f t="shared" si="0"/>
        <v>3.1733270800000004</v>
      </c>
      <c r="H12" s="42">
        <f t="shared" ref="H12:M12" si="3">(1+$N12)*G12</f>
        <v>3.2050603508000006</v>
      </c>
      <c r="I12" s="42">
        <f t="shared" si="3"/>
        <v>3.2371109543080006</v>
      </c>
      <c r="J12" s="42">
        <f t="shared" si="3"/>
        <v>3.2694820638510804</v>
      </c>
      <c r="K12" s="42">
        <f t="shared" si="3"/>
        <v>3.3021768844895911</v>
      </c>
      <c r="L12" s="42">
        <f t="shared" si="3"/>
        <v>3.3351986533344871</v>
      </c>
      <c r="M12" s="101">
        <f t="shared" si="3"/>
        <v>3.368550639867832</v>
      </c>
      <c r="N12" s="43">
        <v>0.01</v>
      </c>
      <c r="O12" s="38" t="s">
        <v>126</v>
      </c>
      <c r="P12" s="38"/>
      <c r="Q12" s="38"/>
      <c r="R12" s="38">
        <f>865000/R11</f>
        <v>280540.54054054053</v>
      </c>
      <c r="S12" s="38"/>
    </row>
    <row r="13" spans="1:19" x14ac:dyDescent="0.25">
      <c r="A13" s="60" t="s">
        <v>12</v>
      </c>
      <c r="B13" s="60"/>
      <c r="C13" s="60"/>
      <c r="D13" s="100">
        <f>D12</f>
        <v>3.08</v>
      </c>
      <c r="E13" s="42">
        <f t="shared" si="0"/>
        <v>3.1724000000000001</v>
      </c>
      <c r="F13" s="42">
        <f t="shared" si="0"/>
        <v>3.2675720000000004</v>
      </c>
      <c r="G13" s="42">
        <f t="shared" si="0"/>
        <v>3.3655991600000004</v>
      </c>
      <c r="H13" s="42">
        <f t="shared" ref="H13:M13" si="4">(1+$N13)*G13</f>
        <v>3.4665671348000004</v>
      </c>
      <c r="I13" s="42">
        <f t="shared" si="4"/>
        <v>3.5705641488440008</v>
      </c>
      <c r="J13" s="42">
        <f t="shared" si="4"/>
        <v>3.677681073309321</v>
      </c>
      <c r="K13" s="42">
        <f t="shared" si="4"/>
        <v>3.7880115055086008</v>
      </c>
      <c r="L13" s="42">
        <f t="shared" si="4"/>
        <v>3.9016518506738591</v>
      </c>
      <c r="M13" s="101">
        <f t="shared" si="4"/>
        <v>4.0187014061940749</v>
      </c>
      <c r="N13" s="44">
        <v>0.03</v>
      </c>
      <c r="O13" s="38" t="s">
        <v>126</v>
      </c>
      <c r="P13" s="38"/>
      <c r="Q13" s="38"/>
      <c r="R13" s="38"/>
      <c r="S13" s="38"/>
    </row>
    <row r="14" spans="1:19" x14ac:dyDescent="0.25">
      <c r="A14" s="60"/>
      <c r="B14" s="60"/>
      <c r="C14" s="60"/>
      <c r="D14" s="100"/>
      <c r="E14" s="42"/>
      <c r="F14" s="42"/>
      <c r="G14" s="42"/>
      <c r="H14" s="42"/>
      <c r="I14" s="42"/>
      <c r="J14" s="42"/>
      <c r="K14" s="42"/>
      <c r="L14" s="42"/>
      <c r="M14" s="101"/>
      <c r="N14" s="44"/>
      <c r="O14" s="38"/>
      <c r="P14" s="38"/>
      <c r="Q14" s="38"/>
      <c r="R14" s="38"/>
      <c r="S14" s="38"/>
    </row>
    <row r="15" spans="1:19" x14ac:dyDescent="0.25">
      <c r="A15" s="60" t="s">
        <v>13</v>
      </c>
      <c r="B15" s="60"/>
      <c r="C15" s="60"/>
      <c r="D15" s="102">
        <v>0.62</v>
      </c>
      <c r="E15" s="45">
        <v>0.62</v>
      </c>
      <c r="F15" s="45">
        <v>0.62</v>
      </c>
      <c r="G15" s="45">
        <v>0.62</v>
      </c>
      <c r="H15" s="45">
        <v>0.62</v>
      </c>
      <c r="I15" s="45">
        <v>0.62</v>
      </c>
      <c r="J15" s="45">
        <v>0.62</v>
      </c>
      <c r="K15" s="45">
        <v>0.62</v>
      </c>
      <c r="L15" s="45">
        <v>0.62</v>
      </c>
      <c r="M15" s="103">
        <v>0.62</v>
      </c>
      <c r="N15" s="44"/>
      <c r="O15" s="38"/>
      <c r="P15" s="38"/>
      <c r="Q15" s="38"/>
      <c r="R15" s="38"/>
      <c r="S15" s="38"/>
    </row>
    <row r="16" spans="1:19" x14ac:dyDescent="0.25">
      <c r="A16" s="60"/>
      <c r="B16" s="60"/>
      <c r="C16" s="60"/>
      <c r="D16" s="100"/>
      <c r="E16" s="42"/>
      <c r="F16" s="42"/>
      <c r="G16" s="42"/>
      <c r="H16" s="42"/>
      <c r="I16" s="42"/>
      <c r="J16" s="42"/>
      <c r="K16" s="42"/>
      <c r="L16" s="42"/>
      <c r="M16" s="101"/>
      <c r="N16" s="44"/>
      <c r="O16" s="38"/>
      <c r="P16" s="38"/>
      <c r="Q16" s="38"/>
      <c r="R16" s="38"/>
      <c r="S16" s="38"/>
    </row>
    <row r="17" spans="1:19" x14ac:dyDescent="0.25">
      <c r="A17" s="61" t="s">
        <v>14</v>
      </c>
      <c r="B17" s="60"/>
      <c r="C17" s="60"/>
      <c r="D17" s="94"/>
      <c r="E17" s="60"/>
      <c r="F17" s="60"/>
      <c r="G17" s="60"/>
      <c r="H17" s="60"/>
      <c r="I17" s="60"/>
      <c r="J17" s="60"/>
      <c r="K17" s="60"/>
      <c r="L17" s="60"/>
      <c r="M17" s="86"/>
      <c r="N17" s="38"/>
      <c r="O17" s="38"/>
      <c r="P17" s="38"/>
      <c r="Q17" s="38"/>
      <c r="R17" s="38"/>
      <c r="S17" s="38"/>
    </row>
    <row r="18" spans="1:19" x14ac:dyDescent="0.25">
      <c r="A18" s="60" t="s">
        <v>15</v>
      </c>
      <c r="B18" s="60"/>
      <c r="C18" s="60"/>
      <c r="D18" s="104">
        <v>15</v>
      </c>
      <c r="E18" s="62">
        <v>15</v>
      </c>
      <c r="F18" s="62">
        <v>15</v>
      </c>
      <c r="G18" s="62">
        <v>15</v>
      </c>
      <c r="H18" s="62">
        <v>15</v>
      </c>
      <c r="I18" s="62">
        <v>15</v>
      </c>
      <c r="J18" s="62">
        <v>15</v>
      </c>
      <c r="K18" s="62">
        <v>15</v>
      </c>
      <c r="L18" s="62">
        <v>15</v>
      </c>
      <c r="M18" s="105">
        <v>15</v>
      </c>
      <c r="N18" s="38"/>
      <c r="O18" s="38"/>
      <c r="P18" s="38"/>
      <c r="Q18" s="38"/>
      <c r="R18" s="38"/>
      <c r="S18" s="38"/>
    </row>
    <row r="19" spans="1:19" x14ac:dyDescent="0.25">
      <c r="A19" s="60" t="s">
        <v>16</v>
      </c>
      <c r="B19" s="60"/>
      <c r="C19" s="60"/>
      <c r="D19" s="106">
        <v>15</v>
      </c>
      <c r="E19" s="46">
        <v>15</v>
      </c>
      <c r="F19" s="46">
        <v>15</v>
      </c>
      <c r="G19" s="46">
        <v>15</v>
      </c>
      <c r="H19" s="46">
        <v>15</v>
      </c>
      <c r="I19" s="46">
        <v>15</v>
      </c>
      <c r="J19" s="46">
        <v>15</v>
      </c>
      <c r="K19" s="46">
        <v>15</v>
      </c>
      <c r="L19" s="46">
        <v>15</v>
      </c>
      <c r="M19" s="107">
        <v>15</v>
      </c>
      <c r="N19" s="47"/>
      <c r="O19" s="38"/>
      <c r="P19" s="38"/>
      <c r="Q19" s="38"/>
      <c r="R19" s="38"/>
      <c r="S19" s="38"/>
    </row>
    <row r="20" spans="1:19" x14ac:dyDescent="0.25">
      <c r="A20" s="60" t="s">
        <v>17</v>
      </c>
      <c r="B20" s="60"/>
      <c r="C20" s="60"/>
      <c r="D20" s="106">
        <v>45</v>
      </c>
      <c r="E20" s="62">
        <v>45</v>
      </c>
      <c r="F20" s="62">
        <v>45</v>
      </c>
      <c r="G20" s="62">
        <v>45</v>
      </c>
      <c r="H20" s="62">
        <v>45</v>
      </c>
      <c r="I20" s="62">
        <v>45</v>
      </c>
      <c r="J20" s="62">
        <v>45</v>
      </c>
      <c r="K20" s="62">
        <v>45</v>
      </c>
      <c r="L20" s="62">
        <v>45</v>
      </c>
      <c r="M20" s="105">
        <v>45</v>
      </c>
      <c r="N20" s="38"/>
      <c r="O20" s="38"/>
      <c r="P20" s="38"/>
      <c r="Q20" s="38"/>
      <c r="R20" s="38"/>
      <c r="S20" s="38"/>
    </row>
    <row r="21" spans="1:19" ht="16.5" thickBot="1" x14ac:dyDescent="0.3">
      <c r="A21" s="60"/>
      <c r="B21" s="60"/>
      <c r="C21" s="60"/>
      <c r="D21" s="108"/>
      <c r="E21" s="109"/>
      <c r="F21" s="109"/>
      <c r="G21" s="109"/>
      <c r="H21" s="109"/>
      <c r="I21" s="109"/>
      <c r="J21" s="109"/>
      <c r="K21" s="109"/>
      <c r="L21" s="109"/>
      <c r="M21" s="110"/>
      <c r="N21" s="38"/>
      <c r="O21" s="38"/>
      <c r="P21" s="38"/>
      <c r="Q21" s="38"/>
      <c r="R21" s="38"/>
      <c r="S21" s="38"/>
    </row>
    <row r="22" spans="1:19" ht="16.5" thickBot="1" x14ac:dyDescent="0.3">
      <c r="A22" s="63"/>
      <c r="B22" s="63"/>
      <c r="C22" s="63"/>
      <c r="D22" s="133" t="str">
        <f t="shared" ref="D22:M22" si="5">D8</f>
        <v>Year 1</v>
      </c>
      <c r="E22" s="134" t="str">
        <f t="shared" si="5"/>
        <v>Year 2</v>
      </c>
      <c r="F22" s="134" t="str">
        <f t="shared" si="5"/>
        <v>Year 3</v>
      </c>
      <c r="G22" s="134" t="str">
        <f t="shared" si="5"/>
        <v>Year 4</v>
      </c>
      <c r="H22" s="134" t="str">
        <f t="shared" si="5"/>
        <v>Year 5</v>
      </c>
      <c r="I22" s="134" t="str">
        <f t="shared" si="5"/>
        <v>Year 6</v>
      </c>
      <c r="J22" s="134" t="str">
        <f t="shared" si="5"/>
        <v>Year 7</v>
      </c>
      <c r="K22" s="134" t="str">
        <f t="shared" si="5"/>
        <v>Year 8</v>
      </c>
      <c r="L22" s="134" t="str">
        <f t="shared" si="5"/>
        <v>Year 9</v>
      </c>
      <c r="M22" s="135" t="str">
        <f t="shared" si="5"/>
        <v>Year 10</v>
      </c>
      <c r="N22" s="38"/>
      <c r="O22" s="38"/>
      <c r="P22" s="38"/>
      <c r="Q22" s="38"/>
      <c r="R22" s="38"/>
      <c r="S22" s="38"/>
    </row>
    <row r="23" spans="1:19" x14ac:dyDescent="0.25">
      <c r="A23" s="61" t="s">
        <v>18</v>
      </c>
      <c r="B23" s="60"/>
      <c r="C23" s="60"/>
      <c r="D23" s="91"/>
      <c r="E23" s="77"/>
      <c r="F23" s="77"/>
      <c r="G23" s="77"/>
      <c r="H23" s="77"/>
      <c r="I23" s="77"/>
      <c r="J23" s="77"/>
      <c r="K23" s="77"/>
      <c r="L23" s="77"/>
      <c r="M23" s="83"/>
      <c r="N23" s="38"/>
      <c r="O23" s="38"/>
      <c r="P23" s="38"/>
      <c r="Q23" s="38"/>
      <c r="R23" s="38"/>
      <c r="S23" s="38"/>
    </row>
    <row r="24" spans="1:19" x14ac:dyDescent="0.25">
      <c r="A24" s="38" t="s">
        <v>19</v>
      </c>
      <c r="B24" s="38"/>
      <c r="C24" s="38"/>
      <c r="D24" s="92">
        <f>D10*D12</f>
        <v>648049.71</v>
      </c>
      <c r="E24" s="48">
        <f t="shared" ref="E24:M24" si="6">E10*E12</f>
        <v>672529.78779525007</v>
      </c>
      <c r="F24" s="48">
        <f t="shared" si="6"/>
        <v>697934.60052921576</v>
      </c>
      <c r="G24" s="48">
        <f t="shared" si="6"/>
        <v>724299.08006420685</v>
      </c>
      <c r="H24" s="48">
        <f t="shared" si="6"/>
        <v>751659.47781363246</v>
      </c>
      <c r="I24" s="48">
        <f t="shared" si="6"/>
        <v>780053.41458804253</v>
      </c>
      <c r="J24" s="48">
        <f t="shared" si="6"/>
        <v>809519.93232410587</v>
      </c>
      <c r="K24" s="48">
        <f t="shared" si="6"/>
        <v>840099.54776764906</v>
      </c>
      <c r="L24" s="48">
        <f t="shared" si="6"/>
        <v>871834.30818457203</v>
      </c>
      <c r="M24" s="84">
        <f t="shared" si="6"/>
        <v>904767.84917624434</v>
      </c>
      <c r="N24" s="49"/>
      <c r="O24" s="38"/>
      <c r="P24" s="38"/>
      <c r="Q24" s="38"/>
      <c r="R24" s="38"/>
      <c r="S24" s="38"/>
    </row>
    <row r="25" spans="1:19" x14ac:dyDescent="0.25">
      <c r="A25" s="38" t="s">
        <v>20</v>
      </c>
      <c r="B25" s="38"/>
      <c r="C25" s="52"/>
      <c r="D25" s="93">
        <f t="shared" ref="D25:M25" si="7">D11*D13</f>
        <v>216016.57</v>
      </c>
      <c r="E25" s="66">
        <f t="shared" si="7"/>
        <v>244746.77381000004</v>
      </c>
      <c r="F25" s="66">
        <f t="shared" si="7"/>
        <v>277298.09472673008</v>
      </c>
      <c r="G25" s="66">
        <f t="shared" si="7"/>
        <v>314178.74132538517</v>
      </c>
      <c r="H25" s="66">
        <f t="shared" si="7"/>
        <v>355964.51392166142</v>
      </c>
      <c r="I25" s="66">
        <f t="shared" si="7"/>
        <v>403307.79427324247</v>
      </c>
      <c r="J25" s="66">
        <f t="shared" si="7"/>
        <v>456947.73091158381</v>
      </c>
      <c r="K25" s="66">
        <f t="shared" si="7"/>
        <v>517721.77912282455</v>
      </c>
      <c r="L25" s="66">
        <f t="shared" si="7"/>
        <v>586578.7757461603</v>
      </c>
      <c r="M25" s="85">
        <f t="shared" si="7"/>
        <v>664593.75292039965</v>
      </c>
      <c r="N25" s="49"/>
      <c r="O25" s="38"/>
      <c r="P25" s="38"/>
      <c r="Q25" s="38"/>
      <c r="R25" s="38"/>
      <c r="S25" s="38"/>
    </row>
    <row r="26" spans="1:19" x14ac:dyDescent="0.25">
      <c r="A26" s="38"/>
      <c r="B26" s="38"/>
      <c r="C26" s="38"/>
      <c r="D26" s="94"/>
      <c r="E26" s="60"/>
      <c r="F26" s="60"/>
      <c r="G26" s="60"/>
      <c r="H26" s="60"/>
      <c r="I26" s="60"/>
      <c r="J26" s="60"/>
      <c r="K26" s="60"/>
      <c r="L26" s="60"/>
      <c r="M26" s="86"/>
      <c r="N26" s="38"/>
      <c r="O26" s="38"/>
      <c r="P26" s="38"/>
      <c r="Q26" s="38"/>
      <c r="R26" s="38"/>
      <c r="S26" s="38"/>
    </row>
    <row r="27" spans="1:19" x14ac:dyDescent="0.25">
      <c r="A27" s="38" t="s">
        <v>21</v>
      </c>
      <c r="B27" s="38"/>
      <c r="C27" s="38"/>
      <c r="D27" s="93">
        <f>(D24+D25)*D15</f>
        <v>535721.09360000002</v>
      </c>
      <c r="E27" s="66">
        <f t="shared" ref="E27:M27" si="8">(E24+E25)*E15</f>
        <v>568711.46819525503</v>
      </c>
      <c r="F27" s="66">
        <f t="shared" si="8"/>
        <v>604644.27105868643</v>
      </c>
      <c r="G27" s="66">
        <f t="shared" si="8"/>
        <v>643856.249261547</v>
      </c>
      <c r="H27" s="66">
        <f t="shared" si="8"/>
        <v>686726.87487588229</v>
      </c>
      <c r="I27" s="66">
        <f t="shared" si="8"/>
        <v>733683.94949399668</v>
      </c>
      <c r="J27" s="66">
        <f t="shared" si="8"/>
        <v>785209.95120612765</v>
      </c>
      <c r="K27" s="66">
        <f t="shared" si="8"/>
        <v>841849.22267209366</v>
      </c>
      <c r="L27" s="66">
        <f t="shared" si="8"/>
        <v>904216.11203705391</v>
      </c>
      <c r="M27" s="85">
        <f t="shared" si="8"/>
        <v>973004.19329991925</v>
      </c>
      <c r="N27" s="38"/>
      <c r="O27" s="38"/>
      <c r="P27" s="38"/>
      <c r="Q27" s="38"/>
      <c r="R27" s="38"/>
      <c r="S27" s="38"/>
    </row>
    <row r="28" spans="1:19" x14ac:dyDescent="0.25">
      <c r="A28" s="38"/>
      <c r="B28" s="38"/>
      <c r="C28" s="38"/>
      <c r="D28" s="93"/>
      <c r="E28" s="66"/>
      <c r="F28" s="66"/>
      <c r="G28" s="66"/>
      <c r="H28" s="66"/>
      <c r="I28" s="66"/>
      <c r="J28" s="66"/>
      <c r="K28" s="66"/>
      <c r="L28" s="66"/>
      <c r="M28" s="85"/>
      <c r="N28" s="38"/>
      <c r="O28" s="38"/>
      <c r="P28" s="38"/>
      <c r="Q28" s="38"/>
      <c r="R28" s="38"/>
      <c r="S28" s="38"/>
    </row>
    <row r="29" spans="1:19" x14ac:dyDescent="0.25">
      <c r="A29" s="38" t="s">
        <v>22</v>
      </c>
      <c r="B29" s="38"/>
      <c r="C29" s="38"/>
      <c r="D29" s="93"/>
      <c r="E29" s="66"/>
      <c r="F29" s="66"/>
      <c r="G29" s="66"/>
      <c r="H29" s="66"/>
      <c r="I29" s="66"/>
      <c r="J29" s="66"/>
      <c r="K29" s="66"/>
      <c r="L29" s="66"/>
      <c r="M29" s="85"/>
      <c r="N29" s="38"/>
      <c r="O29" s="38"/>
      <c r="P29" s="38"/>
      <c r="Q29" s="38"/>
      <c r="R29" s="38"/>
      <c r="S29" s="38"/>
    </row>
    <row r="30" spans="1:19" x14ac:dyDescent="0.25">
      <c r="A30" s="38"/>
      <c r="B30" s="38" t="s">
        <v>23</v>
      </c>
      <c r="C30" s="38"/>
      <c r="D30" s="93">
        <v>10000</v>
      </c>
      <c r="E30" s="66">
        <v>10000</v>
      </c>
      <c r="F30" s="66">
        <v>10000</v>
      </c>
      <c r="G30" s="66">
        <v>10000</v>
      </c>
      <c r="H30" s="66">
        <v>10000</v>
      </c>
      <c r="I30" s="66">
        <v>10000</v>
      </c>
      <c r="J30" s="66">
        <v>10000</v>
      </c>
      <c r="K30" s="66">
        <v>10000</v>
      </c>
      <c r="L30" s="66">
        <v>10000</v>
      </c>
      <c r="M30" s="85">
        <v>10000</v>
      </c>
      <c r="N30" s="47" t="s">
        <v>91</v>
      </c>
      <c r="O30" s="38"/>
      <c r="P30" s="38"/>
      <c r="Q30" s="38"/>
      <c r="R30" s="38"/>
      <c r="S30" s="38"/>
    </row>
    <row r="31" spans="1:19" x14ac:dyDescent="0.25">
      <c r="A31" s="38"/>
      <c r="B31" s="38" t="s">
        <v>24</v>
      </c>
      <c r="C31" s="38"/>
      <c r="D31" s="95">
        <v>275000</v>
      </c>
      <c r="E31" s="69">
        <f>(D31*$N$31)+D31</f>
        <v>290812.5</v>
      </c>
      <c r="F31" s="69">
        <f>(E31*$N$31)+E31</f>
        <v>307534.21875</v>
      </c>
      <c r="G31" s="69">
        <f>(F31*$N$31)+F31</f>
        <v>325217.43632812501</v>
      </c>
      <c r="H31" s="69">
        <f t="shared" ref="H31:L31" si="9">(G31*$N$31)+G31</f>
        <v>343917.43891699222</v>
      </c>
      <c r="I31" s="69">
        <f t="shared" si="9"/>
        <v>363692.6916547193</v>
      </c>
      <c r="J31" s="69">
        <f t="shared" si="9"/>
        <v>384605.02142486564</v>
      </c>
      <c r="K31" s="69">
        <f>(J31*$N$31)+J31</f>
        <v>406719.81015679543</v>
      </c>
      <c r="L31" s="69">
        <f t="shared" si="9"/>
        <v>430106.19924081117</v>
      </c>
      <c r="M31" s="87">
        <f>(L31*$N$31)+L31</f>
        <v>454837.3056971578</v>
      </c>
      <c r="N31" s="40">
        <v>5.7500000000000002E-2</v>
      </c>
      <c r="O31" s="38"/>
      <c r="P31" s="38"/>
      <c r="Q31" s="38"/>
      <c r="R31" s="38"/>
      <c r="S31" s="74"/>
    </row>
    <row r="32" spans="1:19" x14ac:dyDescent="0.25">
      <c r="A32" s="38"/>
      <c r="B32" s="38" t="s">
        <v>25</v>
      </c>
      <c r="C32" s="38"/>
      <c r="D32" s="93">
        <v>5000</v>
      </c>
      <c r="E32" s="66">
        <v>5000</v>
      </c>
      <c r="F32" s="66">
        <v>5000</v>
      </c>
      <c r="G32" s="66">
        <v>5000</v>
      </c>
      <c r="H32" s="66">
        <v>5000</v>
      </c>
      <c r="I32" s="66">
        <v>5000</v>
      </c>
      <c r="J32" s="66">
        <v>5000</v>
      </c>
      <c r="K32" s="66">
        <v>5000</v>
      </c>
      <c r="L32" s="66">
        <v>5000</v>
      </c>
      <c r="M32" s="85">
        <v>5000</v>
      </c>
      <c r="N32" s="43"/>
      <c r="O32" s="38"/>
      <c r="P32" s="38"/>
      <c r="Q32" s="38"/>
      <c r="R32" s="38"/>
      <c r="S32" s="38"/>
    </row>
    <row r="33" spans="1:19" x14ac:dyDescent="0.25">
      <c r="A33" s="38"/>
      <c r="B33" s="38"/>
      <c r="C33" s="38"/>
      <c r="D33" s="93"/>
      <c r="E33" s="66"/>
      <c r="F33" s="66"/>
      <c r="G33" s="66"/>
      <c r="H33" s="66"/>
      <c r="I33" s="66"/>
      <c r="J33" s="66"/>
      <c r="K33" s="66"/>
      <c r="L33" s="66"/>
      <c r="M33" s="85"/>
      <c r="N33" s="38"/>
      <c r="O33" s="38"/>
      <c r="P33" s="38"/>
      <c r="Q33" s="38"/>
      <c r="R33" s="38"/>
      <c r="S33" s="38"/>
    </row>
    <row r="34" spans="1:19" x14ac:dyDescent="0.25">
      <c r="A34" s="38" t="s">
        <v>26</v>
      </c>
      <c r="B34" s="38"/>
      <c r="C34" s="38"/>
      <c r="D34" s="98">
        <f>D51/$N34</f>
        <v>26666.666666666668</v>
      </c>
      <c r="E34" s="39">
        <f>E51/$N34</f>
        <v>26666.666666666668</v>
      </c>
      <c r="F34" s="39">
        <f>F51/$N34</f>
        <v>26666.666666666668</v>
      </c>
      <c r="G34" s="39">
        <f>G51/$N34</f>
        <v>26666.666666666668</v>
      </c>
      <c r="H34" s="39">
        <f t="shared" ref="H34:M34" si="10">H51/$N34</f>
        <v>26666.666666666668</v>
      </c>
      <c r="I34" s="39">
        <f t="shared" si="10"/>
        <v>26666.666666666668</v>
      </c>
      <c r="J34" s="39">
        <f t="shared" si="10"/>
        <v>26666.666666666668</v>
      </c>
      <c r="K34" s="39">
        <f t="shared" si="10"/>
        <v>26666.666666666668</v>
      </c>
      <c r="L34" s="39">
        <f t="shared" si="10"/>
        <v>26666.666666666668</v>
      </c>
      <c r="M34" s="99">
        <f t="shared" si="10"/>
        <v>26666.666666666668</v>
      </c>
      <c r="N34" s="59">
        <v>30</v>
      </c>
      <c r="O34" s="59" t="s">
        <v>127</v>
      </c>
      <c r="P34" s="38"/>
      <c r="Q34" s="38"/>
      <c r="R34" s="38"/>
      <c r="S34" s="38"/>
    </row>
    <row r="35" spans="1:19" x14ac:dyDescent="0.25">
      <c r="A35" s="38"/>
      <c r="B35" s="38"/>
      <c r="C35" s="38"/>
      <c r="D35" s="93"/>
      <c r="E35" s="66"/>
      <c r="F35" s="66"/>
      <c r="G35" s="66"/>
      <c r="H35" s="66"/>
      <c r="I35" s="66"/>
      <c r="J35" s="66"/>
      <c r="K35" s="66"/>
      <c r="L35" s="66"/>
      <c r="M35" s="85"/>
      <c r="N35" s="50"/>
      <c r="O35" s="38"/>
      <c r="P35" s="38"/>
      <c r="Q35" s="38"/>
      <c r="R35" s="38"/>
      <c r="S35" s="38"/>
    </row>
    <row r="36" spans="1:19" x14ac:dyDescent="0.25">
      <c r="A36" s="38" t="s">
        <v>27</v>
      </c>
      <c r="B36" s="38"/>
      <c r="C36" s="38"/>
      <c r="D36" s="93">
        <f>Mortgage!D15</f>
        <v>47181.694240492783</v>
      </c>
      <c r="E36" s="66">
        <f>Mortgage!D31</f>
        <v>46464.610574585146</v>
      </c>
      <c r="F36" s="66">
        <f>Mortgage!D46</f>
        <v>45710.839547389696</v>
      </c>
      <c r="G36" s="66">
        <f>Mortgage!D61</f>
        <v>44918.504163874662</v>
      </c>
      <c r="H36" s="66">
        <f>Mortgage!D76</f>
        <v>44085.631398380152</v>
      </c>
      <c r="I36" s="66">
        <f>Mortgage!D92</f>
        <v>43210.147281508929</v>
      </c>
      <c r="J36" s="66">
        <f>Mortgage!D108</f>
        <v>42289.871735653265</v>
      </c>
      <c r="K36" s="66">
        <f>Mortgage!D124</f>
        <v>41322.51314629746</v>
      </c>
      <c r="L36" s="66">
        <f>Mortgage!D140</f>
        <v>40305.662655578031</v>
      </c>
      <c r="M36" s="85">
        <f>Mortgage!D156</f>
        <v>39236.788163891426</v>
      </c>
      <c r="N36" s="50"/>
      <c r="O36" s="38"/>
      <c r="P36" s="38"/>
      <c r="Q36" s="38"/>
      <c r="R36" s="38"/>
      <c r="S36" s="38"/>
    </row>
    <row r="37" spans="1:19" x14ac:dyDescent="0.25">
      <c r="A37" s="38" t="s">
        <v>28</v>
      </c>
      <c r="B37" s="38"/>
      <c r="C37" s="38"/>
      <c r="D37" s="93">
        <f>$N$37*D62</f>
        <v>0</v>
      </c>
      <c r="E37" s="66">
        <f>$N$37*E62</f>
        <v>0</v>
      </c>
      <c r="F37" s="66">
        <f>$N$37*F62</f>
        <v>0</v>
      </c>
      <c r="G37" s="66">
        <f>$N$37*G62</f>
        <v>0</v>
      </c>
      <c r="H37" s="66">
        <f t="shared" ref="H37:M37" si="11">$N$37*H62</f>
        <v>0</v>
      </c>
      <c r="I37" s="66">
        <f t="shared" si="11"/>
        <v>0</v>
      </c>
      <c r="J37" s="66">
        <f t="shared" si="11"/>
        <v>0</v>
      </c>
      <c r="K37" s="66">
        <f t="shared" si="11"/>
        <v>0</v>
      </c>
      <c r="L37" s="66">
        <f t="shared" si="11"/>
        <v>0</v>
      </c>
      <c r="M37" s="85">
        <f t="shared" si="11"/>
        <v>0</v>
      </c>
      <c r="N37" s="41">
        <v>0.1</v>
      </c>
      <c r="O37" s="38" t="s">
        <v>104</v>
      </c>
      <c r="P37" s="38"/>
      <c r="Q37" s="38"/>
      <c r="R37" s="38"/>
      <c r="S37" s="38"/>
    </row>
    <row r="38" spans="1:19" x14ac:dyDescent="0.25">
      <c r="A38" s="38"/>
      <c r="B38" s="38"/>
      <c r="C38" s="38"/>
      <c r="D38" s="93"/>
      <c r="E38" s="66"/>
      <c r="F38" s="66"/>
      <c r="G38" s="66"/>
      <c r="H38" s="66"/>
      <c r="I38" s="66"/>
      <c r="J38" s="66"/>
      <c r="K38" s="66"/>
      <c r="L38" s="66"/>
      <c r="M38" s="85"/>
      <c r="N38" s="38"/>
      <c r="O38" s="38"/>
      <c r="P38" s="38"/>
      <c r="Q38" s="38"/>
      <c r="R38" s="38"/>
      <c r="S38" s="38"/>
    </row>
    <row r="39" spans="1:19" x14ac:dyDescent="0.25">
      <c r="A39" s="38" t="s">
        <v>29</v>
      </c>
      <c r="B39" s="38"/>
      <c r="C39" s="38"/>
      <c r="D39" s="92">
        <f>SUM(D24:D25)-SUM(D27:D37)</f>
        <v>-35503.17450715939</v>
      </c>
      <c r="E39" s="48">
        <f>SUM(E24:E25)-SUM(E27:E37)</f>
        <v>-30378.683831256698</v>
      </c>
      <c r="F39" s="48">
        <f>SUM(F24:F25)-SUM(F27:F37)</f>
        <v>-24323.300766796805</v>
      </c>
      <c r="G39" s="48">
        <f>SUM(G24:G25)-SUM(G27:G37)</f>
        <v>-17181.035030621337</v>
      </c>
      <c r="H39" s="48">
        <f t="shared" ref="H39:M39" si="12">SUM(H24:H25)-SUM(H27:H37)</f>
        <v>-8772.6201226273552</v>
      </c>
      <c r="I39" s="48">
        <f t="shared" si="12"/>
        <v>1107.7537643932737</v>
      </c>
      <c r="J39" s="48">
        <f t="shared" si="12"/>
        <v>12696.152202376397</v>
      </c>
      <c r="K39" s="48">
        <f t="shared" si="12"/>
        <v>26263.114248620346</v>
      </c>
      <c r="L39" s="48">
        <f>SUM(L24:L25)-SUM(L27:L37)</f>
        <v>42118.443330622511</v>
      </c>
      <c r="M39" s="84">
        <f t="shared" si="12"/>
        <v>60616.648269008612</v>
      </c>
      <c r="N39" s="43"/>
      <c r="O39" s="38"/>
      <c r="P39" s="38"/>
      <c r="Q39" s="38"/>
      <c r="R39" s="38"/>
      <c r="S39" s="38"/>
    </row>
    <row r="40" spans="1:19" x14ac:dyDescent="0.25">
      <c r="A40" s="38" t="s">
        <v>30</v>
      </c>
      <c r="B40" s="38"/>
      <c r="C40" s="38"/>
      <c r="D40" s="93">
        <f>IF(D39&lt;0,0,D39*$N$40)</f>
        <v>0</v>
      </c>
      <c r="E40" s="66">
        <f t="shared" ref="E40:M40" si="13">IF(E39&lt;0,0,E39*$N$40)</f>
        <v>0</v>
      </c>
      <c r="F40" s="66">
        <f t="shared" si="13"/>
        <v>0</v>
      </c>
      <c r="G40" s="66">
        <f t="shared" si="13"/>
        <v>0</v>
      </c>
      <c r="H40" s="66">
        <f t="shared" si="13"/>
        <v>0</v>
      </c>
      <c r="I40" s="66">
        <f t="shared" si="13"/>
        <v>276.93844109831844</v>
      </c>
      <c r="J40" s="66">
        <f t="shared" si="13"/>
        <v>3174.0380505940993</v>
      </c>
      <c r="K40" s="66">
        <f t="shared" si="13"/>
        <v>6565.7785621550865</v>
      </c>
      <c r="L40" s="66">
        <f t="shared" si="13"/>
        <v>10529.610832655628</v>
      </c>
      <c r="M40" s="85">
        <f t="shared" si="13"/>
        <v>15154.162067252153</v>
      </c>
      <c r="N40" s="47">
        <v>0.25</v>
      </c>
      <c r="O40" s="38" t="s">
        <v>128</v>
      </c>
      <c r="P40" s="38"/>
      <c r="Q40" s="38"/>
      <c r="R40" s="38"/>
      <c r="S40" s="38"/>
    </row>
    <row r="41" spans="1:19" ht="16.5" thickBot="1" x14ac:dyDescent="0.3">
      <c r="A41" s="38" t="s">
        <v>31</v>
      </c>
      <c r="B41" s="38"/>
      <c r="C41" s="38"/>
      <c r="D41" s="96">
        <f>D39-D40</f>
        <v>-35503.17450715939</v>
      </c>
      <c r="E41" s="70">
        <f>E39-E40</f>
        <v>-30378.683831256698</v>
      </c>
      <c r="F41" s="70">
        <f>F39-F40</f>
        <v>-24323.300766796805</v>
      </c>
      <c r="G41" s="70">
        <f>G39-G40</f>
        <v>-17181.035030621337</v>
      </c>
      <c r="H41" s="70">
        <f t="shared" ref="H41:M41" si="14">H39-H40</f>
        <v>-8772.6201226273552</v>
      </c>
      <c r="I41" s="70">
        <f t="shared" si="14"/>
        <v>830.81532329495531</v>
      </c>
      <c r="J41" s="70">
        <f t="shared" si="14"/>
        <v>9522.114151782298</v>
      </c>
      <c r="K41" s="70">
        <f t="shared" si="14"/>
        <v>19697.33568646526</v>
      </c>
      <c r="L41" s="70">
        <f t="shared" si="14"/>
        <v>31588.832497966883</v>
      </c>
      <c r="M41" s="97">
        <f t="shared" si="14"/>
        <v>45462.486201756459</v>
      </c>
      <c r="N41" s="38"/>
      <c r="O41" s="38"/>
      <c r="P41" s="38"/>
      <c r="Q41" s="38"/>
      <c r="R41" s="38"/>
      <c r="S41" s="38"/>
    </row>
    <row r="42" spans="1:19" ht="17.25" thickTop="1" thickBot="1" x14ac:dyDescent="0.3">
      <c r="A42" s="38"/>
      <c r="B42" s="38"/>
      <c r="C42" s="38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38"/>
      <c r="O42" s="38"/>
      <c r="P42" s="38"/>
      <c r="Q42" s="38"/>
      <c r="R42" s="38"/>
      <c r="S42" s="38"/>
    </row>
    <row r="43" spans="1:19" ht="16.5" thickBot="1" x14ac:dyDescent="0.3">
      <c r="A43" s="58" t="s">
        <v>32</v>
      </c>
      <c r="B43" s="38"/>
      <c r="C43" s="38"/>
      <c r="D43" s="111" t="s">
        <v>4</v>
      </c>
      <c r="E43" s="112" t="s">
        <v>5</v>
      </c>
      <c r="F43" s="112" t="s">
        <v>6</v>
      </c>
      <c r="G43" s="112" t="s">
        <v>7</v>
      </c>
      <c r="H43" s="112" t="s">
        <v>84</v>
      </c>
      <c r="I43" s="112" t="s">
        <v>85</v>
      </c>
      <c r="J43" s="112" t="s">
        <v>86</v>
      </c>
      <c r="K43" s="112" t="s">
        <v>87</v>
      </c>
      <c r="L43" s="112" t="s">
        <v>88</v>
      </c>
      <c r="M43" s="113" t="s">
        <v>89</v>
      </c>
      <c r="N43" s="38"/>
      <c r="O43" s="38"/>
      <c r="P43" s="38"/>
      <c r="Q43" s="38"/>
      <c r="R43" s="38"/>
      <c r="S43" s="38"/>
    </row>
    <row r="44" spans="1:19" x14ac:dyDescent="0.25">
      <c r="A44" s="58" t="s">
        <v>33</v>
      </c>
      <c r="B44" s="38"/>
      <c r="C44" s="38"/>
      <c r="D44" s="91"/>
      <c r="E44" s="77"/>
      <c r="F44" s="77"/>
      <c r="G44" s="77"/>
      <c r="H44" s="77"/>
      <c r="I44" s="77"/>
      <c r="J44" s="77"/>
      <c r="K44" s="77"/>
      <c r="L44" s="77"/>
      <c r="M44" s="83"/>
      <c r="N44" s="38"/>
      <c r="O44" s="38"/>
      <c r="P44" s="38"/>
      <c r="Q44" s="38"/>
      <c r="R44" s="38"/>
      <c r="S44" s="38"/>
    </row>
    <row r="45" spans="1:19" x14ac:dyDescent="0.25">
      <c r="A45" s="38"/>
      <c r="B45" s="38" t="s">
        <v>34</v>
      </c>
      <c r="C45" s="38"/>
      <c r="D45" s="115">
        <v>10000</v>
      </c>
      <c r="E45" s="116">
        <v>10000</v>
      </c>
      <c r="F45" s="116">
        <v>10000</v>
      </c>
      <c r="G45" s="116">
        <v>10000</v>
      </c>
      <c r="H45" s="116">
        <v>10000</v>
      </c>
      <c r="I45" s="116">
        <v>10000</v>
      </c>
      <c r="J45" s="116">
        <v>10000</v>
      </c>
      <c r="K45" s="116">
        <v>10000</v>
      </c>
      <c r="L45" s="116">
        <v>10000</v>
      </c>
      <c r="M45" s="117">
        <v>10000</v>
      </c>
      <c r="N45" s="51"/>
      <c r="O45" s="38"/>
      <c r="P45" s="38"/>
      <c r="Q45" s="38"/>
      <c r="R45" s="38"/>
      <c r="S45" s="38"/>
    </row>
    <row r="46" spans="1:19" x14ac:dyDescent="0.25">
      <c r="A46" s="38"/>
      <c r="B46" s="38" t="s">
        <v>35</v>
      </c>
      <c r="C46" s="38"/>
      <c r="D46" s="115">
        <f>112301.998795794-50000</f>
        <v>62301.998795794003</v>
      </c>
      <c r="E46" s="116">
        <f>95387.7715131114-50000</f>
        <v>45387.771513111395</v>
      </c>
      <c r="F46" s="116">
        <f>83859.9674771293-50000</f>
        <v>33859.967477129307</v>
      </c>
      <c r="G46" s="116">
        <f>78773.6975608052-50000</f>
        <v>28773.697560805202</v>
      </c>
      <c r="H46" s="116">
        <f>81362.100012679-50000</f>
        <v>31362.100012679002</v>
      </c>
      <c r="I46" s="116">
        <f>91089.3623898808-48026.48836399</f>
        <v>43062.8740258908</v>
      </c>
      <c r="J46" s="116">
        <f>109131.415745041-43859.8216973235</f>
        <v>65271.594047717495</v>
      </c>
      <c r="K46" s="116">
        <f>137003.059027106-39693.1550306568</f>
        <v>97309.903996449197</v>
      </c>
      <c r="L46" s="116">
        <f>176460.027541737-35526.4883639902</f>
        <v>140933.5391777468</v>
      </c>
      <c r="M46" s="117">
        <f>229533.908064549-31359.8216973237</f>
        <v>198174.0863672253</v>
      </c>
      <c r="N46" s="51"/>
      <c r="O46" s="38"/>
      <c r="P46" s="38"/>
      <c r="Q46" s="38"/>
      <c r="R46" s="38"/>
      <c r="S46" s="38"/>
    </row>
    <row r="47" spans="1:19" x14ac:dyDescent="0.25">
      <c r="A47" s="38"/>
      <c r="B47" s="38" t="s">
        <v>36</v>
      </c>
      <c r="C47" s="38"/>
      <c r="D47" s="98">
        <f t="shared" ref="D47:M47" si="15">D18/365*D25</f>
        <v>8877.3932876712333</v>
      </c>
      <c r="E47" s="39">
        <f t="shared" si="15"/>
        <v>10058.086594931508</v>
      </c>
      <c r="F47" s="39">
        <f t="shared" si="15"/>
        <v>11395.8121120574</v>
      </c>
      <c r="G47" s="39">
        <f t="shared" si="15"/>
        <v>12911.455122961033</v>
      </c>
      <c r="H47" s="39">
        <f t="shared" si="15"/>
        <v>14628.678654314852</v>
      </c>
      <c r="I47" s="39">
        <f t="shared" si="15"/>
        <v>16574.29291533873</v>
      </c>
      <c r="J47" s="39">
        <f t="shared" si="15"/>
        <v>18778.673873078787</v>
      </c>
      <c r="K47" s="39">
        <f t="shared" si="15"/>
        <v>21276.237498198268</v>
      </c>
      <c r="L47" s="39">
        <f t="shared" si="15"/>
        <v>24105.977085458642</v>
      </c>
      <c r="M47" s="99">
        <f t="shared" si="15"/>
        <v>27312.072037824641</v>
      </c>
      <c r="N47" s="38"/>
      <c r="O47" s="38"/>
      <c r="P47" s="38"/>
      <c r="Q47" s="38"/>
      <c r="R47" s="38"/>
      <c r="S47" s="38"/>
    </row>
    <row r="48" spans="1:19" x14ac:dyDescent="0.25">
      <c r="A48" s="38"/>
      <c r="B48" s="38" t="s">
        <v>37</v>
      </c>
      <c r="C48" s="38"/>
      <c r="D48" s="98">
        <f>D27/365*D19</f>
        <v>22015.935353424658</v>
      </c>
      <c r="E48" s="39">
        <f>E27/365*E19</f>
        <v>23371.704172407743</v>
      </c>
      <c r="F48" s="39">
        <f>F27/365*F19</f>
        <v>24848.394701041907</v>
      </c>
      <c r="G48" s="39">
        <f>G27/365*G19</f>
        <v>26459.845860063575</v>
      </c>
      <c r="H48" s="39">
        <f t="shared" ref="H48:M48" si="16">H27/365*H19</f>
        <v>28221.652392159547</v>
      </c>
      <c r="I48" s="39">
        <f>I27/365*I19</f>
        <v>30151.395184684796</v>
      </c>
      <c r="J48" s="39">
        <f t="shared" si="16"/>
        <v>32268.902104361412</v>
      </c>
      <c r="K48" s="39">
        <f t="shared" si="16"/>
        <v>34596.543397483299</v>
      </c>
      <c r="L48" s="39">
        <f t="shared" si="16"/>
        <v>37159.566248098105</v>
      </c>
      <c r="M48" s="99">
        <f t="shared" si="16"/>
        <v>39986.473697256952</v>
      </c>
      <c r="N48" s="38"/>
      <c r="O48" s="38"/>
      <c r="P48" s="38"/>
      <c r="Q48" s="38"/>
      <c r="R48" s="38"/>
      <c r="S48" s="38"/>
    </row>
    <row r="49" spans="1:19" x14ac:dyDescent="0.25">
      <c r="A49" s="38"/>
      <c r="B49" s="38"/>
      <c r="C49" s="38"/>
      <c r="D49" s="94"/>
      <c r="E49" s="60"/>
      <c r="F49" s="60"/>
      <c r="G49" s="60"/>
      <c r="H49" s="60"/>
      <c r="I49" s="60"/>
      <c r="J49" s="60"/>
      <c r="K49" s="60"/>
      <c r="L49" s="60"/>
      <c r="M49" s="86"/>
      <c r="N49" s="38"/>
      <c r="O49" s="38" t="s">
        <v>162</v>
      </c>
      <c r="P49" s="38"/>
      <c r="Q49" s="38"/>
      <c r="R49" s="38"/>
      <c r="S49" s="38"/>
    </row>
    <row r="50" spans="1:19" x14ac:dyDescent="0.25">
      <c r="A50" s="38"/>
      <c r="B50" s="38" t="s">
        <v>38</v>
      </c>
      <c r="C50" s="38"/>
      <c r="D50" s="92">
        <f>O55*O56</f>
        <v>200000</v>
      </c>
      <c r="E50" s="48">
        <f>D50</f>
        <v>200000</v>
      </c>
      <c r="F50" s="48">
        <f>E50</f>
        <v>200000</v>
      </c>
      <c r="G50" s="48">
        <f>F50</f>
        <v>200000</v>
      </c>
      <c r="H50" s="48">
        <f t="shared" ref="H50:M50" si="17">G50</f>
        <v>200000</v>
      </c>
      <c r="I50" s="48">
        <f t="shared" si="17"/>
        <v>200000</v>
      </c>
      <c r="J50" s="48">
        <f t="shared" si="17"/>
        <v>200000</v>
      </c>
      <c r="K50" s="48">
        <f t="shared" si="17"/>
        <v>200000</v>
      </c>
      <c r="L50" s="48">
        <f t="shared" si="17"/>
        <v>200000</v>
      </c>
      <c r="M50" s="84">
        <f t="shared" si="17"/>
        <v>200000</v>
      </c>
      <c r="N50" s="38"/>
      <c r="O50" s="38">
        <v>2000</v>
      </c>
      <c r="P50" s="38"/>
      <c r="Q50" s="38"/>
      <c r="R50" s="38"/>
      <c r="S50" s="38"/>
    </row>
    <row r="51" spans="1:19" x14ac:dyDescent="0.25">
      <c r="A51" s="38"/>
      <c r="B51" s="38" t="s">
        <v>39</v>
      </c>
      <c r="C51" s="38"/>
      <c r="D51" s="93">
        <f>O50*O52</f>
        <v>800000</v>
      </c>
      <c r="E51" s="66">
        <f>+$D$51</f>
        <v>800000</v>
      </c>
      <c r="F51" s="66">
        <f>+$D$51</f>
        <v>800000</v>
      </c>
      <c r="G51" s="66">
        <f>+$D$51</f>
        <v>800000</v>
      </c>
      <c r="H51" s="66">
        <f t="shared" ref="H51:M51" si="18">+$D$51</f>
        <v>800000</v>
      </c>
      <c r="I51" s="66">
        <f t="shared" si="18"/>
        <v>800000</v>
      </c>
      <c r="J51" s="66">
        <f t="shared" si="18"/>
        <v>800000</v>
      </c>
      <c r="K51" s="66">
        <f t="shared" si="18"/>
        <v>800000</v>
      </c>
      <c r="L51" s="66">
        <f t="shared" si="18"/>
        <v>800000</v>
      </c>
      <c r="M51" s="85">
        <f t="shared" si="18"/>
        <v>800000</v>
      </c>
      <c r="N51" s="38"/>
      <c r="O51" s="38" t="s">
        <v>162</v>
      </c>
      <c r="P51" s="38"/>
      <c r="Q51" s="38"/>
      <c r="R51" s="38"/>
      <c r="S51" s="38"/>
    </row>
    <row r="52" spans="1:19" x14ac:dyDescent="0.25">
      <c r="A52" s="38"/>
      <c r="B52" s="38" t="s">
        <v>40</v>
      </c>
      <c r="C52" s="38"/>
      <c r="D52" s="93">
        <f>D34</f>
        <v>26666.666666666668</v>
      </c>
      <c r="E52" s="66">
        <f>D52+E34</f>
        <v>53333.333333333336</v>
      </c>
      <c r="F52" s="66">
        <f>E52+F34</f>
        <v>80000</v>
      </c>
      <c r="G52" s="66">
        <f>F52+G34</f>
        <v>106666.66666666667</v>
      </c>
      <c r="H52" s="66">
        <f t="shared" ref="H52:M52" si="19">G52+H34</f>
        <v>133333.33333333334</v>
      </c>
      <c r="I52" s="66">
        <f t="shared" si="19"/>
        <v>160000</v>
      </c>
      <c r="J52" s="66">
        <f t="shared" si="19"/>
        <v>186666.66666666666</v>
      </c>
      <c r="K52" s="66">
        <f t="shared" si="19"/>
        <v>213333.33333333331</v>
      </c>
      <c r="L52" s="66">
        <f t="shared" si="19"/>
        <v>239999.99999999997</v>
      </c>
      <c r="M52" s="85">
        <f t="shared" si="19"/>
        <v>266666.66666666663</v>
      </c>
      <c r="N52" s="38"/>
      <c r="O52" s="38">
        <v>400</v>
      </c>
      <c r="P52" s="38"/>
      <c r="Q52" s="38"/>
      <c r="R52" s="38"/>
      <c r="S52" s="38"/>
    </row>
    <row r="53" spans="1:19" ht="16.5" thickBot="1" x14ac:dyDescent="0.3">
      <c r="A53" s="38"/>
      <c r="B53" s="38"/>
      <c r="C53" s="38"/>
      <c r="D53" s="114"/>
      <c r="E53" s="109"/>
      <c r="F53" s="109"/>
      <c r="G53" s="109"/>
      <c r="H53" s="109"/>
      <c r="I53" s="109"/>
      <c r="J53" s="109"/>
      <c r="K53" s="109"/>
      <c r="L53" s="109"/>
      <c r="M53" s="110"/>
      <c r="N53" s="38"/>
      <c r="O53" s="38"/>
      <c r="P53" s="38"/>
      <c r="Q53" s="38"/>
      <c r="R53" s="38"/>
      <c r="S53" s="38"/>
    </row>
    <row r="54" spans="1:19" ht="16.5" thickBot="1" x14ac:dyDescent="0.3">
      <c r="A54" s="58" t="s">
        <v>41</v>
      </c>
      <c r="B54" s="38"/>
      <c r="C54" s="38"/>
      <c r="D54" s="121">
        <f>SUM(D45:D51)-D52</f>
        <v>1076528.6607702232</v>
      </c>
      <c r="E54" s="122">
        <f>SUM(E45:E51)-E52</f>
        <v>1035484.2289471173</v>
      </c>
      <c r="F54" s="123">
        <f>SUM(F45:F51)-F52</f>
        <v>1000104.1742902286</v>
      </c>
      <c r="G54" s="122">
        <f>SUM(G45:G51)-G52</f>
        <v>971478.33187716326</v>
      </c>
      <c r="H54" s="124">
        <f t="shared" ref="H54:M54" si="20">SUM(H45:H51)-H52</f>
        <v>950879.09772581991</v>
      </c>
      <c r="I54" s="123">
        <f t="shared" si="20"/>
        <v>939788.56212591426</v>
      </c>
      <c r="J54" s="122">
        <f t="shared" si="20"/>
        <v>939652.50335849111</v>
      </c>
      <c r="K54" s="123">
        <f t="shared" si="20"/>
        <v>949849.35155879753</v>
      </c>
      <c r="L54" s="122">
        <f t="shared" si="20"/>
        <v>972199.08251130348</v>
      </c>
      <c r="M54" s="125">
        <f t="shared" si="20"/>
        <v>1008805.9654356403</v>
      </c>
      <c r="N54" s="38"/>
      <c r="O54" s="38" t="s">
        <v>163</v>
      </c>
      <c r="P54" s="38"/>
      <c r="Q54" s="38"/>
      <c r="R54" s="38"/>
      <c r="S54" s="38"/>
    </row>
    <row r="55" spans="1:19" ht="16.5" thickTop="1" x14ac:dyDescent="0.25">
      <c r="A55" s="58"/>
      <c r="B55" s="38"/>
      <c r="C55" s="38"/>
      <c r="D55" s="119"/>
      <c r="E55" s="72"/>
      <c r="F55" s="71"/>
      <c r="G55" s="72"/>
      <c r="H55" s="73"/>
      <c r="I55" s="71"/>
      <c r="J55" s="72"/>
      <c r="K55" s="71"/>
      <c r="L55" s="72"/>
      <c r="M55" s="120"/>
      <c r="N55" s="38"/>
      <c r="O55" s="38">
        <v>0.5</v>
      </c>
      <c r="P55" s="38"/>
      <c r="Q55" s="38"/>
      <c r="R55" s="38"/>
      <c r="S55" s="38"/>
    </row>
    <row r="56" spans="1:19" x14ac:dyDescent="0.25">
      <c r="A56" s="58" t="s">
        <v>42</v>
      </c>
      <c r="B56" s="38"/>
      <c r="C56" s="38"/>
      <c r="D56" s="79"/>
      <c r="E56" s="60"/>
      <c r="F56" s="64"/>
      <c r="G56" s="60"/>
      <c r="H56" s="68"/>
      <c r="I56" s="64"/>
      <c r="J56" s="60"/>
      <c r="K56" s="64"/>
      <c r="L56" s="60"/>
      <c r="M56" s="89"/>
      <c r="N56" s="38"/>
      <c r="O56" s="38">
        <v>400000</v>
      </c>
      <c r="P56" s="38"/>
      <c r="Q56" s="38"/>
      <c r="R56" s="38"/>
      <c r="S56" s="38"/>
    </row>
    <row r="57" spans="1:19" x14ac:dyDescent="0.25">
      <c r="A57" s="38" t="s">
        <v>43</v>
      </c>
      <c r="B57" s="38"/>
      <c r="C57" s="38"/>
      <c r="D57" s="78"/>
      <c r="E57" s="66"/>
      <c r="F57" s="65"/>
      <c r="G57" s="66"/>
      <c r="H57" s="67"/>
      <c r="I57" s="65"/>
      <c r="J57" s="66"/>
      <c r="K57" s="65"/>
      <c r="L57" s="66"/>
      <c r="M57" s="88"/>
      <c r="N57" s="38"/>
      <c r="O57" s="38"/>
      <c r="P57" s="38"/>
      <c r="Q57" s="38"/>
      <c r="R57" s="38"/>
      <c r="S57" s="38"/>
    </row>
    <row r="58" spans="1:19" x14ac:dyDescent="0.25">
      <c r="A58" s="38"/>
      <c r="B58" s="38" t="s">
        <v>44</v>
      </c>
      <c r="C58" s="38"/>
      <c r="D58" s="78">
        <f>D27/365*D20</f>
        <v>66047.806060273986</v>
      </c>
      <c r="E58" s="66">
        <f>E27/365*E20</f>
        <v>70115.112517223228</v>
      </c>
      <c r="F58" s="65">
        <f>F27/365*F20</f>
        <v>74545.184103125721</v>
      </c>
      <c r="G58" s="66">
        <f>G27/365*G20</f>
        <v>79379.537580190721</v>
      </c>
      <c r="H58" s="67">
        <f t="shared" ref="H58:M58" si="21">H27/365*H20</f>
        <v>84664.957176478638</v>
      </c>
      <c r="I58" s="65">
        <f t="shared" si="21"/>
        <v>90454.185554054377</v>
      </c>
      <c r="J58" s="66">
        <f t="shared" si="21"/>
        <v>96806.706313084229</v>
      </c>
      <c r="K58" s="65">
        <f t="shared" si="21"/>
        <v>103789.6301924499</v>
      </c>
      <c r="L58" s="66">
        <f t="shared" si="21"/>
        <v>111478.69874429432</v>
      </c>
      <c r="M58" s="88">
        <f t="shared" si="21"/>
        <v>119959.42109177086</v>
      </c>
      <c r="N58" s="38"/>
      <c r="O58" s="38"/>
      <c r="P58" s="38"/>
      <c r="Q58" s="38"/>
      <c r="R58" s="38"/>
      <c r="S58" s="38"/>
    </row>
    <row r="59" spans="1:19" x14ac:dyDescent="0.25">
      <c r="A59" s="38"/>
      <c r="B59" s="38" t="s">
        <v>45</v>
      </c>
      <c r="C59" s="38"/>
      <c r="D59" s="78">
        <f>D40</f>
        <v>0</v>
      </c>
      <c r="E59" s="66">
        <f>E40</f>
        <v>0</v>
      </c>
      <c r="F59" s="65">
        <f>F40</f>
        <v>0</v>
      </c>
      <c r="G59" s="66">
        <f>G40</f>
        <v>0</v>
      </c>
      <c r="H59" s="67">
        <f t="shared" ref="H59:M59" si="22">H40</f>
        <v>0</v>
      </c>
      <c r="I59" s="65">
        <f t="shared" si="22"/>
        <v>276.93844109831844</v>
      </c>
      <c r="J59" s="66">
        <f t="shared" si="22"/>
        <v>3174.0380505940993</v>
      </c>
      <c r="K59" s="65">
        <f t="shared" si="22"/>
        <v>6565.7785621550865</v>
      </c>
      <c r="L59" s="66">
        <f t="shared" si="22"/>
        <v>10529.610832655628</v>
      </c>
      <c r="M59" s="88">
        <f t="shared" si="22"/>
        <v>15154.162067252153</v>
      </c>
      <c r="N59" s="38"/>
      <c r="O59" s="38"/>
      <c r="P59" s="38"/>
      <c r="Q59" s="38"/>
      <c r="R59" s="38"/>
      <c r="S59" s="38"/>
    </row>
    <row r="60" spans="1:19" x14ac:dyDescent="0.25">
      <c r="A60" s="38"/>
      <c r="B60" s="38"/>
      <c r="C60" s="38"/>
      <c r="D60" s="78"/>
      <c r="E60" s="66"/>
      <c r="F60" s="65"/>
      <c r="G60" s="66"/>
      <c r="H60" s="67"/>
      <c r="I60" s="65"/>
      <c r="J60" s="66"/>
      <c r="K60" s="65"/>
      <c r="L60" s="66"/>
      <c r="M60" s="88"/>
      <c r="N60" s="38"/>
      <c r="O60" s="38"/>
      <c r="P60" s="38"/>
      <c r="Q60" s="38"/>
      <c r="R60" s="38"/>
      <c r="S60" s="38"/>
    </row>
    <row r="61" spans="1:19" x14ac:dyDescent="0.25">
      <c r="A61" s="38"/>
      <c r="B61" s="38" t="s">
        <v>46</v>
      </c>
      <c r="C61" s="38"/>
      <c r="D61" s="78">
        <f>[1]Mortgage!F13</f>
        <v>935984.02921710885</v>
      </c>
      <c r="E61" s="66">
        <f>[1]Mortgage!F27</f>
        <v>921250.9747683102</v>
      </c>
      <c r="F61" s="65">
        <f>[1]Mortgage!F41</f>
        <v>905764.14929231594</v>
      </c>
      <c r="G61" s="66">
        <f>[1]Mortgage!F55</f>
        <v>889484.9884328068</v>
      </c>
      <c r="H61" s="67">
        <f>Mortgage!F75</f>
        <v>872372.95480780327</v>
      </c>
      <c r="I61" s="65">
        <f>Mortgage!F91</f>
        <v>854385.43706592836</v>
      </c>
      <c r="J61" s="66">
        <f>Mortgage!F107</f>
        <v>835477.64377819758</v>
      </c>
      <c r="K61" s="65">
        <f>Mortgage!F123</f>
        <v>815602.49190111109</v>
      </c>
      <c r="L61" s="66">
        <f>Mortgage!F139</f>
        <v>794710.4895333054</v>
      </c>
      <c r="M61" s="88">
        <f>Mortgage!F155</f>
        <v>772749.6126738129</v>
      </c>
      <c r="N61" s="52">
        <f>AVERAGE(D61:M61)+AVERAGE(D62:M62)</f>
        <v>859778.27714706992</v>
      </c>
      <c r="O61" s="38"/>
      <c r="P61" s="38"/>
      <c r="Q61" s="38"/>
      <c r="R61" s="38"/>
      <c r="S61" s="38"/>
    </row>
    <row r="62" spans="1:19" x14ac:dyDescent="0.25">
      <c r="A62" s="38"/>
      <c r="B62" s="38" t="s">
        <v>47</v>
      </c>
      <c r="C62" s="38"/>
      <c r="D62" s="78">
        <v>0</v>
      </c>
      <c r="E62" s="66">
        <v>0</v>
      </c>
      <c r="F62" s="65">
        <v>0</v>
      </c>
      <c r="G62" s="66">
        <v>0</v>
      </c>
      <c r="H62" s="67">
        <v>0</v>
      </c>
      <c r="I62" s="65">
        <v>0</v>
      </c>
      <c r="J62" s="66">
        <v>0</v>
      </c>
      <c r="K62" s="65">
        <v>0</v>
      </c>
      <c r="L62" s="66">
        <v>0</v>
      </c>
      <c r="M62" s="88">
        <v>0</v>
      </c>
      <c r="N62" s="38"/>
      <c r="O62" s="38"/>
      <c r="P62" s="38"/>
      <c r="Q62" s="38"/>
      <c r="R62" s="38"/>
      <c r="S62" s="38"/>
    </row>
    <row r="63" spans="1:19" x14ac:dyDescent="0.25">
      <c r="A63" s="38"/>
      <c r="B63" s="38"/>
      <c r="C63" s="38"/>
      <c r="D63" s="78"/>
      <c r="E63" s="66"/>
      <c r="F63" s="65"/>
      <c r="G63" s="66"/>
      <c r="H63" s="67"/>
      <c r="I63" s="65"/>
      <c r="J63" s="66"/>
      <c r="K63" s="65"/>
      <c r="L63" s="66"/>
      <c r="M63" s="88"/>
      <c r="N63" s="38"/>
      <c r="O63" s="74">
        <f>N61/(N61+N65)</f>
        <v>0.96476083098758725</v>
      </c>
      <c r="P63" s="38"/>
      <c r="Q63" s="38"/>
      <c r="R63" s="38"/>
      <c r="S63" s="38"/>
    </row>
    <row r="64" spans="1:19" x14ac:dyDescent="0.25">
      <c r="A64" s="38" t="s">
        <v>48</v>
      </c>
      <c r="B64" s="38"/>
      <c r="C64" s="38"/>
      <c r="D64" s="78"/>
      <c r="E64" s="66"/>
      <c r="F64" s="65"/>
      <c r="G64" s="66"/>
      <c r="H64" s="67"/>
      <c r="I64" s="65"/>
      <c r="J64" s="66"/>
      <c r="K64" s="65"/>
      <c r="L64" s="66"/>
      <c r="M64" s="88"/>
      <c r="N64" s="38"/>
      <c r="O64" s="74">
        <f>N65/(N61+N65)</f>
        <v>3.5239169012412655E-2</v>
      </c>
      <c r="P64" s="38"/>
      <c r="Q64" s="38"/>
      <c r="R64" s="38"/>
      <c r="S64" s="38"/>
    </row>
    <row r="65" spans="1:19" x14ac:dyDescent="0.25">
      <c r="A65" s="38"/>
      <c r="B65" s="38" t="s">
        <v>49</v>
      </c>
      <c r="C65" s="38"/>
      <c r="D65" s="78">
        <v>110000</v>
      </c>
      <c r="E65" s="65">
        <v>110000</v>
      </c>
      <c r="F65" s="65">
        <v>110000</v>
      </c>
      <c r="G65" s="65">
        <v>110000</v>
      </c>
      <c r="H65" s="65">
        <v>110000</v>
      </c>
      <c r="I65" s="65">
        <v>110000</v>
      </c>
      <c r="J65" s="65">
        <v>110000</v>
      </c>
      <c r="K65" s="65">
        <v>110000</v>
      </c>
      <c r="L65" s="65">
        <v>110000</v>
      </c>
      <c r="M65" s="88">
        <v>110000</v>
      </c>
      <c r="N65" s="52">
        <f>AVERAGE(D65:M65)+AVERAGE(D66:M66)</f>
        <v>31404.541984329771</v>
      </c>
      <c r="O65" s="38"/>
      <c r="P65" s="38"/>
      <c r="Q65" s="38"/>
      <c r="R65" s="38"/>
      <c r="S65" s="38"/>
    </row>
    <row r="66" spans="1:19" x14ac:dyDescent="0.25">
      <c r="A66" s="38"/>
      <c r="B66" s="38" t="s">
        <v>50</v>
      </c>
      <c r="C66" s="66"/>
      <c r="D66" s="78">
        <f>C66+D41</f>
        <v>-35503.17450715939</v>
      </c>
      <c r="E66" s="66">
        <f>D66+E41</f>
        <v>-65881.858338416088</v>
      </c>
      <c r="F66" s="65">
        <f>E66+F41</f>
        <v>-90205.159105212893</v>
      </c>
      <c r="G66" s="66">
        <f>F66+G41</f>
        <v>-107386.19413583423</v>
      </c>
      <c r="H66" s="67">
        <f t="shared" ref="H66:M66" si="23">G66+H41</f>
        <v>-116158.81425846159</v>
      </c>
      <c r="I66" s="65">
        <f t="shared" si="23"/>
        <v>-115327.99893516663</v>
      </c>
      <c r="J66" s="66">
        <f t="shared" si="23"/>
        <v>-105805.88478338433</v>
      </c>
      <c r="K66" s="65">
        <f t="shared" si="23"/>
        <v>-86108.549096919072</v>
      </c>
      <c r="L66" s="66">
        <f t="shared" si="23"/>
        <v>-54519.716598952189</v>
      </c>
      <c r="M66" s="88">
        <f t="shared" si="23"/>
        <v>-9057.2303971957299</v>
      </c>
      <c r="N66" s="38"/>
      <c r="O66" s="38"/>
      <c r="P66" s="38"/>
      <c r="Q66" s="38"/>
      <c r="R66" s="38"/>
      <c r="S66" s="38"/>
    </row>
    <row r="67" spans="1:19" ht="16.5" thickBot="1" x14ac:dyDescent="0.3">
      <c r="A67" s="38"/>
      <c r="B67" s="38"/>
      <c r="C67" s="38"/>
      <c r="D67" s="80"/>
      <c r="E67" s="118"/>
      <c r="F67" s="81"/>
      <c r="G67" s="118"/>
      <c r="H67" s="82"/>
      <c r="I67" s="81"/>
      <c r="J67" s="118"/>
      <c r="K67" s="81"/>
      <c r="L67" s="118"/>
      <c r="M67" s="90"/>
      <c r="N67" s="38"/>
      <c r="O67" s="38"/>
      <c r="P67" s="38"/>
      <c r="Q67" s="38"/>
      <c r="R67" s="38"/>
      <c r="S67" s="38"/>
    </row>
    <row r="68" spans="1:19" ht="16.5" thickBot="1" x14ac:dyDescent="0.3">
      <c r="A68" s="58" t="s">
        <v>51</v>
      </c>
      <c r="B68" s="38"/>
      <c r="C68" s="38"/>
      <c r="D68" s="126">
        <f>SUM(D58:D66)</f>
        <v>1076528.6607702235</v>
      </c>
      <c r="E68" s="127">
        <f>SUM(E58:E66)</f>
        <v>1035484.2289471175</v>
      </c>
      <c r="F68" s="128">
        <f>SUM(F58:F66)</f>
        <v>1000104.1742902286</v>
      </c>
      <c r="G68" s="127">
        <f>SUM(G58:G66)</f>
        <v>971478.33187716338</v>
      </c>
      <c r="H68" s="129">
        <f t="shared" ref="H68:M68" si="24">SUM(H58:H66)</f>
        <v>950879.09772582026</v>
      </c>
      <c r="I68" s="128">
        <f t="shared" si="24"/>
        <v>939788.56212591438</v>
      </c>
      <c r="J68" s="127">
        <f t="shared" si="24"/>
        <v>939652.50335849146</v>
      </c>
      <c r="K68" s="128">
        <f t="shared" si="24"/>
        <v>949849.35155879706</v>
      </c>
      <c r="L68" s="127">
        <f t="shared" si="24"/>
        <v>972199.08251130313</v>
      </c>
      <c r="M68" s="128">
        <f t="shared" si="24"/>
        <v>1008805.9654356402</v>
      </c>
      <c r="N68" s="38"/>
      <c r="O68" s="38"/>
      <c r="P68" s="38"/>
      <c r="Q68" s="38"/>
      <c r="R68" s="38"/>
      <c r="S68" s="38"/>
    </row>
    <row r="69" spans="1:19" ht="16.5" thickTop="1" x14ac:dyDescent="0.25">
      <c r="A69" s="38"/>
      <c r="B69" s="38"/>
      <c r="C69" s="38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38"/>
      <c r="O69" s="38"/>
      <c r="P69" s="38"/>
      <c r="Q69" s="38"/>
      <c r="R69" s="38"/>
      <c r="S69" s="38"/>
    </row>
    <row r="70" spans="1:19" x14ac:dyDescent="0.25">
      <c r="A70" s="58" t="s">
        <v>52</v>
      </c>
      <c r="B70" s="38"/>
      <c r="C70" s="38"/>
      <c r="D70" s="72">
        <f>D54-D68</f>
        <v>0</v>
      </c>
      <c r="E70" s="72">
        <f t="shared" ref="E70:M70" si="25">E54-E68</f>
        <v>0</v>
      </c>
      <c r="F70" s="72">
        <f t="shared" si="25"/>
        <v>0</v>
      </c>
      <c r="G70" s="72">
        <f t="shared" si="25"/>
        <v>0</v>
      </c>
      <c r="H70" s="72">
        <f t="shared" si="25"/>
        <v>0</v>
      </c>
      <c r="I70" s="72">
        <f t="shared" si="25"/>
        <v>0</v>
      </c>
      <c r="J70" s="72">
        <f t="shared" si="25"/>
        <v>0</v>
      </c>
      <c r="K70" s="72">
        <f t="shared" si="25"/>
        <v>0</v>
      </c>
      <c r="L70" s="72">
        <f t="shared" si="25"/>
        <v>0</v>
      </c>
      <c r="M70" s="72">
        <f t="shared" si="25"/>
        <v>0</v>
      </c>
      <c r="N70" s="38"/>
      <c r="O70" s="38"/>
      <c r="P70" s="38"/>
      <c r="Q70" s="38"/>
      <c r="R70" s="38"/>
      <c r="S70" s="38"/>
    </row>
    <row r="71" spans="1:19" x14ac:dyDescent="0.25">
      <c r="A71" s="38"/>
      <c r="B71" s="38"/>
      <c r="C71" s="38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38"/>
      <c r="O71" s="38"/>
      <c r="P71" s="38"/>
      <c r="Q71" s="38"/>
      <c r="R71" s="38"/>
      <c r="S71" s="38"/>
    </row>
    <row r="72" spans="1:19" x14ac:dyDescent="0.25">
      <c r="A72" s="38"/>
      <c r="B72" s="38"/>
      <c r="C72" s="38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38"/>
      <c r="O72" s="38"/>
      <c r="P72" s="38"/>
      <c r="Q72" s="38"/>
      <c r="R72" s="38"/>
      <c r="S72" s="38"/>
    </row>
    <row r="73" spans="1:19" x14ac:dyDescent="0.25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38"/>
      <c r="O73" s="38"/>
      <c r="P73" s="38"/>
      <c r="Q73" s="38"/>
      <c r="R73" s="38"/>
      <c r="S73" s="38"/>
    </row>
    <row r="74" spans="1:19" ht="16.5" thickBot="1" x14ac:dyDescent="0.3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38"/>
      <c r="O74" s="38"/>
      <c r="P74" s="38"/>
      <c r="Q74" s="38"/>
      <c r="R74" s="38"/>
      <c r="S74" s="38"/>
    </row>
    <row r="75" spans="1:19" ht="16.5" thickBot="1" x14ac:dyDescent="0.3">
      <c r="A75" s="75" t="s">
        <v>109</v>
      </c>
      <c r="C75" s="130">
        <v>0</v>
      </c>
      <c r="D75" s="131">
        <f>C75+1</f>
        <v>1</v>
      </c>
      <c r="E75" s="131">
        <f t="shared" ref="E75:M75" si="26">D75+1</f>
        <v>2</v>
      </c>
      <c r="F75" s="131">
        <f t="shared" si="26"/>
        <v>3</v>
      </c>
      <c r="G75" s="131">
        <f t="shared" si="26"/>
        <v>4</v>
      </c>
      <c r="H75" s="131">
        <f t="shared" si="26"/>
        <v>5</v>
      </c>
      <c r="I75" s="131">
        <f t="shared" si="26"/>
        <v>6</v>
      </c>
      <c r="J75" s="131">
        <f t="shared" si="26"/>
        <v>7</v>
      </c>
      <c r="K75" s="131">
        <f t="shared" si="26"/>
        <v>8</v>
      </c>
      <c r="L75" s="131">
        <f t="shared" si="26"/>
        <v>9</v>
      </c>
      <c r="M75" s="132">
        <f t="shared" si="26"/>
        <v>10</v>
      </c>
      <c r="N75" s="38"/>
      <c r="O75" s="38"/>
      <c r="P75" s="38"/>
      <c r="Q75" s="38"/>
      <c r="R75" s="38"/>
      <c r="S75" s="38"/>
    </row>
    <row r="76" spans="1:19" x14ac:dyDescent="0.25">
      <c r="A76" s="37" t="s">
        <v>110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</row>
    <row r="77" spans="1:19" x14ac:dyDescent="0.25">
      <c r="B77" s="37" t="s">
        <v>111</v>
      </c>
      <c r="D77" s="54">
        <f t="shared" ref="D77:M77" si="27">D24+D25-D27-D30-D31-D32</f>
        <v>38345.186400000006</v>
      </c>
      <c r="E77" s="54">
        <f t="shared" si="27"/>
        <v>42752.593409995083</v>
      </c>
      <c r="F77" s="54">
        <f t="shared" si="27"/>
        <v>48054.205447259475</v>
      </c>
      <c r="G77" s="54">
        <f t="shared" si="27"/>
        <v>54404.135799920012</v>
      </c>
      <c r="H77" s="54">
        <f t="shared" si="27"/>
        <v>61979.677942419483</v>
      </c>
      <c r="I77" s="54">
        <f t="shared" si="27"/>
        <v>70984.567712568911</v>
      </c>
      <c r="J77" s="54">
        <f t="shared" si="27"/>
        <v>81652.690604696458</v>
      </c>
      <c r="K77" s="54">
        <f t="shared" si="27"/>
        <v>94252.294061584631</v>
      </c>
      <c r="L77" s="54">
        <f t="shared" si="27"/>
        <v>109090.77265286713</v>
      </c>
      <c r="M77" s="54">
        <f t="shared" si="27"/>
        <v>126520.10309956694</v>
      </c>
    </row>
    <row r="78" spans="1:19" x14ac:dyDescent="0.25">
      <c r="B78" s="37" t="s">
        <v>112</v>
      </c>
      <c r="D78" s="54">
        <f t="shared" ref="D78:M78" si="28">D34</f>
        <v>26666.666666666668</v>
      </c>
      <c r="E78" s="54">
        <f t="shared" si="28"/>
        <v>26666.666666666668</v>
      </c>
      <c r="F78" s="54">
        <f t="shared" si="28"/>
        <v>26666.666666666668</v>
      </c>
      <c r="G78" s="54">
        <f t="shared" si="28"/>
        <v>26666.666666666668</v>
      </c>
      <c r="H78" s="54">
        <f t="shared" si="28"/>
        <v>26666.666666666668</v>
      </c>
      <c r="I78" s="54">
        <f t="shared" si="28"/>
        <v>26666.666666666668</v>
      </c>
      <c r="J78" s="54">
        <f t="shared" si="28"/>
        <v>26666.666666666668</v>
      </c>
      <c r="K78" s="54">
        <f t="shared" si="28"/>
        <v>26666.666666666668</v>
      </c>
      <c r="L78" s="54">
        <f t="shared" si="28"/>
        <v>26666.666666666668</v>
      </c>
      <c r="M78" s="54">
        <f t="shared" si="28"/>
        <v>26666.666666666668</v>
      </c>
    </row>
    <row r="79" spans="1:19" x14ac:dyDescent="0.25">
      <c r="B79" s="37" t="s">
        <v>113</v>
      </c>
      <c r="D79" s="54">
        <f>D77-D78</f>
        <v>11678.519733333338</v>
      </c>
      <c r="E79" s="54">
        <f t="shared" ref="E79:M79" si="29">E77-E78</f>
        <v>16085.926743328415</v>
      </c>
      <c r="F79" s="54">
        <f t="shared" si="29"/>
        <v>21387.538780592808</v>
      </c>
      <c r="G79" s="54">
        <f t="shared" si="29"/>
        <v>27737.469133253344</v>
      </c>
      <c r="H79" s="54">
        <f t="shared" si="29"/>
        <v>35313.011275752811</v>
      </c>
      <c r="I79" s="54">
        <f t="shared" si="29"/>
        <v>44317.901045902239</v>
      </c>
      <c r="J79" s="54">
        <f t="shared" si="29"/>
        <v>54986.023938029786</v>
      </c>
      <c r="K79" s="54">
        <f t="shared" si="29"/>
        <v>67585.627394917959</v>
      </c>
      <c r="L79" s="54">
        <f t="shared" si="29"/>
        <v>82424.105986200462</v>
      </c>
      <c r="M79" s="54">
        <f t="shared" si="29"/>
        <v>99853.436432900271</v>
      </c>
    </row>
    <row r="80" spans="1:19" x14ac:dyDescent="0.25">
      <c r="B80" s="37" t="s">
        <v>114</v>
      </c>
      <c r="D80" s="54">
        <f>D79*$N$40</f>
        <v>2919.6299333333345</v>
      </c>
      <c r="E80" s="54">
        <f t="shared" ref="E80:M80" si="30">E79*$N$40</f>
        <v>4021.4816858321037</v>
      </c>
      <c r="F80" s="54">
        <f t="shared" si="30"/>
        <v>5346.8846951482019</v>
      </c>
      <c r="G80" s="54">
        <f t="shared" si="30"/>
        <v>6934.367283313336</v>
      </c>
      <c r="H80" s="54">
        <f t="shared" si="30"/>
        <v>8828.2528189382028</v>
      </c>
      <c r="I80" s="54">
        <f t="shared" si="30"/>
        <v>11079.47526147556</v>
      </c>
      <c r="J80" s="54">
        <f t="shared" si="30"/>
        <v>13746.505984507447</v>
      </c>
      <c r="K80" s="54">
        <f t="shared" si="30"/>
        <v>16896.40684872949</v>
      </c>
      <c r="L80" s="54">
        <f t="shared" si="30"/>
        <v>20606.026496550116</v>
      </c>
      <c r="M80" s="54">
        <f t="shared" si="30"/>
        <v>24963.359108225068</v>
      </c>
    </row>
    <row r="81" spans="1:14" x14ac:dyDescent="0.25">
      <c r="B81" s="37" t="s">
        <v>115</v>
      </c>
      <c r="D81" s="54">
        <f>D77-D80</f>
        <v>35425.556466666669</v>
      </c>
      <c r="E81" s="54">
        <f t="shared" ref="E81:M81" si="31">E77-E80</f>
        <v>38731.111724162976</v>
      </c>
      <c r="F81" s="54">
        <f t="shared" si="31"/>
        <v>42707.320752111271</v>
      </c>
      <c r="G81" s="54">
        <f t="shared" si="31"/>
        <v>47469.768516606673</v>
      </c>
      <c r="H81" s="54">
        <f t="shared" si="31"/>
        <v>53151.425123481284</v>
      </c>
      <c r="I81" s="54">
        <f t="shared" si="31"/>
        <v>59905.092451093355</v>
      </c>
      <c r="J81" s="54">
        <f t="shared" si="31"/>
        <v>67906.184620189015</v>
      </c>
      <c r="K81" s="54">
        <f t="shared" si="31"/>
        <v>77355.887212855145</v>
      </c>
      <c r="L81" s="54">
        <f t="shared" si="31"/>
        <v>88484.746156317022</v>
      </c>
      <c r="M81" s="54">
        <f t="shared" si="31"/>
        <v>101556.74399134188</v>
      </c>
    </row>
    <row r="83" spans="1:14" x14ac:dyDescent="0.25">
      <c r="A83" s="37" t="s">
        <v>116</v>
      </c>
    </row>
    <row r="84" spans="1:14" x14ac:dyDescent="0.25">
      <c r="B84" s="37" t="s">
        <v>117</v>
      </c>
      <c r="C84" s="53">
        <f t="shared" ref="C84:M84" si="32">C45-D45</f>
        <v>-10000</v>
      </c>
      <c r="D84" s="53">
        <f t="shared" si="32"/>
        <v>0</v>
      </c>
      <c r="E84" s="53">
        <f t="shared" si="32"/>
        <v>0</v>
      </c>
      <c r="F84" s="53">
        <f t="shared" si="32"/>
        <v>0</v>
      </c>
      <c r="G84" s="53">
        <f t="shared" si="32"/>
        <v>0</v>
      </c>
      <c r="H84" s="53">
        <f t="shared" si="32"/>
        <v>0</v>
      </c>
      <c r="I84" s="53">
        <f t="shared" si="32"/>
        <v>0</v>
      </c>
      <c r="J84" s="53">
        <f t="shared" si="32"/>
        <v>0</v>
      </c>
      <c r="K84" s="53">
        <f t="shared" si="32"/>
        <v>0</v>
      </c>
      <c r="L84" s="53">
        <f t="shared" si="32"/>
        <v>0</v>
      </c>
      <c r="M84" s="53">
        <f t="shared" si="32"/>
        <v>10000</v>
      </c>
    </row>
    <row r="85" spans="1:14" x14ac:dyDescent="0.25">
      <c r="B85" s="37" t="s">
        <v>36</v>
      </c>
      <c r="C85" s="53">
        <f t="shared" ref="C85:M85" si="33">C47-D47</f>
        <v>-8877.3932876712333</v>
      </c>
      <c r="D85" s="53">
        <f t="shared" si="33"/>
        <v>-1180.6933072602751</v>
      </c>
      <c r="E85" s="53">
        <f t="shared" si="33"/>
        <v>-1337.7255171258912</v>
      </c>
      <c r="F85" s="53">
        <f t="shared" si="33"/>
        <v>-1515.6430109036337</v>
      </c>
      <c r="G85" s="53">
        <f t="shared" si="33"/>
        <v>-1717.2235313538185</v>
      </c>
      <c r="H85" s="53">
        <f t="shared" si="33"/>
        <v>-1945.6142610238785</v>
      </c>
      <c r="I85" s="53">
        <f t="shared" si="33"/>
        <v>-2204.3809577400571</v>
      </c>
      <c r="J85" s="53">
        <f t="shared" si="33"/>
        <v>-2497.563625119481</v>
      </c>
      <c r="K85" s="53">
        <f t="shared" si="33"/>
        <v>-2829.7395872603738</v>
      </c>
      <c r="L85" s="53">
        <f t="shared" si="33"/>
        <v>-3206.0949523659983</v>
      </c>
      <c r="M85" s="53">
        <f t="shared" si="33"/>
        <v>27312.072037824641</v>
      </c>
    </row>
    <row r="86" spans="1:14" x14ac:dyDescent="0.25">
      <c r="B86" s="37" t="s">
        <v>37</v>
      </c>
      <c r="C86" s="53">
        <f t="shared" ref="C86:M86" si="34">C48-D48</f>
        <v>-22015.935353424658</v>
      </c>
      <c r="D86" s="53">
        <f t="shared" si="34"/>
        <v>-1355.7688189830842</v>
      </c>
      <c r="E86" s="53">
        <f t="shared" si="34"/>
        <v>-1476.6905286341644</v>
      </c>
      <c r="F86" s="53">
        <f t="shared" si="34"/>
        <v>-1611.451159021668</v>
      </c>
      <c r="G86" s="53">
        <f t="shared" si="34"/>
        <v>-1761.8065320959722</v>
      </c>
      <c r="H86" s="53">
        <f t="shared" si="34"/>
        <v>-1929.7427925252487</v>
      </c>
      <c r="I86" s="53">
        <f t="shared" si="34"/>
        <v>-2117.5069196766162</v>
      </c>
      <c r="J86" s="53">
        <f t="shared" si="34"/>
        <v>-2327.6412931218874</v>
      </c>
      <c r="K86" s="53">
        <f t="shared" si="34"/>
        <v>-2563.0228506148051</v>
      </c>
      <c r="L86" s="53">
        <f t="shared" si="34"/>
        <v>-2826.9074491588472</v>
      </c>
      <c r="M86" s="53">
        <f t="shared" si="34"/>
        <v>39986.473697256952</v>
      </c>
    </row>
    <row r="88" spans="1:14" x14ac:dyDescent="0.25">
      <c r="B88" s="37" t="s">
        <v>38</v>
      </c>
      <c r="C88" s="53">
        <f t="shared" ref="C88:M88" si="35">C50-D50</f>
        <v>-200000</v>
      </c>
      <c r="D88" s="53">
        <f t="shared" si="35"/>
        <v>0</v>
      </c>
      <c r="E88" s="53">
        <f t="shared" si="35"/>
        <v>0</v>
      </c>
      <c r="F88" s="53">
        <f t="shared" si="35"/>
        <v>0</v>
      </c>
      <c r="G88" s="53">
        <f t="shared" si="35"/>
        <v>0</v>
      </c>
      <c r="H88" s="53">
        <f t="shared" si="35"/>
        <v>0</v>
      </c>
      <c r="I88" s="53">
        <f t="shared" si="35"/>
        <v>0</v>
      </c>
      <c r="J88" s="53">
        <f t="shared" si="35"/>
        <v>0</v>
      </c>
      <c r="K88" s="53">
        <f t="shared" si="35"/>
        <v>0</v>
      </c>
      <c r="L88" s="53">
        <f t="shared" si="35"/>
        <v>0</v>
      </c>
      <c r="M88" s="53">
        <f t="shared" si="35"/>
        <v>200000</v>
      </c>
    </row>
    <row r="89" spans="1:14" x14ac:dyDescent="0.25">
      <c r="B89" s="37" t="s">
        <v>118</v>
      </c>
      <c r="M89" s="37">
        <v>25000</v>
      </c>
    </row>
    <row r="90" spans="1:14" x14ac:dyDescent="0.25">
      <c r="B90" s="37" t="s">
        <v>119</v>
      </c>
      <c r="M90" s="37">
        <f>-M89*(N40)</f>
        <v>-6250</v>
      </c>
    </row>
    <row r="92" spans="1:14" x14ac:dyDescent="0.25">
      <c r="B92" s="37" t="s">
        <v>39</v>
      </c>
      <c r="C92" s="53">
        <f t="shared" ref="C92:L92" si="36">C51-D51</f>
        <v>-800000</v>
      </c>
      <c r="D92" s="53">
        <f t="shared" si="36"/>
        <v>0</v>
      </c>
      <c r="E92" s="53">
        <f t="shared" si="36"/>
        <v>0</v>
      </c>
      <c r="F92" s="53">
        <f t="shared" si="36"/>
        <v>0</v>
      </c>
      <c r="G92" s="53">
        <f t="shared" si="36"/>
        <v>0</v>
      </c>
      <c r="H92" s="53">
        <f t="shared" si="36"/>
        <v>0</v>
      </c>
      <c r="I92" s="53">
        <f t="shared" si="36"/>
        <v>0</v>
      </c>
      <c r="J92" s="53">
        <f t="shared" si="36"/>
        <v>0</v>
      </c>
      <c r="K92" s="53">
        <f t="shared" si="36"/>
        <v>0</v>
      </c>
      <c r="L92" s="53">
        <f t="shared" si="36"/>
        <v>0</v>
      </c>
      <c r="M92" s="53">
        <v>533333</v>
      </c>
      <c r="N92" s="53">
        <v>530000</v>
      </c>
    </row>
    <row r="93" spans="1:14" x14ac:dyDescent="0.25">
      <c r="B93" s="37" t="s">
        <v>118</v>
      </c>
      <c r="M93" s="53">
        <v>0</v>
      </c>
      <c r="N93" s="54"/>
    </row>
    <row r="94" spans="1:14" x14ac:dyDescent="0.25">
      <c r="B94" s="37" t="s">
        <v>119</v>
      </c>
      <c r="M94" s="53">
        <f>-M93*N40</f>
        <v>0</v>
      </c>
      <c r="N94" s="53"/>
    </row>
    <row r="96" spans="1:14" x14ac:dyDescent="0.25">
      <c r="B96" s="37" t="s">
        <v>44</v>
      </c>
      <c r="C96" s="53">
        <f t="shared" ref="C96:M96" si="37">-C58+D58</f>
        <v>66047.806060273986</v>
      </c>
      <c r="D96" s="53">
        <f t="shared" si="37"/>
        <v>4067.3064569492417</v>
      </c>
      <c r="E96" s="53">
        <f t="shared" si="37"/>
        <v>4430.0715859024931</v>
      </c>
      <c r="F96" s="53">
        <f t="shared" si="37"/>
        <v>4834.3534770650003</v>
      </c>
      <c r="G96" s="53">
        <f t="shared" si="37"/>
        <v>5285.4195962879166</v>
      </c>
      <c r="H96" s="53">
        <f t="shared" si="37"/>
        <v>5789.2283775757387</v>
      </c>
      <c r="I96" s="53">
        <f t="shared" si="37"/>
        <v>6352.5207590298523</v>
      </c>
      <c r="J96" s="53">
        <f t="shared" si="37"/>
        <v>6982.9238793656696</v>
      </c>
      <c r="K96" s="53">
        <f t="shared" si="37"/>
        <v>7689.0685518444225</v>
      </c>
      <c r="L96" s="53">
        <f t="shared" si="37"/>
        <v>8480.7223474765342</v>
      </c>
      <c r="M96" s="53">
        <f t="shared" si="37"/>
        <v>-119959.42109177086</v>
      </c>
    </row>
    <row r="97" spans="1:13" x14ac:dyDescent="0.25">
      <c r="B97" s="37" t="s">
        <v>120</v>
      </c>
      <c r="C97" s="53">
        <f>-C80+D80</f>
        <v>2919.6299333333345</v>
      </c>
      <c r="D97" s="53">
        <f t="shared" ref="D97:M97" si="38">-D80+E80</f>
        <v>1101.8517524987692</v>
      </c>
      <c r="E97" s="53">
        <f t="shared" si="38"/>
        <v>1325.4030093160982</v>
      </c>
      <c r="F97" s="53">
        <f t="shared" si="38"/>
        <v>1587.4825881651341</v>
      </c>
      <c r="G97" s="53">
        <f t="shared" si="38"/>
        <v>1893.8855356248669</v>
      </c>
      <c r="H97" s="53">
        <f t="shared" si="38"/>
        <v>2251.222442537357</v>
      </c>
      <c r="I97" s="53">
        <f t="shared" si="38"/>
        <v>2667.0307230318867</v>
      </c>
      <c r="J97" s="53">
        <f t="shared" si="38"/>
        <v>3149.9008642220433</v>
      </c>
      <c r="K97" s="53">
        <f t="shared" si="38"/>
        <v>3709.6196478206257</v>
      </c>
      <c r="L97" s="53">
        <f t="shared" si="38"/>
        <v>4357.3326116749522</v>
      </c>
      <c r="M97" s="53">
        <f t="shared" si="38"/>
        <v>-24963.359108225068</v>
      </c>
    </row>
    <row r="99" spans="1:13" x14ac:dyDescent="0.25">
      <c r="A99" s="75" t="s">
        <v>121</v>
      </c>
      <c r="C99" s="54">
        <f>SUM(C81:C97)</f>
        <v>-971925.89264748851</v>
      </c>
      <c r="D99" s="54">
        <f t="shared" ref="D99:M99" si="39">SUM(D81:D97)</f>
        <v>38058.252549871322</v>
      </c>
      <c r="E99" s="54">
        <f t="shared" si="39"/>
        <v>41672.170273621508</v>
      </c>
      <c r="F99" s="54">
        <f t="shared" si="39"/>
        <v>46002.062647416096</v>
      </c>
      <c r="G99" s="54">
        <f t="shared" si="39"/>
        <v>51170.043585069667</v>
      </c>
      <c r="H99" s="54">
        <f t="shared" si="39"/>
        <v>57316.518890045256</v>
      </c>
      <c r="I99" s="54">
        <f t="shared" si="39"/>
        <v>64602.756055738428</v>
      </c>
      <c r="J99" s="54">
        <f t="shared" si="39"/>
        <v>73213.804445535367</v>
      </c>
      <c r="K99" s="54">
        <f t="shared" si="39"/>
        <v>83361.812974645029</v>
      </c>
      <c r="L99" s="54">
        <f t="shared" si="39"/>
        <v>95289.798713943659</v>
      </c>
      <c r="M99" s="54">
        <f t="shared" si="39"/>
        <v>786015.50952642749</v>
      </c>
    </row>
    <row r="100" spans="1:13" x14ac:dyDescent="0.25">
      <c r="A100" s="75" t="s">
        <v>122</v>
      </c>
      <c r="C100" s="55">
        <f>IRR(C99:M99)</f>
        <v>4.0067287142624419E-2</v>
      </c>
    </row>
    <row r="101" spans="1:13" x14ac:dyDescent="0.25">
      <c r="A101" s="75"/>
    </row>
    <row r="102" spans="1:13" x14ac:dyDescent="0.25">
      <c r="A102" s="75" t="s">
        <v>123</v>
      </c>
      <c r="C102" s="50">
        <f>'Cost of Capital Labor Division'!B30</f>
        <v>3.8211490682146146E-2</v>
      </c>
    </row>
    <row r="103" spans="1:13" x14ac:dyDescent="0.25">
      <c r="A103" s="75" t="s">
        <v>124</v>
      </c>
      <c r="C103" s="56">
        <f>NPV(C102,D99:M99)</f>
        <v>985856.48749567324</v>
      </c>
    </row>
  </sheetData>
  <pageMargins left="0.75" right="0.75" top="1" bottom="1" header="0.5" footer="0.5"/>
  <pageSetup scale="56" orientation="landscape" r:id="rId1"/>
  <headerFooter>
    <oddFooter>&amp;C&amp;P</oddFooter>
  </headerFooter>
  <rowBreaks count="2" manualBreakCount="2">
    <brk id="41" max="12" man="1"/>
    <brk id="73" max="12" man="1"/>
  </rowBreaks>
  <colBreaks count="1" manualBreakCount="1">
    <brk id="16" max="100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zoomScale="80" zoomScaleNormal="80" workbookViewId="0"/>
  </sheetViews>
  <sheetFormatPr defaultColWidth="11" defaultRowHeight="15.75" x14ac:dyDescent="0.25"/>
  <cols>
    <col min="2" max="2" width="12.125" customWidth="1"/>
    <col min="6" max="6" width="11.5" customWidth="1"/>
    <col min="9" max="9" width="12.625" customWidth="1"/>
  </cols>
  <sheetData>
    <row r="1" spans="1:9" x14ac:dyDescent="0.25">
      <c r="A1" s="9" t="s">
        <v>4</v>
      </c>
    </row>
    <row r="2" spans="1:9" x14ac:dyDescent="0.25">
      <c r="B2" s="10" t="s">
        <v>53</v>
      </c>
      <c r="C2" s="10" t="s">
        <v>54</v>
      </c>
      <c r="D2" s="10" t="s">
        <v>55</v>
      </c>
      <c r="E2" s="10" t="s">
        <v>56</v>
      </c>
      <c r="F2" s="10" t="s">
        <v>57</v>
      </c>
      <c r="H2" t="s">
        <v>58</v>
      </c>
      <c r="I2" s="1">
        <v>0.05</v>
      </c>
    </row>
    <row r="3" spans="1:9" x14ac:dyDescent="0.25">
      <c r="A3" s="2" t="s">
        <v>65</v>
      </c>
      <c r="B3" s="3">
        <f>I7</f>
        <v>950000</v>
      </c>
      <c r="C3" s="3">
        <f t="shared" ref="C3:C14" si="0">+E3-D3</f>
        <v>1141.4720852819878</v>
      </c>
      <c r="D3" s="3">
        <f t="shared" ref="D3:D14" si="1">B3*$I$3</f>
        <v>3958.3333333333335</v>
      </c>
      <c r="E3" s="3">
        <f t="shared" ref="E3:E14" si="2">-$I$9</f>
        <v>5099.8054186153213</v>
      </c>
      <c r="F3" s="3">
        <f t="shared" ref="F3:F14" si="3">+B3-C3</f>
        <v>948858.52791471803</v>
      </c>
      <c r="H3" t="s">
        <v>59</v>
      </c>
      <c r="I3" s="1">
        <f>+I2/12</f>
        <v>4.1666666666666666E-3</v>
      </c>
    </row>
    <row r="4" spans="1:9" x14ac:dyDescent="0.25">
      <c r="A4" s="2" t="s">
        <v>66</v>
      </c>
      <c r="B4" s="3">
        <f t="shared" ref="B4:B14" si="4">+F3</f>
        <v>948858.52791471803</v>
      </c>
      <c r="C4" s="3">
        <f t="shared" si="0"/>
        <v>1146.228218970663</v>
      </c>
      <c r="D4" s="3">
        <f t="shared" si="1"/>
        <v>3953.5771996446583</v>
      </c>
      <c r="E4" s="3">
        <f t="shared" si="2"/>
        <v>5099.8054186153213</v>
      </c>
      <c r="F4" s="3">
        <f t="shared" si="3"/>
        <v>947712.29969574732</v>
      </c>
      <c r="H4" t="s">
        <v>60</v>
      </c>
      <c r="I4" s="4">
        <v>0</v>
      </c>
    </row>
    <row r="5" spans="1:9" x14ac:dyDescent="0.25">
      <c r="A5" s="2" t="s">
        <v>67</v>
      </c>
      <c r="B5" s="3">
        <f t="shared" si="4"/>
        <v>947712.29969574732</v>
      </c>
      <c r="C5" s="3">
        <f t="shared" si="0"/>
        <v>1151.004169883041</v>
      </c>
      <c r="D5" s="3">
        <f t="shared" si="1"/>
        <v>3948.8012487322803</v>
      </c>
      <c r="E5" s="3">
        <f t="shared" si="2"/>
        <v>5099.8054186153213</v>
      </c>
      <c r="F5" s="3">
        <f t="shared" si="3"/>
        <v>946561.29552586423</v>
      </c>
      <c r="H5" t="s">
        <v>61</v>
      </c>
      <c r="I5" s="5">
        <f>12*30</f>
        <v>360</v>
      </c>
    </row>
    <row r="6" spans="1:9" x14ac:dyDescent="0.25">
      <c r="A6" s="2" t="s">
        <v>68</v>
      </c>
      <c r="B6" s="3">
        <f t="shared" si="4"/>
        <v>946561.29552586423</v>
      </c>
      <c r="C6" s="3">
        <f t="shared" si="0"/>
        <v>1155.800020590887</v>
      </c>
      <c r="D6" s="3">
        <f t="shared" si="1"/>
        <v>3944.0053980244343</v>
      </c>
      <c r="E6" s="3">
        <f t="shared" si="2"/>
        <v>5099.8054186153213</v>
      </c>
      <c r="F6" s="3">
        <f t="shared" si="3"/>
        <v>945405.49550527334</v>
      </c>
      <c r="H6" t="s">
        <v>62</v>
      </c>
      <c r="I6">
        <v>0</v>
      </c>
    </row>
    <row r="7" spans="1:9" x14ac:dyDescent="0.25">
      <c r="A7" s="2" t="s">
        <v>69</v>
      </c>
      <c r="B7" s="3">
        <f t="shared" si="4"/>
        <v>945405.49550527334</v>
      </c>
      <c r="C7" s="3">
        <f t="shared" si="0"/>
        <v>1160.6158540100159</v>
      </c>
      <c r="D7" s="3">
        <f t="shared" si="1"/>
        <v>3939.1895646053053</v>
      </c>
      <c r="E7" s="3">
        <f t="shared" si="2"/>
        <v>5099.8054186153213</v>
      </c>
      <c r="F7" s="3">
        <f t="shared" si="3"/>
        <v>944244.87965126336</v>
      </c>
      <c r="H7" t="s">
        <v>63</v>
      </c>
      <c r="I7" s="4">
        <v>950000</v>
      </c>
    </row>
    <row r="8" spans="1:9" x14ac:dyDescent="0.25">
      <c r="A8" s="2" t="s">
        <v>70</v>
      </c>
      <c r="B8" s="3">
        <f t="shared" si="4"/>
        <v>944244.87965126336</v>
      </c>
      <c r="C8" s="3">
        <f t="shared" si="0"/>
        <v>1165.4517534017241</v>
      </c>
      <c r="D8" s="3">
        <f t="shared" si="1"/>
        <v>3934.3536652135972</v>
      </c>
      <c r="E8" s="3">
        <f t="shared" si="2"/>
        <v>5099.8054186153213</v>
      </c>
      <c r="F8" s="3">
        <f t="shared" si="3"/>
        <v>943079.42789786158</v>
      </c>
    </row>
    <row r="9" spans="1:9" x14ac:dyDescent="0.25">
      <c r="A9" s="2" t="s">
        <v>71</v>
      </c>
      <c r="B9" s="3">
        <f t="shared" si="4"/>
        <v>943079.42789786158</v>
      </c>
      <c r="C9" s="3">
        <f t="shared" si="0"/>
        <v>1170.3078023742314</v>
      </c>
      <c r="D9" s="3">
        <f t="shared" si="1"/>
        <v>3929.4976162410899</v>
      </c>
      <c r="E9" s="3">
        <f t="shared" si="2"/>
        <v>5099.8054186153213</v>
      </c>
      <c r="F9" s="3">
        <f t="shared" si="3"/>
        <v>941909.12009548733</v>
      </c>
      <c r="H9" t="s">
        <v>56</v>
      </c>
      <c r="I9" s="4">
        <f>PMT(I3,I5,I7,I4,I6)</f>
        <v>-5099.8054186153213</v>
      </c>
    </row>
    <row r="10" spans="1:9" x14ac:dyDescent="0.25">
      <c r="A10" s="2" t="s">
        <v>72</v>
      </c>
      <c r="B10" s="3">
        <f t="shared" si="4"/>
        <v>941909.12009548733</v>
      </c>
      <c r="C10" s="3">
        <f t="shared" si="0"/>
        <v>1175.1840848841243</v>
      </c>
      <c r="D10" s="3">
        <f t="shared" si="1"/>
        <v>3924.621333731197</v>
      </c>
      <c r="E10" s="3">
        <f t="shared" si="2"/>
        <v>5099.8054186153213</v>
      </c>
      <c r="F10" s="3">
        <f t="shared" si="3"/>
        <v>940733.93601060321</v>
      </c>
    </row>
    <row r="11" spans="1:9" x14ac:dyDescent="0.25">
      <c r="A11" s="2" t="s">
        <v>73</v>
      </c>
      <c r="B11" s="3">
        <f t="shared" si="4"/>
        <v>940733.93601060321</v>
      </c>
      <c r="C11" s="3">
        <f t="shared" si="0"/>
        <v>1180.0806852378078</v>
      </c>
      <c r="D11" s="3">
        <f t="shared" si="1"/>
        <v>3919.7247333775135</v>
      </c>
      <c r="E11" s="3">
        <f t="shared" si="2"/>
        <v>5099.8054186153213</v>
      </c>
      <c r="F11" s="3">
        <f t="shared" si="3"/>
        <v>939553.85532536544</v>
      </c>
    </row>
    <row r="12" spans="1:9" x14ac:dyDescent="0.25">
      <c r="A12" s="2" t="s">
        <v>74</v>
      </c>
      <c r="B12" s="3">
        <f t="shared" si="4"/>
        <v>939553.85532536544</v>
      </c>
      <c r="C12" s="3">
        <f t="shared" si="0"/>
        <v>1184.9976880929653</v>
      </c>
      <c r="D12" s="3">
        <f t="shared" si="1"/>
        <v>3914.807730522356</v>
      </c>
      <c r="E12" s="3">
        <f t="shared" si="2"/>
        <v>5099.8054186153213</v>
      </c>
      <c r="F12" s="3">
        <f t="shared" si="3"/>
        <v>938368.85763727245</v>
      </c>
    </row>
    <row r="13" spans="1:9" x14ac:dyDescent="0.25">
      <c r="A13" s="2" t="s">
        <v>75</v>
      </c>
      <c r="B13" s="3">
        <f t="shared" si="4"/>
        <v>938368.85763727245</v>
      </c>
      <c r="C13" s="3">
        <f t="shared" si="0"/>
        <v>1189.9351784600194</v>
      </c>
      <c r="D13" s="3">
        <f t="shared" si="1"/>
        <v>3909.8702401553019</v>
      </c>
      <c r="E13" s="3">
        <f t="shared" si="2"/>
        <v>5099.8054186153213</v>
      </c>
      <c r="F13" s="3">
        <f t="shared" si="3"/>
        <v>937178.92245881248</v>
      </c>
    </row>
    <row r="14" spans="1:9" x14ac:dyDescent="0.25">
      <c r="A14" s="2" t="s">
        <v>76</v>
      </c>
      <c r="B14" s="3">
        <f t="shared" si="4"/>
        <v>937178.92245881248</v>
      </c>
      <c r="C14" s="3">
        <f t="shared" si="0"/>
        <v>1194.8932417036026</v>
      </c>
      <c r="D14" s="3">
        <f t="shared" si="1"/>
        <v>3904.9121769117187</v>
      </c>
      <c r="E14" s="3">
        <f t="shared" si="2"/>
        <v>5099.8054186153213</v>
      </c>
      <c r="F14" s="6">
        <f t="shared" si="3"/>
        <v>935984.02921710885</v>
      </c>
    </row>
    <row r="15" spans="1:9" x14ac:dyDescent="0.25">
      <c r="A15" s="7" t="s">
        <v>64</v>
      </c>
      <c r="B15" s="7"/>
      <c r="C15" s="6">
        <f>SUM(C3:C14)</f>
        <v>14015.97078289107</v>
      </c>
      <c r="D15" s="6">
        <f>SUM(D3:D14)</f>
        <v>47181.694240492783</v>
      </c>
      <c r="E15" s="3"/>
      <c r="F15" s="3"/>
    </row>
    <row r="16" spans="1:9" x14ac:dyDescent="0.25">
      <c r="A16" s="7"/>
      <c r="B16" s="7"/>
      <c r="C16" s="6"/>
      <c r="D16" s="6"/>
      <c r="E16" s="3"/>
      <c r="F16" s="3"/>
    </row>
    <row r="17" spans="1:6" x14ac:dyDescent="0.25">
      <c r="A17" s="7"/>
      <c r="B17" s="7"/>
      <c r="C17" s="6"/>
      <c r="D17" s="6"/>
      <c r="E17" s="3"/>
      <c r="F17" s="3"/>
    </row>
    <row r="18" spans="1:6" x14ac:dyDescent="0.25">
      <c r="A18" s="12" t="s">
        <v>5</v>
      </c>
      <c r="B18" s="10" t="s">
        <v>53</v>
      </c>
      <c r="C18" s="10" t="s">
        <v>54</v>
      </c>
      <c r="D18" s="10" t="s">
        <v>55</v>
      </c>
      <c r="E18" s="10" t="s">
        <v>56</v>
      </c>
      <c r="F18" s="10" t="s">
        <v>57</v>
      </c>
    </row>
    <row r="19" spans="1:6" x14ac:dyDescent="0.25">
      <c r="A19" s="2" t="s">
        <v>77</v>
      </c>
      <c r="B19" s="3">
        <f>+F14</f>
        <v>935984.02921710885</v>
      </c>
      <c r="C19" s="3">
        <f t="shared" ref="C19:C30" si="5">+E19-D19</f>
        <v>1199.8719635440343</v>
      </c>
      <c r="D19" s="3">
        <f t="shared" ref="D19:D30" si="6">B19*$I$3</f>
        <v>3899.933455071287</v>
      </c>
      <c r="E19" s="3">
        <f t="shared" ref="E19:E30" si="7">-$I$9</f>
        <v>5099.8054186153213</v>
      </c>
      <c r="F19" s="3">
        <f t="shared" ref="F19:F30" si="8">+B19-C19</f>
        <v>934784.1572535648</v>
      </c>
    </row>
    <row r="20" spans="1:6" x14ac:dyDescent="0.25">
      <c r="A20" s="2" t="s">
        <v>66</v>
      </c>
      <c r="B20" s="3">
        <f t="shared" ref="B20:B30" si="9">+F19</f>
        <v>934784.1572535648</v>
      </c>
      <c r="C20" s="3">
        <f t="shared" si="5"/>
        <v>1204.8714300588013</v>
      </c>
      <c r="D20" s="3">
        <f t="shared" si="6"/>
        <v>3894.93398855652</v>
      </c>
      <c r="E20" s="3">
        <f t="shared" si="7"/>
        <v>5099.8054186153213</v>
      </c>
      <c r="F20" s="3">
        <f t="shared" si="8"/>
        <v>933579.28582350595</v>
      </c>
    </row>
    <row r="21" spans="1:6" x14ac:dyDescent="0.25">
      <c r="A21" s="2" t="s">
        <v>67</v>
      </c>
      <c r="B21" s="3">
        <f t="shared" si="9"/>
        <v>933579.28582350595</v>
      </c>
      <c r="C21" s="3">
        <f t="shared" si="5"/>
        <v>1209.8917276840466</v>
      </c>
      <c r="D21" s="3">
        <f t="shared" si="6"/>
        <v>3889.9136909312747</v>
      </c>
      <c r="E21" s="3">
        <f t="shared" si="7"/>
        <v>5099.8054186153213</v>
      </c>
      <c r="F21" s="3">
        <f t="shared" si="8"/>
        <v>932369.39409582189</v>
      </c>
    </row>
    <row r="22" spans="1:6" x14ac:dyDescent="0.25">
      <c r="A22" s="2" t="s">
        <v>68</v>
      </c>
      <c r="B22" s="3">
        <f t="shared" si="9"/>
        <v>932369.39409582189</v>
      </c>
      <c r="C22" s="3">
        <f t="shared" si="5"/>
        <v>1214.9329432160634</v>
      </c>
      <c r="D22" s="3">
        <f t="shared" si="6"/>
        <v>3884.8724753992578</v>
      </c>
      <c r="E22" s="3">
        <f t="shared" si="7"/>
        <v>5099.8054186153213</v>
      </c>
      <c r="F22" s="3">
        <f t="shared" si="8"/>
        <v>931154.46115260583</v>
      </c>
    </row>
    <row r="23" spans="1:6" x14ac:dyDescent="0.25">
      <c r="A23" s="2" t="s">
        <v>78</v>
      </c>
      <c r="B23" s="3">
        <f t="shared" si="9"/>
        <v>931154.46115260583</v>
      </c>
      <c r="C23" s="3">
        <f t="shared" si="5"/>
        <v>1219.9951638127973</v>
      </c>
      <c r="D23" s="3">
        <f t="shared" si="6"/>
        <v>3879.810254802524</v>
      </c>
      <c r="E23" s="3">
        <f t="shared" si="7"/>
        <v>5099.8054186153213</v>
      </c>
      <c r="F23" s="3">
        <f t="shared" si="8"/>
        <v>929934.46598879306</v>
      </c>
    </row>
    <row r="24" spans="1:6" x14ac:dyDescent="0.25">
      <c r="A24" s="2" t="s">
        <v>70</v>
      </c>
      <c r="B24" s="3">
        <f t="shared" si="9"/>
        <v>929934.46598879306</v>
      </c>
      <c r="C24" s="3">
        <f t="shared" si="5"/>
        <v>1225.0784769953502</v>
      </c>
      <c r="D24" s="3">
        <f t="shared" si="6"/>
        <v>3874.7269416199711</v>
      </c>
      <c r="E24" s="3">
        <f t="shared" si="7"/>
        <v>5099.8054186153213</v>
      </c>
      <c r="F24" s="3">
        <f t="shared" si="8"/>
        <v>928709.38751179771</v>
      </c>
    </row>
    <row r="25" spans="1:6" x14ac:dyDescent="0.25">
      <c r="A25" s="2" t="s">
        <v>71</v>
      </c>
      <c r="B25" s="3">
        <f t="shared" si="9"/>
        <v>928709.38751179771</v>
      </c>
      <c r="C25" s="3">
        <f t="shared" si="5"/>
        <v>1230.1829706494977</v>
      </c>
      <c r="D25" s="3">
        <f t="shared" si="6"/>
        <v>3869.6224479658235</v>
      </c>
      <c r="E25" s="3">
        <f t="shared" si="7"/>
        <v>5099.8054186153213</v>
      </c>
      <c r="F25" s="3">
        <f t="shared" si="8"/>
        <v>927479.20454114827</v>
      </c>
    </row>
    <row r="26" spans="1:6" x14ac:dyDescent="0.25">
      <c r="A26" s="2" t="s">
        <v>72</v>
      </c>
      <c r="B26" s="3">
        <f t="shared" si="9"/>
        <v>927479.20454114827</v>
      </c>
      <c r="C26" s="3">
        <f t="shared" si="5"/>
        <v>1235.3087330272037</v>
      </c>
      <c r="D26" s="3">
        <f t="shared" si="6"/>
        <v>3864.4966855881175</v>
      </c>
      <c r="E26" s="3">
        <f t="shared" si="7"/>
        <v>5099.8054186153213</v>
      </c>
      <c r="F26" s="3">
        <f t="shared" si="8"/>
        <v>926243.89580812107</v>
      </c>
    </row>
    <row r="27" spans="1:6" x14ac:dyDescent="0.25">
      <c r="A27" s="2" t="s">
        <v>73</v>
      </c>
      <c r="B27" s="3">
        <f t="shared" si="9"/>
        <v>926243.89580812107</v>
      </c>
      <c r="C27" s="3">
        <f t="shared" si="5"/>
        <v>1240.4558527481504</v>
      </c>
      <c r="D27" s="3">
        <f t="shared" si="6"/>
        <v>3859.3495658671709</v>
      </c>
      <c r="E27" s="3">
        <f t="shared" si="7"/>
        <v>5099.8054186153213</v>
      </c>
      <c r="F27" s="3">
        <f t="shared" si="8"/>
        <v>925003.43995537295</v>
      </c>
    </row>
    <row r="28" spans="1:6" x14ac:dyDescent="0.25">
      <c r="A28" s="2" t="s">
        <v>74</v>
      </c>
      <c r="B28" s="3">
        <f t="shared" si="9"/>
        <v>925003.43995537295</v>
      </c>
      <c r="C28" s="3">
        <f t="shared" si="5"/>
        <v>1245.6244188012674</v>
      </c>
      <c r="D28" s="3">
        <f t="shared" si="6"/>
        <v>3854.1809998140538</v>
      </c>
      <c r="E28" s="3">
        <f t="shared" si="7"/>
        <v>5099.8054186153213</v>
      </c>
      <c r="F28" s="3">
        <f t="shared" si="8"/>
        <v>923757.81553657167</v>
      </c>
    </row>
    <row r="29" spans="1:6" x14ac:dyDescent="0.25">
      <c r="A29" s="2" t="s">
        <v>75</v>
      </c>
      <c r="B29" s="3">
        <f t="shared" si="9"/>
        <v>923757.81553657167</v>
      </c>
      <c r="C29" s="3">
        <f t="shared" si="5"/>
        <v>1250.8145205462729</v>
      </c>
      <c r="D29" s="3">
        <f t="shared" si="6"/>
        <v>3848.9908980690484</v>
      </c>
      <c r="E29" s="3">
        <f t="shared" si="7"/>
        <v>5099.8054186153213</v>
      </c>
      <c r="F29" s="3">
        <f t="shared" si="8"/>
        <v>922507.00101602543</v>
      </c>
    </row>
    <row r="30" spans="1:6" x14ac:dyDescent="0.25">
      <c r="A30" s="2" t="s">
        <v>76</v>
      </c>
      <c r="B30" s="3">
        <f t="shared" si="9"/>
        <v>922507.00101602543</v>
      </c>
      <c r="C30" s="3">
        <f t="shared" si="5"/>
        <v>1256.0262477152155</v>
      </c>
      <c r="D30" s="3">
        <f t="shared" si="6"/>
        <v>3843.7791709001058</v>
      </c>
      <c r="E30" s="3">
        <f t="shared" si="7"/>
        <v>5099.8054186153213</v>
      </c>
      <c r="F30" s="6">
        <f t="shared" si="8"/>
        <v>921250.9747683102</v>
      </c>
    </row>
    <row r="31" spans="1:6" x14ac:dyDescent="0.25">
      <c r="A31" s="7" t="s">
        <v>64</v>
      </c>
      <c r="B31" s="7"/>
      <c r="C31" s="6">
        <f>SUM(C19:C30)</f>
        <v>14733.054448798699</v>
      </c>
      <c r="D31" s="6">
        <f>SUM(D19:D30)</f>
        <v>46464.610574585146</v>
      </c>
      <c r="E31" s="3"/>
      <c r="F31" s="3"/>
    </row>
    <row r="32" spans="1:6" x14ac:dyDescent="0.25">
      <c r="A32" s="7"/>
      <c r="B32" s="7"/>
      <c r="C32" s="6"/>
      <c r="D32" s="6"/>
      <c r="E32" s="3"/>
      <c r="F32" s="3"/>
    </row>
    <row r="33" spans="1:6" x14ac:dyDescent="0.25">
      <c r="A33" s="12" t="s">
        <v>6</v>
      </c>
      <c r="B33" s="11" t="s">
        <v>53</v>
      </c>
      <c r="C33" s="11" t="s">
        <v>54</v>
      </c>
      <c r="D33" s="11" t="s">
        <v>55</v>
      </c>
      <c r="E33" s="11" t="s">
        <v>56</v>
      </c>
      <c r="F33" s="11" t="s">
        <v>57</v>
      </c>
    </row>
    <row r="34" spans="1:6" x14ac:dyDescent="0.25">
      <c r="A34" s="2" t="s">
        <v>77</v>
      </c>
      <c r="B34" s="3">
        <f>+F30</f>
        <v>921250.9747683102</v>
      </c>
      <c r="C34" s="3">
        <f t="shared" ref="C34:C45" si="10">+E34-D34</f>
        <v>1261.2596904140287</v>
      </c>
      <c r="D34" s="3">
        <f t="shared" ref="D34:D45" si="11">B34*$I$3</f>
        <v>3838.5457282012926</v>
      </c>
      <c r="E34" s="3">
        <f t="shared" ref="E34:E45" si="12">-$I$9</f>
        <v>5099.8054186153213</v>
      </c>
      <c r="F34" s="3">
        <f t="shared" ref="F34:F45" si="13">+B34-C34</f>
        <v>919989.71507789614</v>
      </c>
    </row>
    <row r="35" spans="1:6" x14ac:dyDescent="0.25">
      <c r="A35" s="2" t="s">
        <v>66</v>
      </c>
      <c r="B35" s="3">
        <f t="shared" ref="B35:B45" si="14">+F34</f>
        <v>919989.71507789614</v>
      </c>
      <c r="C35" s="3">
        <f t="shared" si="10"/>
        <v>1266.5149391240875</v>
      </c>
      <c r="D35" s="3">
        <f t="shared" si="11"/>
        <v>3833.2904794912338</v>
      </c>
      <c r="E35" s="3">
        <f t="shared" si="12"/>
        <v>5099.8054186153213</v>
      </c>
      <c r="F35" s="3">
        <f t="shared" si="13"/>
        <v>918723.20013877202</v>
      </c>
    </row>
    <row r="36" spans="1:6" x14ac:dyDescent="0.25">
      <c r="A36" s="2" t="s">
        <v>67</v>
      </c>
      <c r="B36" s="3">
        <f t="shared" si="14"/>
        <v>918723.20013877202</v>
      </c>
      <c r="C36" s="3">
        <f t="shared" si="10"/>
        <v>1271.7920847037713</v>
      </c>
      <c r="D36" s="3">
        <f t="shared" si="11"/>
        <v>3828.01333391155</v>
      </c>
      <c r="E36" s="3">
        <f t="shared" si="12"/>
        <v>5099.8054186153213</v>
      </c>
      <c r="F36" s="3">
        <f t="shared" si="13"/>
        <v>917451.40805406822</v>
      </c>
    </row>
    <row r="37" spans="1:6" x14ac:dyDescent="0.25">
      <c r="A37" s="2" t="s">
        <v>68</v>
      </c>
      <c r="B37" s="3">
        <f t="shared" si="14"/>
        <v>917451.40805406822</v>
      </c>
      <c r="C37" s="3">
        <f t="shared" si="10"/>
        <v>1277.0912183900373</v>
      </c>
      <c r="D37" s="3">
        <f t="shared" si="11"/>
        <v>3822.714200225284</v>
      </c>
      <c r="E37" s="3">
        <f t="shared" si="12"/>
        <v>5099.8054186153213</v>
      </c>
      <c r="F37" s="3">
        <f t="shared" si="13"/>
        <v>916174.31683567818</v>
      </c>
    </row>
    <row r="38" spans="1:6" x14ac:dyDescent="0.25">
      <c r="A38" s="2" t="s">
        <v>78</v>
      </c>
      <c r="B38" s="3">
        <f t="shared" si="14"/>
        <v>916174.31683567818</v>
      </c>
      <c r="C38" s="3">
        <f t="shared" si="10"/>
        <v>1282.4124317999954</v>
      </c>
      <c r="D38" s="3">
        <f t="shared" si="11"/>
        <v>3817.3929868153259</v>
      </c>
      <c r="E38" s="3">
        <f t="shared" si="12"/>
        <v>5099.8054186153213</v>
      </c>
      <c r="F38" s="3">
        <f t="shared" si="13"/>
        <v>914891.90440387814</v>
      </c>
    </row>
    <row r="39" spans="1:6" x14ac:dyDescent="0.25">
      <c r="A39" s="2" t="s">
        <v>70</v>
      </c>
      <c r="B39" s="3">
        <f t="shared" si="14"/>
        <v>914891.90440387814</v>
      </c>
      <c r="C39" s="3">
        <f t="shared" si="10"/>
        <v>1287.7558169324957</v>
      </c>
      <c r="D39" s="3">
        <f t="shared" si="11"/>
        <v>3812.0496016828256</v>
      </c>
      <c r="E39" s="3">
        <f t="shared" si="12"/>
        <v>5099.8054186153213</v>
      </c>
      <c r="F39" s="3">
        <f t="shared" si="13"/>
        <v>913604.14858694561</v>
      </c>
    </row>
    <row r="40" spans="1:6" x14ac:dyDescent="0.25">
      <c r="A40" s="2" t="s">
        <v>71</v>
      </c>
      <c r="B40" s="3">
        <f t="shared" si="14"/>
        <v>913604.14858694561</v>
      </c>
      <c r="C40" s="3">
        <f t="shared" si="10"/>
        <v>1293.1214661697145</v>
      </c>
      <c r="D40" s="3">
        <f t="shared" si="11"/>
        <v>3806.6839524456068</v>
      </c>
      <c r="E40" s="3">
        <f t="shared" si="12"/>
        <v>5099.8054186153213</v>
      </c>
      <c r="F40" s="3">
        <f t="shared" si="13"/>
        <v>912311.02712077589</v>
      </c>
    </row>
    <row r="41" spans="1:6" x14ac:dyDescent="0.25">
      <c r="A41" s="2" t="s">
        <v>79</v>
      </c>
      <c r="B41" s="3">
        <f t="shared" si="14"/>
        <v>912311.02712077589</v>
      </c>
      <c r="C41" s="3">
        <f t="shared" si="10"/>
        <v>1298.5094722787553</v>
      </c>
      <c r="D41" s="3">
        <f t="shared" si="11"/>
        <v>3801.295946336566</v>
      </c>
      <c r="E41" s="3">
        <f t="shared" si="12"/>
        <v>5099.8054186153213</v>
      </c>
      <c r="F41" s="3">
        <f t="shared" si="13"/>
        <v>911012.51764849713</v>
      </c>
    </row>
    <row r="42" spans="1:6" x14ac:dyDescent="0.25">
      <c r="A42" s="2" t="s">
        <v>73</v>
      </c>
      <c r="B42" s="3">
        <f t="shared" si="14"/>
        <v>911012.51764849713</v>
      </c>
      <c r="C42" s="3">
        <f t="shared" si="10"/>
        <v>1303.9199284132501</v>
      </c>
      <c r="D42" s="3">
        <f t="shared" si="11"/>
        <v>3795.8854902020712</v>
      </c>
      <c r="E42" s="3">
        <f t="shared" si="12"/>
        <v>5099.8054186153213</v>
      </c>
      <c r="F42" s="3">
        <f t="shared" si="13"/>
        <v>909708.5977200839</v>
      </c>
    </row>
    <row r="43" spans="1:6" x14ac:dyDescent="0.25">
      <c r="A43" s="2" t="s">
        <v>74</v>
      </c>
      <c r="B43" s="3">
        <f t="shared" si="14"/>
        <v>909708.5977200839</v>
      </c>
      <c r="C43" s="3">
        <f t="shared" si="10"/>
        <v>1309.3529281149717</v>
      </c>
      <c r="D43" s="3">
        <f t="shared" si="11"/>
        <v>3790.4524905003495</v>
      </c>
      <c r="E43" s="3">
        <f t="shared" si="12"/>
        <v>5099.8054186153213</v>
      </c>
      <c r="F43" s="3">
        <f t="shared" si="13"/>
        <v>908399.24479196896</v>
      </c>
    </row>
    <row r="44" spans="1:6" x14ac:dyDescent="0.25">
      <c r="A44" s="2" t="s">
        <v>80</v>
      </c>
      <c r="B44" s="3">
        <f t="shared" si="14"/>
        <v>908399.24479196896</v>
      </c>
      <c r="C44" s="3">
        <f t="shared" si="10"/>
        <v>1314.8085653154508</v>
      </c>
      <c r="D44" s="3">
        <f t="shared" si="11"/>
        <v>3784.9968532998705</v>
      </c>
      <c r="E44" s="3">
        <f t="shared" si="12"/>
        <v>5099.8054186153213</v>
      </c>
      <c r="F44" s="3">
        <f t="shared" si="13"/>
        <v>907084.43622665352</v>
      </c>
    </row>
    <row r="45" spans="1:6" x14ac:dyDescent="0.25">
      <c r="A45" s="2" t="s">
        <v>81</v>
      </c>
      <c r="B45" s="3">
        <f t="shared" si="14"/>
        <v>907084.43622665352</v>
      </c>
      <c r="C45" s="3">
        <f t="shared" si="10"/>
        <v>1320.2869343375983</v>
      </c>
      <c r="D45" s="3">
        <f t="shared" si="11"/>
        <v>3779.518484277723</v>
      </c>
      <c r="E45" s="3">
        <f t="shared" si="12"/>
        <v>5099.8054186153213</v>
      </c>
      <c r="F45" s="6">
        <f t="shared" si="13"/>
        <v>905764.14929231594</v>
      </c>
    </row>
    <row r="46" spans="1:6" x14ac:dyDescent="0.25">
      <c r="A46" s="7" t="s">
        <v>64</v>
      </c>
      <c r="B46" s="7"/>
      <c r="C46" s="6">
        <f>SUM(C34:C45)</f>
        <v>15486.825475994157</v>
      </c>
      <c r="D46" s="6">
        <f>SUM(D34:D45)</f>
        <v>45710.839547389696</v>
      </c>
      <c r="E46" s="3"/>
      <c r="F46" s="3"/>
    </row>
    <row r="47" spans="1:6" x14ac:dyDescent="0.25">
      <c r="A47" s="7"/>
      <c r="B47" s="7"/>
      <c r="C47" s="6"/>
      <c r="D47" s="6"/>
      <c r="E47" s="3"/>
      <c r="F47" s="3"/>
    </row>
    <row r="48" spans="1:6" x14ac:dyDescent="0.25">
      <c r="A48" s="12" t="s">
        <v>7</v>
      </c>
      <c r="B48" s="11" t="s">
        <v>53</v>
      </c>
      <c r="C48" s="11" t="s">
        <v>54</v>
      </c>
      <c r="D48" s="11" t="s">
        <v>55</v>
      </c>
      <c r="E48" s="11" t="s">
        <v>56</v>
      </c>
      <c r="F48" s="11" t="s">
        <v>57</v>
      </c>
    </row>
    <row r="49" spans="1:7" x14ac:dyDescent="0.25">
      <c r="A49" s="2" t="s">
        <v>65</v>
      </c>
      <c r="B49" s="3">
        <f>+F45</f>
        <v>905764.14929231594</v>
      </c>
      <c r="C49" s="3">
        <f t="shared" ref="C49:C60" si="15">+E49-D49</f>
        <v>1325.7881298973384</v>
      </c>
      <c r="D49" s="3">
        <f t="shared" ref="D49:D60" si="16">B49*$I$3</f>
        <v>3774.0172887179829</v>
      </c>
      <c r="E49" s="3">
        <f t="shared" ref="E49:E60" si="17">-$I$9</f>
        <v>5099.8054186153213</v>
      </c>
      <c r="F49" s="3">
        <f t="shared" ref="F49:F60" si="18">+B49-C49</f>
        <v>904438.36116241862</v>
      </c>
    </row>
    <row r="50" spans="1:7" x14ac:dyDescent="0.25">
      <c r="A50" s="2" t="s">
        <v>66</v>
      </c>
      <c r="B50" s="3">
        <f t="shared" ref="B50:B60" si="19">+F49</f>
        <v>904438.36116241862</v>
      </c>
      <c r="C50" s="3">
        <f t="shared" si="15"/>
        <v>1331.3122471052438</v>
      </c>
      <c r="D50" s="3">
        <f t="shared" si="16"/>
        <v>3768.4931715100774</v>
      </c>
      <c r="E50" s="3">
        <f t="shared" si="17"/>
        <v>5099.8054186153213</v>
      </c>
      <c r="F50" s="3">
        <f t="shared" si="18"/>
        <v>903107.04891531332</v>
      </c>
    </row>
    <row r="51" spans="1:7" x14ac:dyDescent="0.25">
      <c r="A51" s="2" t="s">
        <v>82</v>
      </c>
      <c r="B51" s="3">
        <f t="shared" si="19"/>
        <v>903107.04891531332</v>
      </c>
      <c r="C51" s="3">
        <f t="shared" si="15"/>
        <v>1336.8593814681826</v>
      </c>
      <c r="D51" s="3">
        <f t="shared" si="16"/>
        <v>3762.9460371471387</v>
      </c>
      <c r="E51" s="3">
        <f t="shared" si="17"/>
        <v>5099.8054186153213</v>
      </c>
      <c r="F51" s="3">
        <f t="shared" si="18"/>
        <v>901770.18953384517</v>
      </c>
    </row>
    <row r="52" spans="1:7" x14ac:dyDescent="0.25">
      <c r="A52" s="2" t="s">
        <v>68</v>
      </c>
      <c r="B52" s="3">
        <f t="shared" si="19"/>
        <v>901770.18953384517</v>
      </c>
      <c r="C52" s="3">
        <f t="shared" si="15"/>
        <v>1342.4296288909663</v>
      </c>
      <c r="D52" s="3">
        <f t="shared" si="16"/>
        <v>3757.3757897243549</v>
      </c>
      <c r="E52" s="3">
        <f t="shared" si="17"/>
        <v>5099.8054186153213</v>
      </c>
      <c r="F52" s="3">
        <f t="shared" si="18"/>
        <v>900427.75990495423</v>
      </c>
    </row>
    <row r="53" spans="1:7" x14ac:dyDescent="0.25">
      <c r="A53" s="2" t="s">
        <v>69</v>
      </c>
      <c r="B53" s="3">
        <f t="shared" si="19"/>
        <v>900427.75990495423</v>
      </c>
      <c r="C53" s="3">
        <f t="shared" si="15"/>
        <v>1348.0230856780122</v>
      </c>
      <c r="D53" s="3">
        <f t="shared" si="16"/>
        <v>3751.7823329373091</v>
      </c>
      <c r="E53" s="3">
        <f t="shared" si="17"/>
        <v>5099.8054186153213</v>
      </c>
      <c r="F53" s="3">
        <f t="shared" si="18"/>
        <v>899079.73681927624</v>
      </c>
    </row>
    <row r="54" spans="1:7" x14ac:dyDescent="0.25">
      <c r="A54" s="2" t="s">
        <v>83</v>
      </c>
      <c r="B54" s="3">
        <f t="shared" si="19"/>
        <v>899079.73681927624</v>
      </c>
      <c r="C54" s="3">
        <f t="shared" si="15"/>
        <v>1353.6398485350037</v>
      </c>
      <c r="D54" s="3">
        <f t="shared" si="16"/>
        <v>3746.1655700803176</v>
      </c>
      <c r="E54" s="3">
        <f t="shared" si="17"/>
        <v>5099.8054186153213</v>
      </c>
      <c r="F54" s="3">
        <f t="shared" si="18"/>
        <v>897726.09697074129</v>
      </c>
    </row>
    <row r="55" spans="1:7" x14ac:dyDescent="0.25">
      <c r="A55" s="2" t="s">
        <v>71</v>
      </c>
      <c r="B55" s="3">
        <f t="shared" si="19"/>
        <v>897726.09697074129</v>
      </c>
      <c r="C55" s="3">
        <f t="shared" si="15"/>
        <v>1359.280014570566</v>
      </c>
      <c r="D55" s="3">
        <f t="shared" si="16"/>
        <v>3740.5254040447553</v>
      </c>
      <c r="E55" s="3">
        <f t="shared" si="17"/>
        <v>5099.8054186153213</v>
      </c>
      <c r="F55" s="3">
        <f t="shared" si="18"/>
        <v>896366.81695617072</v>
      </c>
    </row>
    <row r="56" spans="1:7" x14ac:dyDescent="0.25">
      <c r="A56" s="2" t="s">
        <v>72</v>
      </c>
      <c r="B56" s="3">
        <f t="shared" si="19"/>
        <v>896366.81695617072</v>
      </c>
      <c r="C56" s="3">
        <f t="shared" si="15"/>
        <v>1364.9436812979434</v>
      </c>
      <c r="D56" s="3">
        <f t="shared" si="16"/>
        <v>3734.8617373173779</v>
      </c>
      <c r="E56" s="3">
        <f t="shared" si="17"/>
        <v>5099.8054186153213</v>
      </c>
      <c r="F56" s="3">
        <f t="shared" si="18"/>
        <v>895001.87327487278</v>
      </c>
    </row>
    <row r="57" spans="1:7" x14ac:dyDescent="0.25">
      <c r="A57" s="2" t="s">
        <v>73</v>
      </c>
      <c r="B57" s="3">
        <f t="shared" si="19"/>
        <v>895001.87327487278</v>
      </c>
      <c r="C57" s="3">
        <f t="shared" si="15"/>
        <v>1370.6309466366847</v>
      </c>
      <c r="D57" s="3">
        <f t="shared" si="16"/>
        <v>3729.1744719786366</v>
      </c>
      <c r="E57" s="3">
        <f t="shared" si="17"/>
        <v>5099.8054186153213</v>
      </c>
      <c r="F57" s="3">
        <f t="shared" si="18"/>
        <v>893631.24232823611</v>
      </c>
    </row>
    <row r="58" spans="1:7" x14ac:dyDescent="0.25">
      <c r="A58" s="2" t="s">
        <v>74</v>
      </c>
      <c r="B58" s="3">
        <f t="shared" si="19"/>
        <v>893631.24232823611</v>
      </c>
      <c r="C58" s="3">
        <f t="shared" si="15"/>
        <v>1376.3419089143376</v>
      </c>
      <c r="D58" s="3">
        <f t="shared" si="16"/>
        <v>3723.4635097009836</v>
      </c>
      <c r="E58" s="3">
        <f t="shared" si="17"/>
        <v>5099.8054186153213</v>
      </c>
      <c r="F58" s="3">
        <f t="shared" si="18"/>
        <v>892254.90041932173</v>
      </c>
    </row>
    <row r="59" spans="1:7" x14ac:dyDescent="0.25">
      <c r="A59" s="2" t="s">
        <v>75</v>
      </c>
      <c r="B59" s="3">
        <f t="shared" si="19"/>
        <v>892254.90041932173</v>
      </c>
      <c r="C59" s="3">
        <f t="shared" si="15"/>
        <v>1382.0766668681476</v>
      </c>
      <c r="D59" s="3">
        <f t="shared" si="16"/>
        <v>3717.7287517471736</v>
      </c>
      <c r="E59" s="3">
        <f t="shared" si="17"/>
        <v>5099.8054186153213</v>
      </c>
      <c r="F59" s="3">
        <f t="shared" si="18"/>
        <v>890872.82375245355</v>
      </c>
    </row>
    <row r="60" spans="1:7" x14ac:dyDescent="0.25">
      <c r="A60" s="2" t="s">
        <v>76</v>
      </c>
      <c r="B60" s="3">
        <f t="shared" si="19"/>
        <v>890872.82375245355</v>
      </c>
      <c r="C60" s="3">
        <f t="shared" si="15"/>
        <v>1387.8353196467647</v>
      </c>
      <c r="D60" s="3">
        <f t="shared" si="16"/>
        <v>3711.9700989685566</v>
      </c>
      <c r="E60" s="3">
        <f t="shared" si="17"/>
        <v>5099.8054186153213</v>
      </c>
      <c r="F60" s="6">
        <f t="shared" si="18"/>
        <v>889484.9884328068</v>
      </c>
      <c r="G60" s="3"/>
    </row>
    <row r="61" spans="1:7" x14ac:dyDescent="0.25">
      <c r="A61" s="7" t="s">
        <v>64</v>
      </c>
      <c r="B61" s="8"/>
      <c r="C61" s="6">
        <f>SUM(C49:C60)</f>
        <v>16279.160859509193</v>
      </c>
      <c r="D61" s="6">
        <f>SUM(D49:D60)</f>
        <v>44918.504163874662</v>
      </c>
    </row>
    <row r="63" spans="1:7" x14ac:dyDescent="0.25">
      <c r="A63" s="12" t="s">
        <v>84</v>
      </c>
      <c r="B63" s="11" t="s">
        <v>53</v>
      </c>
      <c r="C63" s="11" t="s">
        <v>54</v>
      </c>
      <c r="D63" s="11" t="s">
        <v>55</v>
      </c>
      <c r="E63" s="11" t="s">
        <v>56</v>
      </c>
      <c r="F63" s="11" t="s">
        <v>57</v>
      </c>
    </row>
    <row r="64" spans="1:7" x14ac:dyDescent="0.25">
      <c r="A64" s="2" t="s">
        <v>65</v>
      </c>
      <c r="B64" s="3">
        <f>F60</f>
        <v>889484.9884328068</v>
      </c>
      <c r="C64" s="3">
        <f>+E64-D64</f>
        <v>1393.6179668119598</v>
      </c>
      <c r="D64" s="3">
        <f t="shared" ref="D64:D75" si="20">B64*$I$3</f>
        <v>3706.1874518033615</v>
      </c>
      <c r="E64" s="3">
        <f t="shared" ref="E64:E75" si="21">-$I$9</f>
        <v>5099.8054186153213</v>
      </c>
      <c r="F64" s="3">
        <f t="shared" ref="F64:F75" si="22">+B64-C64</f>
        <v>888091.37046599481</v>
      </c>
    </row>
    <row r="65" spans="1:6" x14ac:dyDescent="0.25">
      <c r="A65" s="2" t="s">
        <v>66</v>
      </c>
      <c r="B65" s="3">
        <f t="shared" ref="B65:B75" si="23">+F64</f>
        <v>888091.37046599481</v>
      </c>
      <c r="C65" s="3">
        <f t="shared" ref="C65:C75" si="24">+E65-D65</f>
        <v>1399.4247083403429</v>
      </c>
      <c r="D65" s="3">
        <f t="shared" si="20"/>
        <v>3700.3807102749784</v>
      </c>
      <c r="E65" s="3">
        <f t="shared" si="21"/>
        <v>5099.8054186153213</v>
      </c>
      <c r="F65" s="3">
        <f t="shared" si="22"/>
        <v>886691.9457576545</v>
      </c>
    </row>
    <row r="66" spans="1:6" x14ac:dyDescent="0.25">
      <c r="A66" s="2" t="s">
        <v>82</v>
      </c>
      <c r="B66" s="3">
        <f t="shared" si="23"/>
        <v>886691.9457576545</v>
      </c>
      <c r="C66" s="3">
        <f t="shared" si="24"/>
        <v>1405.2556446250942</v>
      </c>
      <c r="D66" s="3">
        <f t="shared" si="20"/>
        <v>3694.5497739902271</v>
      </c>
      <c r="E66" s="3">
        <f t="shared" si="21"/>
        <v>5099.8054186153213</v>
      </c>
      <c r="F66" s="3">
        <f t="shared" si="22"/>
        <v>885286.69011302944</v>
      </c>
    </row>
    <row r="67" spans="1:6" x14ac:dyDescent="0.25">
      <c r="A67" s="2" t="s">
        <v>68</v>
      </c>
      <c r="B67" s="3">
        <f t="shared" si="23"/>
        <v>885286.69011302944</v>
      </c>
      <c r="C67" s="3">
        <f t="shared" si="24"/>
        <v>1411.1108764776986</v>
      </c>
      <c r="D67" s="3">
        <f t="shared" si="20"/>
        <v>3688.6945421376226</v>
      </c>
      <c r="E67" s="3">
        <f t="shared" si="21"/>
        <v>5099.8054186153213</v>
      </c>
      <c r="F67" s="3">
        <f t="shared" si="22"/>
        <v>883875.57923655177</v>
      </c>
    </row>
    <row r="68" spans="1:6" x14ac:dyDescent="0.25">
      <c r="A68" s="2" t="s">
        <v>69</v>
      </c>
      <c r="B68" s="3">
        <f t="shared" si="23"/>
        <v>883875.57923655177</v>
      </c>
      <c r="C68" s="3">
        <f t="shared" si="24"/>
        <v>1416.9905051296892</v>
      </c>
      <c r="D68" s="3">
        <f t="shared" si="20"/>
        <v>3682.8149134856321</v>
      </c>
      <c r="E68" s="3">
        <f t="shared" si="21"/>
        <v>5099.8054186153213</v>
      </c>
      <c r="F68" s="3">
        <f t="shared" si="22"/>
        <v>882458.58873142209</v>
      </c>
    </row>
    <row r="69" spans="1:6" x14ac:dyDescent="0.25">
      <c r="A69" s="2" t="s">
        <v>83</v>
      </c>
      <c r="B69" s="3">
        <f t="shared" si="23"/>
        <v>882458.58873142209</v>
      </c>
      <c r="C69" s="3">
        <f t="shared" si="24"/>
        <v>1422.8946322343959</v>
      </c>
      <c r="D69" s="3">
        <f t="shared" si="20"/>
        <v>3676.9107863809254</v>
      </c>
      <c r="E69" s="3">
        <f t="shared" si="21"/>
        <v>5099.8054186153213</v>
      </c>
      <c r="F69" s="3">
        <f t="shared" si="22"/>
        <v>881035.69409918773</v>
      </c>
    </row>
    <row r="70" spans="1:6" x14ac:dyDescent="0.25">
      <c r="A70" s="2" t="s">
        <v>71</v>
      </c>
      <c r="B70" s="3">
        <f t="shared" si="23"/>
        <v>881035.69409918773</v>
      </c>
      <c r="C70" s="3">
        <f t="shared" si="24"/>
        <v>1428.8233598687057</v>
      </c>
      <c r="D70" s="3">
        <f t="shared" si="20"/>
        <v>3670.9820587466156</v>
      </c>
      <c r="E70" s="3">
        <f t="shared" si="21"/>
        <v>5099.8054186153213</v>
      </c>
      <c r="F70" s="3">
        <f t="shared" si="22"/>
        <v>879606.87073931901</v>
      </c>
    </row>
    <row r="71" spans="1:6" x14ac:dyDescent="0.25">
      <c r="A71" s="2" t="s">
        <v>72</v>
      </c>
      <c r="B71" s="3">
        <f t="shared" si="23"/>
        <v>879606.87073931901</v>
      </c>
      <c r="C71" s="3">
        <f t="shared" si="24"/>
        <v>1434.7767905348255</v>
      </c>
      <c r="D71" s="3">
        <f t="shared" si="20"/>
        <v>3665.0286280804958</v>
      </c>
      <c r="E71" s="3">
        <f t="shared" si="21"/>
        <v>5099.8054186153213</v>
      </c>
      <c r="F71" s="3">
        <f t="shared" si="22"/>
        <v>878172.09394878417</v>
      </c>
    </row>
    <row r="72" spans="1:6" x14ac:dyDescent="0.25">
      <c r="A72" s="2" t="s">
        <v>73</v>
      </c>
      <c r="B72" s="3">
        <f t="shared" si="23"/>
        <v>878172.09394878417</v>
      </c>
      <c r="C72" s="3">
        <f t="shared" si="24"/>
        <v>1440.7550271620539</v>
      </c>
      <c r="D72" s="3">
        <f t="shared" si="20"/>
        <v>3659.0503914532674</v>
      </c>
      <c r="E72" s="3">
        <f t="shared" si="21"/>
        <v>5099.8054186153213</v>
      </c>
      <c r="F72" s="3">
        <f t="shared" si="22"/>
        <v>876731.33892162214</v>
      </c>
    </row>
    <row r="73" spans="1:6" x14ac:dyDescent="0.25">
      <c r="A73" s="2" t="s">
        <v>74</v>
      </c>
      <c r="B73" s="3">
        <f t="shared" si="23"/>
        <v>876731.33892162214</v>
      </c>
      <c r="C73" s="3">
        <f t="shared" si="24"/>
        <v>1446.7581731085625</v>
      </c>
      <c r="D73" s="3">
        <f t="shared" si="20"/>
        <v>3653.0472455067588</v>
      </c>
      <c r="E73" s="3">
        <f t="shared" si="21"/>
        <v>5099.8054186153213</v>
      </c>
      <c r="F73" s="3">
        <f t="shared" si="22"/>
        <v>875284.58074851357</v>
      </c>
    </row>
    <row r="74" spans="1:6" x14ac:dyDescent="0.25">
      <c r="A74" s="2" t="s">
        <v>75</v>
      </c>
      <c r="B74" s="3">
        <f t="shared" si="23"/>
        <v>875284.58074851357</v>
      </c>
      <c r="C74" s="3">
        <f t="shared" si="24"/>
        <v>1452.7863321631817</v>
      </c>
      <c r="D74" s="3">
        <f t="shared" si="20"/>
        <v>3647.0190864521396</v>
      </c>
      <c r="E74" s="3">
        <f t="shared" si="21"/>
        <v>5099.8054186153213</v>
      </c>
      <c r="F74" s="3">
        <f t="shared" si="22"/>
        <v>873831.79441635043</v>
      </c>
    </row>
    <row r="75" spans="1:6" x14ac:dyDescent="0.25">
      <c r="A75" s="2" t="s">
        <v>76</v>
      </c>
      <c r="B75" s="3">
        <f t="shared" si="23"/>
        <v>873831.79441635043</v>
      </c>
      <c r="C75" s="3">
        <f t="shared" si="24"/>
        <v>1458.8396085471945</v>
      </c>
      <c r="D75" s="3">
        <f t="shared" si="20"/>
        <v>3640.9658100681268</v>
      </c>
      <c r="E75" s="3">
        <f t="shared" si="21"/>
        <v>5099.8054186153213</v>
      </c>
      <c r="F75" s="6">
        <f t="shared" si="22"/>
        <v>872372.95480780327</v>
      </c>
    </row>
    <row r="76" spans="1:6" x14ac:dyDescent="0.25">
      <c r="A76" s="7" t="s">
        <v>64</v>
      </c>
      <c r="B76" s="8"/>
      <c r="C76" s="6">
        <f>SUM(C64:C75)</f>
        <v>17112.033625003703</v>
      </c>
      <c r="D76" s="6">
        <f>SUM(D64:D75)</f>
        <v>44085.631398380152</v>
      </c>
    </row>
    <row r="79" spans="1:6" x14ac:dyDescent="0.25">
      <c r="A79" s="12" t="s">
        <v>85</v>
      </c>
      <c r="B79" s="11" t="s">
        <v>53</v>
      </c>
      <c r="C79" s="11" t="s">
        <v>54</v>
      </c>
      <c r="D79" s="11" t="s">
        <v>55</v>
      </c>
      <c r="E79" s="11" t="s">
        <v>56</v>
      </c>
      <c r="F79" s="11" t="s">
        <v>57</v>
      </c>
    </row>
    <row r="80" spans="1:6" x14ac:dyDescent="0.25">
      <c r="A80" s="2" t="s">
        <v>65</v>
      </c>
      <c r="B80" s="3">
        <f>F75</f>
        <v>872372.95480780327</v>
      </c>
      <c r="C80" s="3">
        <f>+E80-D80</f>
        <v>1464.9181069161409</v>
      </c>
      <c r="D80" s="3">
        <f>B80*$I$3</f>
        <v>3634.8873116991804</v>
      </c>
      <c r="E80" s="3">
        <f>-$I$9</f>
        <v>5099.8054186153213</v>
      </c>
      <c r="F80" s="3">
        <f t="shared" ref="F80:F91" si="25">+B80-C80</f>
        <v>870908.03670088714</v>
      </c>
    </row>
    <row r="81" spans="1:6" x14ac:dyDescent="0.25">
      <c r="A81" s="2" t="s">
        <v>66</v>
      </c>
      <c r="B81" s="3">
        <f t="shared" ref="B81:B91" si="26">+F80</f>
        <v>870908.03670088714</v>
      </c>
      <c r="C81" s="3">
        <f t="shared" ref="C81:C91" si="27">+E81-D81</f>
        <v>1471.0219323616247</v>
      </c>
      <c r="D81" s="3">
        <f t="shared" ref="D81:D91" si="28">B81*$I$3</f>
        <v>3628.7834862536965</v>
      </c>
      <c r="E81" s="3">
        <f t="shared" ref="E81:E91" si="29">-$I$9</f>
        <v>5099.8054186153213</v>
      </c>
      <c r="F81" s="3">
        <f t="shared" si="25"/>
        <v>869437.01476852549</v>
      </c>
    </row>
    <row r="82" spans="1:6" x14ac:dyDescent="0.25">
      <c r="A82" s="2" t="s">
        <v>82</v>
      </c>
      <c r="B82" s="3">
        <f t="shared" si="26"/>
        <v>869437.01476852549</v>
      </c>
      <c r="C82" s="3">
        <f t="shared" si="27"/>
        <v>1477.1511904131316</v>
      </c>
      <c r="D82" s="3">
        <f t="shared" si="28"/>
        <v>3622.6542282021896</v>
      </c>
      <c r="E82" s="3">
        <f t="shared" si="29"/>
        <v>5099.8054186153213</v>
      </c>
      <c r="F82" s="3">
        <f t="shared" si="25"/>
        <v>867959.86357811233</v>
      </c>
    </row>
    <row r="83" spans="1:6" x14ac:dyDescent="0.25">
      <c r="A83" s="2" t="s">
        <v>68</v>
      </c>
      <c r="B83" s="3">
        <f t="shared" si="26"/>
        <v>867959.86357811233</v>
      </c>
      <c r="C83" s="3">
        <f t="shared" si="27"/>
        <v>1483.3059870398533</v>
      </c>
      <c r="D83" s="3">
        <f t="shared" si="28"/>
        <v>3616.499431575468</v>
      </c>
      <c r="E83" s="3">
        <f t="shared" si="29"/>
        <v>5099.8054186153213</v>
      </c>
      <c r="F83" s="3">
        <f t="shared" si="25"/>
        <v>866476.55759107252</v>
      </c>
    </row>
    <row r="84" spans="1:6" x14ac:dyDescent="0.25">
      <c r="A84" s="2" t="s">
        <v>69</v>
      </c>
      <c r="B84" s="3">
        <f t="shared" si="26"/>
        <v>866476.55759107252</v>
      </c>
      <c r="C84" s="3">
        <f t="shared" si="27"/>
        <v>1489.4864286525194</v>
      </c>
      <c r="D84" s="3">
        <f t="shared" si="28"/>
        <v>3610.3189899628019</v>
      </c>
      <c r="E84" s="3">
        <f t="shared" si="29"/>
        <v>5099.8054186153213</v>
      </c>
      <c r="F84" s="3">
        <f t="shared" si="25"/>
        <v>864987.07116241998</v>
      </c>
    </row>
    <row r="85" spans="1:6" x14ac:dyDescent="0.25">
      <c r="A85" s="2" t="s">
        <v>83</v>
      </c>
      <c r="B85" s="3">
        <f t="shared" si="26"/>
        <v>864987.07116241998</v>
      </c>
      <c r="C85" s="3">
        <f t="shared" si="27"/>
        <v>1495.6926221052381</v>
      </c>
      <c r="D85" s="3">
        <f t="shared" si="28"/>
        <v>3604.1127965100832</v>
      </c>
      <c r="E85" s="3">
        <f t="shared" si="29"/>
        <v>5099.8054186153213</v>
      </c>
      <c r="F85" s="3">
        <f t="shared" si="25"/>
        <v>863491.37854031473</v>
      </c>
    </row>
    <row r="86" spans="1:6" x14ac:dyDescent="0.25">
      <c r="A86" s="2" t="s">
        <v>71</v>
      </c>
      <c r="B86" s="3">
        <f t="shared" si="26"/>
        <v>863491.37854031473</v>
      </c>
      <c r="C86" s="3">
        <f t="shared" si="27"/>
        <v>1501.9246746973431</v>
      </c>
      <c r="D86" s="3">
        <f t="shared" si="28"/>
        <v>3597.8807439179782</v>
      </c>
      <c r="E86" s="3">
        <f t="shared" si="29"/>
        <v>5099.8054186153213</v>
      </c>
      <c r="F86" s="3">
        <f t="shared" si="25"/>
        <v>861989.4538656174</v>
      </c>
    </row>
    <row r="87" spans="1:6" x14ac:dyDescent="0.25">
      <c r="A87" s="2" t="s">
        <v>72</v>
      </c>
      <c r="B87" s="3">
        <f t="shared" si="26"/>
        <v>861989.4538656174</v>
      </c>
      <c r="C87" s="3">
        <f t="shared" si="27"/>
        <v>1508.1826941752488</v>
      </c>
      <c r="D87" s="3">
        <f t="shared" si="28"/>
        <v>3591.6227244400725</v>
      </c>
      <c r="E87" s="3">
        <f t="shared" si="29"/>
        <v>5099.8054186153213</v>
      </c>
      <c r="F87" s="3">
        <f t="shared" si="25"/>
        <v>860481.27117144212</v>
      </c>
    </row>
    <row r="88" spans="1:6" x14ac:dyDescent="0.25">
      <c r="A88" s="2" t="s">
        <v>73</v>
      </c>
      <c r="B88" s="3">
        <f t="shared" si="26"/>
        <v>860481.27117144212</v>
      </c>
      <c r="C88" s="3">
        <f t="shared" si="27"/>
        <v>1514.4667887343126</v>
      </c>
      <c r="D88" s="3">
        <f t="shared" si="28"/>
        <v>3585.3386298810087</v>
      </c>
      <c r="E88" s="3">
        <f t="shared" si="29"/>
        <v>5099.8054186153213</v>
      </c>
      <c r="F88" s="3">
        <f t="shared" si="25"/>
        <v>858966.80438270781</v>
      </c>
    </row>
    <row r="89" spans="1:6" x14ac:dyDescent="0.25">
      <c r="A89" s="2" t="s">
        <v>74</v>
      </c>
      <c r="B89" s="3">
        <f t="shared" si="26"/>
        <v>858966.80438270781</v>
      </c>
      <c r="C89" s="3">
        <f t="shared" si="27"/>
        <v>1520.7770670207055</v>
      </c>
      <c r="D89" s="3">
        <f t="shared" si="28"/>
        <v>3579.0283515946157</v>
      </c>
      <c r="E89" s="3">
        <f t="shared" si="29"/>
        <v>5099.8054186153213</v>
      </c>
      <c r="F89" s="3">
        <f t="shared" si="25"/>
        <v>857446.02731568716</v>
      </c>
    </row>
    <row r="90" spans="1:6" x14ac:dyDescent="0.25">
      <c r="A90" s="2" t="s">
        <v>75</v>
      </c>
      <c r="B90" s="3">
        <f t="shared" si="26"/>
        <v>857446.02731568716</v>
      </c>
      <c r="C90" s="3">
        <f t="shared" si="27"/>
        <v>1527.1136381332917</v>
      </c>
      <c r="D90" s="3">
        <f t="shared" si="28"/>
        <v>3572.6917804820296</v>
      </c>
      <c r="E90" s="3">
        <f t="shared" si="29"/>
        <v>5099.8054186153213</v>
      </c>
      <c r="F90" s="3">
        <f t="shared" si="25"/>
        <v>855918.91367755388</v>
      </c>
    </row>
    <row r="91" spans="1:6" x14ac:dyDescent="0.25">
      <c r="A91" s="2" t="s">
        <v>76</v>
      </c>
      <c r="B91" s="3">
        <f t="shared" si="26"/>
        <v>855918.91367755388</v>
      </c>
      <c r="C91" s="3">
        <f t="shared" si="27"/>
        <v>1533.4766116255137</v>
      </c>
      <c r="D91" s="3">
        <f t="shared" si="28"/>
        <v>3566.3288069898076</v>
      </c>
      <c r="E91" s="3">
        <f t="shared" si="29"/>
        <v>5099.8054186153213</v>
      </c>
      <c r="F91" s="6">
        <f t="shared" si="25"/>
        <v>854385.43706592836</v>
      </c>
    </row>
    <row r="92" spans="1:6" x14ac:dyDescent="0.25">
      <c r="A92" s="7" t="s">
        <v>64</v>
      </c>
      <c r="B92" s="8"/>
      <c r="C92" s="6">
        <f>SUM(C80:C91)</f>
        <v>17987.517741874923</v>
      </c>
      <c r="D92" s="6">
        <f>SUM(D80:D91)</f>
        <v>43210.147281508929</v>
      </c>
    </row>
    <row r="95" spans="1:6" x14ac:dyDescent="0.25">
      <c r="A95" s="12" t="s">
        <v>86</v>
      </c>
      <c r="B95" s="11" t="s">
        <v>53</v>
      </c>
      <c r="C95" s="11" t="s">
        <v>54</v>
      </c>
      <c r="D95" s="11" t="s">
        <v>55</v>
      </c>
      <c r="E95" s="11" t="s">
        <v>56</v>
      </c>
      <c r="F95" s="11" t="s">
        <v>57</v>
      </c>
    </row>
    <row r="96" spans="1:6" x14ac:dyDescent="0.25">
      <c r="A96" s="2" t="s">
        <v>65</v>
      </c>
      <c r="B96" s="3">
        <f>F91</f>
        <v>854385.43706592836</v>
      </c>
      <c r="C96" s="3">
        <f>+E96-D96</f>
        <v>1539.8660975072867</v>
      </c>
      <c r="D96" s="3">
        <f>B96*$I$3</f>
        <v>3559.9393211080346</v>
      </c>
      <c r="E96" s="3">
        <f>-$I$9</f>
        <v>5099.8054186153213</v>
      </c>
      <c r="F96" s="3">
        <f t="shared" ref="F96:F107" si="30">+B96-C96</f>
        <v>852845.57096842106</v>
      </c>
    </row>
    <row r="97" spans="1:6" x14ac:dyDescent="0.25">
      <c r="A97" s="2" t="s">
        <v>66</v>
      </c>
      <c r="B97" s="3">
        <f t="shared" ref="B97:B107" si="31">+F96</f>
        <v>852845.57096842106</v>
      </c>
      <c r="C97" s="3">
        <f t="shared" ref="C97:C107" si="32">+E97-D97</f>
        <v>1546.2822062469004</v>
      </c>
      <c r="D97" s="3">
        <f t="shared" ref="D97:D107" si="33">B97*$I$3</f>
        <v>3553.5232123684209</v>
      </c>
      <c r="E97" s="3">
        <f t="shared" ref="E97:E107" si="34">-$I$9</f>
        <v>5099.8054186153213</v>
      </c>
      <c r="F97" s="3">
        <f t="shared" si="30"/>
        <v>851299.2887621742</v>
      </c>
    </row>
    <row r="98" spans="1:6" x14ac:dyDescent="0.25">
      <c r="A98" s="2" t="s">
        <v>82</v>
      </c>
      <c r="B98" s="3">
        <f t="shared" si="31"/>
        <v>851299.2887621742</v>
      </c>
      <c r="C98" s="3">
        <f t="shared" si="32"/>
        <v>1552.7250487729289</v>
      </c>
      <c r="D98" s="3">
        <f t="shared" si="33"/>
        <v>3547.0803698423924</v>
      </c>
      <c r="E98" s="3">
        <f t="shared" si="34"/>
        <v>5099.8054186153213</v>
      </c>
      <c r="F98" s="3">
        <f t="shared" si="30"/>
        <v>849746.56371340132</v>
      </c>
    </row>
    <row r="99" spans="1:6" x14ac:dyDescent="0.25">
      <c r="A99" s="2" t="s">
        <v>68</v>
      </c>
      <c r="B99" s="3">
        <f t="shared" si="31"/>
        <v>849746.56371340132</v>
      </c>
      <c r="C99" s="3">
        <f t="shared" si="32"/>
        <v>1559.194736476149</v>
      </c>
      <c r="D99" s="3">
        <f t="shared" si="33"/>
        <v>3540.6106821391722</v>
      </c>
      <c r="E99" s="3">
        <f t="shared" si="34"/>
        <v>5099.8054186153213</v>
      </c>
      <c r="F99" s="3">
        <f t="shared" si="30"/>
        <v>848187.36897692515</v>
      </c>
    </row>
    <row r="100" spans="1:6" x14ac:dyDescent="0.25">
      <c r="A100" s="2" t="s">
        <v>69</v>
      </c>
      <c r="B100" s="3">
        <f t="shared" si="31"/>
        <v>848187.36897692515</v>
      </c>
      <c r="C100" s="3">
        <f t="shared" si="32"/>
        <v>1565.6913812114667</v>
      </c>
      <c r="D100" s="3">
        <f t="shared" si="33"/>
        <v>3534.1140374038546</v>
      </c>
      <c r="E100" s="3">
        <f t="shared" si="34"/>
        <v>5099.8054186153213</v>
      </c>
      <c r="F100" s="3">
        <f t="shared" si="30"/>
        <v>846621.67759571364</v>
      </c>
    </row>
    <row r="101" spans="1:6" x14ac:dyDescent="0.25">
      <c r="A101" s="2" t="s">
        <v>83</v>
      </c>
      <c r="B101" s="3">
        <f t="shared" si="31"/>
        <v>846621.67759571364</v>
      </c>
      <c r="C101" s="3">
        <f t="shared" si="32"/>
        <v>1572.2150952998477</v>
      </c>
      <c r="D101" s="3">
        <f t="shared" si="33"/>
        <v>3527.5903233154736</v>
      </c>
      <c r="E101" s="3">
        <f t="shared" si="34"/>
        <v>5099.8054186153213</v>
      </c>
      <c r="F101" s="3">
        <f t="shared" si="30"/>
        <v>845049.46250041376</v>
      </c>
    </row>
    <row r="102" spans="1:6" x14ac:dyDescent="0.25">
      <c r="A102" s="2" t="s">
        <v>71</v>
      </c>
      <c r="B102" s="3">
        <f t="shared" si="31"/>
        <v>845049.46250041376</v>
      </c>
      <c r="C102" s="3">
        <f t="shared" si="32"/>
        <v>1578.7659915302638</v>
      </c>
      <c r="D102" s="3">
        <f t="shared" si="33"/>
        <v>3521.0394270850575</v>
      </c>
      <c r="E102" s="3">
        <f t="shared" si="34"/>
        <v>5099.8054186153213</v>
      </c>
      <c r="F102" s="3">
        <f t="shared" si="30"/>
        <v>843470.6965088835</v>
      </c>
    </row>
    <row r="103" spans="1:6" x14ac:dyDescent="0.25">
      <c r="A103" s="2" t="s">
        <v>72</v>
      </c>
      <c r="B103" s="3">
        <f t="shared" si="31"/>
        <v>843470.6965088835</v>
      </c>
      <c r="C103" s="3">
        <f t="shared" si="32"/>
        <v>1585.3441831616401</v>
      </c>
      <c r="D103" s="3">
        <f t="shared" si="33"/>
        <v>3514.4612354536812</v>
      </c>
      <c r="E103" s="3">
        <f t="shared" si="34"/>
        <v>5099.8054186153213</v>
      </c>
      <c r="F103" s="3">
        <f t="shared" si="30"/>
        <v>841885.35232572188</v>
      </c>
    </row>
    <row r="104" spans="1:6" x14ac:dyDescent="0.25">
      <c r="A104" s="2" t="s">
        <v>73</v>
      </c>
      <c r="B104" s="3">
        <f t="shared" si="31"/>
        <v>841885.35232572188</v>
      </c>
      <c r="C104" s="3">
        <f t="shared" si="32"/>
        <v>1591.9497839248133</v>
      </c>
      <c r="D104" s="3">
        <f t="shared" si="33"/>
        <v>3507.8556346905079</v>
      </c>
      <c r="E104" s="3">
        <f t="shared" si="34"/>
        <v>5099.8054186153213</v>
      </c>
      <c r="F104" s="3">
        <f t="shared" si="30"/>
        <v>840293.40254179703</v>
      </c>
    </row>
    <row r="105" spans="1:6" x14ac:dyDescent="0.25">
      <c r="A105" s="2" t="s">
        <v>74</v>
      </c>
      <c r="B105" s="3">
        <f t="shared" si="31"/>
        <v>840293.40254179703</v>
      </c>
      <c r="C105" s="3">
        <f t="shared" si="32"/>
        <v>1598.5829080245003</v>
      </c>
      <c r="D105" s="3">
        <f t="shared" si="33"/>
        <v>3501.222510590821</v>
      </c>
      <c r="E105" s="3">
        <f t="shared" si="34"/>
        <v>5099.8054186153213</v>
      </c>
      <c r="F105" s="3">
        <f t="shared" si="30"/>
        <v>838694.81963377248</v>
      </c>
    </row>
    <row r="106" spans="1:6" x14ac:dyDescent="0.25">
      <c r="A106" s="2" t="s">
        <v>75</v>
      </c>
      <c r="B106" s="3">
        <f t="shared" si="31"/>
        <v>838694.81963377248</v>
      </c>
      <c r="C106" s="3">
        <f t="shared" si="32"/>
        <v>1605.2436701412694</v>
      </c>
      <c r="D106" s="3">
        <f t="shared" si="33"/>
        <v>3494.5617484740519</v>
      </c>
      <c r="E106" s="3">
        <f t="shared" si="34"/>
        <v>5099.8054186153213</v>
      </c>
      <c r="F106" s="3">
        <f t="shared" si="30"/>
        <v>837089.57596363116</v>
      </c>
    </row>
    <row r="107" spans="1:6" x14ac:dyDescent="0.25">
      <c r="A107" s="2" t="s">
        <v>76</v>
      </c>
      <c r="B107" s="3">
        <f t="shared" si="31"/>
        <v>837089.57596363116</v>
      </c>
      <c r="C107" s="3">
        <f t="shared" si="32"/>
        <v>1611.9321854335249</v>
      </c>
      <c r="D107" s="3">
        <f t="shared" si="33"/>
        <v>3487.8732331817964</v>
      </c>
      <c r="E107" s="3">
        <f t="shared" si="34"/>
        <v>5099.8054186153213</v>
      </c>
      <c r="F107" s="6">
        <f t="shared" si="30"/>
        <v>835477.64377819758</v>
      </c>
    </row>
    <row r="108" spans="1:6" x14ac:dyDescent="0.25">
      <c r="A108" s="7" t="s">
        <v>64</v>
      </c>
      <c r="B108" s="8"/>
      <c r="C108" s="6">
        <f>SUM(C96:C107)</f>
        <v>18907.79328773059</v>
      </c>
      <c r="D108" s="6">
        <f>SUM(D96:D107)</f>
        <v>42289.871735653265</v>
      </c>
    </row>
    <row r="111" spans="1:6" x14ac:dyDescent="0.25">
      <c r="A111" s="12" t="s">
        <v>87</v>
      </c>
      <c r="B111" s="11" t="s">
        <v>53</v>
      </c>
      <c r="C111" s="11" t="s">
        <v>54</v>
      </c>
      <c r="D111" s="11" t="s">
        <v>55</v>
      </c>
      <c r="E111" s="11" t="s">
        <v>56</v>
      </c>
      <c r="F111" s="11" t="s">
        <v>57</v>
      </c>
    </row>
    <row r="112" spans="1:6" x14ac:dyDescent="0.25">
      <c r="A112" s="2" t="s">
        <v>65</v>
      </c>
      <c r="B112" s="3">
        <f>F107</f>
        <v>835477.64377819758</v>
      </c>
      <c r="C112" s="3">
        <f>+E112-D112</f>
        <v>1618.6485695394981</v>
      </c>
      <c r="D112" s="3">
        <f>B112*$I$3</f>
        <v>3481.1568490758232</v>
      </c>
      <c r="E112" s="3">
        <f>-$I$9</f>
        <v>5099.8054186153213</v>
      </c>
      <c r="F112" s="3">
        <f t="shared" ref="F112:F123" si="35">+B112-C112</f>
        <v>833858.99520865805</v>
      </c>
    </row>
    <row r="113" spans="1:6" x14ac:dyDescent="0.25">
      <c r="A113" s="2" t="s">
        <v>66</v>
      </c>
      <c r="B113" s="3">
        <f t="shared" ref="B113:B123" si="36">+F112</f>
        <v>833858.99520865805</v>
      </c>
      <c r="C113" s="3">
        <f t="shared" ref="C113:C123" si="37">+E113-D113</f>
        <v>1625.3929385792462</v>
      </c>
      <c r="D113" s="3">
        <f t="shared" ref="D113:D123" si="38">B113*$I$3</f>
        <v>3474.4124800360751</v>
      </c>
      <c r="E113" s="3">
        <f t="shared" ref="E113:E123" si="39">-$I$9</f>
        <v>5099.8054186153213</v>
      </c>
      <c r="F113" s="3">
        <f t="shared" si="35"/>
        <v>832233.60227007885</v>
      </c>
    </row>
    <row r="114" spans="1:6" x14ac:dyDescent="0.25">
      <c r="A114" s="2" t="s">
        <v>82</v>
      </c>
      <c r="B114" s="3">
        <f t="shared" si="36"/>
        <v>832233.60227007885</v>
      </c>
      <c r="C114" s="3">
        <f t="shared" si="37"/>
        <v>1632.1654091566593</v>
      </c>
      <c r="D114" s="3">
        <f t="shared" si="38"/>
        <v>3467.640009458662</v>
      </c>
      <c r="E114" s="3">
        <f t="shared" si="39"/>
        <v>5099.8054186153213</v>
      </c>
      <c r="F114" s="3">
        <f t="shared" si="35"/>
        <v>830601.43686092214</v>
      </c>
    </row>
    <row r="115" spans="1:6" x14ac:dyDescent="0.25">
      <c r="A115" s="2" t="s">
        <v>68</v>
      </c>
      <c r="B115" s="3">
        <f t="shared" si="36"/>
        <v>830601.43686092214</v>
      </c>
      <c r="C115" s="3">
        <f t="shared" si="37"/>
        <v>1638.966098361479</v>
      </c>
      <c r="D115" s="3">
        <f t="shared" si="38"/>
        <v>3460.8393202538423</v>
      </c>
      <c r="E115" s="3">
        <f t="shared" si="39"/>
        <v>5099.8054186153213</v>
      </c>
      <c r="F115" s="3">
        <f t="shared" si="35"/>
        <v>828962.47076256061</v>
      </c>
    </row>
    <row r="116" spans="1:6" x14ac:dyDescent="0.25">
      <c r="A116" s="2" t="s">
        <v>69</v>
      </c>
      <c r="B116" s="3">
        <f t="shared" si="36"/>
        <v>828962.47076256061</v>
      </c>
      <c r="C116" s="3">
        <f t="shared" si="37"/>
        <v>1645.7951237713187</v>
      </c>
      <c r="D116" s="3">
        <f t="shared" si="38"/>
        <v>3454.0102948440026</v>
      </c>
      <c r="E116" s="3">
        <f t="shared" si="39"/>
        <v>5099.8054186153213</v>
      </c>
      <c r="F116" s="3">
        <f t="shared" si="35"/>
        <v>827316.67563878931</v>
      </c>
    </row>
    <row r="117" spans="1:6" x14ac:dyDescent="0.25">
      <c r="A117" s="2" t="s">
        <v>83</v>
      </c>
      <c r="B117" s="3">
        <f t="shared" si="36"/>
        <v>827316.67563878931</v>
      </c>
      <c r="C117" s="3">
        <f t="shared" si="37"/>
        <v>1652.6526034536992</v>
      </c>
      <c r="D117" s="3">
        <f t="shared" si="38"/>
        <v>3447.1528151616221</v>
      </c>
      <c r="E117" s="3">
        <f t="shared" si="39"/>
        <v>5099.8054186153213</v>
      </c>
      <c r="F117" s="3">
        <f t="shared" si="35"/>
        <v>825664.02303533559</v>
      </c>
    </row>
    <row r="118" spans="1:6" x14ac:dyDescent="0.25">
      <c r="A118" s="2" t="s">
        <v>71</v>
      </c>
      <c r="B118" s="3">
        <f t="shared" si="36"/>
        <v>825664.02303533559</v>
      </c>
      <c r="C118" s="3">
        <f t="shared" si="37"/>
        <v>1659.5386559680896</v>
      </c>
      <c r="D118" s="3">
        <f t="shared" si="38"/>
        <v>3440.2667626472316</v>
      </c>
      <c r="E118" s="3">
        <f t="shared" si="39"/>
        <v>5099.8054186153213</v>
      </c>
      <c r="F118" s="3">
        <f t="shared" si="35"/>
        <v>824004.48437936755</v>
      </c>
    </row>
    <row r="119" spans="1:6" x14ac:dyDescent="0.25">
      <c r="A119" s="2" t="s">
        <v>72</v>
      </c>
      <c r="B119" s="3">
        <f t="shared" si="36"/>
        <v>824004.48437936755</v>
      </c>
      <c r="C119" s="3">
        <f t="shared" si="37"/>
        <v>1666.4534003679564</v>
      </c>
      <c r="D119" s="3">
        <f t="shared" si="38"/>
        <v>3433.3520182473649</v>
      </c>
      <c r="E119" s="3">
        <f t="shared" si="39"/>
        <v>5099.8054186153213</v>
      </c>
      <c r="F119" s="3">
        <f t="shared" si="35"/>
        <v>822338.03097899957</v>
      </c>
    </row>
    <row r="120" spans="1:6" x14ac:dyDescent="0.25">
      <c r="A120" s="2" t="s">
        <v>73</v>
      </c>
      <c r="B120" s="3">
        <f t="shared" si="36"/>
        <v>822338.03097899957</v>
      </c>
      <c r="C120" s="3">
        <f t="shared" si="37"/>
        <v>1673.3969562028233</v>
      </c>
      <c r="D120" s="3">
        <f t="shared" si="38"/>
        <v>3426.408462412498</v>
      </c>
      <c r="E120" s="3">
        <f t="shared" si="39"/>
        <v>5099.8054186153213</v>
      </c>
      <c r="F120" s="3">
        <f t="shared" si="35"/>
        <v>820664.63402279676</v>
      </c>
    </row>
    <row r="121" spans="1:6" x14ac:dyDescent="0.25">
      <c r="A121" s="2" t="s">
        <v>74</v>
      </c>
      <c r="B121" s="3">
        <f t="shared" si="36"/>
        <v>820664.63402279676</v>
      </c>
      <c r="C121" s="3">
        <f t="shared" si="37"/>
        <v>1680.3694435203347</v>
      </c>
      <c r="D121" s="3">
        <f t="shared" si="38"/>
        <v>3419.4359750949866</v>
      </c>
      <c r="E121" s="3">
        <f t="shared" si="39"/>
        <v>5099.8054186153213</v>
      </c>
      <c r="F121" s="3">
        <f t="shared" si="35"/>
        <v>818984.26457927644</v>
      </c>
    </row>
    <row r="122" spans="1:6" x14ac:dyDescent="0.25">
      <c r="A122" s="2" t="s">
        <v>75</v>
      </c>
      <c r="B122" s="3">
        <f t="shared" si="36"/>
        <v>818984.26457927644</v>
      </c>
      <c r="C122" s="3">
        <f t="shared" si="37"/>
        <v>1687.3709828683363</v>
      </c>
      <c r="D122" s="3">
        <f t="shared" si="38"/>
        <v>3412.4344357469849</v>
      </c>
      <c r="E122" s="3">
        <f t="shared" si="39"/>
        <v>5099.8054186153213</v>
      </c>
      <c r="F122" s="3">
        <f t="shared" si="35"/>
        <v>817296.89359640807</v>
      </c>
    </row>
    <row r="123" spans="1:6" x14ac:dyDescent="0.25">
      <c r="A123" s="2" t="s">
        <v>76</v>
      </c>
      <c r="B123" s="3">
        <f t="shared" si="36"/>
        <v>817296.89359640807</v>
      </c>
      <c r="C123" s="3">
        <f t="shared" si="37"/>
        <v>1694.4016952969546</v>
      </c>
      <c r="D123" s="3">
        <f t="shared" si="38"/>
        <v>3405.4037233183667</v>
      </c>
      <c r="E123" s="3">
        <f t="shared" si="39"/>
        <v>5099.8054186153213</v>
      </c>
      <c r="F123" s="6">
        <f t="shared" si="35"/>
        <v>815602.49190111109</v>
      </c>
    </row>
    <row r="124" spans="1:6" x14ac:dyDescent="0.25">
      <c r="A124" s="7" t="s">
        <v>64</v>
      </c>
      <c r="B124" s="8"/>
      <c r="C124" s="6">
        <f>SUM(C112:C123)</f>
        <v>19875.151877086395</v>
      </c>
      <c r="D124" s="6">
        <f>SUM(D112:D123)</f>
        <v>41322.51314629746</v>
      </c>
    </row>
    <row r="127" spans="1:6" x14ac:dyDescent="0.25">
      <c r="A127" s="12" t="s">
        <v>88</v>
      </c>
      <c r="B127" s="11" t="s">
        <v>53</v>
      </c>
      <c r="C127" s="11" t="s">
        <v>54</v>
      </c>
      <c r="D127" s="11" t="s">
        <v>55</v>
      </c>
      <c r="E127" s="11" t="s">
        <v>56</v>
      </c>
      <c r="F127" s="11" t="s">
        <v>57</v>
      </c>
    </row>
    <row r="128" spans="1:6" x14ac:dyDescent="0.25">
      <c r="A128" s="2" t="s">
        <v>65</v>
      </c>
      <c r="B128" s="3">
        <f>F123</f>
        <v>815602.49190111109</v>
      </c>
      <c r="C128" s="3">
        <f>+E128-D128</f>
        <v>1701.461702360692</v>
      </c>
      <c r="D128" s="3">
        <f>B128*$I$3</f>
        <v>3398.3437162546293</v>
      </c>
      <c r="E128" s="3">
        <f>-$I$9</f>
        <v>5099.8054186153213</v>
      </c>
      <c r="F128" s="3">
        <f t="shared" ref="F128:F139" si="40">+B128-C128</f>
        <v>813901.03019875044</v>
      </c>
    </row>
    <row r="129" spans="1:6" x14ac:dyDescent="0.25">
      <c r="A129" s="2" t="s">
        <v>66</v>
      </c>
      <c r="B129" s="3">
        <f t="shared" ref="B129:B139" si="41">+F128</f>
        <v>813901.03019875044</v>
      </c>
      <c r="C129" s="3">
        <f t="shared" ref="C129:C139" si="42">+E129-D129</f>
        <v>1708.5511261205279</v>
      </c>
      <c r="D129" s="3">
        <f t="shared" ref="D129:D139" si="43">B129*$I$3</f>
        <v>3391.2542924947934</v>
      </c>
      <c r="E129" s="3">
        <f t="shared" ref="E129:E139" si="44">-$I$9</f>
        <v>5099.8054186153213</v>
      </c>
      <c r="F129" s="3">
        <f t="shared" si="40"/>
        <v>812192.47907262994</v>
      </c>
    </row>
    <row r="130" spans="1:6" x14ac:dyDescent="0.25">
      <c r="A130" s="2" t="s">
        <v>82</v>
      </c>
      <c r="B130" s="3">
        <f t="shared" si="41"/>
        <v>812192.47907262994</v>
      </c>
      <c r="C130" s="3">
        <f t="shared" si="42"/>
        <v>1715.67008914603</v>
      </c>
      <c r="D130" s="3">
        <f t="shared" si="43"/>
        <v>3384.1353294692913</v>
      </c>
      <c r="E130" s="3">
        <f t="shared" si="44"/>
        <v>5099.8054186153213</v>
      </c>
      <c r="F130" s="3">
        <f t="shared" si="40"/>
        <v>810476.80898348393</v>
      </c>
    </row>
    <row r="131" spans="1:6" x14ac:dyDescent="0.25">
      <c r="A131" s="2" t="s">
        <v>68</v>
      </c>
      <c r="B131" s="3">
        <f t="shared" si="41"/>
        <v>810476.80898348393</v>
      </c>
      <c r="C131" s="3">
        <f t="shared" si="42"/>
        <v>1722.8187145174716</v>
      </c>
      <c r="D131" s="3">
        <f t="shared" si="43"/>
        <v>3376.9867040978497</v>
      </c>
      <c r="E131" s="3">
        <f t="shared" si="44"/>
        <v>5099.8054186153213</v>
      </c>
      <c r="F131" s="3">
        <f t="shared" si="40"/>
        <v>808753.99026896642</v>
      </c>
    </row>
    <row r="132" spans="1:6" x14ac:dyDescent="0.25">
      <c r="A132" s="2" t="s">
        <v>69</v>
      </c>
      <c r="B132" s="3">
        <f t="shared" si="41"/>
        <v>808753.99026896642</v>
      </c>
      <c r="C132" s="3">
        <f t="shared" si="42"/>
        <v>1729.9971258279611</v>
      </c>
      <c r="D132" s="3">
        <f t="shared" si="43"/>
        <v>3369.8082927873602</v>
      </c>
      <c r="E132" s="3">
        <f t="shared" si="44"/>
        <v>5099.8054186153213</v>
      </c>
      <c r="F132" s="3">
        <f t="shared" si="40"/>
        <v>807023.99314313848</v>
      </c>
    </row>
    <row r="133" spans="1:6" x14ac:dyDescent="0.25">
      <c r="A133" s="2" t="s">
        <v>83</v>
      </c>
      <c r="B133" s="3">
        <f t="shared" si="41"/>
        <v>807023.99314313848</v>
      </c>
      <c r="C133" s="3">
        <f t="shared" si="42"/>
        <v>1737.2054471855777</v>
      </c>
      <c r="D133" s="3">
        <f t="shared" si="43"/>
        <v>3362.5999714297436</v>
      </c>
      <c r="E133" s="3">
        <f t="shared" si="44"/>
        <v>5099.8054186153213</v>
      </c>
      <c r="F133" s="3">
        <f t="shared" si="40"/>
        <v>805286.78769595292</v>
      </c>
    </row>
    <row r="134" spans="1:6" x14ac:dyDescent="0.25">
      <c r="A134" s="2" t="s">
        <v>71</v>
      </c>
      <c r="B134" s="3">
        <f t="shared" si="41"/>
        <v>805286.78769595292</v>
      </c>
      <c r="C134" s="3">
        <f t="shared" si="42"/>
        <v>1744.4438032155176</v>
      </c>
      <c r="D134" s="3">
        <f t="shared" si="43"/>
        <v>3355.3616153998037</v>
      </c>
      <c r="E134" s="3">
        <f t="shared" si="44"/>
        <v>5099.8054186153213</v>
      </c>
      <c r="F134" s="3">
        <f t="shared" si="40"/>
        <v>803542.34389273741</v>
      </c>
    </row>
    <row r="135" spans="1:6" x14ac:dyDescent="0.25">
      <c r="A135" s="2" t="s">
        <v>72</v>
      </c>
      <c r="B135" s="3">
        <f t="shared" si="41"/>
        <v>803542.34389273741</v>
      </c>
      <c r="C135" s="3">
        <f t="shared" si="42"/>
        <v>1751.7123190622488</v>
      </c>
      <c r="D135" s="3">
        <f t="shared" si="43"/>
        <v>3348.0930995530725</v>
      </c>
      <c r="E135" s="3">
        <f t="shared" si="44"/>
        <v>5099.8054186153213</v>
      </c>
      <c r="F135" s="3">
        <f t="shared" si="40"/>
        <v>801790.6315736752</v>
      </c>
    </row>
    <row r="136" spans="1:6" x14ac:dyDescent="0.25">
      <c r="A136" s="2" t="s">
        <v>73</v>
      </c>
      <c r="B136" s="3">
        <f t="shared" si="41"/>
        <v>801790.6315736752</v>
      </c>
      <c r="C136" s="3">
        <f t="shared" si="42"/>
        <v>1759.0111203916745</v>
      </c>
      <c r="D136" s="3">
        <f t="shared" si="43"/>
        <v>3340.7942982236468</v>
      </c>
      <c r="E136" s="3">
        <f t="shared" si="44"/>
        <v>5099.8054186153213</v>
      </c>
      <c r="F136" s="3">
        <f t="shared" si="40"/>
        <v>800031.62045328354</v>
      </c>
    </row>
    <row r="137" spans="1:6" x14ac:dyDescent="0.25">
      <c r="A137" s="2" t="s">
        <v>74</v>
      </c>
      <c r="B137" s="3">
        <f t="shared" si="41"/>
        <v>800031.62045328354</v>
      </c>
      <c r="C137" s="3">
        <f t="shared" si="42"/>
        <v>1766.3403333933065</v>
      </c>
      <c r="D137" s="3">
        <f t="shared" si="43"/>
        <v>3333.4650852220147</v>
      </c>
      <c r="E137" s="3">
        <f t="shared" si="44"/>
        <v>5099.8054186153213</v>
      </c>
      <c r="F137" s="3">
        <f t="shared" si="40"/>
        <v>798265.28011989023</v>
      </c>
    </row>
    <row r="138" spans="1:6" x14ac:dyDescent="0.25">
      <c r="A138" s="2" t="s">
        <v>75</v>
      </c>
      <c r="B138" s="3">
        <f t="shared" si="41"/>
        <v>798265.28011989023</v>
      </c>
      <c r="C138" s="3">
        <f t="shared" si="42"/>
        <v>1773.7000847824452</v>
      </c>
      <c r="D138" s="3">
        <f t="shared" si="43"/>
        <v>3326.1053338328761</v>
      </c>
      <c r="E138" s="3">
        <f t="shared" si="44"/>
        <v>5099.8054186153213</v>
      </c>
      <c r="F138" s="3">
        <f t="shared" si="40"/>
        <v>796491.58003510779</v>
      </c>
    </row>
    <row r="139" spans="1:6" x14ac:dyDescent="0.25">
      <c r="A139" s="2" t="s">
        <v>76</v>
      </c>
      <c r="B139" s="3">
        <f t="shared" si="41"/>
        <v>796491.58003510779</v>
      </c>
      <c r="C139" s="3">
        <f t="shared" si="42"/>
        <v>1781.0905018023723</v>
      </c>
      <c r="D139" s="3">
        <f t="shared" si="43"/>
        <v>3318.714916812949</v>
      </c>
      <c r="E139" s="3">
        <f t="shared" si="44"/>
        <v>5099.8054186153213</v>
      </c>
      <c r="F139" s="6">
        <f t="shared" si="40"/>
        <v>794710.4895333054</v>
      </c>
    </row>
    <row r="140" spans="1:6" x14ac:dyDescent="0.25">
      <c r="A140" s="7" t="s">
        <v>64</v>
      </c>
      <c r="B140" s="8"/>
      <c r="C140" s="6">
        <f>SUM(C128:C139)</f>
        <v>20892.002367805824</v>
      </c>
      <c r="D140" s="6">
        <f>SUM(D128:D139)</f>
        <v>40305.662655578031</v>
      </c>
    </row>
    <row r="143" spans="1:6" x14ac:dyDescent="0.25">
      <c r="A143" s="12" t="s">
        <v>89</v>
      </c>
      <c r="B143" s="11" t="s">
        <v>53</v>
      </c>
      <c r="C143" s="11" t="s">
        <v>54</v>
      </c>
      <c r="D143" s="11" t="s">
        <v>55</v>
      </c>
      <c r="E143" s="11" t="s">
        <v>56</v>
      </c>
      <c r="F143" s="11" t="s">
        <v>57</v>
      </c>
    </row>
    <row r="144" spans="1:6" x14ac:dyDescent="0.25">
      <c r="A144" s="2" t="s">
        <v>65</v>
      </c>
      <c r="B144" s="3">
        <f>F139</f>
        <v>794710.4895333054</v>
      </c>
      <c r="C144" s="3">
        <f>+E144-D144</f>
        <v>1788.5117122265488</v>
      </c>
      <c r="D144" s="3">
        <f>B144*$I$3</f>
        <v>3311.2937063887725</v>
      </c>
      <c r="E144" s="3">
        <f>-$I$9</f>
        <v>5099.8054186153213</v>
      </c>
      <c r="F144" s="3">
        <f t="shared" ref="F144:F155" si="45">+B144-C144</f>
        <v>792921.97782107885</v>
      </c>
    </row>
    <row r="145" spans="1:6" x14ac:dyDescent="0.25">
      <c r="A145" s="2" t="s">
        <v>66</v>
      </c>
      <c r="B145" s="3">
        <f t="shared" ref="B145:B155" si="46">+F144</f>
        <v>792921.97782107885</v>
      </c>
      <c r="C145" s="3">
        <f t="shared" ref="C145:C155" si="47">+E145-D145</f>
        <v>1795.963844360826</v>
      </c>
      <c r="D145" s="3">
        <f t="shared" ref="D145:D155" si="48">B145*$I$3</f>
        <v>3303.8415742544953</v>
      </c>
      <c r="E145" s="3">
        <f t="shared" ref="E145:E155" si="49">-$I$9</f>
        <v>5099.8054186153213</v>
      </c>
      <c r="F145" s="3">
        <f t="shared" si="45"/>
        <v>791126.01397671807</v>
      </c>
    </row>
    <row r="146" spans="1:6" x14ac:dyDescent="0.25">
      <c r="A146" s="2" t="s">
        <v>82</v>
      </c>
      <c r="B146" s="3">
        <f t="shared" si="46"/>
        <v>791126.01397671807</v>
      </c>
      <c r="C146" s="3">
        <f t="shared" si="47"/>
        <v>1803.4470270456627</v>
      </c>
      <c r="D146" s="3">
        <f t="shared" si="48"/>
        <v>3296.3583915696586</v>
      </c>
      <c r="E146" s="3">
        <f t="shared" si="49"/>
        <v>5099.8054186153213</v>
      </c>
      <c r="F146" s="3">
        <f t="shared" si="45"/>
        <v>789322.56694967241</v>
      </c>
    </row>
    <row r="147" spans="1:6" x14ac:dyDescent="0.25">
      <c r="A147" s="2" t="s">
        <v>68</v>
      </c>
      <c r="B147" s="3">
        <f t="shared" si="46"/>
        <v>789322.56694967241</v>
      </c>
      <c r="C147" s="3">
        <f t="shared" si="47"/>
        <v>1810.9613896583528</v>
      </c>
      <c r="D147" s="3">
        <f t="shared" si="48"/>
        <v>3288.8440289569685</v>
      </c>
      <c r="E147" s="3">
        <f t="shared" si="49"/>
        <v>5099.8054186153213</v>
      </c>
      <c r="F147" s="3">
        <f t="shared" si="45"/>
        <v>787511.60556001402</v>
      </c>
    </row>
    <row r="148" spans="1:6" x14ac:dyDescent="0.25">
      <c r="A148" s="2" t="s">
        <v>69</v>
      </c>
      <c r="B148" s="3">
        <f t="shared" si="46"/>
        <v>787511.60556001402</v>
      </c>
      <c r="C148" s="3">
        <f t="shared" si="47"/>
        <v>1818.5070621152627</v>
      </c>
      <c r="D148" s="3">
        <f t="shared" si="48"/>
        <v>3281.2983565000586</v>
      </c>
      <c r="E148" s="3">
        <f t="shared" si="49"/>
        <v>5099.8054186153213</v>
      </c>
      <c r="F148" s="3">
        <f t="shared" si="45"/>
        <v>785693.09849789878</v>
      </c>
    </row>
    <row r="149" spans="1:6" x14ac:dyDescent="0.25">
      <c r="A149" s="2" t="s">
        <v>83</v>
      </c>
      <c r="B149" s="3">
        <f t="shared" si="46"/>
        <v>785693.09849789878</v>
      </c>
      <c r="C149" s="3">
        <f t="shared" si="47"/>
        <v>1826.0841748740763</v>
      </c>
      <c r="D149" s="3">
        <f t="shared" si="48"/>
        <v>3273.721243741245</v>
      </c>
      <c r="E149" s="3">
        <f t="shared" si="49"/>
        <v>5099.8054186153213</v>
      </c>
      <c r="F149" s="3">
        <f t="shared" si="45"/>
        <v>783867.01432302466</v>
      </c>
    </row>
    <row r="150" spans="1:6" x14ac:dyDescent="0.25">
      <c r="A150" s="2" t="s">
        <v>71</v>
      </c>
      <c r="B150" s="3">
        <f t="shared" si="46"/>
        <v>783867.01432302466</v>
      </c>
      <c r="C150" s="3">
        <f t="shared" si="47"/>
        <v>1833.6928589360518</v>
      </c>
      <c r="D150" s="3">
        <f t="shared" si="48"/>
        <v>3266.1125596792695</v>
      </c>
      <c r="E150" s="3">
        <f t="shared" si="49"/>
        <v>5099.8054186153213</v>
      </c>
      <c r="F150" s="3">
        <f t="shared" si="45"/>
        <v>782033.32146408863</v>
      </c>
    </row>
    <row r="151" spans="1:6" x14ac:dyDescent="0.25">
      <c r="A151" s="2" t="s">
        <v>72</v>
      </c>
      <c r="B151" s="3">
        <f t="shared" si="46"/>
        <v>782033.32146408863</v>
      </c>
      <c r="C151" s="3">
        <f t="shared" si="47"/>
        <v>1841.3332458482855</v>
      </c>
      <c r="D151" s="3">
        <f t="shared" si="48"/>
        <v>3258.4721727670358</v>
      </c>
      <c r="E151" s="3">
        <f t="shared" si="49"/>
        <v>5099.8054186153213</v>
      </c>
      <c r="F151" s="3">
        <f t="shared" si="45"/>
        <v>780191.98821824032</v>
      </c>
    </row>
    <row r="152" spans="1:6" x14ac:dyDescent="0.25">
      <c r="A152" s="2" t="s">
        <v>73</v>
      </c>
      <c r="B152" s="3">
        <f t="shared" si="46"/>
        <v>780191.98821824032</v>
      </c>
      <c r="C152" s="3">
        <f t="shared" si="47"/>
        <v>1849.0054677059866</v>
      </c>
      <c r="D152" s="3">
        <f t="shared" si="48"/>
        <v>3250.7999509093347</v>
      </c>
      <c r="E152" s="3">
        <f t="shared" si="49"/>
        <v>5099.8054186153213</v>
      </c>
      <c r="F152" s="3">
        <f t="shared" si="45"/>
        <v>778342.98275053431</v>
      </c>
    </row>
    <row r="153" spans="1:6" x14ac:dyDescent="0.25">
      <c r="A153" s="2" t="s">
        <v>74</v>
      </c>
      <c r="B153" s="3">
        <f t="shared" si="46"/>
        <v>778342.98275053431</v>
      </c>
      <c r="C153" s="3">
        <f t="shared" si="47"/>
        <v>1856.7096571547618</v>
      </c>
      <c r="D153" s="3">
        <f t="shared" si="48"/>
        <v>3243.0957614605595</v>
      </c>
      <c r="E153" s="3">
        <f t="shared" si="49"/>
        <v>5099.8054186153213</v>
      </c>
      <c r="F153" s="3">
        <f t="shared" si="45"/>
        <v>776486.27309337957</v>
      </c>
    </row>
    <row r="154" spans="1:6" x14ac:dyDescent="0.25">
      <c r="A154" s="2" t="s">
        <v>75</v>
      </c>
      <c r="B154" s="3">
        <f t="shared" si="46"/>
        <v>776486.27309337957</v>
      </c>
      <c r="C154" s="3">
        <f t="shared" si="47"/>
        <v>1864.4459473929064</v>
      </c>
      <c r="D154" s="3">
        <f t="shared" si="48"/>
        <v>3235.3594712224149</v>
      </c>
      <c r="E154" s="3">
        <f t="shared" si="49"/>
        <v>5099.8054186153213</v>
      </c>
      <c r="F154" s="3">
        <f t="shared" si="45"/>
        <v>774621.82714598661</v>
      </c>
    </row>
    <row r="155" spans="1:6" x14ac:dyDescent="0.25">
      <c r="A155" s="2" t="s">
        <v>76</v>
      </c>
      <c r="B155" s="3">
        <f t="shared" si="46"/>
        <v>774621.82714598661</v>
      </c>
      <c r="C155" s="3">
        <f t="shared" si="47"/>
        <v>1872.2144721737104</v>
      </c>
      <c r="D155" s="3">
        <f t="shared" si="48"/>
        <v>3227.5909464416109</v>
      </c>
      <c r="E155" s="3">
        <f t="shared" si="49"/>
        <v>5099.8054186153213</v>
      </c>
      <c r="F155" s="6">
        <f t="shared" si="45"/>
        <v>772749.6126738129</v>
      </c>
    </row>
    <row r="156" spans="1:6" x14ac:dyDescent="0.25">
      <c r="A156" s="7" t="s">
        <v>64</v>
      </c>
      <c r="B156" s="8"/>
      <c r="C156" s="6">
        <f>SUM(C144:C155)</f>
        <v>21960.87685949243</v>
      </c>
      <c r="D156" s="6">
        <f>SUM(D144:D155)</f>
        <v>39236.788163891426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="80" zoomScaleNormal="80" workbookViewId="0"/>
  </sheetViews>
  <sheetFormatPr defaultRowHeight="15" x14ac:dyDescent="0.25"/>
  <cols>
    <col min="1" max="1" width="26.875" style="16" customWidth="1"/>
    <col min="2" max="2" width="9.875" style="16" customWidth="1"/>
    <col min="3" max="3" width="9" style="16"/>
    <col min="4" max="4" width="1.625" style="16" customWidth="1"/>
    <col min="5" max="5" width="10.25" style="16" customWidth="1"/>
    <col min="6" max="6" width="9.375" style="16" customWidth="1"/>
    <col min="7" max="16384" width="9" style="16"/>
  </cols>
  <sheetData>
    <row r="1" spans="1:11" ht="16.5" thickBot="1" x14ac:dyDescent="0.3">
      <c r="A1" s="13" t="s">
        <v>92</v>
      </c>
      <c r="B1" s="14"/>
      <c r="C1" s="14"/>
      <c r="D1" s="15"/>
    </row>
    <row r="2" spans="1:11" x14ac:dyDescent="0.25">
      <c r="A2" s="17" t="s">
        <v>93</v>
      </c>
      <c r="B2" s="18">
        <f>Forecast!N40</f>
        <v>0.25</v>
      </c>
      <c r="C2" s="14"/>
      <c r="D2" s="15"/>
    </row>
    <row r="3" spans="1:11" ht="15.75" thickBot="1" x14ac:dyDescent="0.3">
      <c r="A3" s="14"/>
      <c r="B3" s="14"/>
      <c r="C3" s="14"/>
      <c r="D3" s="15"/>
    </row>
    <row r="4" spans="1:11" ht="15.75" thickBot="1" x14ac:dyDescent="0.3">
      <c r="A4" s="19" t="s">
        <v>94</v>
      </c>
      <c r="B4" s="20">
        <v>0.85</v>
      </c>
      <c r="C4" s="14"/>
      <c r="D4" s="15"/>
    </row>
    <row r="5" spans="1:11" ht="16.5" thickBot="1" x14ac:dyDescent="0.3">
      <c r="A5" s="14"/>
      <c r="B5" s="14"/>
      <c r="C5" s="14"/>
      <c r="D5" s="15"/>
      <c r="E5" s="21"/>
      <c r="F5" s="28"/>
      <c r="G5" s="28"/>
      <c r="H5" s="22"/>
      <c r="I5" s="28"/>
      <c r="J5" s="28"/>
    </row>
    <row r="6" spans="1:11" ht="16.5" thickBot="1" x14ac:dyDescent="0.3">
      <c r="A6" s="17" t="s">
        <v>96</v>
      </c>
      <c r="B6" s="23">
        <f>Forecast!O63</f>
        <v>0.96476083098758725</v>
      </c>
      <c r="C6" s="14"/>
      <c r="D6" s="15"/>
      <c r="F6" s="33"/>
      <c r="G6" s="34"/>
      <c r="H6" s="22"/>
      <c r="I6" s="33"/>
      <c r="J6" s="34"/>
    </row>
    <row r="7" spans="1:11" ht="16.5" thickBot="1" x14ac:dyDescent="0.3">
      <c r="A7" s="17" t="s">
        <v>97</v>
      </c>
      <c r="B7" s="23">
        <f>Forecast!O64</f>
        <v>3.5239169012412655E-2</v>
      </c>
      <c r="C7" s="14"/>
      <c r="D7" s="15"/>
      <c r="F7" s="33"/>
      <c r="G7" s="34"/>
      <c r="H7" s="22"/>
      <c r="I7" s="33"/>
      <c r="J7" s="34"/>
    </row>
    <row r="8" spans="1:11" ht="15.75" x14ac:dyDescent="0.25">
      <c r="A8" s="17" t="s">
        <v>98</v>
      </c>
      <c r="B8" s="24">
        <f>B4*(1+(1-B2)/(B6/B7))</f>
        <v>0.87328553308120582</v>
      </c>
      <c r="C8" s="14"/>
      <c r="D8" s="15"/>
      <c r="F8" s="33"/>
      <c r="G8" s="34"/>
      <c r="H8" s="22"/>
      <c r="I8" s="33"/>
      <c r="J8" s="34"/>
    </row>
    <row r="9" spans="1:11" ht="16.5" thickBot="1" x14ac:dyDescent="0.3">
      <c r="A9" s="14"/>
      <c r="B9" s="14"/>
      <c r="C9" s="14"/>
      <c r="D9" s="15"/>
      <c r="F9" s="33"/>
      <c r="G9" s="34"/>
      <c r="H9" s="22"/>
      <c r="I9" s="33"/>
      <c r="J9" s="34"/>
    </row>
    <row r="10" spans="1:11" ht="16.5" thickBot="1" x14ac:dyDescent="0.3">
      <c r="A10" s="13" t="s">
        <v>99</v>
      </c>
      <c r="B10" s="14"/>
      <c r="C10" s="14"/>
      <c r="D10" s="15"/>
      <c r="F10" s="33"/>
      <c r="G10" s="34"/>
      <c r="H10" s="22"/>
      <c r="I10" s="33"/>
      <c r="J10" s="34"/>
    </row>
    <row r="11" spans="1:11" ht="16.5" thickBot="1" x14ac:dyDescent="0.3">
      <c r="A11" s="17" t="s">
        <v>95</v>
      </c>
      <c r="B11" s="23">
        <v>2.7300000000000001E-2</v>
      </c>
      <c r="C11" s="14"/>
      <c r="D11" s="15"/>
      <c r="F11" s="33"/>
      <c r="G11" s="34"/>
      <c r="H11" s="22"/>
      <c r="I11" s="33"/>
      <c r="J11" s="34"/>
    </row>
    <row r="12" spans="1:11" ht="15.75" x14ac:dyDescent="0.25">
      <c r="A12" s="17" t="s">
        <v>100</v>
      </c>
      <c r="B12" s="23">
        <v>6.2100000000000002E-2</v>
      </c>
      <c r="C12" s="14"/>
      <c r="D12" s="15"/>
      <c r="F12" s="33"/>
      <c r="G12" s="34"/>
      <c r="H12" s="22"/>
      <c r="I12" s="33"/>
      <c r="J12" s="34"/>
    </row>
    <row r="13" spans="1:11" ht="15.75" thickBot="1" x14ac:dyDescent="0.3">
      <c r="A13" s="14"/>
      <c r="B13" s="14"/>
      <c r="C13" s="14"/>
      <c r="D13" s="15"/>
      <c r="F13" s="22"/>
      <c r="G13" s="22"/>
      <c r="H13" s="22"/>
      <c r="I13" s="22"/>
      <c r="J13" s="22"/>
    </row>
    <row r="14" spans="1:11" ht="16.5" thickBot="1" x14ac:dyDescent="0.3">
      <c r="A14" s="19" t="s">
        <v>101</v>
      </c>
      <c r="B14" s="25">
        <f>B11+B8*(B12-B11)</f>
        <v>5.7690336551225962E-2</v>
      </c>
      <c r="C14" s="14"/>
      <c r="D14" s="15"/>
      <c r="F14" s="22"/>
      <c r="G14" s="35"/>
      <c r="H14" s="22"/>
      <c r="I14" s="22"/>
      <c r="J14" s="35"/>
      <c r="K14" s="26"/>
    </row>
    <row r="15" spans="1:11" x14ac:dyDescent="0.25">
      <c r="A15" s="14"/>
      <c r="B15" s="14">
        <v>0</v>
      </c>
      <c r="C15" s="14"/>
      <c r="D15" s="15"/>
      <c r="F15" s="22"/>
      <c r="G15" s="22"/>
      <c r="H15" s="22"/>
      <c r="I15" s="22"/>
      <c r="J15" s="22"/>
    </row>
    <row r="16" spans="1:11" ht="10.5" customHeight="1" x14ac:dyDescent="0.25">
      <c r="A16" s="15"/>
      <c r="B16" s="15"/>
      <c r="C16" s="15"/>
      <c r="D16" s="15"/>
      <c r="F16" s="22"/>
      <c r="G16" s="22"/>
      <c r="H16" s="22"/>
      <c r="I16" s="22"/>
      <c r="J16" s="22"/>
    </row>
    <row r="17" spans="1:10" ht="10.5" customHeight="1" x14ac:dyDescent="0.25">
      <c r="A17" s="27"/>
      <c r="B17" s="27"/>
      <c r="C17" s="27"/>
      <c r="D17" s="27"/>
      <c r="F17" s="22"/>
      <c r="G17" s="22"/>
      <c r="H17" s="22"/>
      <c r="I17" s="22"/>
      <c r="J17" s="22"/>
    </row>
    <row r="18" spans="1:10" x14ac:dyDescent="0.25">
      <c r="F18" s="22"/>
      <c r="G18" s="22"/>
      <c r="H18" s="22"/>
      <c r="I18" s="22"/>
      <c r="J18" s="22"/>
    </row>
    <row r="19" spans="1:10" x14ac:dyDescent="0.25">
      <c r="A19" s="16" t="s">
        <v>102</v>
      </c>
      <c r="F19" s="28"/>
      <c r="G19" s="22"/>
      <c r="H19" s="28"/>
      <c r="I19" s="22"/>
      <c r="J19" s="22"/>
    </row>
    <row r="20" spans="1:10" ht="15.75" x14ac:dyDescent="0.25">
      <c r="A20" s="16" t="s">
        <v>103</v>
      </c>
      <c r="F20" s="22"/>
      <c r="G20" s="22"/>
      <c r="H20" s="36"/>
      <c r="I20" s="22"/>
      <c r="J20" s="22"/>
    </row>
    <row r="21" spans="1:10" ht="15.75" x14ac:dyDescent="0.25">
      <c r="A21" s="16" t="s">
        <v>104</v>
      </c>
      <c r="B21" s="21">
        <f>[2]Answer!D11</f>
        <v>0.05</v>
      </c>
      <c r="F21" s="22"/>
      <c r="G21" s="22"/>
      <c r="H21" s="36"/>
      <c r="I21" s="22"/>
      <c r="J21" s="22"/>
    </row>
    <row r="22" spans="1:10" ht="15.75" x14ac:dyDescent="0.25">
      <c r="F22" s="22"/>
      <c r="G22" s="22"/>
      <c r="H22" s="36"/>
      <c r="I22" s="22"/>
      <c r="J22" s="22"/>
    </row>
    <row r="23" spans="1:10" ht="16.5" thickBot="1" x14ac:dyDescent="0.3">
      <c r="B23" s="28" t="s">
        <v>105</v>
      </c>
      <c r="F23" s="22"/>
      <c r="G23" s="22"/>
      <c r="H23" s="36"/>
      <c r="I23" s="22"/>
      <c r="J23" s="22"/>
    </row>
    <row r="24" spans="1:10" ht="16.5" thickBot="1" x14ac:dyDescent="0.3">
      <c r="B24" s="29">
        <f>B21*(1-B2)</f>
        <v>3.7500000000000006E-2</v>
      </c>
      <c r="F24" s="22"/>
      <c r="G24" s="22"/>
      <c r="H24" s="36"/>
      <c r="I24" s="22"/>
      <c r="J24" s="22"/>
    </row>
    <row r="25" spans="1:10" ht="15.75" x14ac:dyDescent="0.25">
      <c r="F25" s="22"/>
      <c r="G25" s="22"/>
      <c r="H25" s="36"/>
      <c r="I25" s="22"/>
      <c r="J25" s="22"/>
    </row>
    <row r="26" spans="1:10" ht="15.75" x14ac:dyDescent="0.25">
      <c r="F26" s="22"/>
      <c r="G26" s="22"/>
      <c r="H26" s="36"/>
      <c r="I26" s="22"/>
      <c r="J26" s="22"/>
    </row>
    <row r="27" spans="1:10" ht="16.5" thickBot="1" x14ac:dyDescent="0.3">
      <c r="B27" s="28" t="s">
        <v>48</v>
      </c>
      <c r="C27" s="28" t="s">
        <v>106</v>
      </c>
      <c r="F27" s="22"/>
      <c r="G27" s="22"/>
      <c r="H27" s="36"/>
      <c r="I27" s="22"/>
      <c r="J27" s="22"/>
    </row>
    <row r="28" spans="1:10" ht="16.5" thickBot="1" x14ac:dyDescent="0.3">
      <c r="B28" s="30">
        <f>B7</f>
        <v>3.5239169012412655E-2</v>
      </c>
      <c r="C28" s="31">
        <f>B6</f>
        <v>0.96476083098758725</v>
      </c>
      <c r="F28" s="22"/>
      <c r="G28" s="22"/>
      <c r="H28" s="36"/>
      <c r="I28" s="22"/>
      <c r="J28" s="22"/>
    </row>
    <row r="29" spans="1:10" ht="16.5" thickBot="1" x14ac:dyDescent="0.3">
      <c r="F29" s="22"/>
      <c r="G29" s="22"/>
      <c r="H29" s="36"/>
      <c r="I29" s="22"/>
      <c r="J29" s="22"/>
    </row>
    <row r="30" spans="1:10" ht="16.5" thickBot="1" x14ac:dyDescent="0.3">
      <c r="A30" s="17" t="s">
        <v>107</v>
      </c>
      <c r="B30" s="32">
        <f>+C28*(1-B2)*B21+B28*B14</f>
        <v>3.8211490682146146E-2</v>
      </c>
      <c r="F30" s="22"/>
      <c r="G30" s="22"/>
      <c r="H30" s="36"/>
      <c r="I30" s="22"/>
      <c r="J30" s="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138"/>
  <sheetViews>
    <sheetView view="pageBreakPreview" topLeftCell="A76" zoomScale="80" zoomScaleNormal="50" zoomScaleSheetLayoutView="80" workbookViewId="0">
      <selection activeCell="E93" sqref="E93"/>
    </sheetView>
  </sheetViews>
  <sheetFormatPr defaultColWidth="11" defaultRowHeight="15.75" x14ac:dyDescent="0.25"/>
  <cols>
    <col min="1" max="1" width="20.5" customWidth="1"/>
    <col min="2" max="2" width="28" customWidth="1"/>
    <col min="3" max="3" width="26.25" customWidth="1"/>
    <col min="4" max="4" width="35.125" customWidth="1"/>
    <col min="5" max="9" width="13.125" bestFit="1" customWidth="1"/>
  </cols>
  <sheetData>
    <row r="1" spans="1:15" ht="19.5" thickBot="1" x14ac:dyDescent="0.3">
      <c r="A1" s="253" t="s">
        <v>90</v>
      </c>
      <c r="B1" s="253"/>
      <c r="C1" s="253"/>
      <c r="D1" s="253"/>
      <c r="E1" s="252"/>
      <c r="F1" s="252"/>
      <c r="G1" s="252"/>
      <c r="H1" s="252"/>
      <c r="I1" s="252"/>
    </row>
    <row r="2" spans="1:15" ht="18.75" x14ac:dyDescent="0.3">
      <c r="A2" s="251"/>
      <c r="B2" s="251"/>
      <c r="C2" s="251"/>
      <c r="D2" s="251"/>
      <c r="E2" s="157"/>
      <c r="F2" s="157"/>
      <c r="G2" s="157"/>
      <c r="H2" s="157"/>
      <c r="I2" s="157"/>
    </row>
    <row r="3" spans="1:15" x14ac:dyDescent="0.25">
      <c r="A3" s="172" t="s">
        <v>0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</row>
    <row r="4" spans="1:15" x14ac:dyDescent="0.25">
      <c r="A4" s="172"/>
      <c r="B4" s="138" t="s">
        <v>108</v>
      </c>
      <c r="C4" s="138">
        <v>0.85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</row>
    <row r="5" spans="1:15" x14ac:dyDescent="0.25">
      <c r="A5" s="172"/>
      <c r="B5" s="138" t="s">
        <v>1</v>
      </c>
      <c r="C5" s="164">
        <v>0.75</v>
      </c>
      <c r="D5" s="164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</row>
    <row r="6" spans="1:15" x14ac:dyDescent="0.25">
      <c r="A6" s="172"/>
      <c r="B6" s="138" t="s">
        <v>2</v>
      </c>
      <c r="C6" s="164">
        <v>0.25</v>
      </c>
      <c r="D6" s="164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</row>
    <row r="7" spans="1:15" ht="16.5" thickBot="1" x14ac:dyDescent="0.3">
      <c r="A7" s="172"/>
      <c r="B7" s="138" t="s">
        <v>3</v>
      </c>
      <c r="C7" s="250">
        <v>280541</v>
      </c>
      <c r="D7" s="250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</row>
    <row r="8" spans="1:15" ht="16.5" thickBot="1" x14ac:dyDescent="0.3">
      <c r="A8" s="156"/>
      <c r="B8" s="156"/>
      <c r="C8" s="156"/>
      <c r="D8" s="156"/>
      <c r="E8" s="212" t="s">
        <v>4</v>
      </c>
      <c r="F8" s="211" t="s">
        <v>5</v>
      </c>
      <c r="G8" s="211" t="s">
        <v>6</v>
      </c>
      <c r="H8" s="211" t="s">
        <v>7</v>
      </c>
      <c r="I8" s="210" t="s">
        <v>84</v>
      </c>
      <c r="J8" s="249"/>
      <c r="K8" s="248"/>
      <c r="L8" s="248"/>
      <c r="M8" s="138"/>
      <c r="N8" s="138"/>
      <c r="O8" s="138"/>
    </row>
    <row r="9" spans="1:15" x14ac:dyDescent="0.25">
      <c r="A9" s="170" t="s">
        <v>8</v>
      </c>
      <c r="B9" s="156"/>
      <c r="C9" s="156"/>
      <c r="D9" s="156"/>
      <c r="E9" s="227"/>
      <c r="F9" s="163"/>
      <c r="G9" s="163"/>
      <c r="H9" s="163"/>
      <c r="I9" s="226"/>
      <c r="J9" s="138"/>
      <c r="K9" s="138"/>
      <c r="L9" s="138"/>
      <c r="M9" s="138"/>
      <c r="N9" s="138"/>
      <c r="O9" s="138"/>
    </row>
    <row r="10" spans="1:15" x14ac:dyDescent="0.25">
      <c r="A10" s="156" t="s">
        <v>9</v>
      </c>
      <c r="B10" s="156"/>
      <c r="C10" s="156"/>
      <c r="D10" s="156"/>
      <c r="E10" s="247">
        <f>C7*C5</f>
        <v>210405.75</v>
      </c>
      <c r="F10" s="246">
        <f t="shared" ref="F10:I13" si="0">(1+$J10)*E10</f>
        <v>187787.13187499999</v>
      </c>
      <c r="G10" s="246">
        <f t="shared" si="0"/>
        <v>167600.0151984375</v>
      </c>
      <c r="H10" s="246">
        <f t="shared" si="0"/>
        <v>149583.01356460547</v>
      </c>
      <c r="I10" s="245">
        <f t="shared" si="0"/>
        <v>133502.83960641039</v>
      </c>
      <c r="J10" s="224">
        <v>-0.1075</v>
      </c>
      <c r="K10" s="138" t="s">
        <v>154</v>
      </c>
      <c r="L10" s="138"/>
      <c r="M10" s="138"/>
      <c r="N10" s="138"/>
      <c r="O10" s="138"/>
    </row>
    <row r="11" spans="1:15" x14ac:dyDescent="0.25">
      <c r="A11" s="156" t="s">
        <v>10</v>
      </c>
      <c r="B11" s="156"/>
      <c r="C11" s="156"/>
      <c r="D11" s="156"/>
      <c r="E11" s="247">
        <f>C7*C6</f>
        <v>70135.25</v>
      </c>
      <c r="F11" s="246">
        <f t="shared" si="0"/>
        <v>77148.775000000009</v>
      </c>
      <c r="G11" s="246">
        <f t="shared" si="0"/>
        <v>84863.652500000011</v>
      </c>
      <c r="H11" s="246">
        <f t="shared" si="0"/>
        <v>93350.017750000014</v>
      </c>
      <c r="I11" s="245">
        <f t="shared" si="0"/>
        <v>102685.01952500003</v>
      </c>
      <c r="J11" s="221">
        <v>0.1</v>
      </c>
      <c r="K11" s="138" t="s">
        <v>154</v>
      </c>
      <c r="L11" s="138"/>
      <c r="M11" s="138"/>
      <c r="N11" s="138">
        <f>37/12</f>
        <v>3.0833333333333335</v>
      </c>
      <c r="O11" s="138"/>
    </row>
    <row r="12" spans="1:15" x14ac:dyDescent="0.25">
      <c r="A12" s="156" t="s">
        <v>11</v>
      </c>
      <c r="B12" s="156"/>
      <c r="C12" s="156"/>
      <c r="D12" s="156"/>
      <c r="E12" s="242">
        <v>3.08</v>
      </c>
      <c r="F12" s="145">
        <f t="shared" si="0"/>
        <v>3.1108000000000002</v>
      </c>
      <c r="G12" s="145">
        <f t="shared" si="0"/>
        <v>3.1419080000000004</v>
      </c>
      <c r="H12" s="145">
        <f t="shared" si="0"/>
        <v>3.1733270800000004</v>
      </c>
      <c r="I12" s="241">
        <f t="shared" si="0"/>
        <v>3.2050603508000006</v>
      </c>
      <c r="J12" s="220">
        <v>0.01</v>
      </c>
      <c r="K12" s="138" t="s">
        <v>154</v>
      </c>
      <c r="L12" s="138"/>
      <c r="M12" s="138"/>
      <c r="N12" s="138">
        <f>865000/N11</f>
        <v>280540.54054054053</v>
      </c>
      <c r="O12" s="138"/>
    </row>
    <row r="13" spans="1:15" x14ac:dyDescent="0.25">
      <c r="A13" s="156" t="s">
        <v>12</v>
      </c>
      <c r="B13" s="156"/>
      <c r="C13" s="156"/>
      <c r="D13" s="156"/>
      <c r="E13" s="242">
        <f>E12</f>
        <v>3.08</v>
      </c>
      <c r="F13" s="145">
        <f t="shared" si="0"/>
        <v>3.1724000000000001</v>
      </c>
      <c r="G13" s="145">
        <f t="shared" si="0"/>
        <v>3.2675720000000004</v>
      </c>
      <c r="H13" s="145">
        <f t="shared" si="0"/>
        <v>3.3655991600000004</v>
      </c>
      <c r="I13" s="241">
        <f t="shared" si="0"/>
        <v>3.4665671348000004</v>
      </c>
      <c r="J13" s="240">
        <v>0.03</v>
      </c>
      <c r="K13" s="138" t="s">
        <v>154</v>
      </c>
      <c r="L13" s="138"/>
      <c r="M13" s="138"/>
      <c r="N13" s="138"/>
      <c r="O13" s="138"/>
    </row>
    <row r="14" spans="1:15" x14ac:dyDescent="0.25">
      <c r="A14" s="156"/>
      <c r="B14" s="156"/>
      <c r="C14" s="156"/>
      <c r="D14" s="156"/>
      <c r="E14" s="242"/>
      <c r="F14" s="145"/>
      <c r="G14" s="145"/>
      <c r="H14" s="145"/>
      <c r="I14" s="241"/>
      <c r="J14" s="240"/>
      <c r="K14" s="138"/>
      <c r="L14" s="138"/>
      <c r="M14" s="138"/>
      <c r="N14" s="138"/>
      <c r="O14" s="138"/>
    </row>
    <row r="15" spans="1:15" x14ac:dyDescent="0.25">
      <c r="A15" s="156" t="s">
        <v>13</v>
      </c>
      <c r="B15" s="156"/>
      <c r="C15" s="156"/>
      <c r="D15" s="156"/>
      <c r="E15" s="153">
        <v>0.62</v>
      </c>
      <c r="F15" s="244">
        <v>0.62</v>
      </c>
      <c r="G15" s="244">
        <v>0.62</v>
      </c>
      <c r="H15" s="244">
        <v>0.62</v>
      </c>
      <c r="I15" s="243">
        <v>0.62</v>
      </c>
      <c r="J15" s="240"/>
      <c r="K15" s="138"/>
      <c r="L15" s="138"/>
      <c r="M15" s="138"/>
      <c r="N15" s="138"/>
      <c r="O15" s="138"/>
    </row>
    <row r="16" spans="1:15" x14ac:dyDescent="0.25">
      <c r="A16" s="156"/>
      <c r="B16" s="156"/>
      <c r="C16" s="156"/>
      <c r="D16" s="156"/>
      <c r="E16" s="242"/>
      <c r="F16" s="145"/>
      <c r="G16" s="145"/>
      <c r="H16" s="145"/>
      <c r="I16" s="241"/>
      <c r="J16" s="240"/>
      <c r="K16" s="138"/>
      <c r="L16" s="138"/>
      <c r="M16" s="138"/>
      <c r="N16" s="138"/>
      <c r="O16" s="138"/>
    </row>
    <row r="17" spans="1:15" x14ac:dyDescent="0.25">
      <c r="A17" s="170" t="s">
        <v>14</v>
      </c>
      <c r="B17" s="156"/>
      <c r="C17" s="156"/>
      <c r="D17" s="156"/>
      <c r="E17" s="204"/>
      <c r="F17" s="156"/>
      <c r="G17" s="156"/>
      <c r="H17" s="156"/>
      <c r="I17" s="203"/>
      <c r="J17" s="138"/>
      <c r="K17" s="138"/>
      <c r="L17" s="138"/>
      <c r="M17" s="138"/>
      <c r="N17" s="138"/>
      <c r="O17" s="138"/>
    </row>
    <row r="18" spans="1:15" x14ac:dyDescent="0.25">
      <c r="A18" s="156" t="s">
        <v>15</v>
      </c>
      <c r="B18" s="156"/>
      <c r="C18" s="156"/>
      <c r="D18" s="156"/>
      <c r="E18" s="239">
        <v>15</v>
      </c>
      <c r="F18" s="235">
        <v>15</v>
      </c>
      <c r="G18" s="235">
        <v>15</v>
      </c>
      <c r="H18" s="235">
        <v>15</v>
      </c>
      <c r="I18" s="234">
        <v>15</v>
      </c>
      <c r="J18" s="138"/>
      <c r="K18" s="138" t="str">
        <f>K20</f>
        <v>Made up</v>
      </c>
      <c r="L18" s="138"/>
      <c r="M18" s="138"/>
      <c r="N18" s="138"/>
      <c r="O18" s="138"/>
    </row>
    <row r="19" spans="1:15" x14ac:dyDescent="0.25">
      <c r="A19" s="156" t="s">
        <v>16</v>
      </c>
      <c r="B19" s="156"/>
      <c r="C19" s="156"/>
      <c r="D19" s="156"/>
      <c r="E19" s="236">
        <v>15</v>
      </c>
      <c r="F19" s="238">
        <v>15</v>
      </c>
      <c r="G19" s="238">
        <v>15</v>
      </c>
      <c r="H19" s="238">
        <v>15</v>
      </c>
      <c r="I19" s="237">
        <v>15</v>
      </c>
      <c r="J19" s="164"/>
      <c r="K19" s="138"/>
      <c r="L19" s="138"/>
      <c r="M19" s="138"/>
      <c r="N19" s="138"/>
      <c r="O19" s="138"/>
    </row>
    <row r="20" spans="1:15" x14ac:dyDescent="0.25">
      <c r="A20" s="156" t="s">
        <v>17</v>
      </c>
      <c r="B20" s="156"/>
      <c r="C20" s="156"/>
      <c r="D20" s="156"/>
      <c r="E20" s="236">
        <v>45</v>
      </c>
      <c r="F20" s="235">
        <v>45</v>
      </c>
      <c r="G20" s="235">
        <v>45</v>
      </c>
      <c r="H20" s="235">
        <v>45</v>
      </c>
      <c r="I20" s="234">
        <v>45</v>
      </c>
      <c r="J20" s="138"/>
      <c r="K20" s="138" t="s">
        <v>153</v>
      </c>
      <c r="L20" s="138"/>
      <c r="M20" s="138"/>
      <c r="N20" s="138"/>
      <c r="O20" s="138"/>
    </row>
    <row r="21" spans="1:15" ht="16.5" thickBot="1" x14ac:dyDescent="0.3">
      <c r="A21" s="156"/>
      <c r="B21" s="156"/>
      <c r="C21" s="156"/>
      <c r="D21" s="233"/>
      <c r="E21" s="232"/>
      <c r="F21" s="156"/>
      <c r="G21" s="156"/>
      <c r="H21" s="156"/>
      <c r="I21" s="203"/>
      <c r="J21" s="138"/>
      <c r="K21" s="138"/>
      <c r="L21" s="138"/>
      <c r="M21" s="138"/>
      <c r="N21" s="138"/>
      <c r="O21" s="138"/>
    </row>
    <row r="22" spans="1:15" ht="16.5" thickBot="1" x14ac:dyDescent="0.3">
      <c r="A22" s="231"/>
      <c r="B22" s="231"/>
      <c r="C22" s="231"/>
      <c r="D22" s="156"/>
      <c r="E22" s="230" t="str">
        <f>E8</f>
        <v>Year 1</v>
      </c>
      <c r="F22" s="229" t="str">
        <f>F8</f>
        <v>Year 2</v>
      </c>
      <c r="G22" s="229" t="str">
        <f>G8</f>
        <v>Year 3</v>
      </c>
      <c r="H22" s="229" t="str">
        <f>H8</f>
        <v>Year 4</v>
      </c>
      <c r="I22" s="228" t="str">
        <f>I8</f>
        <v>Year 5</v>
      </c>
      <c r="J22" s="138"/>
      <c r="K22" s="138"/>
      <c r="L22" s="138"/>
      <c r="M22" s="138"/>
      <c r="N22" s="138"/>
      <c r="O22" s="138"/>
    </row>
    <row r="23" spans="1:15" x14ac:dyDescent="0.25">
      <c r="A23" s="170" t="s">
        <v>18</v>
      </c>
      <c r="B23" s="156"/>
      <c r="C23" s="156"/>
      <c r="D23" s="156"/>
      <c r="E23" s="227"/>
      <c r="F23" s="163"/>
      <c r="G23" s="163"/>
      <c r="H23" s="163"/>
      <c r="I23" s="226"/>
      <c r="J23" s="138"/>
      <c r="K23" s="138"/>
      <c r="L23" s="138"/>
      <c r="M23" s="138"/>
      <c r="N23" s="138"/>
      <c r="O23" s="138"/>
    </row>
    <row r="24" spans="1:15" x14ac:dyDescent="0.25">
      <c r="A24" s="219" t="s">
        <v>19</v>
      </c>
      <c r="B24" s="138"/>
      <c r="C24" s="138"/>
      <c r="D24" s="138"/>
      <c r="E24" s="202">
        <f t="shared" ref="E24:I25" si="1">E10*E12</f>
        <v>648049.71</v>
      </c>
      <c r="F24" s="158">
        <f t="shared" si="1"/>
        <v>584168.20983675006</v>
      </c>
      <c r="G24" s="158">
        <f t="shared" si="1"/>
        <v>526583.82855209243</v>
      </c>
      <c r="H24" s="158">
        <f t="shared" si="1"/>
        <v>474675.82765256992</v>
      </c>
      <c r="I24" s="201">
        <f t="shared" si="1"/>
        <v>427884.65794171789</v>
      </c>
      <c r="J24" s="225"/>
      <c r="K24" s="138"/>
      <c r="L24" s="138"/>
      <c r="M24" s="138"/>
      <c r="N24" s="138"/>
      <c r="O24" s="138"/>
    </row>
    <row r="25" spans="1:15" x14ac:dyDescent="0.25">
      <c r="A25" s="219" t="s">
        <v>20</v>
      </c>
      <c r="B25" s="138"/>
      <c r="C25" s="166"/>
      <c r="D25" s="166"/>
      <c r="E25" s="200">
        <f t="shared" si="1"/>
        <v>216016.57</v>
      </c>
      <c r="F25" s="182">
        <f t="shared" si="1"/>
        <v>244746.77381000004</v>
      </c>
      <c r="G25" s="182">
        <f t="shared" si="1"/>
        <v>277298.09472673008</v>
      </c>
      <c r="H25" s="182">
        <f t="shared" si="1"/>
        <v>314178.74132538517</v>
      </c>
      <c r="I25" s="199">
        <f t="shared" si="1"/>
        <v>355964.51392166142</v>
      </c>
      <c r="J25" s="225"/>
      <c r="K25" s="138"/>
      <c r="L25" s="138"/>
      <c r="M25" s="138"/>
      <c r="N25" s="138"/>
      <c r="O25" s="138"/>
    </row>
    <row r="26" spans="1:15" x14ac:dyDescent="0.25">
      <c r="A26" s="138"/>
      <c r="B26" s="138"/>
      <c r="C26" s="138"/>
      <c r="D26" s="138"/>
      <c r="E26" s="204"/>
      <c r="F26" s="156"/>
      <c r="G26" s="156"/>
      <c r="H26" s="156"/>
      <c r="I26" s="203"/>
      <c r="J26" s="138"/>
      <c r="K26" s="138"/>
      <c r="L26" s="138"/>
      <c r="M26" s="138"/>
      <c r="N26" s="138"/>
      <c r="O26" s="138"/>
    </row>
    <row r="27" spans="1:15" x14ac:dyDescent="0.25">
      <c r="A27" s="138" t="s">
        <v>21</v>
      </c>
      <c r="B27" s="138"/>
      <c r="C27" s="138"/>
      <c r="D27" s="138"/>
      <c r="E27" s="200">
        <f>(E24+E25)*E15</f>
        <v>535721.09360000002</v>
      </c>
      <c r="F27" s="182">
        <f>(F24+F25)*F15</f>
        <v>513927.28986098507</v>
      </c>
      <c r="G27" s="182">
        <f>(G24+G25)*G15</f>
        <v>498406.79243286996</v>
      </c>
      <c r="H27" s="182">
        <f>(H24+H25)*H15</f>
        <v>489089.83276633214</v>
      </c>
      <c r="I27" s="199">
        <f>(I24+I25)*I15</f>
        <v>485986.48655529518</v>
      </c>
      <c r="J27" s="138"/>
      <c r="K27" s="138"/>
      <c r="L27" s="138"/>
      <c r="M27" s="138"/>
      <c r="N27" s="138"/>
      <c r="O27" s="138"/>
    </row>
    <row r="28" spans="1:15" x14ac:dyDescent="0.25">
      <c r="A28" s="219"/>
      <c r="B28" s="138"/>
      <c r="C28" s="138"/>
      <c r="D28" s="138"/>
      <c r="E28" s="200"/>
      <c r="F28" s="182"/>
      <c r="G28" s="182"/>
      <c r="H28" s="182"/>
      <c r="I28" s="199"/>
      <c r="J28" s="138"/>
      <c r="K28" s="138"/>
      <c r="L28" s="138"/>
      <c r="M28" s="138"/>
      <c r="N28" s="138"/>
      <c r="O28" s="138"/>
    </row>
    <row r="29" spans="1:15" x14ac:dyDescent="0.25">
      <c r="A29" s="138" t="s">
        <v>22</v>
      </c>
      <c r="B29" s="138"/>
      <c r="C29" s="138"/>
      <c r="D29" s="138"/>
      <c r="E29" s="200"/>
      <c r="F29" s="182"/>
      <c r="G29" s="182"/>
      <c r="H29" s="182"/>
      <c r="I29" s="199"/>
      <c r="J29" s="138"/>
      <c r="K29" s="138"/>
      <c r="L29" s="138"/>
      <c r="M29" s="138"/>
      <c r="N29" s="138"/>
      <c r="O29" s="138"/>
    </row>
    <row r="30" spans="1:15" x14ac:dyDescent="0.25">
      <c r="A30" s="138"/>
      <c r="B30" s="138" t="s">
        <v>23</v>
      </c>
      <c r="C30" s="138"/>
      <c r="D30" s="138"/>
      <c r="E30" s="209">
        <f>$J$30*(E24+E25)</f>
        <v>17281.3256</v>
      </c>
      <c r="F30" s="208">
        <f>$J$30*(F24+F25)</f>
        <v>16578.299672935002</v>
      </c>
      <c r="G30" s="208">
        <f>$J$30*(G24+G25)</f>
        <v>16077.638465576452</v>
      </c>
      <c r="H30" s="208">
        <f>$J$30*(H24+H25)</f>
        <v>15777.0913795591</v>
      </c>
      <c r="I30" s="207">
        <f>$J$30*(I24+I25)</f>
        <v>15676.983437267587</v>
      </c>
      <c r="J30" s="164">
        <v>0.02</v>
      </c>
      <c r="K30" s="138" t="s">
        <v>152</v>
      </c>
      <c r="L30" s="138"/>
      <c r="M30" s="138"/>
      <c r="N30" s="138"/>
      <c r="O30" s="138"/>
    </row>
    <row r="31" spans="1:15" x14ac:dyDescent="0.25">
      <c r="A31" s="138"/>
      <c r="B31" s="138" t="s">
        <v>24</v>
      </c>
      <c r="C31" s="138"/>
      <c r="D31" s="138"/>
      <c r="E31" s="209">
        <v>275000</v>
      </c>
      <c r="F31" s="208">
        <f>(E31*$J$31)+E31</f>
        <v>290812.5</v>
      </c>
      <c r="G31" s="208">
        <f>(F31*$J$31)+F31</f>
        <v>307534.21875</v>
      </c>
      <c r="H31" s="208">
        <f>(G31*$J$31)+G31</f>
        <v>325217.43632812501</v>
      </c>
      <c r="I31" s="207">
        <f>(H31*$J$31)+H31</f>
        <v>343917.43891699222</v>
      </c>
      <c r="J31" s="224">
        <v>5.7500000000000002E-2</v>
      </c>
      <c r="K31" s="138"/>
      <c r="L31" s="138"/>
      <c r="M31" s="138"/>
      <c r="N31" s="138"/>
      <c r="O31" s="138"/>
    </row>
    <row r="32" spans="1:15" x14ac:dyDescent="0.25">
      <c r="A32" s="138"/>
      <c r="B32" s="138" t="s">
        <v>25</v>
      </c>
      <c r="C32" s="138"/>
      <c r="D32" s="138"/>
      <c r="E32" s="209">
        <v>5000</v>
      </c>
      <c r="F32" s="208">
        <v>5000</v>
      </c>
      <c r="G32" s="208">
        <v>5000</v>
      </c>
      <c r="H32" s="208">
        <v>5000</v>
      </c>
      <c r="I32" s="207">
        <v>5000</v>
      </c>
      <c r="J32" s="223" t="s">
        <v>91</v>
      </c>
      <c r="K32" s="138"/>
      <c r="L32" s="138"/>
      <c r="M32" s="138"/>
      <c r="N32" s="138"/>
      <c r="O32" s="138"/>
    </row>
    <row r="33" spans="1:15" x14ac:dyDescent="0.25">
      <c r="A33" s="138"/>
      <c r="B33" s="138"/>
      <c r="C33" s="138"/>
      <c r="D33" s="138"/>
      <c r="E33" s="200"/>
      <c r="F33" s="182"/>
      <c r="G33" s="182"/>
      <c r="H33" s="182"/>
      <c r="I33" s="199"/>
      <c r="J33" s="138"/>
      <c r="K33" s="138"/>
      <c r="L33" s="138"/>
      <c r="M33" s="138"/>
      <c r="N33" s="138"/>
      <c r="O33" s="138"/>
    </row>
    <row r="34" spans="1:15" x14ac:dyDescent="0.25">
      <c r="A34" s="138" t="s">
        <v>26</v>
      </c>
      <c r="B34" s="138"/>
      <c r="C34" s="138"/>
      <c r="D34" s="138"/>
      <c r="E34" s="222">
        <f>E51/$J34</f>
        <v>26666.666666666668</v>
      </c>
      <c r="F34" s="206">
        <f>F51/$J34</f>
        <v>26666.666666666668</v>
      </c>
      <c r="G34" s="206">
        <f>G51/$J34</f>
        <v>26666.666666666668</v>
      </c>
      <c r="H34" s="206">
        <f>H51/$J34</f>
        <v>26666.666666666668</v>
      </c>
      <c r="I34" s="205">
        <f>I51/$J34</f>
        <v>26666.666666666668</v>
      </c>
      <c r="J34" s="138">
        <v>30</v>
      </c>
      <c r="K34" s="138" t="s">
        <v>151</v>
      </c>
      <c r="L34" s="138"/>
      <c r="M34" s="138"/>
      <c r="N34" s="138"/>
      <c r="O34" s="138"/>
    </row>
    <row r="35" spans="1:15" x14ac:dyDescent="0.25">
      <c r="A35" s="138"/>
      <c r="B35" s="138"/>
      <c r="C35" s="138"/>
      <c r="D35" s="138"/>
      <c r="E35" s="200"/>
      <c r="F35" s="182"/>
      <c r="G35" s="182"/>
      <c r="H35" s="182"/>
      <c r="I35" s="199"/>
      <c r="J35" s="167"/>
      <c r="K35" s="138"/>
      <c r="L35" s="138"/>
      <c r="M35" s="138"/>
      <c r="N35" s="138"/>
      <c r="O35" s="138"/>
    </row>
    <row r="36" spans="1:15" x14ac:dyDescent="0.25">
      <c r="A36" s="138" t="s">
        <v>27</v>
      </c>
      <c r="B36" s="138"/>
      <c r="C36" s="138"/>
      <c r="D36" s="138"/>
      <c r="E36" s="200">
        <f>[3]Mortgage!D15</f>
        <v>47181.694240492783</v>
      </c>
      <c r="F36" s="182">
        <f>[3]Mortgage!D31</f>
        <v>46464.610574585146</v>
      </c>
      <c r="G36" s="182">
        <f>[3]Mortgage!D46</f>
        <v>45710.839547389696</v>
      </c>
      <c r="H36" s="182">
        <f>[3]Mortgage!D61</f>
        <v>44918.504163874662</v>
      </c>
      <c r="I36" s="199">
        <f>[3]Mortgage!D76</f>
        <v>44085.631398380152</v>
      </c>
      <c r="J36" s="167"/>
      <c r="K36" s="138"/>
      <c r="L36" s="138"/>
      <c r="M36" s="138"/>
      <c r="N36" s="138"/>
      <c r="O36" s="138"/>
    </row>
    <row r="37" spans="1:15" x14ac:dyDescent="0.25">
      <c r="A37" s="138" t="s">
        <v>28</v>
      </c>
      <c r="B37" s="138"/>
      <c r="C37" s="138"/>
      <c r="D37" s="138"/>
      <c r="E37" s="200">
        <f>$J$37*E64</f>
        <v>0</v>
      </c>
      <c r="F37" s="182">
        <f>$J$37*F64</f>
        <v>689.69079602240072</v>
      </c>
      <c r="G37" s="182">
        <f>$J$37*G64</f>
        <v>9878.3875992859466</v>
      </c>
      <c r="H37" s="182">
        <f>$J$37*H64</f>
        <v>21946.605582110162</v>
      </c>
      <c r="I37" s="199">
        <f>$J$37*I64</f>
        <v>36775.552734063916</v>
      </c>
      <c r="J37" s="221">
        <v>0.1</v>
      </c>
      <c r="K37" s="138" t="s">
        <v>150</v>
      </c>
      <c r="L37" s="138"/>
      <c r="M37" s="138"/>
      <c r="N37" s="138"/>
      <c r="O37" s="138"/>
    </row>
    <row r="38" spans="1:15" x14ac:dyDescent="0.25">
      <c r="A38" s="138"/>
      <c r="B38" s="138"/>
      <c r="C38" s="138"/>
      <c r="D38" s="138"/>
      <c r="E38" s="200"/>
      <c r="F38" s="182"/>
      <c r="G38" s="182"/>
      <c r="H38" s="182"/>
      <c r="I38" s="199"/>
      <c r="J38" s="138"/>
      <c r="K38" s="138"/>
      <c r="L38" s="138"/>
      <c r="M38" s="138"/>
      <c r="N38" s="138"/>
      <c r="O38" s="138"/>
    </row>
    <row r="39" spans="1:15" x14ac:dyDescent="0.25">
      <c r="A39" s="138" t="s">
        <v>29</v>
      </c>
      <c r="B39" s="138"/>
      <c r="C39" s="138"/>
      <c r="D39" s="138"/>
      <c r="E39" s="202">
        <f>SUM(E24:E25)-SUM(E27:E37)</f>
        <v>-42784.500107159372</v>
      </c>
      <c r="F39" s="158">
        <f>SUM(F24:F25)-SUM(F27:F37)</f>
        <v>-71224.07392444415</v>
      </c>
      <c r="G39" s="158">
        <f>SUM(G24:G25)-SUM(G27:G37)</f>
        <v>-105392.620182966</v>
      </c>
      <c r="H39" s="158">
        <f>SUM(H24:H25)-SUM(H27:H37)</f>
        <v>-139761.56790871266</v>
      </c>
      <c r="I39" s="201">
        <f>SUM(I24:I25)-SUM(I27:I37)</f>
        <v>-174259.58784528647</v>
      </c>
      <c r="J39" s="220"/>
      <c r="K39" s="138"/>
      <c r="L39" s="138"/>
      <c r="M39" s="138"/>
      <c r="N39" s="138"/>
      <c r="O39" s="138"/>
    </row>
    <row r="40" spans="1:15" ht="16.5" thickBot="1" x14ac:dyDescent="0.3">
      <c r="A40" s="219" t="s">
        <v>30</v>
      </c>
      <c r="B40" s="138"/>
      <c r="C40" s="138"/>
      <c r="D40" s="138"/>
      <c r="E40" s="218">
        <f>IF(E39&lt;0,0,E39*$J$40)</f>
        <v>0</v>
      </c>
      <c r="F40" s="178">
        <f>IF(F39&lt;0,0,F39*$J$40)</f>
        <v>0</v>
      </c>
      <c r="G40" s="178">
        <f>IF(G39&lt;0,0,G39*$J$40)</f>
        <v>0</v>
      </c>
      <c r="H40" s="178">
        <f>IF(H39&lt;0,0,H39*$J$40)</f>
        <v>0</v>
      </c>
      <c r="I40" s="217">
        <f>IF(I39&lt;0,0,I39*$J$40)</f>
        <v>0</v>
      </c>
      <c r="J40" s="164">
        <v>0.25</v>
      </c>
      <c r="K40" s="138" t="s">
        <v>149</v>
      </c>
      <c r="L40" s="138"/>
      <c r="M40" s="138"/>
      <c r="N40" s="138"/>
      <c r="O40" s="138"/>
    </row>
    <row r="41" spans="1:15" ht="16.5" thickBot="1" x14ac:dyDescent="0.3">
      <c r="A41" s="138" t="s">
        <v>31</v>
      </c>
      <c r="B41" s="138"/>
      <c r="C41" s="138"/>
      <c r="D41" s="138"/>
      <c r="E41" s="216">
        <f>E39-E40</f>
        <v>-42784.500107159372</v>
      </c>
      <c r="F41" s="214">
        <f>F39-F40</f>
        <v>-71224.07392444415</v>
      </c>
      <c r="G41" s="215">
        <f>G39-G40</f>
        <v>-105392.620182966</v>
      </c>
      <c r="H41" s="214">
        <f>H39-H40</f>
        <v>-139761.56790871266</v>
      </c>
      <c r="I41" s="213">
        <f>I39-I40</f>
        <v>-174259.58784528647</v>
      </c>
      <c r="J41" s="138"/>
      <c r="K41" s="138"/>
      <c r="L41" s="138"/>
      <c r="M41" s="138"/>
      <c r="N41" s="138"/>
      <c r="O41" s="138"/>
    </row>
    <row r="42" spans="1:15" x14ac:dyDescent="0.25">
      <c r="A42" s="138"/>
      <c r="B42" s="138"/>
      <c r="C42" s="138"/>
      <c r="D42" s="138"/>
      <c r="E42" s="156"/>
      <c r="F42" s="156"/>
      <c r="G42" s="156"/>
      <c r="H42" s="156"/>
      <c r="I42" s="156"/>
      <c r="J42" s="138"/>
      <c r="K42" s="138"/>
      <c r="L42" s="138"/>
      <c r="M42" s="138"/>
      <c r="N42" s="138"/>
      <c r="O42" s="138"/>
    </row>
    <row r="43" spans="1:15" ht="16.5" thickBot="1" x14ac:dyDescent="0.3">
      <c r="A43" s="172" t="s">
        <v>32</v>
      </c>
      <c r="B43" s="138"/>
      <c r="C43" s="138"/>
      <c r="D43" s="138"/>
      <c r="E43" s="156"/>
      <c r="F43" s="156"/>
      <c r="G43" s="156"/>
      <c r="H43" s="156"/>
      <c r="I43" s="156"/>
    </row>
    <row r="44" spans="1:15" ht="16.5" thickBot="1" x14ac:dyDescent="0.3">
      <c r="A44" s="172" t="s">
        <v>33</v>
      </c>
      <c r="B44" s="138"/>
      <c r="C44" s="138"/>
      <c r="D44" s="138"/>
      <c r="E44" s="212" t="s">
        <v>4</v>
      </c>
      <c r="F44" s="211" t="s">
        <v>5</v>
      </c>
      <c r="G44" s="211" t="s">
        <v>6</v>
      </c>
      <c r="H44" s="211" t="s">
        <v>7</v>
      </c>
      <c r="I44" s="210" t="s">
        <v>84</v>
      </c>
    </row>
    <row r="45" spans="1:15" x14ac:dyDescent="0.25">
      <c r="A45" s="138"/>
      <c r="B45" s="138" t="s">
        <v>34</v>
      </c>
      <c r="C45" s="138"/>
      <c r="D45" s="138"/>
      <c r="E45" s="200">
        <v>10000</v>
      </c>
      <c r="F45" s="182">
        <v>10000</v>
      </c>
      <c r="G45" s="182">
        <v>10000</v>
      </c>
      <c r="H45" s="182">
        <v>10000</v>
      </c>
      <c r="I45" s="199">
        <v>10000</v>
      </c>
    </row>
    <row r="46" spans="1:15" x14ac:dyDescent="0.25">
      <c r="A46" s="138"/>
      <c r="B46" s="138" t="s">
        <v>35</v>
      </c>
      <c r="C46" s="138"/>
      <c r="D46" s="138"/>
      <c r="E46" s="209">
        <v>55020.673195794319</v>
      </c>
      <c r="F46" s="208"/>
      <c r="G46" s="208"/>
      <c r="H46" s="208"/>
      <c r="I46" s="207"/>
    </row>
    <row r="47" spans="1:15" x14ac:dyDescent="0.25">
      <c r="A47" s="138"/>
      <c r="B47" s="138" t="s">
        <v>36</v>
      </c>
      <c r="C47" s="138"/>
      <c r="D47" s="138"/>
      <c r="E47" s="202">
        <f>E18/365*E25</f>
        <v>8877.3932876712333</v>
      </c>
      <c r="F47" s="158">
        <f>F18/365*F25</f>
        <v>10058.086594931508</v>
      </c>
      <c r="G47" s="158">
        <f>G18/365*G25</f>
        <v>11395.8121120574</v>
      </c>
      <c r="H47" s="206">
        <f>H18/365*H25</f>
        <v>12911.455122961033</v>
      </c>
      <c r="I47" s="205">
        <f>I18/365*I25</f>
        <v>14628.678654314852</v>
      </c>
    </row>
    <row r="48" spans="1:15" x14ac:dyDescent="0.25">
      <c r="A48" s="138"/>
      <c r="B48" s="138" t="s">
        <v>37</v>
      </c>
      <c r="C48" s="138"/>
      <c r="D48" s="138"/>
      <c r="E48" s="202">
        <f>E27/365*E19</f>
        <v>22015.935353424658</v>
      </c>
      <c r="F48" s="158">
        <f>F27/365*F19</f>
        <v>21120.299583328153</v>
      </c>
      <c r="G48" s="158">
        <f>G27/365*G19</f>
        <v>20482.470921898763</v>
      </c>
      <c r="H48" s="158">
        <f>H27/365*H19</f>
        <v>20099.582168479403</v>
      </c>
      <c r="I48" s="201">
        <f>I27/365*I19</f>
        <v>19972.047392683362</v>
      </c>
    </row>
    <row r="49" spans="1:10" x14ac:dyDescent="0.25">
      <c r="A49" s="138"/>
      <c r="B49" s="138"/>
      <c r="C49" s="138"/>
      <c r="D49" s="138"/>
      <c r="E49" s="204"/>
      <c r="F49" s="156"/>
      <c r="G49" s="156"/>
      <c r="H49" s="156"/>
      <c r="I49" s="203"/>
      <c r="J49" s="138" t="s">
        <v>148</v>
      </c>
    </row>
    <row r="50" spans="1:10" x14ac:dyDescent="0.25">
      <c r="A50" s="138"/>
      <c r="B50" s="138" t="s">
        <v>38</v>
      </c>
      <c r="C50" s="138"/>
      <c r="D50" s="138"/>
      <c r="E50" s="202">
        <f>J55*J57</f>
        <v>200000</v>
      </c>
      <c r="F50" s="158">
        <f>E50</f>
        <v>200000</v>
      </c>
      <c r="G50" s="158">
        <f>F50</f>
        <v>200000</v>
      </c>
      <c r="H50" s="158">
        <f>G50</f>
        <v>200000</v>
      </c>
      <c r="I50" s="201">
        <f>H50</f>
        <v>200000</v>
      </c>
      <c r="J50" s="138">
        <v>2000</v>
      </c>
    </row>
    <row r="51" spans="1:10" x14ac:dyDescent="0.25">
      <c r="A51" s="138"/>
      <c r="B51" s="138" t="s">
        <v>39</v>
      </c>
      <c r="C51" s="138"/>
      <c r="D51" s="138"/>
      <c r="E51" s="200">
        <f>J50*J52</f>
        <v>800000</v>
      </c>
      <c r="F51" s="182">
        <f>+$E$51</f>
        <v>800000</v>
      </c>
      <c r="G51" s="182">
        <f>+$E$51</f>
        <v>800000</v>
      </c>
      <c r="H51" s="182">
        <f>+$E$51</f>
        <v>800000</v>
      </c>
      <c r="I51" s="199">
        <f>+$E$51</f>
        <v>800000</v>
      </c>
      <c r="J51" s="138" t="s">
        <v>147</v>
      </c>
    </row>
    <row r="52" spans="1:10" x14ac:dyDescent="0.25">
      <c r="A52" s="138"/>
      <c r="B52" s="138" t="s">
        <v>40</v>
      </c>
      <c r="C52" s="138"/>
      <c r="D52" s="138"/>
      <c r="E52" s="200">
        <f>E34</f>
        <v>26666.666666666668</v>
      </c>
      <c r="F52" s="182">
        <f>E52+F34</f>
        <v>53333.333333333336</v>
      </c>
      <c r="G52" s="182">
        <f>F52+G34</f>
        <v>80000</v>
      </c>
      <c r="H52" s="182">
        <f>G52+H34</f>
        <v>106666.66666666667</v>
      </c>
      <c r="I52" s="199">
        <f>H52+I34</f>
        <v>133333.33333333334</v>
      </c>
      <c r="J52" s="138">
        <v>400</v>
      </c>
    </row>
    <row r="53" spans="1:10" ht="16.5" thickBot="1" x14ac:dyDescent="0.3">
      <c r="A53" s="138"/>
      <c r="B53" s="138"/>
      <c r="C53" s="138"/>
      <c r="D53" s="138"/>
      <c r="E53" s="198"/>
      <c r="F53" s="140"/>
      <c r="G53" s="140"/>
      <c r="H53" s="140"/>
      <c r="I53" s="197"/>
      <c r="J53" s="138"/>
    </row>
    <row r="54" spans="1:10" ht="16.5" thickBot="1" x14ac:dyDescent="0.3">
      <c r="A54" s="172" t="s">
        <v>41</v>
      </c>
      <c r="B54" s="138"/>
      <c r="C54" s="138"/>
      <c r="D54" s="138"/>
      <c r="E54" s="196">
        <f>SUM(E45:E51)-E52</f>
        <v>1069247.3351702236</v>
      </c>
      <c r="F54" s="194">
        <f>SUM(F45:F51)-F52</f>
        <v>987845.05284492637</v>
      </c>
      <c r="G54" s="195">
        <f>SUM(G45:G51)-G52</f>
        <v>961878.28303395619</v>
      </c>
      <c r="H54" s="194">
        <f>SUM(H45:H51)-H52</f>
        <v>936344.37062477379</v>
      </c>
      <c r="I54" s="193">
        <f>SUM(I45:I51)-I52</f>
        <v>911267.39271366491</v>
      </c>
      <c r="J54" s="138" t="s">
        <v>125</v>
      </c>
    </row>
    <row r="55" spans="1:10" ht="16.5" thickTop="1" x14ac:dyDescent="0.25">
      <c r="A55" s="172"/>
      <c r="B55" s="138"/>
      <c r="C55" s="138"/>
      <c r="D55" s="138"/>
      <c r="E55" s="161"/>
      <c r="F55" s="161"/>
      <c r="G55" s="161"/>
      <c r="H55" s="161"/>
      <c r="I55" s="161"/>
      <c r="J55" s="138">
        <v>0.5</v>
      </c>
    </row>
    <row r="56" spans="1:10" x14ac:dyDescent="0.25">
      <c r="A56" s="172"/>
      <c r="B56" s="138"/>
      <c r="C56" s="138"/>
      <c r="D56" s="138"/>
      <c r="E56" s="161"/>
      <c r="F56" s="161"/>
      <c r="G56" s="161"/>
      <c r="H56" s="161"/>
      <c r="I56" s="161"/>
      <c r="J56" s="138"/>
    </row>
    <row r="57" spans="1:10" ht="16.5" thickBot="1" x14ac:dyDescent="0.3">
      <c r="A57" s="172" t="s">
        <v>42</v>
      </c>
      <c r="B57" s="138"/>
      <c r="C57" s="138"/>
      <c r="D57" s="138"/>
      <c r="E57" s="156"/>
      <c r="F57" s="156"/>
      <c r="G57" s="156"/>
      <c r="H57" s="156"/>
      <c r="I57" s="156"/>
      <c r="J57" s="138">
        <v>400000</v>
      </c>
    </row>
    <row r="58" spans="1:10" ht="16.5" thickBot="1" x14ac:dyDescent="0.3">
      <c r="A58" s="138" t="s">
        <v>43</v>
      </c>
      <c r="B58" s="138"/>
      <c r="C58" s="138"/>
      <c r="D58" s="138"/>
      <c r="E58" s="192" t="s">
        <v>4</v>
      </c>
      <c r="F58" s="191" t="s">
        <v>5</v>
      </c>
      <c r="G58" s="191" t="s">
        <v>6</v>
      </c>
      <c r="H58" s="191" t="s">
        <v>7</v>
      </c>
      <c r="I58" s="190" t="s">
        <v>84</v>
      </c>
      <c r="J58" s="138"/>
    </row>
    <row r="59" spans="1:10" x14ac:dyDescent="0.25">
      <c r="A59" s="138"/>
      <c r="B59" s="138" t="s">
        <v>44</v>
      </c>
      <c r="C59" s="138"/>
      <c r="D59" s="138"/>
      <c r="E59" s="189">
        <f>E27/365*E20</f>
        <v>66047.806060273986</v>
      </c>
      <c r="F59" s="187">
        <f>F27/365*F20</f>
        <v>63360.898749984466</v>
      </c>
      <c r="G59" s="188">
        <f>G27/365*G20</f>
        <v>61447.412765696296</v>
      </c>
      <c r="H59" s="187">
        <f>H27/365*H20</f>
        <v>60298.746505438212</v>
      </c>
      <c r="I59" s="186">
        <f>I27/365*I20</f>
        <v>59916.142178050082</v>
      </c>
      <c r="J59" s="138"/>
    </row>
    <row r="60" spans="1:10" x14ac:dyDescent="0.25">
      <c r="A60" s="138"/>
      <c r="B60" s="138" t="s">
        <v>45</v>
      </c>
      <c r="C60" s="138"/>
      <c r="D60" s="138"/>
      <c r="E60" s="184">
        <f>E40</f>
        <v>0</v>
      </c>
      <c r="F60" s="182">
        <f>F40</f>
        <v>0</v>
      </c>
      <c r="G60" s="183">
        <f>G40</f>
        <v>0</v>
      </c>
      <c r="H60" s="182">
        <f>H40</f>
        <v>0</v>
      </c>
      <c r="I60" s="181">
        <f>I40</f>
        <v>0</v>
      </c>
      <c r="J60" s="138"/>
    </row>
    <row r="61" spans="1:10" x14ac:dyDescent="0.25">
      <c r="A61" s="138"/>
      <c r="B61" s="138"/>
      <c r="C61" s="138"/>
      <c r="D61" s="138"/>
      <c r="E61" s="184"/>
      <c r="F61" s="182"/>
      <c r="G61" s="183"/>
      <c r="H61" s="182"/>
      <c r="I61" s="181"/>
      <c r="J61" s="138"/>
    </row>
    <row r="62" spans="1:10" x14ac:dyDescent="0.25">
      <c r="A62" s="138"/>
      <c r="B62" s="138"/>
      <c r="C62" s="138"/>
      <c r="D62" s="138"/>
      <c r="E62" s="184"/>
      <c r="F62" s="182"/>
      <c r="G62" s="183"/>
      <c r="H62" s="182"/>
      <c r="I62" s="181"/>
      <c r="J62" s="138"/>
    </row>
    <row r="63" spans="1:10" x14ac:dyDescent="0.25">
      <c r="A63" s="138"/>
      <c r="B63" s="138" t="s">
        <v>46</v>
      </c>
      <c r="C63" s="138"/>
      <c r="D63" s="138"/>
      <c r="E63" s="184">
        <f>[4]Mortgage!F13</f>
        <v>935984.02921710885</v>
      </c>
      <c r="F63" s="182">
        <f>[4]Mortgage!F27</f>
        <v>921250.9747683102</v>
      </c>
      <c r="G63" s="183">
        <f>[4]Mortgage!F41</f>
        <v>905764.14929231594</v>
      </c>
      <c r="H63" s="182">
        <f>[4]Mortgage!F55</f>
        <v>889484.9884328068</v>
      </c>
      <c r="I63" s="181">
        <f>[3]Mortgage!F75</f>
        <v>872372.95480780327</v>
      </c>
      <c r="J63" s="166"/>
    </row>
    <row r="64" spans="1:10" x14ac:dyDescent="0.25">
      <c r="A64" s="138"/>
      <c r="B64" s="138" t="s">
        <v>47</v>
      </c>
      <c r="C64" s="138"/>
      <c r="D64" s="138"/>
      <c r="E64" s="184"/>
      <c r="F64" s="182">
        <v>6896.9079602240072</v>
      </c>
      <c r="G64" s="183">
        <v>98783.875992859452</v>
      </c>
      <c r="H64" s="182">
        <v>219466.05582110159</v>
      </c>
      <c r="I64" s="181">
        <v>367755.52734063915</v>
      </c>
      <c r="J64" s="182"/>
    </row>
    <row r="65" spans="1:11" x14ac:dyDescent="0.25">
      <c r="A65" s="138"/>
      <c r="B65" s="138"/>
      <c r="C65" s="138"/>
      <c r="D65" s="138"/>
      <c r="E65" s="184"/>
      <c r="F65" s="182"/>
      <c r="G65" s="183"/>
      <c r="H65" s="182"/>
      <c r="I65" s="181"/>
      <c r="J65" s="185">
        <f>J63/(J63+J67)</f>
        <v>0</v>
      </c>
    </row>
    <row r="66" spans="1:11" x14ac:dyDescent="0.25">
      <c r="A66" s="138" t="s">
        <v>48</v>
      </c>
      <c r="B66" s="138"/>
      <c r="C66" s="138"/>
      <c r="D66" s="138"/>
      <c r="E66" s="184"/>
      <c r="F66" s="182"/>
      <c r="G66" s="183"/>
      <c r="H66" s="182"/>
      <c r="I66" s="181"/>
      <c r="J66" s="185">
        <f>J67/(J63+J67)</f>
        <v>1</v>
      </c>
    </row>
    <row r="67" spans="1:11" x14ac:dyDescent="0.25">
      <c r="A67" s="138"/>
      <c r="B67" s="138" t="s">
        <v>49</v>
      </c>
      <c r="C67" s="138"/>
      <c r="D67" s="138"/>
      <c r="E67" s="184">
        <v>110000</v>
      </c>
      <c r="F67" s="183">
        <v>110000</v>
      </c>
      <c r="G67" s="183">
        <v>110000</v>
      </c>
      <c r="H67" s="183">
        <v>110000</v>
      </c>
      <c r="I67" s="181">
        <v>110000</v>
      </c>
      <c r="J67" s="166">
        <f>AVERAGE(E67:I67)+AVERAGE(E68:I68)</f>
        <v>-143755.87608903664</v>
      </c>
    </row>
    <row r="68" spans="1:11" x14ac:dyDescent="0.25">
      <c r="A68" s="138"/>
      <c r="B68" s="138" t="s">
        <v>50</v>
      </c>
      <c r="C68" s="182"/>
      <c r="D68" s="182"/>
      <c r="E68" s="184">
        <f>C68+E41</f>
        <v>-42784.500107159372</v>
      </c>
      <c r="F68" s="182">
        <f>E68+F41</f>
        <v>-114008.57403160352</v>
      </c>
      <c r="G68" s="183">
        <f>F68+G41</f>
        <v>-219401.19421456952</v>
      </c>
      <c r="H68" s="182">
        <f>G68+H41</f>
        <v>-359162.76212328218</v>
      </c>
      <c r="I68" s="181">
        <f>H68+I41</f>
        <v>-533422.34996856865</v>
      </c>
      <c r="K68" s="138"/>
    </row>
    <row r="69" spans="1:11" ht="16.5" thickBot="1" x14ac:dyDescent="0.3">
      <c r="A69" s="138"/>
      <c r="B69" s="138"/>
      <c r="C69" s="138"/>
      <c r="D69" s="138"/>
      <c r="E69" s="180"/>
      <c r="F69" s="178"/>
      <c r="G69" s="179"/>
      <c r="H69" s="178"/>
      <c r="I69" s="177"/>
      <c r="J69" s="138"/>
      <c r="K69" s="138"/>
    </row>
    <row r="70" spans="1:11" ht="16.5" thickBot="1" x14ac:dyDescent="0.3">
      <c r="A70" s="172" t="s">
        <v>51</v>
      </c>
      <c r="B70" s="138"/>
      <c r="C70" s="138"/>
      <c r="D70" s="138"/>
      <c r="E70" s="176">
        <f>SUM(E59:E68)</f>
        <v>1069247.3351702234</v>
      </c>
      <c r="F70" s="174">
        <f>SUM(F59:F68)</f>
        <v>987500.2074469151</v>
      </c>
      <c r="G70" s="175">
        <f>SUM(G59:G68)</f>
        <v>956594.24383630219</v>
      </c>
      <c r="H70" s="174">
        <f>SUM(H59:H68)</f>
        <v>920087.0286360645</v>
      </c>
      <c r="I70" s="173">
        <f>SUM(I59:I68)</f>
        <v>876622.27435792401</v>
      </c>
      <c r="J70" s="138"/>
      <c r="K70" s="138"/>
    </row>
    <row r="71" spans="1:11" ht="16.5" thickTop="1" x14ac:dyDescent="0.25">
      <c r="A71" s="138"/>
      <c r="B71" s="138"/>
      <c r="C71" s="138"/>
      <c r="D71" s="138"/>
      <c r="E71" s="156"/>
      <c r="F71" s="156"/>
      <c r="G71" s="156"/>
      <c r="H71" s="156"/>
      <c r="I71" s="156"/>
      <c r="J71" s="138"/>
      <c r="K71" s="138"/>
    </row>
    <row r="72" spans="1:11" x14ac:dyDescent="0.25">
      <c r="A72" s="172" t="s">
        <v>52</v>
      </c>
      <c r="B72" s="138"/>
      <c r="C72" s="138"/>
      <c r="D72" s="138"/>
      <c r="E72" s="314">
        <f>E54-E70</f>
        <v>0</v>
      </c>
      <c r="F72" s="314">
        <f t="shared" ref="F72:I72" si="2">F54-F70</f>
        <v>344.84539801126812</v>
      </c>
      <c r="G72" s="314">
        <f t="shared" si="2"/>
        <v>5284.0391976539977</v>
      </c>
      <c r="H72" s="314">
        <f t="shared" si="2"/>
        <v>16257.34198870929</v>
      </c>
      <c r="I72" s="314">
        <f t="shared" si="2"/>
        <v>34645.118355740909</v>
      </c>
      <c r="J72" s="138"/>
      <c r="K72" s="138"/>
    </row>
    <row r="73" spans="1:11" x14ac:dyDescent="0.25">
      <c r="A73" s="138"/>
      <c r="B73" s="138"/>
      <c r="C73" s="138"/>
      <c r="D73" s="138"/>
      <c r="E73" s="156"/>
      <c r="F73" s="156"/>
      <c r="G73" s="156"/>
      <c r="H73" s="156"/>
      <c r="I73" s="156"/>
      <c r="J73" s="138"/>
      <c r="K73" s="138"/>
    </row>
    <row r="74" spans="1:11" x14ac:dyDescent="0.25">
      <c r="A74" s="138"/>
      <c r="B74" s="138"/>
      <c r="C74" s="138"/>
      <c r="D74" s="138"/>
      <c r="E74" s="156"/>
      <c r="F74" s="156"/>
      <c r="G74" s="156"/>
      <c r="H74" s="156"/>
      <c r="I74" s="156"/>
      <c r="J74" s="138"/>
      <c r="K74" s="138"/>
    </row>
    <row r="75" spans="1:11" x14ac:dyDescent="0.25">
      <c r="A75" s="171"/>
      <c r="B75" s="171"/>
      <c r="C75" s="171"/>
      <c r="D75" s="171"/>
      <c r="E75" s="171"/>
      <c r="F75" s="171"/>
      <c r="G75" s="171"/>
      <c r="H75" s="171"/>
      <c r="I75" s="171"/>
      <c r="J75" s="138"/>
      <c r="K75" s="138"/>
    </row>
    <row r="77" spans="1:11" x14ac:dyDescent="0.25">
      <c r="A77" s="170" t="s">
        <v>146</v>
      </c>
      <c r="B77" s="156"/>
      <c r="C77" s="161"/>
      <c r="D77" s="161"/>
      <c r="E77" s="161"/>
      <c r="F77" s="161"/>
      <c r="G77" s="161"/>
      <c r="H77" s="161"/>
      <c r="I77" s="161"/>
      <c r="J77" s="156"/>
    </row>
    <row r="78" spans="1:11" x14ac:dyDescent="0.25">
      <c r="A78" s="138"/>
      <c r="B78" s="138"/>
      <c r="C78" s="138"/>
      <c r="D78" s="138"/>
      <c r="E78" s="138"/>
      <c r="F78" s="138"/>
      <c r="G78" s="138"/>
      <c r="H78" s="138"/>
      <c r="I78" s="138"/>
      <c r="J78" s="138"/>
    </row>
    <row r="79" spans="1:11" x14ac:dyDescent="0.25">
      <c r="A79" s="138" t="s">
        <v>145</v>
      </c>
      <c r="B79" s="138"/>
      <c r="C79" s="138"/>
      <c r="D79" s="138"/>
      <c r="E79" s="138"/>
      <c r="F79" s="138"/>
      <c r="G79" s="138"/>
      <c r="H79" s="138"/>
      <c r="I79" s="138"/>
      <c r="J79" s="138"/>
    </row>
    <row r="80" spans="1:11" x14ac:dyDescent="0.25">
      <c r="A80" s="138" t="s">
        <v>143</v>
      </c>
      <c r="B80" s="138" t="s">
        <v>54</v>
      </c>
      <c r="C80" s="169">
        <f>-(E63-C63)</f>
        <v>-935984.02921710885</v>
      </c>
      <c r="D80" s="169"/>
      <c r="E80" s="169">
        <f>-(F63-E63)</f>
        <v>14733.054448798648</v>
      </c>
      <c r="F80" s="169">
        <f>-(G63-F63)</f>
        <v>15486.825475994265</v>
      </c>
      <c r="G80" s="169">
        <f>-(H63-G63)</f>
        <v>16279.160859509138</v>
      </c>
      <c r="H80" s="169">
        <f>-(I63-H63)</f>
        <v>17112.033625003533</v>
      </c>
      <c r="I80" s="169"/>
      <c r="J80" s="138"/>
    </row>
    <row r="81" spans="1:10" x14ac:dyDescent="0.25">
      <c r="A81" s="138" t="s">
        <v>141</v>
      </c>
      <c r="B81" s="138" t="s">
        <v>142</v>
      </c>
      <c r="C81" s="167"/>
      <c r="D81" s="167"/>
      <c r="E81" s="138"/>
      <c r="F81" s="138"/>
      <c r="G81" s="138"/>
      <c r="H81" s="138"/>
      <c r="I81" s="166">
        <v>600000</v>
      </c>
      <c r="J81" s="138"/>
    </row>
    <row r="82" spans="1:10" x14ac:dyDescent="0.25">
      <c r="A82" s="138" t="s">
        <v>141</v>
      </c>
      <c r="B82" s="138" t="s">
        <v>140</v>
      </c>
      <c r="C82" s="167"/>
      <c r="D82" s="167"/>
      <c r="E82" s="166">
        <f>E36</f>
        <v>47181.694240492783</v>
      </c>
      <c r="F82" s="166">
        <f>F36</f>
        <v>46464.610574585146</v>
      </c>
      <c r="G82" s="166">
        <f>G36</f>
        <v>45710.839547389696</v>
      </c>
      <c r="H82" s="166">
        <f>H36</f>
        <v>44918.504163874662</v>
      </c>
      <c r="I82" s="166">
        <f>I36</f>
        <v>44085.631398380152</v>
      </c>
      <c r="J82" s="138"/>
    </row>
    <row r="83" spans="1:10" ht="16.5" thickBot="1" x14ac:dyDescent="0.3">
      <c r="A83" s="138" t="s">
        <v>139</v>
      </c>
      <c r="B83" s="138"/>
      <c r="C83" s="168">
        <f>SUM(C80:C82)</f>
        <v>-935984.02921710885</v>
      </c>
      <c r="D83" s="168"/>
      <c r="E83" s="168">
        <f>SUM(E80:E82)</f>
        <v>61914.748689291431</v>
      </c>
      <c r="F83" s="168">
        <f>SUM(F80:F82)</f>
        <v>61951.43605057941</v>
      </c>
      <c r="G83" s="168">
        <f>SUM(G80:G82)</f>
        <v>61990.000406898835</v>
      </c>
      <c r="H83" s="168">
        <f>SUM(H80:H82)</f>
        <v>62030.537788878195</v>
      </c>
      <c r="I83" s="168">
        <f>SUM(I80:I82)</f>
        <v>644085.63139838015</v>
      </c>
      <c r="J83" s="138" t="s">
        <v>138</v>
      </c>
    </row>
    <row r="84" spans="1:10" ht="16.5" thickTop="1" x14ac:dyDescent="0.25">
      <c r="A84" s="138" t="s">
        <v>122</v>
      </c>
      <c r="B84" s="138"/>
      <c r="C84" s="165">
        <f>IRR(C83:I83)</f>
        <v>-1.110152116615315E-2</v>
      </c>
      <c r="D84" s="165"/>
      <c r="E84" s="164"/>
      <c r="F84" s="138"/>
      <c r="G84" s="138"/>
      <c r="H84" s="138"/>
      <c r="I84" s="138"/>
      <c r="J84" s="164">
        <v>0.05</v>
      </c>
    </row>
    <row r="85" spans="1:10" x14ac:dyDescent="0.25">
      <c r="A85" s="138" t="s">
        <v>137</v>
      </c>
      <c r="B85" s="138"/>
      <c r="C85" s="165">
        <f>[3]Mortgage!I2</f>
        <v>0.05</v>
      </c>
      <c r="D85" s="165"/>
      <c r="E85" s="164"/>
      <c r="F85" s="138"/>
      <c r="G85" s="138"/>
      <c r="H85" s="138"/>
      <c r="I85" s="138"/>
      <c r="J85" s="164">
        <v>0.95</v>
      </c>
    </row>
    <row r="86" spans="1:10" x14ac:dyDescent="0.25">
      <c r="A86" s="138" t="s">
        <v>136</v>
      </c>
      <c r="B86" s="138"/>
      <c r="C86" s="167">
        <f>(J84*C84)+(J85*C85)</f>
        <v>4.6944923941692342E-2</v>
      </c>
      <c r="D86" s="167"/>
      <c r="E86" s="164"/>
      <c r="F86" s="138"/>
      <c r="G86" s="138"/>
      <c r="H86" s="138"/>
      <c r="I86" s="138"/>
      <c r="J86" s="164"/>
    </row>
    <row r="87" spans="1:10" x14ac:dyDescent="0.25">
      <c r="A87" s="138"/>
      <c r="B87" s="138"/>
      <c r="C87" s="167"/>
      <c r="D87" s="167"/>
      <c r="E87" s="138"/>
      <c r="F87" s="138"/>
      <c r="G87" s="138"/>
      <c r="H87" s="138"/>
      <c r="I87" s="138"/>
      <c r="J87" s="138"/>
    </row>
    <row r="88" spans="1:10" x14ac:dyDescent="0.25">
      <c r="A88" s="138" t="s">
        <v>144</v>
      </c>
      <c r="B88" s="138"/>
      <c r="C88" s="167"/>
      <c r="D88" s="167"/>
      <c r="E88" s="138"/>
      <c r="F88" s="138"/>
      <c r="G88" s="138"/>
      <c r="H88" s="138"/>
      <c r="I88" s="138"/>
      <c r="J88" s="138"/>
    </row>
    <row r="89" spans="1:10" x14ac:dyDescent="0.25">
      <c r="A89" s="138" t="s">
        <v>143</v>
      </c>
      <c r="B89" s="138" t="s">
        <v>54</v>
      </c>
      <c r="C89" s="166">
        <f>-(E64-C64)</f>
        <v>0</v>
      </c>
      <c r="D89" s="166"/>
      <c r="E89" s="166">
        <f>-(F64-E64)</f>
        <v>-6896.9079602240072</v>
      </c>
      <c r="F89" s="166">
        <f>-(G64-F64)</f>
        <v>-91886.968032635443</v>
      </c>
      <c r="G89" s="166">
        <f>-(H64-G64)</f>
        <v>-120682.17982824214</v>
      </c>
      <c r="H89" s="166">
        <f>-(I64-H64)</f>
        <v>-148289.47151953756</v>
      </c>
      <c r="I89" s="166"/>
      <c r="J89" s="138"/>
    </row>
    <row r="90" spans="1:10" x14ac:dyDescent="0.25">
      <c r="A90" s="138" t="s">
        <v>141</v>
      </c>
      <c r="B90" s="138" t="s">
        <v>142</v>
      </c>
      <c r="C90" s="166"/>
      <c r="D90" s="166"/>
      <c r="E90" s="166"/>
      <c r="F90" s="166"/>
      <c r="G90" s="166"/>
      <c r="H90" s="166"/>
      <c r="I90" s="166">
        <v>0</v>
      </c>
      <c r="J90" s="138"/>
    </row>
    <row r="91" spans="1:10" x14ac:dyDescent="0.25">
      <c r="A91" s="138" t="s">
        <v>141</v>
      </c>
      <c r="B91" s="138" t="s">
        <v>140</v>
      </c>
      <c r="C91" s="138"/>
      <c r="D91" s="138"/>
      <c r="E91" s="166">
        <f>E37</f>
        <v>0</v>
      </c>
      <c r="F91" s="166">
        <f>F37</f>
        <v>689.69079602240072</v>
      </c>
      <c r="G91" s="166">
        <f>G37</f>
        <v>9878.3875992859466</v>
      </c>
      <c r="H91" s="166">
        <f>H37</f>
        <v>21946.605582110162</v>
      </c>
      <c r="I91" s="166">
        <f>I37</f>
        <v>36775.552734063916</v>
      </c>
      <c r="J91" s="138"/>
    </row>
    <row r="92" spans="1:10" ht="16.5" thickBot="1" x14ac:dyDescent="0.3">
      <c r="A92" s="138" t="s">
        <v>139</v>
      </c>
      <c r="B92" s="138"/>
      <c r="C92" s="168">
        <f>SUM(C89:C91)</f>
        <v>0</v>
      </c>
      <c r="D92" s="168"/>
      <c r="E92" s="168">
        <f>SUM(E89:E91)</f>
        <v>-6896.9079602240072</v>
      </c>
      <c r="F92" s="168">
        <f>SUM(F89:F91)</f>
        <v>-91197.277236613038</v>
      </c>
      <c r="G92" s="168">
        <f>SUM(G89:G91)</f>
        <v>-110803.79222895618</v>
      </c>
      <c r="H92" s="168">
        <f>SUM(H89:H91)</f>
        <v>-126342.8659374274</v>
      </c>
      <c r="I92" s="168">
        <f>SUM(I89:I91)</f>
        <v>36775.552734063916</v>
      </c>
      <c r="J92" s="138" t="s">
        <v>138</v>
      </c>
    </row>
    <row r="93" spans="1:10" ht="16.5" thickTop="1" x14ac:dyDescent="0.25">
      <c r="A93" s="138" t="s">
        <v>122</v>
      </c>
      <c r="B93" s="138"/>
      <c r="C93" s="167">
        <f>IRR(C92:I92,-0.9)</f>
        <v>-0.7662327265249127</v>
      </c>
      <c r="D93" s="167"/>
      <c r="E93" s="166"/>
      <c r="F93" s="166"/>
      <c r="G93" s="166"/>
      <c r="H93" s="166"/>
      <c r="I93" s="166"/>
      <c r="J93" s="164">
        <v>0.05</v>
      </c>
    </row>
    <row r="94" spans="1:10" x14ac:dyDescent="0.25">
      <c r="A94" s="138" t="s">
        <v>137</v>
      </c>
      <c r="B94" s="138"/>
      <c r="C94" s="165">
        <f>J37</f>
        <v>0.1</v>
      </c>
      <c r="D94" s="165"/>
      <c r="E94" s="138"/>
      <c r="F94" s="138"/>
      <c r="G94" s="138"/>
      <c r="H94" s="138"/>
      <c r="I94" s="138"/>
      <c r="J94" s="164">
        <v>0.95</v>
      </c>
    </row>
    <row r="95" spans="1:10" x14ac:dyDescent="0.25">
      <c r="A95" s="138" t="s">
        <v>136</v>
      </c>
      <c r="B95" s="138"/>
      <c r="C95" s="165">
        <f>J93*C93+J94*C94</f>
        <v>5.6688363673754363E-2</v>
      </c>
      <c r="D95" s="165"/>
      <c r="E95" s="138"/>
      <c r="F95" s="138"/>
      <c r="G95" s="138"/>
      <c r="H95" s="138"/>
      <c r="I95" s="138"/>
      <c r="J95" s="164"/>
    </row>
    <row r="96" spans="1:10" ht="16.5" thickBot="1" x14ac:dyDescent="0.3">
      <c r="A96" s="138"/>
      <c r="B96" s="138"/>
      <c r="C96" s="138"/>
      <c r="D96" s="138"/>
      <c r="E96" s="138"/>
      <c r="F96" s="138"/>
      <c r="G96" s="138"/>
    </row>
    <row r="97" spans="1:9" x14ac:dyDescent="0.25">
      <c r="A97" s="315"/>
      <c r="B97" s="319" t="s">
        <v>135</v>
      </c>
      <c r="C97" s="319" t="s">
        <v>134</v>
      </c>
      <c r="D97" s="320" t="s">
        <v>131</v>
      </c>
      <c r="E97" s="163"/>
      <c r="F97" s="163"/>
      <c r="G97" s="163"/>
      <c r="H97" s="163"/>
      <c r="I97" s="162"/>
    </row>
    <row r="98" spans="1:9" x14ac:dyDescent="0.25">
      <c r="A98" s="159" t="s">
        <v>164</v>
      </c>
      <c r="B98" s="244">
        <v>1</v>
      </c>
      <c r="C98" s="158"/>
      <c r="D98" s="161">
        <f>I45*B98</f>
        <v>10000</v>
      </c>
      <c r="E98" s="156"/>
      <c r="F98" s="156"/>
      <c r="G98" s="156"/>
      <c r="H98" s="156"/>
      <c r="I98" s="144"/>
    </row>
    <row r="99" spans="1:9" x14ac:dyDescent="0.25">
      <c r="A99" s="159" t="str">
        <f>B47</f>
        <v>Accounts Receivable</v>
      </c>
      <c r="B99" s="244">
        <v>0.6</v>
      </c>
      <c r="C99" s="158"/>
      <c r="D99" s="161">
        <f>I47*B99</f>
        <v>8777.2071925889104</v>
      </c>
      <c r="E99" s="156"/>
      <c r="F99" s="156"/>
      <c r="G99" s="156"/>
      <c r="H99" s="156"/>
      <c r="I99" s="144"/>
    </row>
    <row r="100" spans="1:9" x14ac:dyDescent="0.25">
      <c r="A100" s="317" t="str">
        <f>B48</f>
        <v>Inventory</v>
      </c>
      <c r="B100" s="244">
        <v>0.6</v>
      </c>
      <c r="C100" s="158"/>
      <c r="D100" s="161">
        <f>I48*B100</f>
        <v>11983.228435610017</v>
      </c>
      <c r="E100" s="156"/>
      <c r="F100" s="156"/>
      <c r="G100" s="156"/>
      <c r="H100" s="156"/>
      <c r="I100" s="144"/>
    </row>
    <row r="101" spans="1:9" x14ac:dyDescent="0.25">
      <c r="A101" s="159" t="str">
        <f>B50</f>
        <v>Land</v>
      </c>
      <c r="B101" s="244">
        <v>0.6</v>
      </c>
      <c r="C101" s="158">
        <f>I50*B101</f>
        <v>120000</v>
      </c>
      <c r="D101" s="156"/>
      <c r="E101" s="156"/>
      <c r="F101" s="156"/>
      <c r="G101" s="156"/>
      <c r="H101" s="156"/>
      <c r="I101" s="144"/>
    </row>
    <row r="102" spans="1:9" x14ac:dyDescent="0.25">
      <c r="A102" s="159" t="str">
        <f>B51</f>
        <v>Buildings</v>
      </c>
      <c r="B102" s="244">
        <v>0.6</v>
      </c>
      <c r="C102" s="158">
        <f>I51*B102</f>
        <v>480000</v>
      </c>
      <c r="D102" s="156"/>
      <c r="E102" s="156"/>
      <c r="F102" s="156"/>
      <c r="G102" s="156"/>
      <c r="H102" s="156"/>
      <c r="I102" s="144"/>
    </row>
    <row r="103" spans="1:9" x14ac:dyDescent="0.25">
      <c r="A103" s="159"/>
      <c r="B103" s="244">
        <v>0</v>
      </c>
      <c r="C103" s="158"/>
      <c r="D103" s="161">
        <v>0</v>
      </c>
      <c r="E103" s="156"/>
      <c r="F103" s="156"/>
      <c r="G103" s="156"/>
      <c r="H103" s="156"/>
      <c r="I103" s="144"/>
    </row>
    <row r="104" spans="1:9" x14ac:dyDescent="0.25">
      <c r="A104" s="159"/>
      <c r="B104" s="244"/>
      <c r="C104" s="158"/>
      <c r="D104" s="156"/>
      <c r="E104" s="156"/>
      <c r="F104" s="156"/>
      <c r="G104" s="156"/>
      <c r="H104" s="156"/>
      <c r="I104" s="144"/>
    </row>
    <row r="105" spans="1:9" x14ac:dyDescent="0.25">
      <c r="A105" s="159" t="s">
        <v>44</v>
      </c>
      <c r="B105" s="244">
        <v>-1</v>
      </c>
      <c r="C105" s="158"/>
      <c r="D105" s="160">
        <f>I59*B105</f>
        <v>-59916.142178050082</v>
      </c>
      <c r="E105" s="156"/>
      <c r="F105" s="156"/>
      <c r="G105" s="156"/>
      <c r="H105" s="156"/>
      <c r="I105" s="144"/>
    </row>
    <row r="106" spans="1:9" x14ac:dyDescent="0.25">
      <c r="A106" s="159"/>
      <c r="B106" s="157"/>
      <c r="C106" s="158"/>
      <c r="D106" s="157"/>
      <c r="E106" s="156"/>
      <c r="F106" s="156"/>
      <c r="G106" s="156"/>
      <c r="H106" s="156"/>
      <c r="I106" s="144"/>
    </row>
    <row r="107" spans="1:9" x14ac:dyDescent="0.25">
      <c r="A107" s="159"/>
      <c r="B107" s="244"/>
      <c r="C107" s="155"/>
      <c r="D107" s="154"/>
      <c r="E107" s="152"/>
      <c r="F107" s="152"/>
      <c r="G107" s="152"/>
      <c r="H107" s="152"/>
      <c r="I107" s="144"/>
    </row>
    <row r="108" spans="1:9" x14ac:dyDescent="0.25">
      <c r="A108" s="159"/>
      <c r="B108" s="244"/>
      <c r="C108" s="146">
        <f>SUM(C98:C107)</f>
        <v>600000</v>
      </c>
      <c r="D108" s="146">
        <f>SUM(D98:D107)</f>
        <v>-29155.706549851155</v>
      </c>
      <c r="E108" s="152"/>
      <c r="F108" s="152"/>
      <c r="G108" s="152"/>
      <c r="H108" s="152"/>
      <c r="I108" s="144"/>
    </row>
    <row r="109" spans="1:9" x14ac:dyDescent="0.25">
      <c r="A109" s="159"/>
      <c r="B109" s="244"/>
      <c r="C109" s="146"/>
      <c r="D109" s="147">
        <v>0</v>
      </c>
      <c r="E109" s="152"/>
      <c r="F109" s="152"/>
      <c r="G109" s="152"/>
      <c r="H109" s="152"/>
      <c r="I109" s="144"/>
    </row>
    <row r="110" spans="1:9" x14ac:dyDescent="0.25">
      <c r="A110" s="159"/>
      <c r="B110" s="244"/>
      <c r="C110" s="318" t="s">
        <v>165</v>
      </c>
      <c r="D110" s="146">
        <v>10000</v>
      </c>
      <c r="E110" s="152"/>
      <c r="F110" s="152"/>
      <c r="G110" s="152"/>
      <c r="H110" s="152"/>
      <c r="I110" s="144"/>
    </row>
    <row r="111" spans="1:9" x14ac:dyDescent="0.25">
      <c r="A111" s="159"/>
      <c r="B111" s="244"/>
      <c r="C111" s="146"/>
      <c r="D111" s="147">
        <f>D108-D110</f>
        <v>-39155.706549851151</v>
      </c>
      <c r="E111" s="152"/>
      <c r="F111" s="152"/>
      <c r="G111" s="152"/>
      <c r="H111" s="152"/>
      <c r="I111" s="144"/>
    </row>
    <row r="112" spans="1:9" x14ac:dyDescent="0.25">
      <c r="A112" s="159"/>
      <c r="B112" s="244"/>
      <c r="C112" s="146"/>
      <c r="D112" s="152"/>
      <c r="E112" s="152"/>
      <c r="F112" s="152"/>
      <c r="G112" s="152"/>
      <c r="H112" s="152"/>
      <c r="I112" s="144"/>
    </row>
    <row r="113" spans="1:9" x14ac:dyDescent="0.25">
      <c r="A113" s="159"/>
      <c r="B113" s="244"/>
      <c r="C113" s="146" t="s">
        <v>134</v>
      </c>
      <c r="D113" s="146" t="s">
        <v>133</v>
      </c>
      <c r="E113" s="152" t="s">
        <v>132</v>
      </c>
      <c r="F113" s="152" t="s">
        <v>131</v>
      </c>
      <c r="G113" s="152" t="s">
        <v>130</v>
      </c>
      <c r="H113" s="152" t="s">
        <v>129</v>
      </c>
      <c r="I113" s="144"/>
    </row>
    <row r="114" spans="1:9" x14ac:dyDescent="0.25">
      <c r="A114" s="159"/>
      <c r="B114" s="318" t="s">
        <v>166</v>
      </c>
      <c r="C114" s="146">
        <f>C108</f>
        <v>600000</v>
      </c>
      <c r="D114" s="149">
        <f>I63-C114</f>
        <v>272372.95480780327</v>
      </c>
      <c r="E114" s="151">
        <f>D114/D116</f>
        <v>0.42549732187145739</v>
      </c>
      <c r="F114" s="147">
        <f>IF(D111&gt;0,D111,0)</f>
        <v>0</v>
      </c>
      <c r="G114" s="146">
        <f>C114+F114</f>
        <v>600000</v>
      </c>
      <c r="H114" s="145">
        <f>G114/I63</f>
        <v>0.68777923099666582</v>
      </c>
      <c r="I114" s="144"/>
    </row>
    <row r="115" spans="1:9" x14ac:dyDescent="0.25">
      <c r="A115" s="159"/>
      <c r="B115" s="318" t="s">
        <v>47</v>
      </c>
      <c r="C115" s="146"/>
      <c r="D115" s="150">
        <f>I64-C115</f>
        <v>367755.52734063915</v>
      </c>
      <c r="E115" s="148">
        <f>D115/D116</f>
        <v>0.57450267812854261</v>
      </c>
      <c r="F115" s="147">
        <f>IF(D111&lt;0,0,D111)</f>
        <v>0</v>
      </c>
      <c r="G115" s="146">
        <f>C115+F115</f>
        <v>0</v>
      </c>
      <c r="H115" s="145">
        <v>0</v>
      </c>
      <c r="I115" s="144"/>
    </row>
    <row r="116" spans="1:9" ht="16.5" thickBot="1" x14ac:dyDescent="0.3">
      <c r="A116" s="316"/>
      <c r="B116" s="143"/>
      <c r="C116" s="143"/>
      <c r="D116" s="142">
        <f>SUM(D114:D115)</f>
        <v>640128.48214844242</v>
      </c>
      <c r="E116" s="141"/>
      <c r="F116" s="141"/>
      <c r="G116" s="140"/>
      <c r="H116" s="140"/>
      <c r="I116" s="139"/>
    </row>
    <row r="125" spans="1:9" x14ac:dyDescent="0.25">
      <c r="B125" s="138"/>
    </row>
    <row r="126" spans="1:9" x14ac:dyDescent="0.25">
      <c r="B126" s="138"/>
    </row>
    <row r="127" spans="1:9" x14ac:dyDescent="0.25">
      <c r="B127" s="138"/>
    </row>
    <row r="128" spans="1:9" x14ac:dyDescent="0.25">
      <c r="B128" s="138"/>
    </row>
    <row r="129" spans="2:2" x14ac:dyDescent="0.25">
      <c r="B129" s="138"/>
    </row>
    <row r="130" spans="2:2" x14ac:dyDescent="0.25">
      <c r="B130" s="138"/>
    </row>
    <row r="131" spans="2:2" x14ac:dyDescent="0.25">
      <c r="B131" s="138"/>
    </row>
    <row r="132" spans="2:2" x14ac:dyDescent="0.25">
      <c r="B132" s="138"/>
    </row>
    <row r="133" spans="2:2" x14ac:dyDescent="0.25">
      <c r="B133" s="138"/>
    </row>
    <row r="134" spans="2:2" x14ac:dyDescent="0.25">
      <c r="B134" s="138"/>
    </row>
    <row r="135" spans="2:2" x14ac:dyDescent="0.25">
      <c r="B135" s="138"/>
    </row>
    <row r="138" spans="2:2" x14ac:dyDescent="0.25">
      <c r="B138" s="138"/>
    </row>
  </sheetData>
  <pageMargins left="0.75" right="0.75" top="1" bottom="1" header="0.5" footer="0.5"/>
  <pageSetup scale="63" orientation="landscape" r:id="rId1"/>
  <rowBreaks count="4" manualBreakCount="4">
    <brk id="41" max="8" man="1"/>
    <brk id="75" max="8" man="1"/>
    <brk id="116" max="7" man="1"/>
    <brk id="13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71"/>
  <sheetViews>
    <sheetView view="pageBreakPreview" topLeftCell="A133" zoomScale="80" zoomScaleNormal="80" zoomScaleSheetLayoutView="80" workbookViewId="0">
      <selection activeCell="L178" sqref="L178"/>
    </sheetView>
  </sheetViews>
  <sheetFormatPr defaultColWidth="11" defaultRowHeight="15.75" x14ac:dyDescent="0.25"/>
  <cols>
    <col min="1" max="1" width="5.5" style="37" customWidth="1"/>
    <col min="2" max="2" width="30.625" style="37" customWidth="1"/>
    <col min="3" max="3" width="22.125" style="37" customWidth="1"/>
    <col min="4" max="4" width="19.25" style="37" customWidth="1"/>
    <col min="5" max="5" width="18.125" style="37" customWidth="1"/>
    <col min="6" max="6" width="13.25" style="37" bestFit="1" customWidth="1"/>
    <col min="7" max="7" width="13.75" style="37" bestFit="1" customWidth="1"/>
    <col min="8" max="11" width="13.25" style="37" bestFit="1" customWidth="1"/>
    <col min="12" max="13" width="15" style="37" bestFit="1" customWidth="1"/>
    <col min="14" max="14" width="13.25" style="37" bestFit="1" customWidth="1"/>
    <col min="15" max="16" width="13.125" style="37" bestFit="1" customWidth="1"/>
    <col min="17" max="16384" width="11" style="37"/>
  </cols>
  <sheetData>
    <row r="1" spans="1:19" ht="16.5" thickBot="1" x14ac:dyDescent="0.3">
      <c r="A1" s="254" t="s">
        <v>90</v>
      </c>
      <c r="B1" s="254"/>
      <c r="C1" s="254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9" x14ac:dyDescent="0.25">
      <c r="A2" s="136"/>
      <c r="B2" s="136"/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9" hidden="1" x14ac:dyDescent="0.25">
      <c r="A3" s="5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hidden="1" x14ac:dyDescent="0.25">
      <c r="A4" s="58"/>
      <c r="B4" s="38" t="s">
        <v>108</v>
      </c>
      <c r="C4" s="38">
        <v>0.85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19" hidden="1" x14ac:dyDescent="0.25">
      <c r="A5" s="58"/>
      <c r="B5" s="38" t="s">
        <v>1</v>
      </c>
      <c r="C5" s="47">
        <v>0.75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hidden="1" x14ac:dyDescent="0.25">
      <c r="A6" s="58"/>
      <c r="B6" s="38" t="s">
        <v>2</v>
      </c>
      <c r="C6" s="47">
        <v>0.25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19" hidden="1" x14ac:dyDescent="0.25">
      <c r="A7" s="58"/>
      <c r="B7" s="38" t="s">
        <v>3</v>
      </c>
      <c r="C7" s="59">
        <v>280541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</row>
    <row r="8" spans="1:19" ht="16.5" hidden="1" thickBot="1" x14ac:dyDescent="0.3">
      <c r="A8" s="60"/>
      <c r="B8" s="60"/>
      <c r="C8" s="60"/>
      <c r="D8" s="111" t="s">
        <v>4</v>
      </c>
      <c r="E8" s="112" t="s">
        <v>5</v>
      </c>
      <c r="F8" s="112" t="s">
        <v>6</v>
      </c>
      <c r="G8" s="112" t="s">
        <v>7</v>
      </c>
      <c r="H8" s="112" t="s">
        <v>84</v>
      </c>
      <c r="I8" s="112" t="s">
        <v>85</v>
      </c>
      <c r="J8" s="112" t="s">
        <v>86</v>
      </c>
      <c r="K8" s="112" t="s">
        <v>87</v>
      </c>
      <c r="L8" s="112" t="s">
        <v>88</v>
      </c>
      <c r="M8" s="113" t="s">
        <v>89</v>
      </c>
      <c r="N8" s="38"/>
      <c r="O8" s="38"/>
      <c r="P8" s="38"/>
      <c r="Q8" s="38"/>
      <c r="R8" s="38"/>
      <c r="S8" s="38"/>
    </row>
    <row r="9" spans="1:19" hidden="1" x14ac:dyDescent="0.25">
      <c r="A9" s="61" t="s">
        <v>8</v>
      </c>
      <c r="B9" s="60"/>
      <c r="C9" s="60"/>
      <c r="D9" s="94"/>
      <c r="E9" s="60"/>
      <c r="F9" s="60"/>
      <c r="G9" s="60"/>
      <c r="H9" s="60"/>
      <c r="I9" s="60"/>
      <c r="J9" s="60"/>
      <c r="K9" s="60"/>
      <c r="L9" s="60"/>
      <c r="M9" s="86"/>
      <c r="N9" s="38"/>
      <c r="O9" s="38"/>
      <c r="P9" s="38"/>
      <c r="Q9" s="38"/>
      <c r="R9" s="38"/>
      <c r="S9" s="38"/>
    </row>
    <row r="10" spans="1:19" hidden="1" x14ac:dyDescent="0.25">
      <c r="A10" s="60" t="s">
        <v>9</v>
      </c>
      <c r="B10" s="60"/>
      <c r="C10" s="60"/>
      <c r="D10" s="256">
        <f>C7*C5</f>
        <v>210405.75</v>
      </c>
      <c r="E10" s="257">
        <f>(1+$N10)*D10</f>
        <v>216191.90812500002</v>
      </c>
      <c r="F10" s="257">
        <f t="shared" ref="E10:M13" si="0">(1+$N10)*E10</f>
        <v>222137.18559843753</v>
      </c>
      <c r="G10" s="257">
        <f t="shared" si="0"/>
        <v>228245.95820239457</v>
      </c>
      <c r="H10" s="257">
        <f t="shared" si="0"/>
        <v>234522.72205296045</v>
      </c>
      <c r="I10" s="257">
        <f t="shared" si="0"/>
        <v>240972.0969094169</v>
      </c>
      <c r="J10" s="257">
        <f t="shared" si="0"/>
        <v>247598.82957442588</v>
      </c>
      <c r="K10" s="257">
        <f t="shared" si="0"/>
        <v>254407.79738772262</v>
      </c>
      <c r="L10" s="257">
        <f t="shared" si="0"/>
        <v>261404.01181588502</v>
      </c>
      <c r="M10" s="258">
        <f t="shared" si="0"/>
        <v>268592.62214082188</v>
      </c>
      <c r="N10" s="40">
        <v>2.75E-2</v>
      </c>
      <c r="O10" s="38" t="s">
        <v>154</v>
      </c>
      <c r="P10" s="38"/>
      <c r="Q10" s="38"/>
      <c r="R10" s="38"/>
      <c r="S10" s="38"/>
    </row>
    <row r="11" spans="1:19" hidden="1" x14ac:dyDescent="0.25">
      <c r="A11" s="60" t="s">
        <v>10</v>
      </c>
      <c r="B11" s="60"/>
      <c r="C11" s="60"/>
      <c r="D11" s="256">
        <f>C7*C6</f>
        <v>70135.25</v>
      </c>
      <c r="E11" s="257">
        <f t="shared" si="0"/>
        <v>77148.775000000009</v>
      </c>
      <c r="F11" s="257">
        <f t="shared" si="0"/>
        <v>84863.652500000011</v>
      </c>
      <c r="G11" s="257">
        <f t="shared" si="0"/>
        <v>93350.017750000014</v>
      </c>
      <c r="H11" s="257">
        <f t="shared" si="0"/>
        <v>102685.01952500003</v>
      </c>
      <c r="I11" s="257">
        <f t="shared" si="0"/>
        <v>112953.52147750003</v>
      </c>
      <c r="J11" s="257">
        <f t="shared" si="0"/>
        <v>124248.87362525005</v>
      </c>
      <c r="K11" s="257">
        <f t="shared" si="0"/>
        <v>136673.76098777508</v>
      </c>
      <c r="L11" s="257">
        <f t="shared" si="0"/>
        <v>150341.1370865526</v>
      </c>
      <c r="M11" s="258">
        <f t="shared" si="0"/>
        <v>165375.25079520786</v>
      </c>
      <c r="N11" s="41">
        <v>0.1</v>
      </c>
      <c r="O11" s="38" t="s">
        <v>154</v>
      </c>
      <c r="P11" s="38"/>
      <c r="Q11" s="38"/>
      <c r="R11" s="38">
        <f>37/12</f>
        <v>3.0833333333333335</v>
      </c>
      <c r="S11" s="38"/>
    </row>
    <row r="12" spans="1:19" hidden="1" x14ac:dyDescent="0.25">
      <c r="A12" s="60" t="s">
        <v>11</v>
      </c>
      <c r="B12" s="60"/>
      <c r="C12" s="60"/>
      <c r="D12" s="100">
        <v>3.08</v>
      </c>
      <c r="E12" s="42">
        <f t="shared" si="0"/>
        <v>3.1108000000000002</v>
      </c>
      <c r="F12" s="42">
        <f t="shared" si="0"/>
        <v>3.1419080000000004</v>
      </c>
      <c r="G12" s="42">
        <f t="shared" si="0"/>
        <v>3.1733270800000004</v>
      </c>
      <c r="H12" s="42">
        <f t="shared" si="0"/>
        <v>3.2050603508000006</v>
      </c>
      <c r="I12" s="42">
        <f t="shared" si="0"/>
        <v>3.2371109543080006</v>
      </c>
      <c r="J12" s="42">
        <f t="shared" si="0"/>
        <v>3.2694820638510804</v>
      </c>
      <c r="K12" s="42">
        <f t="shared" si="0"/>
        <v>3.3021768844895911</v>
      </c>
      <c r="L12" s="42">
        <f t="shared" si="0"/>
        <v>3.3351986533344871</v>
      </c>
      <c r="M12" s="101">
        <f t="shared" si="0"/>
        <v>3.368550639867832</v>
      </c>
      <c r="N12" s="43">
        <v>0.01</v>
      </c>
      <c r="O12" s="38" t="s">
        <v>154</v>
      </c>
      <c r="P12" s="38"/>
      <c r="Q12" s="38"/>
      <c r="R12" s="38">
        <f>865000/R11</f>
        <v>280540.54054054053</v>
      </c>
      <c r="S12" s="38"/>
    </row>
    <row r="13" spans="1:19" hidden="1" x14ac:dyDescent="0.25">
      <c r="A13" s="60" t="s">
        <v>12</v>
      </c>
      <c r="B13" s="60"/>
      <c r="C13" s="60"/>
      <c r="D13" s="100">
        <f>D12</f>
        <v>3.08</v>
      </c>
      <c r="E13" s="42">
        <f t="shared" si="0"/>
        <v>3.1724000000000001</v>
      </c>
      <c r="F13" s="42">
        <f t="shared" si="0"/>
        <v>3.2675720000000004</v>
      </c>
      <c r="G13" s="42">
        <f t="shared" si="0"/>
        <v>3.3655991600000004</v>
      </c>
      <c r="H13" s="42">
        <f t="shared" si="0"/>
        <v>3.4665671348000004</v>
      </c>
      <c r="I13" s="42">
        <f t="shared" si="0"/>
        <v>3.5705641488440008</v>
      </c>
      <c r="J13" s="42">
        <f t="shared" si="0"/>
        <v>3.677681073309321</v>
      </c>
      <c r="K13" s="42">
        <f t="shared" si="0"/>
        <v>3.7880115055086008</v>
      </c>
      <c r="L13" s="42">
        <f t="shared" si="0"/>
        <v>3.9016518506738591</v>
      </c>
      <c r="M13" s="101">
        <f t="shared" si="0"/>
        <v>4.0187014061940749</v>
      </c>
      <c r="N13" s="44">
        <v>0.03</v>
      </c>
      <c r="O13" s="38" t="s">
        <v>154</v>
      </c>
      <c r="P13" s="38"/>
      <c r="Q13" s="38"/>
      <c r="R13" s="38"/>
      <c r="S13" s="38"/>
    </row>
    <row r="14" spans="1:19" hidden="1" x14ac:dyDescent="0.25">
      <c r="A14" s="60"/>
      <c r="B14" s="60"/>
      <c r="C14" s="60"/>
      <c r="D14" s="100"/>
      <c r="E14" s="42"/>
      <c r="F14" s="42"/>
      <c r="G14" s="42"/>
      <c r="H14" s="42"/>
      <c r="I14" s="42"/>
      <c r="J14" s="42"/>
      <c r="K14" s="42"/>
      <c r="L14" s="42"/>
      <c r="M14" s="101"/>
      <c r="N14" s="44"/>
      <c r="O14" s="38"/>
      <c r="P14" s="38"/>
      <c r="Q14" s="38"/>
      <c r="R14" s="38"/>
      <c r="S14" s="38"/>
    </row>
    <row r="15" spans="1:19" hidden="1" x14ac:dyDescent="0.25">
      <c r="A15" s="60" t="s">
        <v>13</v>
      </c>
      <c r="B15" s="60"/>
      <c r="C15" s="60"/>
      <c r="D15" s="102">
        <v>0.62</v>
      </c>
      <c r="E15" s="45">
        <v>0.62</v>
      </c>
      <c r="F15" s="45">
        <v>0.62</v>
      </c>
      <c r="G15" s="45">
        <v>0.62</v>
      </c>
      <c r="H15" s="45">
        <v>0.62</v>
      </c>
      <c r="I15" s="45">
        <v>0.62</v>
      </c>
      <c r="J15" s="45">
        <v>0.62</v>
      </c>
      <c r="K15" s="45">
        <v>0.62</v>
      </c>
      <c r="L15" s="45">
        <v>0.62</v>
      </c>
      <c r="M15" s="103">
        <v>0.62</v>
      </c>
      <c r="N15" s="44"/>
      <c r="O15" s="38"/>
      <c r="P15" s="38"/>
      <c r="Q15" s="38"/>
      <c r="R15" s="38"/>
      <c r="S15" s="38"/>
    </row>
    <row r="16" spans="1:19" hidden="1" x14ac:dyDescent="0.25">
      <c r="A16" s="60"/>
      <c r="B16" s="60"/>
      <c r="C16" s="60"/>
      <c r="D16" s="100"/>
      <c r="E16" s="42"/>
      <c r="F16" s="42"/>
      <c r="G16" s="42"/>
      <c r="H16" s="42"/>
      <c r="I16" s="42"/>
      <c r="J16" s="42"/>
      <c r="K16" s="42"/>
      <c r="L16" s="42"/>
      <c r="M16" s="101"/>
      <c r="N16" s="44"/>
      <c r="O16" s="38"/>
      <c r="P16" s="38"/>
      <c r="Q16" s="38"/>
      <c r="R16" s="38"/>
      <c r="S16" s="38"/>
    </row>
    <row r="17" spans="1:19" hidden="1" x14ac:dyDescent="0.25">
      <c r="A17" s="61" t="s">
        <v>14</v>
      </c>
      <c r="B17" s="60"/>
      <c r="C17" s="60"/>
      <c r="D17" s="94"/>
      <c r="E17" s="60"/>
      <c r="F17" s="60"/>
      <c r="G17" s="60"/>
      <c r="H17" s="60"/>
      <c r="I17" s="60"/>
      <c r="J17" s="60"/>
      <c r="K17" s="60"/>
      <c r="L17" s="60"/>
      <c r="M17" s="86"/>
      <c r="N17" s="38"/>
      <c r="O17" s="38"/>
      <c r="P17" s="38"/>
      <c r="Q17" s="38"/>
      <c r="R17" s="38"/>
      <c r="S17" s="38"/>
    </row>
    <row r="18" spans="1:19" hidden="1" x14ac:dyDescent="0.25">
      <c r="A18" s="60" t="s">
        <v>15</v>
      </c>
      <c r="B18" s="60"/>
      <c r="C18" s="60"/>
      <c r="D18" s="104">
        <v>15</v>
      </c>
      <c r="E18" s="62">
        <v>15</v>
      </c>
      <c r="F18" s="62">
        <v>15</v>
      </c>
      <c r="G18" s="62">
        <v>15</v>
      </c>
      <c r="H18" s="62">
        <v>15</v>
      </c>
      <c r="I18" s="62">
        <v>15</v>
      </c>
      <c r="J18" s="62">
        <v>15</v>
      </c>
      <c r="K18" s="62">
        <v>15</v>
      </c>
      <c r="L18" s="62">
        <v>15</v>
      </c>
      <c r="M18" s="105">
        <v>15</v>
      </c>
      <c r="N18" s="38"/>
      <c r="O18" s="38" t="str">
        <f>O20</f>
        <v>Made up</v>
      </c>
      <c r="P18" s="38"/>
      <c r="Q18" s="38"/>
      <c r="R18" s="38"/>
      <c r="S18" s="38"/>
    </row>
    <row r="19" spans="1:19" hidden="1" x14ac:dyDescent="0.25">
      <c r="A19" s="60" t="s">
        <v>16</v>
      </c>
      <c r="B19" s="60"/>
      <c r="C19" s="60"/>
      <c r="D19" s="106">
        <v>15</v>
      </c>
      <c r="E19" s="46">
        <v>15</v>
      </c>
      <c r="F19" s="46">
        <v>15</v>
      </c>
      <c r="G19" s="46">
        <v>15</v>
      </c>
      <c r="H19" s="46">
        <v>15</v>
      </c>
      <c r="I19" s="46">
        <v>15</v>
      </c>
      <c r="J19" s="46">
        <v>15</v>
      </c>
      <c r="K19" s="46">
        <v>15</v>
      </c>
      <c r="L19" s="46">
        <v>15</v>
      </c>
      <c r="M19" s="107">
        <v>15</v>
      </c>
      <c r="N19" s="47"/>
      <c r="O19" s="38"/>
      <c r="P19" s="38"/>
      <c r="Q19" s="38"/>
      <c r="R19" s="38"/>
      <c r="S19" s="38"/>
    </row>
    <row r="20" spans="1:19" hidden="1" x14ac:dyDescent="0.25">
      <c r="A20" s="60" t="s">
        <v>17</v>
      </c>
      <c r="B20" s="60"/>
      <c r="C20" s="60"/>
      <c r="D20" s="106">
        <v>45</v>
      </c>
      <c r="E20" s="62">
        <v>45</v>
      </c>
      <c r="F20" s="62">
        <v>45</v>
      </c>
      <c r="G20" s="62">
        <v>45</v>
      </c>
      <c r="H20" s="62">
        <v>45</v>
      </c>
      <c r="I20" s="62">
        <v>45</v>
      </c>
      <c r="J20" s="62">
        <v>45</v>
      </c>
      <c r="K20" s="62">
        <v>45</v>
      </c>
      <c r="L20" s="62">
        <v>45</v>
      </c>
      <c r="M20" s="105">
        <v>45</v>
      </c>
      <c r="N20" s="38"/>
      <c r="O20" s="38" t="s">
        <v>153</v>
      </c>
      <c r="P20" s="38"/>
      <c r="Q20" s="38"/>
      <c r="R20" s="38"/>
      <c r="S20" s="38"/>
    </row>
    <row r="21" spans="1:19" ht="16.5" hidden="1" thickBot="1" x14ac:dyDescent="0.3">
      <c r="A21" s="60"/>
      <c r="B21" s="60"/>
      <c r="C21" s="60"/>
      <c r="D21" s="108"/>
      <c r="E21" s="109"/>
      <c r="F21" s="109"/>
      <c r="G21" s="109"/>
      <c r="H21" s="109"/>
      <c r="I21" s="109"/>
      <c r="J21" s="109"/>
      <c r="K21" s="109"/>
      <c r="L21" s="109"/>
      <c r="M21" s="110"/>
      <c r="N21" s="38"/>
      <c r="O21" s="38"/>
      <c r="P21" s="38"/>
      <c r="Q21" s="38"/>
      <c r="R21" s="38"/>
    </row>
    <row r="22" spans="1:19" ht="16.5" hidden="1" thickBot="1" x14ac:dyDescent="0.3">
      <c r="A22" s="63"/>
      <c r="B22" s="63"/>
      <c r="C22" s="63"/>
      <c r="D22" s="259" t="s">
        <v>4</v>
      </c>
      <c r="E22" s="260" t="str">
        <f t="shared" ref="E22:M22" si="1">E8</f>
        <v>Year 2</v>
      </c>
      <c r="F22" s="260" t="str">
        <f t="shared" si="1"/>
        <v>Year 3</v>
      </c>
      <c r="G22" s="260" t="str">
        <f t="shared" si="1"/>
        <v>Year 4</v>
      </c>
      <c r="H22" s="260" t="str">
        <f t="shared" si="1"/>
        <v>Year 5</v>
      </c>
      <c r="I22" s="260" t="str">
        <f t="shared" si="1"/>
        <v>Year 6</v>
      </c>
      <c r="J22" s="260" t="str">
        <f t="shared" si="1"/>
        <v>Year 7</v>
      </c>
      <c r="K22" s="260" t="str">
        <f t="shared" si="1"/>
        <v>Year 8</v>
      </c>
      <c r="L22" s="260" t="str">
        <f t="shared" si="1"/>
        <v>Year 9</v>
      </c>
      <c r="M22" s="261" t="str">
        <f t="shared" si="1"/>
        <v>Year 10</v>
      </c>
      <c r="N22" s="38"/>
      <c r="O22" s="38"/>
      <c r="P22" s="38"/>
      <c r="Q22" s="38"/>
      <c r="R22" s="38"/>
      <c r="S22" s="38"/>
    </row>
    <row r="23" spans="1:19" hidden="1" x14ac:dyDescent="0.25">
      <c r="A23" s="61" t="s">
        <v>18</v>
      </c>
      <c r="B23" s="60"/>
      <c r="C23" s="60"/>
      <c r="D23" s="94"/>
      <c r="E23" s="60"/>
      <c r="F23" s="60"/>
      <c r="G23" s="60"/>
      <c r="H23" s="60"/>
      <c r="I23" s="60"/>
      <c r="J23" s="60"/>
      <c r="K23" s="60"/>
      <c r="L23" s="60"/>
      <c r="M23" s="86"/>
      <c r="N23" s="38"/>
      <c r="O23" s="38"/>
      <c r="P23" s="38"/>
      <c r="Q23" s="38"/>
      <c r="R23" s="38"/>
      <c r="S23" s="38"/>
    </row>
    <row r="24" spans="1:19" hidden="1" x14ac:dyDescent="0.25">
      <c r="A24" s="38" t="s">
        <v>19</v>
      </c>
      <c r="B24" s="38"/>
      <c r="C24" s="38"/>
      <c r="D24" s="92">
        <f>D10*D12</f>
        <v>648049.71</v>
      </c>
      <c r="E24" s="48">
        <f t="shared" ref="E24:M24" si="2">E10*E12</f>
        <v>672529.78779525007</v>
      </c>
      <c r="F24" s="48">
        <f t="shared" si="2"/>
        <v>697934.60052921576</v>
      </c>
      <c r="G24" s="48">
        <f t="shared" si="2"/>
        <v>724299.08006420685</v>
      </c>
      <c r="H24" s="48">
        <f t="shared" si="2"/>
        <v>751659.47781363246</v>
      </c>
      <c r="I24" s="48">
        <f t="shared" si="2"/>
        <v>780053.41458804253</v>
      </c>
      <c r="J24" s="48">
        <f t="shared" si="2"/>
        <v>809519.93232410587</v>
      </c>
      <c r="K24" s="48">
        <f t="shared" si="2"/>
        <v>840099.54776764906</v>
      </c>
      <c r="L24" s="48">
        <f t="shared" si="2"/>
        <v>871834.30818457203</v>
      </c>
      <c r="M24" s="84">
        <f t="shared" si="2"/>
        <v>904767.84917624434</v>
      </c>
      <c r="N24" s="49"/>
      <c r="O24" s="38"/>
      <c r="P24" s="38"/>
      <c r="Q24" s="38"/>
      <c r="R24" s="38"/>
      <c r="S24" s="38"/>
    </row>
    <row r="25" spans="1:19" hidden="1" x14ac:dyDescent="0.25">
      <c r="A25" s="38" t="s">
        <v>20</v>
      </c>
      <c r="B25" s="38"/>
      <c r="C25" s="52"/>
      <c r="D25" s="93">
        <f t="shared" ref="D25:M25" si="3">D11*D13</f>
        <v>216016.57</v>
      </c>
      <c r="E25" s="66">
        <f t="shared" si="3"/>
        <v>244746.77381000004</v>
      </c>
      <c r="F25" s="66">
        <f t="shared" si="3"/>
        <v>277298.09472673008</v>
      </c>
      <c r="G25" s="66">
        <f t="shared" si="3"/>
        <v>314178.74132538517</v>
      </c>
      <c r="H25" s="66">
        <f t="shared" si="3"/>
        <v>355964.51392166142</v>
      </c>
      <c r="I25" s="66">
        <f t="shared" si="3"/>
        <v>403307.79427324247</v>
      </c>
      <c r="J25" s="66">
        <f t="shared" si="3"/>
        <v>456947.73091158381</v>
      </c>
      <c r="K25" s="66">
        <f t="shared" si="3"/>
        <v>517721.77912282455</v>
      </c>
      <c r="L25" s="66">
        <f t="shared" si="3"/>
        <v>586578.7757461603</v>
      </c>
      <c r="M25" s="85">
        <f t="shared" si="3"/>
        <v>664593.75292039965</v>
      </c>
      <c r="N25" s="49"/>
      <c r="O25" s="38"/>
      <c r="P25" s="38"/>
      <c r="Q25" s="38"/>
      <c r="R25" s="38"/>
      <c r="S25" s="38"/>
    </row>
    <row r="26" spans="1:19" hidden="1" x14ac:dyDescent="0.25">
      <c r="A26" s="38"/>
      <c r="B26" s="38"/>
      <c r="C26" s="38"/>
      <c r="D26" s="94"/>
      <c r="E26" s="60"/>
      <c r="F26" s="60"/>
      <c r="G26" s="60"/>
      <c r="H26" s="60"/>
      <c r="I26" s="60"/>
      <c r="J26" s="60"/>
      <c r="K26" s="60"/>
      <c r="L26" s="60"/>
      <c r="M26" s="86"/>
      <c r="N26" s="38"/>
      <c r="O26" s="38"/>
      <c r="P26" s="38"/>
      <c r="Q26" s="38"/>
      <c r="R26" s="38"/>
      <c r="S26" s="38"/>
    </row>
    <row r="27" spans="1:19" hidden="1" x14ac:dyDescent="0.25">
      <c r="A27" s="38" t="s">
        <v>21</v>
      </c>
      <c r="B27" s="38"/>
      <c r="C27" s="38"/>
      <c r="D27" s="93">
        <f>(D24+D25)*D15</f>
        <v>535721.09360000002</v>
      </c>
      <c r="E27" s="66">
        <f t="shared" ref="E27:M27" si="4">(E24+E25)*E15</f>
        <v>568711.46819525503</v>
      </c>
      <c r="F27" s="66">
        <f t="shared" si="4"/>
        <v>604644.27105868643</v>
      </c>
      <c r="G27" s="66">
        <f t="shared" si="4"/>
        <v>643856.249261547</v>
      </c>
      <c r="H27" s="66">
        <f t="shared" si="4"/>
        <v>686726.87487588229</v>
      </c>
      <c r="I27" s="66">
        <f t="shared" si="4"/>
        <v>733683.94949399668</v>
      </c>
      <c r="J27" s="66">
        <f t="shared" si="4"/>
        <v>785209.95120612765</v>
      </c>
      <c r="K27" s="66">
        <f t="shared" si="4"/>
        <v>841849.22267209366</v>
      </c>
      <c r="L27" s="66">
        <f t="shared" si="4"/>
        <v>904216.11203705391</v>
      </c>
      <c r="M27" s="85">
        <f t="shared" si="4"/>
        <v>973004.19329991925</v>
      </c>
      <c r="N27" s="38"/>
      <c r="O27" s="38"/>
      <c r="P27" s="38"/>
      <c r="Q27" s="38"/>
      <c r="R27" s="38"/>
      <c r="S27" s="38"/>
    </row>
    <row r="28" spans="1:19" hidden="1" x14ac:dyDescent="0.25">
      <c r="A28" s="38"/>
      <c r="B28" s="38"/>
      <c r="C28" s="38"/>
      <c r="D28" s="93"/>
      <c r="E28" s="66"/>
      <c r="F28" s="66"/>
      <c r="G28" s="66"/>
      <c r="H28" s="66"/>
      <c r="I28" s="66"/>
      <c r="J28" s="66"/>
      <c r="K28" s="66"/>
      <c r="L28" s="66"/>
      <c r="M28" s="85"/>
      <c r="N28" s="38"/>
      <c r="O28" s="38"/>
      <c r="P28" s="38"/>
      <c r="Q28" s="38"/>
      <c r="R28" s="38"/>
      <c r="S28" s="38"/>
    </row>
    <row r="29" spans="1:19" hidden="1" x14ac:dyDescent="0.25">
      <c r="A29" s="38" t="s">
        <v>22</v>
      </c>
      <c r="B29" s="38"/>
      <c r="C29" s="38"/>
      <c r="D29" s="93"/>
      <c r="E29" s="66"/>
      <c r="F29" s="66"/>
      <c r="G29" s="66"/>
      <c r="H29" s="66"/>
      <c r="I29" s="66"/>
      <c r="J29" s="66"/>
      <c r="K29" s="66"/>
      <c r="L29" s="66"/>
      <c r="M29" s="85"/>
      <c r="N29" s="38"/>
      <c r="O29" s="38"/>
      <c r="P29" s="38"/>
      <c r="Q29" s="38"/>
      <c r="R29" s="38"/>
      <c r="S29" s="38"/>
    </row>
    <row r="30" spans="1:19" hidden="1" x14ac:dyDescent="0.25">
      <c r="A30" s="38"/>
      <c r="B30" s="38" t="s">
        <v>23</v>
      </c>
      <c r="C30" s="38"/>
      <c r="D30" s="93">
        <v>10000</v>
      </c>
      <c r="E30" s="66">
        <v>10000</v>
      </c>
      <c r="F30" s="66">
        <v>10000</v>
      </c>
      <c r="G30" s="66">
        <v>10000</v>
      </c>
      <c r="H30" s="66">
        <v>10000</v>
      </c>
      <c r="I30" s="66">
        <v>10000</v>
      </c>
      <c r="J30" s="66">
        <v>10000</v>
      </c>
      <c r="K30" s="66">
        <v>10000</v>
      </c>
      <c r="L30" s="66">
        <v>10000</v>
      </c>
      <c r="M30" s="85">
        <v>10000</v>
      </c>
      <c r="N30" s="47" t="s">
        <v>91</v>
      </c>
      <c r="O30" s="38"/>
      <c r="P30" s="38"/>
      <c r="Q30" s="38"/>
      <c r="R30" s="38"/>
      <c r="S30" s="38"/>
    </row>
    <row r="31" spans="1:19" hidden="1" x14ac:dyDescent="0.25">
      <c r="A31" s="38"/>
      <c r="B31" s="38" t="s">
        <v>24</v>
      </c>
      <c r="C31" s="38"/>
      <c r="D31" s="115">
        <v>275000</v>
      </c>
      <c r="E31" s="116">
        <f>(D31*$N$31)+D31</f>
        <v>290812.5</v>
      </c>
      <c r="F31" s="116">
        <f>(E31*$N$31)+E31</f>
        <v>307534.21875</v>
      </c>
      <c r="G31" s="116">
        <f>(F31*$N$31)+F31</f>
        <v>325217.43632812501</v>
      </c>
      <c r="H31" s="116">
        <f t="shared" ref="H31:L31" si="5">(G31*$N$31)+G31</f>
        <v>343917.43891699222</v>
      </c>
      <c r="I31" s="116">
        <f t="shared" si="5"/>
        <v>363692.6916547193</v>
      </c>
      <c r="J31" s="116">
        <f t="shared" si="5"/>
        <v>384605.02142486564</v>
      </c>
      <c r="K31" s="116">
        <f>(J31*$N$31)+J31</f>
        <v>406719.81015679543</v>
      </c>
      <c r="L31" s="116">
        <f t="shared" si="5"/>
        <v>430106.19924081117</v>
      </c>
      <c r="M31" s="117">
        <f>(L31*$N$31)+L31</f>
        <v>454837.3056971578</v>
      </c>
      <c r="N31" s="262">
        <v>5.7500000000000002E-2</v>
      </c>
      <c r="O31" s="38"/>
      <c r="P31" s="38"/>
      <c r="Q31" s="38"/>
      <c r="R31" s="38"/>
      <c r="S31" s="38"/>
    </row>
    <row r="32" spans="1:19" hidden="1" x14ac:dyDescent="0.25">
      <c r="A32" s="38"/>
      <c r="B32" s="38" t="s">
        <v>25</v>
      </c>
      <c r="C32" s="38"/>
      <c r="D32" s="93">
        <v>5000</v>
      </c>
      <c r="E32" s="66">
        <v>5000</v>
      </c>
      <c r="F32" s="66">
        <v>5000</v>
      </c>
      <c r="G32" s="66">
        <v>5000</v>
      </c>
      <c r="H32" s="66">
        <v>5000</v>
      </c>
      <c r="I32" s="66">
        <v>5000</v>
      </c>
      <c r="J32" s="66">
        <v>5000</v>
      </c>
      <c r="K32" s="66">
        <v>5000</v>
      </c>
      <c r="L32" s="66">
        <v>5000</v>
      </c>
      <c r="M32" s="85">
        <v>5000</v>
      </c>
      <c r="N32" s="43" t="s">
        <v>91</v>
      </c>
      <c r="O32" s="38"/>
      <c r="P32" s="38"/>
      <c r="Q32" s="38"/>
      <c r="R32" s="38"/>
      <c r="S32" s="38"/>
    </row>
    <row r="33" spans="1:19" hidden="1" x14ac:dyDescent="0.25">
      <c r="A33" s="38"/>
      <c r="B33" s="38"/>
      <c r="C33" s="38"/>
      <c r="D33" s="93"/>
      <c r="E33" s="66"/>
      <c r="F33" s="66"/>
      <c r="G33" s="66"/>
      <c r="H33" s="66"/>
      <c r="I33" s="66"/>
      <c r="J33" s="66"/>
      <c r="K33" s="66"/>
      <c r="L33" s="66"/>
      <c r="M33" s="85"/>
      <c r="N33" s="38"/>
      <c r="O33" s="38"/>
      <c r="P33" s="38"/>
      <c r="Q33" s="38"/>
      <c r="R33" s="38"/>
      <c r="S33" s="38"/>
    </row>
    <row r="34" spans="1:19" hidden="1" x14ac:dyDescent="0.25">
      <c r="A34" s="38" t="s">
        <v>26</v>
      </c>
      <c r="B34" s="38"/>
      <c r="C34" s="38"/>
      <c r="D34" s="98">
        <f>D51/$N34</f>
        <v>26666.666666666668</v>
      </c>
      <c r="E34" s="39">
        <f>E51/$N34</f>
        <v>26666.666666666668</v>
      </c>
      <c r="F34" s="39">
        <f>F51/$N34</f>
        <v>26666.666666666668</v>
      </c>
      <c r="G34" s="39">
        <f>G51/$N34</f>
        <v>26666.666666666668</v>
      </c>
      <c r="H34" s="39">
        <f t="shared" ref="H34:M34" si="6">H51/$N34</f>
        <v>26666.666666666668</v>
      </c>
      <c r="I34" s="39">
        <f t="shared" si="6"/>
        <v>26666.666666666668</v>
      </c>
      <c r="J34" s="39">
        <f t="shared" si="6"/>
        <v>26666.666666666668</v>
      </c>
      <c r="K34" s="39">
        <f t="shared" si="6"/>
        <v>26666.666666666668</v>
      </c>
      <c r="L34" s="39">
        <f t="shared" si="6"/>
        <v>26666.666666666668</v>
      </c>
      <c r="M34" s="99">
        <f t="shared" si="6"/>
        <v>26666.666666666668</v>
      </c>
      <c r="N34" s="59">
        <v>30</v>
      </c>
      <c r="O34" s="59" t="s">
        <v>151</v>
      </c>
      <c r="P34" s="38"/>
      <c r="Q34" s="38"/>
      <c r="R34" s="38"/>
      <c r="S34" s="38"/>
    </row>
    <row r="35" spans="1:19" hidden="1" x14ac:dyDescent="0.25">
      <c r="A35" s="38"/>
      <c r="B35" s="38"/>
      <c r="C35" s="38"/>
      <c r="D35" s="93"/>
      <c r="E35" s="66"/>
      <c r="F35" s="66"/>
      <c r="G35" s="66"/>
      <c r="H35" s="66"/>
      <c r="I35" s="66"/>
      <c r="J35" s="66"/>
      <c r="K35" s="66"/>
      <c r="L35" s="66"/>
      <c r="M35" s="85"/>
      <c r="N35" s="50"/>
      <c r="O35" s="38"/>
      <c r="P35" s="38"/>
      <c r="Q35" s="38"/>
      <c r="R35" s="38"/>
      <c r="S35" s="38"/>
    </row>
    <row r="36" spans="1:19" hidden="1" x14ac:dyDescent="0.25">
      <c r="A36" s="38" t="s">
        <v>27</v>
      </c>
      <c r="B36" s="38"/>
      <c r="C36" s="38"/>
      <c r="D36" s="93">
        <f>[5]Mortgage!D15</f>
        <v>47181.694240492783</v>
      </c>
      <c r="E36" s="66">
        <f>[5]Mortgage!D31</f>
        <v>46464.610574585146</v>
      </c>
      <c r="F36" s="66">
        <f>[5]Mortgage!D46</f>
        <v>45710.839547389696</v>
      </c>
      <c r="G36" s="66">
        <f>[5]Mortgage!D61</f>
        <v>44918.504163874662</v>
      </c>
      <c r="H36" s="66">
        <f>[5]Mortgage!D76</f>
        <v>44085.631398380152</v>
      </c>
      <c r="I36" s="66">
        <f>[5]Mortgage!D92</f>
        <v>43210.147281508929</v>
      </c>
      <c r="J36" s="66">
        <f>[5]Mortgage!D108</f>
        <v>42289.871735653265</v>
      </c>
      <c r="K36" s="66">
        <f>[5]Mortgage!D124</f>
        <v>41322.51314629746</v>
      </c>
      <c r="L36" s="66">
        <f>[5]Mortgage!D140</f>
        <v>40305.662655578031</v>
      </c>
      <c r="M36" s="85">
        <f>[5]Mortgage!D156</f>
        <v>39236.788163891426</v>
      </c>
      <c r="N36" s="50"/>
      <c r="O36" s="38"/>
      <c r="P36" s="38"/>
      <c r="Q36" s="38"/>
      <c r="R36" s="38"/>
      <c r="S36" s="38"/>
    </row>
    <row r="37" spans="1:19" hidden="1" x14ac:dyDescent="0.25">
      <c r="A37" s="38" t="s">
        <v>28</v>
      </c>
      <c r="B37" s="38"/>
      <c r="C37" s="38"/>
      <c r="D37" s="93">
        <f>$N$37*D62</f>
        <v>0</v>
      </c>
      <c r="E37" s="66">
        <f>$N$37*E62</f>
        <v>0</v>
      </c>
      <c r="F37" s="66">
        <f>$N$37*F62</f>
        <v>0</v>
      </c>
      <c r="G37" s="66">
        <f>$N$37*G62</f>
        <v>0</v>
      </c>
      <c r="H37" s="66">
        <f t="shared" ref="H37:M37" si="7">$N$37*H62</f>
        <v>0</v>
      </c>
      <c r="I37" s="66">
        <f t="shared" si="7"/>
        <v>0</v>
      </c>
      <c r="J37" s="66">
        <f t="shared" si="7"/>
        <v>0</v>
      </c>
      <c r="K37" s="66">
        <f t="shared" si="7"/>
        <v>0</v>
      </c>
      <c r="L37" s="66">
        <f t="shared" si="7"/>
        <v>0</v>
      </c>
      <c r="M37" s="85">
        <f t="shared" si="7"/>
        <v>0</v>
      </c>
      <c r="N37" s="41">
        <v>0.05</v>
      </c>
      <c r="O37" s="38" t="s">
        <v>150</v>
      </c>
      <c r="P37" s="38"/>
      <c r="Q37" s="38"/>
      <c r="R37" s="38"/>
      <c r="S37" s="38"/>
    </row>
    <row r="38" spans="1:19" hidden="1" x14ac:dyDescent="0.25">
      <c r="A38" s="38"/>
      <c r="B38" s="38"/>
      <c r="C38" s="38"/>
      <c r="D38" s="93"/>
      <c r="E38" s="66"/>
      <c r="F38" s="66"/>
      <c r="G38" s="66"/>
      <c r="H38" s="66"/>
      <c r="I38" s="66"/>
      <c r="J38" s="66"/>
      <c r="K38" s="66"/>
      <c r="L38" s="66"/>
      <c r="M38" s="85"/>
      <c r="N38" s="38"/>
      <c r="O38" s="38"/>
      <c r="P38" s="38"/>
      <c r="Q38" s="38"/>
      <c r="R38" s="38"/>
      <c r="S38" s="38"/>
    </row>
    <row r="39" spans="1:19" hidden="1" x14ac:dyDescent="0.25">
      <c r="A39" s="38" t="s">
        <v>29</v>
      </c>
      <c r="B39" s="38"/>
      <c r="C39" s="38"/>
      <c r="D39" s="92">
        <f>SUM(D24:D25)-SUM(D27:D37)</f>
        <v>-35503.17450715939</v>
      </c>
      <c r="E39" s="48">
        <f>SUM(E24:E25)-SUM(E27:E37)</f>
        <v>-30378.683831256698</v>
      </c>
      <c r="F39" s="48">
        <f>SUM(F24:F25)-SUM(F27:F37)</f>
        <v>-24323.300766796805</v>
      </c>
      <c r="G39" s="48">
        <f>SUM(G24:G25)-SUM(G27:G37)</f>
        <v>-17181.035030621337</v>
      </c>
      <c r="H39" s="48">
        <f t="shared" ref="H39:M39" si="8">SUM(H24:H25)-SUM(H27:H37)</f>
        <v>-8772.6201226273552</v>
      </c>
      <c r="I39" s="48">
        <f t="shared" si="8"/>
        <v>1107.7537643932737</v>
      </c>
      <c r="J39" s="48">
        <f t="shared" si="8"/>
        <v>12696.152202376397</v>
      </c>
      <c r="K39" s="48">
        <f t="shared" si="8"/>
        <v>26263.114248620346</v>
      </c>
      <c r="L39" s="48">
        <f>SUM(L24:L25)-SUM(L27:L37)</f>
        <v>42118.443330622511</v>
      </c>
      <c r="M39" s="84">
        <f t="shared" si="8"/>
        <v>60616.648269008612</v>
      </c>
      <c r="N39" s="43"/>
      <c r="O39" s="38"/>
      <c r="P39" s="38"/>
      <c r="Q39" s="38"/>
      <c r="R39" s="38"/>
      <c r="S39" s="38"/>
    </row>
    <row r="40" spans="1:19" hidden="1" x14ac:dyDescent="0.25">
      <c r="A40" s="38" t="s">
        <v>30</v>
      </c>
      <c r="B40" s="38"/>
      <c r="C40" s="38"/>
      <c r="D40" s="263">
        <f>IF(D39&lt;0,0,D39*$N$40)</f>
        <v>0</v>
      </c>
      <c r="E40" s="264">
        <f t="shared" ref="E40:M40" si="9">IF(E39&lt;0,0,E39*$N$40)</f>
        <v>0</v>
      </c>
      <c r="F40" s="264">
        <f t="shared" si="9"/>
        <v>0</v>
      </c>
      <c r="G40" s="264">
        <f t="shared" si="9"/>
        <v>0</v>
      </c>
      <c r="H40" s="264">
        <f t="shared" si="9"/>
        <v>0</v>
      </c>
      <c r="I40" s="264">
        <f t="shared" si="9"/>
        <v>276.93844109831844</v>
      </c>
      <c r="J40" s="264">
        <f t="shared" si="9"/>
        <v>3174.0380505940993</v>
      </c>
      <c r="K40" s="264">
        <f t="shared" si="9"/>
        <v>6565.7785621550865</v>
      </c>
      <c r="L40" s="264">
        <f t="shared" si="9"/>
        <v>10529.610832655628</v>
      </c>
      <c r="M40" s="265">
        <f t="shared" si="9"/>
        <v>15154.162067252153</v>
      </c>
      <c r="N40" s="47">
        <v>0.25</v>
      </c>
      <c r="O40" s="38" t="s">
        <v>149</v>
      </c>
      <c r="P40" s="38"/>
      <c r="Q40" s="38"/>
      <c r="R40" s="38"/>
      <c r="S40" s="38"/>
    </row>
    <row r="41" spans="1:19" ht="16.5" hidden="1" thickBot="1" x14ac:dyDescent="0.3">
      <c r="A41" s="38" t="s">
        <v>31</v>
      </c>
      <c r="B41" s="38"/>
      <c r="C41" s="38"/>
      <c r="D41" s="266">
        <f>D39-D40</f>
        <v>-35503.17450715939</v>
      </c>
      <c r="E41" s="70">
        <f>E39-E40</f>
        <v>-30378.683831256698</v>
      </c>
      <c r="F41" s="267">
        <f>F39-F40</f>
        <v>-24323.300766796805</v>
      </c>
      <c r="G41" s="70">
        <f>G39-G40</f>
        <v>-17181.035030621337</v>
      </c>
      <c r="H41" s="268">
        <f t="shared" ref="H41:M41" si="10">H39-H40</f>
        <v>-8772.6201226273552</v>
      </c>
      <c r="I41" s="267">
        <f t="shared" si="10"/>
        <v>830.81532329495531</v>
      </c>
      <c r="J41" s="70">
        <f t="shared" si="10"/>
        <v>9522.114151782298</v>
      </c>
      <c r="K41" s="267">
        <f t="shared" si="10"/>
        <v>19697.33568646526</v>
      </c>
      <c r="L41" s="70">
        <f t="shared" si="10"/>
        <v>31588.832497966883</v>
      </c>
      <c r="M41" s="269">
        <f t="shared" si="10"/>
        <v>45462.486201756459</v>
      </c>
      <c r="N41" s="38"/>
      <c r="O41" s="38"/>
      <c r="P41" s="38"/>
      <c r="Q41" s="38"/>
      <c r="R41" s="38"/>
      <c r="S41" s="38"/>
    </row>
    <row r="42" spans="1:19" hidden="1" x14ac:dyDescent="0.25">
      <c r="A42" s="38"/>
      <c r="B42" s="38"/>
      <c r="C42" s="38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38"/>
      <c r="O42" s="38"/>
      <c r="P42" s="38"/>
      <c r="Q42" s="38"/>
      <c r="R42" s="38"/>
      <c r="S42" s="38"/>
    </row>
    <row r="43" spans="1:19" hidden="1" x14ac:dyDescent="0.25">
      <c r="A43" s="58" t="s">
        <v>32</v>
      </c>
      <c r="B43" s="38"/>
      <c r="C43" s="38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38"/>
      <c r="O43" s="38"/>
      <c r="P43" s="38"/>
      <c r="Q43" s="38"/>
      <c r="R43" s="38"/>
      <c r="S43" s="38"/>
    </row>
    <row r="44" spans="1:19" ht="16.5" hidden="1" thickBot="1" x14ac:dyDescent="0.3">
      <c r="A44" s="58" t="s">
        <v>33</v>
      </c>
      <c r="B44" s="38"/>
      <c r="C44" s="38"/>
      <c r="D44" s="259" t="s">
        <v>4</v>
      </c>
      <c r="E44" s="260" t="s">
        <v>5</v>
      </c>
      <c r="F44" s="259" t="s">
        <v>6</v>
      </c>
      <c r="G44" s="260" t="s">
        <v>7</v>
      </c>
      <c r="H44" s="259" t="s">
        <v>84</v>
      </c>
      <c r="I44" s="260" t="s">
        <v>85</v>
      </c>
      <c r="J44" s="259" t="s">
        <v>86</v>
      </c>
      <c r="K44" s="260" t="s">
        <v>87</v>
      </c>
      <c r="L44" s="259" t="s">
        <v>88</v>
      </c>
      <c r="M44" s="261" t="s">
        <v>89</v>
      </c>
      <c r="N44" s="38"/>
      <c r="O44" s="38"/>
      <c r="P44" s="38"/>
      <c r="Q44" s="38"/>
      <c r="R44" s="38"/>
      <c r="S44" s="38"/>
    </row>
    <row r="45" spans="1:19" hidden="1" x14ac:dyDescent="0.25">
      <c r="A45" s="38"/>
      <c r="B45" s="38" t="s">
        <v>34</v>
      </c>
      <c r="C45" s="38"/>
      <c r="D45" s="78">
        <v>10000</v>
      </c>
      <c r="E45" s="66">
        <v>10000</v>
      </c>
      <c r="F45" s="65">
        <v>10000</v>
      </c>
      <c r="G45" s="66">
        <v>10000</v>
      </c>
      <c r="H45" s="67">
        <v>10000</v>
      </c>
      <c r="I45" s="65">
        <v>10000</v>
      </c>
      <c r="J45" s="66">
        <v>10000</v>
      </c>
      <c r="K45" s="65">
        <v>10000</v>
      </c>
      <c r="L45" s="66">
        <v>10000</v>
      </c>
      <c r="M45" s="88">
        <v>10000</v>
      </c>
      <c r="N45" s="51"/>
      <c r="O45" s="38"/>
      <c r="P45" s="38"/>
      <c r="Q45" s="38"/>
      <c r="R45" s="38"/>
      <c r="S45" s="38"/>
    </row>
    <row r="46" spans="1:19" hidden="1" x14ac:dyDescent="0.25">
      <c r="A46" s="38"/>
      <c r="B46" s="38" t="s">
        <v>35</v>
      </c>
      <c r="C46" s="38"/>
      <c r="D46" s="270">
        <f>112301.998795794-50000</f>
        <v>62301.998795794003</v>
      </c>
      <c r="E46" s="66">
        <f>95387.7715131114-50000</f>
        <v>45387.771513111395</v>
      </c>
      <c r="F46" s="65">
        <f>83859.9674771293-50000</f>
        <v>33859.967477129307</v>
      </c>
      <c r="G46" s="66">
        <f>78773.6975608052-50000</f>
        <v>28773.697560805202</v>
      </c>
      <c r="H46" s="67">
        <f>81362.100012679-50000</f>
        <v>31362.100012679002</v>
      </c>
      <c r="I46" s="65">
        <f>91089.3623898808-48026.48836399</f>
        <v>43062.8740258908</v>
      </c>
      <c r="J46" s="66">
        <f>109131.415745041-43859.8216973235</f>
        <v>65271.594047717495</v>
      </c>
      <c r="K46" s="65">
        <f>137003.059027106-39693.1550306568</f>
        <v>97309.903996449197</v>
      </c>
      <c r="L46" s="66">
        <f>176460.027541737-35526.4883639902</f>
        <v>140933.5391777468</v>
      </c>
      <c r="M46" s="88">
        <f>229533.908064549-31359.8216973237</f>
        <v>198174.0863672253</v>
      </c>
      <c r="N46" s="51"/>
      <c r="O46" s="38"/>
      <c r="P46" s="38"/>
      <c r="Q46" s="38"/>
      <c r="R46" s="38"/>
      <c r="S46" s="38"/>
    </row>
    <row r="47" spans="1:19" hidden="1" x14ac:dyDescent="0.25">
      <c r="A47" s="38"/>
      <c r="B47" s="38" t="s">
        <v>36</v>
      </c>
      <c r="C47" s="38"/>
      <c r="D47" s="271">
        <f t="shared" ref="D47:M47" si="11">D18/365*D25</f>
        <v>8877.3932876712333</v>
      </c>
      <c r="E47" s="48">
        <f t="shared" si="11"/>
        <v>10058.086594931508</v>
      </c>
      <c r="F47" s="272">
        <f t="shared" si="11"/>
        <v>11395.8121120574</v>
      </c>
      <c r="G47" s="42">
        <f t="shared" si="11"/>
        <v>12911.455122961033</v>
      </c>
      <c r="H47" s="273">
        <f t="shared" si="11"/>
        <v>14628.678654314852</v>
      </c>
      <c r="I47" s="274">
        <f t="shared" si="11"/>
        <v>16574.29291533873</v>
      </c>
      <c r="J47" s="42">
        <f t="shared" si="11"/>
        <v>18778.673873078787</v>
      </c>
      <c r="K47" s="274">
        <f t="shared" si="11"/>
        <v>21276.237498198268</v>
      </c>
      <c r="L47" s="42">
        <f t="shared" si="11"/>
        <v>24105.977085458642</v>
      </c>
      <c r="M47" s="275">
        <f t="shared" si="11"/>
        <v>27312.072037824641</v>
      </c>
      <c r="N47" s="38"/>
      <c r="O47" s="38"/>
      <c r="P47" s="38"/>
      <c r="Q47" s="38"/>
      <c r="R47" s="38"/>
      <c r="S47" s="38"/>
    </row>
    <row r="48" spans="1:19" hidden="1" x14ac:dyDescent="0.25">
      <c r="A48" s="38"/>
      <c r="B48" s="38" t="s">
        <v>37</v>
      </c>
      <c r="C48" s="38"/>
      <c r="D48" s="271">
        <f>D27/365*D19</f>
        <v>22015.935353424658</v>
      </c>
      <c r="E48" s="48">
        <f>E27/365*E19</f>
        <v>23371.704172407743</v>
      </c>
      <c r="F48" s="272">
        <f>F27/365*F19</f>
        <v>24848.394701041907</v>
      </c>
      <c r="G48" s="48">
        <f>G27/365*G19</f>
        <v>26459.845860063575</v>
      </c>
      <c r="H48" s="276">
        <f t="shared" ref="H48:M48" si="12">H27/365*H19</f>
        <v>28221.652392159547</v>
      </c>
      <c r="I48" s="272">
        <f>I27/365*I19</f>
        <v>30151.395184684796</v>
      </c>
      <c r="J48" s="48">
        <f t="shared" si="12"/>
        <v>32268.902104361412</v>
      </c>
      <c r="K48" s="272">
        <f t="shared" si="12"/>
        <v>34596.543397483299</v>
      </c>
      <c r="L48" s="48">
        <f t="shared" si="12"/>
        <v>37159.566248098105</v>
      </c>
      <c r="M48" s="277">
        <f t="shared" si="12"/>
        <v>39986.473697256952</v>
      </c>
      <c r="N48" s="38"/>
      <c r="O48" s="38"/>
      <c r="P48" s="38"/>
      <c r="Q48" s="38"/>
      <c r="R48" s="38"/>
      <c r="S48" s="38"/>
    </row>
    <row r="49" spans="1:19" hidden="1" x14ac:dyDescent="0.25">
      <c r="A49" s="38"/>
      <c r="B49" s="38"/>
      <c r="C49" s="38"/>
      <c r="D49" s="79"/>
      <c r="E49" s="60"/>
      <c r="F49" s="64"/>
      <c r="G49" s="60"/>
      <c r="H49" s="68"/>
      <c r="I49" s="64"/>
      <c r="J49" s="60"/>
      <c r="K49" s="64"/>
      <c r="L49" s="60"/>
      <c r="M49" s="89"/>
      <c r="N49" s="38"/>
      <c r="O49" s="38" t="s">
        <v>148</v>
      </c>
      <c r="P49" s="38"/>
      <c r="Q49" s="38"/>
      <c r="R49" s="38"/>
      <c r="S49" s="38"/>
    </row>
    <row r="50" spans="1:19" hidden="1" x14ac:dyDescent="0.25">
      <c r="A50" s="38"/>
      <c r="B50" s="38" t="s">
        <v>38</v>
      </c>
      <c r="C50" s="38"/>
      <c r="D50" s="271">
        <f>O55*O56</f>
        <v>200000</v>
      </c>
      <c r="E50" s="48">
        <f>D50</f>
        <v>200000</v>
      </c>
      <c r="F50" s="272">
        <f>E50</f>
        <v>200000</v>
      </c>
      <c r="G50" s="48">
        <f>F50</f>
        <v>200000</v>
      </c>
      <c r="H50" s="276">
        <f t="shared" ref="H50:M50" si="13">G50</f>
        <v>200000</v>
      </c>
      <c r="I50" s="272">
        <f t="shared" si="13"/>
        <v>200000</v>
      </c>
      <c r="J50" s="48">
        <f t="shared" si="13"/>
        <v>200000</v>
      </c>
      <c r="K50" s="272">
        <f t="shared" si="13"/>
        <v>200000</v>
      </c>
      <c r="L50" s="48">
        <f t="shared" si="13"/>
        <v>200000</v>
      </c>
      <c r="M50" s="277">
        <f t="shared" si="13"/>
        <v>200000</v>
      </c>
      <c r="N50" s="38"/>
      <c r="O50" s="38">
        <v>2000</v>
      </c>
      <c r="P50" s="38"/>
      <c r="Q50" s="38"/>
      <c r="R50" s="38"/>
      <c r="S50" s="38"/>
    </row>
    <row r="51" spans="1:19" hidden="1" x14ac:dyDescent="0.25">
      <c r="A51" s="38"/>
      <c r="B51" s="38" t="s">
        <v>39</v>
      </c>
      <c r="C51" s="38"/>
      <c r="D51" s="78">
        <f>O50*O52</f>
        <v>800000</v>
      </c>
      <c r="E51" s="66">
        <f>+$D$51</f>
        <v>800000</v>
      </c>
      <c r="F51" s="65">
        <f>+$D$51</f>
        <v>800000</v>
      </c>
      <c r="G51" s="66">
        <f>+$D$51</f>
        <v>800000</v>
      </c>
      <c r="H51" s="67">
        <f t="shared" ref="H51:M51" si="14">+$D$51</f>
        <v>800000</v>
      </c>
      <c r="I51" s="65">
        <f t="shared" si="14"/>
        <v>800000</v>
      </c>
      <c r="J51" s="66">
        <f t="shared" si="14"/>
        <v>800000</v>
      </c>
      <c r="K51" s="65">
        <f t="shared" si="14"/>
        <v>800000</v>
      </c>
      <c r="L51" s="66">
        <f t="shared" si="14"/>
        <v>800000</v>
      </c>
      <c r="M51" s="88">
        <f t="shared" si="14"/>
        <v>800000</v>
      </c>
      <c r="N51" s="38"/>
      <c r="O51" s="38" t="s">
        <v>147</v>
      </c>
      <c r="P51" s="38"/>
      <c r="Q51" s="38"/>
      <c r="R51" s="38"/>
      <c r="S51" s="38"/>
    </row>
    <row r="52" spans="1:19" hidden="1" x14ac:dyDescent="0.25">
      <c r="A52" s="38"/>
      <c r="B52" s="38" t="s">
        <v>40</v>
      </c>
      <c r="C52" s="38"/>
      <c r="D52" s="78">
        <f>D34</f>
        <v>26666.666666666668</v>
      </c>
      <c r="E52" s="66">
        <f>D52+E34</f>
        <v>53333.333333333336</v>
      </c>
      <c r="F52" s="65">
        <f>E52+F34</f>
        <v>80000</v>
      </c>
      <c r="G52" s="66">
        <f>F52+G34</f>
        <v>106666.66666666667</v>
      </c>
      <c r="H52" s="67">
        <f t="shared" ref="H52:M52" si="15">G52+H34</f>
        <v>133333.33333333334</v>
      </c>
      <c r="I52" s="65">
        <f t="shared" si="15"/>
        <v>160000</v>
      </c>
      <c r="J52" s="66">
        <f t="shared" si="15"/>
        <v>186666.66666666666</v>
      </c>
      <c r="K52" s="65">
        <f t="shared" si="15"/>
        <v>213333.33333333331</v>
      </c>
      <c r="L52" s="66">
        <f t="shared" si="15"/>
        <v>239999.99999999997</v>
      </c>
      <c r="M52" s="88">
        <f t="shared" si="15"/>
        <v>266666.66666666663</v>
      </c>
      <c r="N52" s="38"/>
      <c r="O52" s="38">
        <v>400</v>
      </c>
      <c r="P52" s="38"/>
      <c r="Q52" s="38"/>
      <c r="R52" s="38"/>
      <c r="S52" s="38"/>
    </row>
    <row r="53" spans="1:19" hidden="1" x14ac:dyDescent="0.25">
      <c r="A53" s="38"/>
      <c r="B53" s="38"/>
      <c r="C53" s="38"/>
      <c r="D53" s="79"/>
      <c r="E53" s="60"/>
      <c r="F53" s="64"/>
      <c r="G53" s="60"/>
      <c r="H53" s="68"/>
      <c r="I53" s="64"/>
      <c r="J53" s="60"/>
      <c r="K53" s="64"/>
      <c r="L53" s="60"/>
      <c r="M53" s="89"/>
      <c r="N53" s="38"/>
      <c r="O53" s="38"/>
      <c r="P53" s="38"/>
      <c r="Q53" s="38"/>
      <c r="R53" s="38"/>
      <c r="S53" s="38"/>
    </row>
    <row r="54" spans="1:19" ht="16.5" hidden="1" thickBot="1" x14ac:dyDescent="0.3">
      <c r="A54" s="58" t="s">
        <v>41</v>
      </c>
      <c r="B54" s="38"/>
      <c r="C54" s="38"/>
      <c r="D54" s="266">
        <f>SUM(D45:D51)-D52</f>
        <v>1076528.6607702232</v>
      </c>
      <c r="E54" s="70">
        <f>SUM(E45:E51)-E52</f>
        <v>1035484.2289471173</v>
      </c>
      <c r="F54" s="267">
        <f>SUM(F45:F51)-F52</f>
        <v>1000104.1742902286</v>
      </c>
      <c r="G54" s="70">
        <f>SUM(G45:G51)-G52</f>
        <v>971478.33187716326</v>
      </c>
      <c r="H54" s="268">
        <f t="shared" ref="H54:M54" si="16">SUM(H45:H51)-H52</f>
        <v>950879.09772581991</v>
      </c>
      <c r="I54" s="267">
        <f t="shared" si="16"/>
        <v>939788.56212591426</v>
      </c>
      <c r="J54" s="70">
        <f t="shared" si="16"/>
        <v>939652.50335849111</v>
      </c>
      <c r="K54" s="267">
        <f t="shared" si="16"/>
        <v>949849.35155879753</v>
      </c>
      <c r="L54" s="70">
        <f t="shared" si="16"/>
        <v>972199.08251130348</v>
      </c>
      <c r="M54" s="269">
        <f t="shared" si="16"/>
        <v>1008805.9654356403</v>
      </c>
      <c r="N54" s="38"/>
      <c r="O54" s="38" t="s">
        <v>125</v>
      </c>
      <c r="P54" s="38"/>
      <c r="Q54" s="38"/>
      <c r="R54" s="38"/>
      <c r="S54" s="38"/>
    </row>
    <row r="55" spans="1:19" hidden="1" x14ac:dyDescent="0.25">
      <c r="A55" s="58"/>
      <c r="B55" s="38"/>
      <c r="C55" s="38"/>
      <c r="D55" s="119"/>
      <c r="E55" s="72"/>
      <c r="F55" s="71"/>
      <c r="G55" s="72"/>
      <c r="H55" s="73"/>
      <c r="I55" s="71"/>
      <c r="J55" s="72"/>
      <c r="K55" s="71"/>
      <c r="L55" s="72"/>
      <c r="M55" s="120"/>
      <c r="N55" s="38"/>
      <c r="O55" s="38">
        <v>0.5</v>
      </c>
      <c r="P55" s="38"/>
      <c r="Q55" s="38"/>
      <c r="R55" s="38"/>
      <c r="S55" s="38"/>
    </row>
    <row r="56" spans="1:19" hidden="1" x14ac:dyDescent="0.25">
      <c r="A56" s="58" t="s">
        <v>42</v>
      </c>
      <c r="B56" s="38"/>
      <c r="C56" s="38"/>
      <c r="D56" s="79"/>
      <c r="E56" s="60"/>
      <c r="F56" s="64"/>
      <c r="G56" s="60"/>
      <c r="H56" s="68"/>
      <c r="I56" s="64"/>
      <c r="J56" s="60"/>
      <c r="K56" s="64"/>
      <c r="L56" s="60"/>
      <c r="M56" s="89"/>
      <c r="N56" s="38"/>
      <c r="O56" s="38">
        <v>400000</v>
      </c>
      <c r="P56" s="38"/>
      <c r="Q56" s="38"/>
      <c r="R56" s="38"/>
      <c r="S56" s="38"/>
    </row>
    <row r="57" spans="1:19" hidden="1" x14ac:dyDescent="0.25">
      <c r="A57" s="38" t="s">
        <v>43</v>
      </c>
      <c r="B57" s="38"/>
      <c r="C57" s="38"/>
      <c r="D57" s="78"/>
      <c r="E57" s="66"/>
      <c r="F57" s="65"/>
      <c r="G57" s="66"/>
      <c r="H57" s="67"/>
      <c r="I57" s="65"/>
      <c r="J57" s="66"/>
      <c r="K57" s="65"/>
      <c r="L57" s="66"/>
      <c r="M57" s="88"/>
      <c r="N57" s="38"/>
      <c r="O57" s="38"/>
      <c r="P57" s="38"/>
      <c r="Q57" s="38"/>
      <c r="R57" s="38"/>
      <c r="S57" s="38"/>
    </row>
    <row r="58" spans="1:19" hidden="1" x14ac:dyDescent="0.25">
      <c r="A58" s="38"/>
      <c r="B58" s="38" t="s">
        <v>44</v>
      </c>
      <c r="C58" s="38"/>
      <c r="D58" s="78">
        <f>D27/365*D20</f>
        <v>66047.806060273986</v>
      </c>
      <c r="E58" s="66">
        <f>E27/365*E20</f>
        <v>70115.112517223228</v>
      </c>
      <c r="F58" s="65">
        <f>F27/365*F20</f>
        <v>74545.184103125721</v>
      </c>
      <c r="G58" s="66">
        <f>G27/365*G20</f>
        <v>79379.537580190721</v>
      </c>
      <c r="H58" s="67">
        <f t="shared" ref="H58:M58" si="17">H27/365*H20</f>
        <v>84664.957176478638</v>
      </c>
      <c r="I58" s="65">
        <f t="shared" si="17"/>
        <v>90454.185554054377</v>
      </c>
      <c r="J58" s="66">
        <f t="shared" si="17"/>
        <v>96806.706313084229</v>
      </c>
      <c r="K58" s="65">
        <f t="shared" si="17"/>
        <v>103789.6301924499</v>
      </c>
      <c r="L58" s="66">
        <f t="shared" si="17"/>
        <v>111478.69874429432</v>
      </c>
      <c r="M58" s="88">
        <f t="shared" si="17"/>
        <v>119959.42109177086</v>
      </c>
      <c r="N58" s="38"/>
      <c r="O58" s="38"/>
      <c r="P58" s="38"/>
      <c r="Q58" s="38"/>
      <c r="R58" s="38"/>
      <c r="S58" s="38"/>
    </row>
    <row r="59" spans="1:19" hidden="1" x14ac:dyDescent="0.25">
      <c r="A59" s="38"/>
      <c r="B59" s="38" t="s">
        <v>45</v>
      </c>
      <c r="C59" s="38"/>
      <c r="D59" s="78">
        <f>D40</f>
        <v>0</v>
      </c>
      <c r="E59" s="66">
        <f>E40</f>
        <v>0</v>
      </c>
      <c r="F59" s="65">
        <f>F40</f>
        <v>0</v>
      </c>
      <c r="G59" s="66">
        <f>G40</f>
        <v>0</v>
      </c>
      <c r="H59" s="67">
        <f t="shared" ref="H59:M59" si="18">H40</f>
        <v>0</v>
      </c>
      <c r="I59" s="65">
        <f t="shared" si="18"/>
        <v>276.93844109831844</v>
      </c>
      <c r="J59" s="66">
        <f t="shared" si="18"/>
        <v>3174.0380505940993</v>
      </c>
      <c r="K59" s="65">
        <f t="shared" si="18"/>
        <v>6565.7785621550865</v>
      </c>
      <c r="L59" s="66">
        <f t="shared" si="18"/>
        <v>10529.610832655628</v>
      </c>
      <c r="M59" s="88">
        <f t="shared" si="18"/>
        <v>15154.162067252153</v>
      </c>
      <c r="N59" s="38"/>
      <c r="O59" s="38"/>
      <c r="P59" s="38"/>
      <c r="Q59" s="38"/>
      <c r="R59" s="38"/>
      <c r="S59" s="38"/>
    </row>
    <row r="60" spans="1:19" hidden="1" x14ac:dyDescent="0.25">
      <c r="A60" s="38"/>
      <c r="B60" s="38"/>
      <c r="C60" s="38"/>
      <c r="D60" s="78"/>
      <c r="E60" s="66"/>
      <c r="F60" s="65"/>
      <c r="G60" s="66"/>
      <c r="H60" s="67"/>
      <c r="I60" s="65"/>
      <c r="J60" s="66"/>
      <c r="K60" s="65"/>
      <c r="L60" s="66"/>
      <c r="M60" s="88"/>
      <c r="N60" s="38"/>
      <c r="O60" s="38"/>
      <c r="P60" s="38"/>
      <c r="Q60" s="38"/>
      <c r="R60" s="38"/>
      <c r="S60" s="38"/>
    </row>
    <row r="61" spans="1:19" hidden="1" x14ac:dyDescent="0.25">
      <c r="A61" s="38"/>
      <c r="B61" s="38" t="s">
        <v>46</v>
      </c>
      <c r="C61" s="38"/>
      <c r="D61" s="78">
        <f>[6]Mortgage!F13</f>
        <v>935984.02921710885</v>
      </c>
      <c r="E61" s="66">
        <f>[6]Mortgage!F27</f>
        <v>921250.9747683102</v>
      </c>
      <c r="F61" s="65">
        <f>[6]Mortgage!F41</f>
        <v>905764.14929231594</v>
      </c>
      <c r="G61" s="66">
        <f>[6]Mortgage!F55</f>
        <v>889484.9884328068</v>
      </c>
      <c r="H61" s="67">
        <f>[5]Mortgage!F75</f>
        <v>872372.95480780327</v>
      </c>
      <c r="I61" s="65">
        <f>[5]Mortgage!F91</f>
        <v>854385.43706592836</v>
      </c>
      <c r="J61" s="66">
        <f>[5]Mortgage!F107</f>
        <v>835477.64377819758</v>
      </c>
      <c r="K61" s="65">
        <f>[5]Mortgage!F123</f>
        <v>815602.49190111109</v>
      </c>
      <c r="L61" s="66">
        <f>[5]Mortgage!F139</f>
        <v>794710.4895333054</v>
      </c>
      <c r="M61" s="88">
        <f>[5]Mortgage!F155</f>
        <v>772749.6126738129</v>
      </c>
      <c r="N61" s="52">
        <f>AVERAGE(D61:M61)+AVERAGE(D62:M62)</f>
        <v>859778.27714706992</v>
      </c>
      <c r="O61" s="38"/>
      <c r="P61" s="38"/>
      <c r="Q61" s="38"/>
      <c r="R61" s="38"/>
      <c r="S61" s="38"/>
    </row>
    <row r="62" spans="1:19" hidden="1" x14ac:dyDescent="0.25">
      <c r="A62" s="38"/>
      <c r="B62" s="38" t="s">
        <v>47</v>
      </c>
      <c r="C62" s="38"/>
      <c r="D62" s="78">
        <v>0</v>
      </c>
      <c r="E62" s="66">
        <v>0</v>
      </c>
      <c r="F62" s="65">
        <v>0</v>
      </c>
      <c r="G62" s="66">
        <v>0</v>
      </c>
      <c r="H62" s="67">
        <v>0</v>
      </c>
      <c r="I62" s="65">
        <v>0</v>
      </c>
      <c r="J62" s="66">
        <v>0</v>
      </c>
      <c r="K62" s="65">
        <v>0</v>
      </c>
      <c r="L62" s="66">
        <v>0</v>
      </c>
      <c r="M62" s="88">
        <v>0</v>
      </c>
      <c r="N62" s="38"/>
      <c r="O62" s="38"/>
      <c r="P62" s="38"/>
      <c r="Q62" s="38"/>
      <c r="R62" s="38"/>
      <c r="S62" s="38"/>
    </row>
    <row r="63" spans="1:19" hidden="1" x14ac:dyDescent="0.25">
      <c r="A63" s="38"/>
      <c r="B63" s="38"/>
      <c r="C63" s="38"/>
      <c r="D63" s="78"/>
      <c r="E63" s="66"/>
      <c r="F63" s="65"/>
      <c r="G63" s="66"/>
      <c r="H63" s="67"/>
      <c r="I63" s="65"/>
      <c r="J63" s="66"/>
      <c r="K63" s="65"/>
      <c r="L63" s="66"/>
      <c r="M63" s="88"/>
      <c r="N63" s="38"/>
      <c r="O63" s="74">
        <f>N61/(N61+N65)</f>
        <v>0.96476083098758725</v>
      </c>
      <c r="P63" s="38"/>
      <c r="Q63" s="38"/>
      <c r="R63" s="38"/>
      <c r="S63" s="38"/>
    </row>
    <row r="64" spans="1:19" hidden="1" x14ac:dyDescent="0.25">
      <c r="A64" s="38" t="s">
        <v>48</v>
      </c>
      <c r="B64" s="38"/>
      <c r="C64" s="38"/>
      <c r="D64" s="78"/>
      <c r="E64" s="66"/>
      <c r="F64" s="65"/>
      <c r="G64" s="66"/>
      <c r="H64" s="67"/>
      <c r="I64" s="65"/>
      <c r="J64" s="66"/>
      <c r="K64" s="65"/>
      <c r="L64" s="66"/>
      <c r="M64" s="88"/>
      <c r="N64" s="38"/>
      <c r="O64" s="74">
        <f>N65/(N61+N65)</f>
        <v>3.5239169012412655E-2</v>
      </c>
      <c r="P64" s="38"/>
      <c r="Q64" s="38"/>
      <c r="R64" s="38"/>
      <c r="S64" s="38"/>
    </row>
    <row r="65" spans="1:19" hidden="1" x14ac:dyDescent="0.25">
      <c r="A65" s="38"/>
      <c r="B65" s="38" t="s">
        <v>49</v>
      </c>
      <c r="C65" s="38"/>
      <c r="D65" s="78">
        <v>110000</v>
      </c>
      <c r="E65" s="65">
        <v>110000</v>
      </c>
      <c r="F65" s="65">
        <v>110000</v>
      </c>
      <c r="G65" s="65">
        <v>110000</v>
      </c>
      <c r="H65" s="65">
        <v>110000</v>
      </c>
      <c r="I65" s="65">
        <v>110000</v>
      </c>
      <c r="J65" s="65">
        <v>110000</v>
      </c>
      <c r="K65" s="65">
        <v>110000</v>
      </c>
      <c r="L65" s="65">
        <v>110000</v>
      </c>
      <c r="M65" s="88">
        <v>110000</v>
      </c>
      <c r="N65" s="52">
        <f>AVERAGE(D65:M65)+AVERAGE(D66:M66)</f>
        <v>31404.541984329771</v>
      </c>
      <c r="O65" s="38"/>
      <c r="P65" s="38"/>
      <c r="Q65" s="38"/>
      <c r="R65" s="38"/>
      <c r="S65" s="38"/>
    </row>
    <row r="66" spans="1:19" hidden="1" x14ac:dyDescent="0.25">
      <c r="A66" s="38"/>
      <c r="B66" s="38" t="s">
        <v>50</v>
      </c>
      <c r="C66" s="66"/>
      <c r="D66" s="78">
        <f>C66+D41</f>
        <v>-35503.17450715939</v>
      </c>
      <c r="E66" s="66">
        <f>D66+E41</f>
        <v>-65881.858338416088</v>
      </c>
      <c r="F66" s="65">
        <f>E66+F41</f>
        <v>-90205.159105212893</v>
      </c>
      <c r="G66" s="66">
        <f>F66+G41</f>
        <v>-107386.19413583423</v>
      </c>
      <c r="H66" s="67">
        <f t="shared" ref="H66:M66" si="19">G66+H41</f>
        <v>-116158.81425846159</v>
      </c>
      <c r="I66" s="65">
        <f t="shared" si="19"/>
        <v>-115327.99893516663</v>
      </c>
      <c r="J66" s="66">
        <f t="shared" si="19"/>
        <v>-105805.88478338433</v>
      </c>
      <c r="K66" s="65">
        <f t="shared" si="19"/>
        <v>-86108.549096919072</v>
      </c>
      <c r="L66" s="66">
        <f t="shared" si="19"/>
        <v>-54519.716598952189</v>
      </c>
      <c r="M66" s="88">
        <f t="shared" si="19"/>
        <v>-9057.2303971957299</v>
      </c>
      <c r="N66" s="38"/>
      <c r="O66" s="38"/>
      <c r="P66" s="38"/>
      <c r="Q66" s="38"/>
      <c r="R66" s="38"/>
      <c r="S66" s="38"/>
    </row>
    <row r="67" spans="1:19" hidden="1" x14ac:dyDescent="0.25">
      <c r="A67" s="38"/>
      <c r="B67" s="38"/>
      <c r="C67" s="38"/>
      <c r="D67" s="78"/>
      <c r="E67" s="66"/>
      <c r="F67" s="65"/>
      <c r="G67" s="66"/>
      <c r="H67" s="67"/>
      <c r="I67" s="65"/>
      <c r="J67" s="66"/>
      <c r="K67" s="65"/>
      <c r="L67" s="66"/>
      <c r="M67" s="88"/>
      <c r="N67" s="38"/>
      <c r="O67" s="38"/>
      <c r="P67" s="38"/>
      <c r="Q67" s="38"/>
      <c r="R67" s="38"/>
      <c r="S67" s="38"/>
    </row>
    <row r="68" spans="1:19" ht="16.5" hidden="1" thickBot="1" x14ac:dyDescent="0.3">
      <c r="A68" s="58" t="s">
        <v>51</v>
      </c>
      <c r="B68" s="38"/>
      <c r="C68" s="38"/>
      <c r="D68" s="278">
        <f>SUM(D58:D66)</f>
        <v>1076528.6607702235</v>
      </c>
      <c r="E68" s="279">
        <f>SUM(E58:E66)</f>
        <v>1035484.2289471175</v>
      </c>
      <c r="F68" s="280">
        <f>SUM(F58:F66)</f>
        <v>1000104.1742902286</v>
      </c>
      <c r="G68" s="279">
        <f>SUM(G58:G66)</f>
        <v>971478.33187716338</v>
      </c>
      <c r="H68" s="281">
        <f t="shared" ref="H68:M68" si="20">SUM(H58:H66)</f>
        <v>950879.09772582026</v>
      </c>
      <c r="I68" s="280">
        <f t="shared" si="20"/>
        <v>939788.56212591438</v>
      </c>
      <c r="J68" s="279">
        <f t="shared" si="20"/>
        <v>939652.50335849146</v>
      </c>
      <c r="K68" s="280">
        <f t="shared" si="20"/>
        <v>949849.35155879706</v>
      </c>
      <c r="L68" s="279">
        <f t="shared" si="20"/>
        <v>972199.08251130313</v>
      </c>
      <c r="M68" s="282">
        <f t="shared" si="20"/>
        <v>1008805.9654356402</v>
      </c>
      <c r="N68" s="38"/>
      <c r="O68" s="38"/>
      <c r="P68" s="38"/>
      <c r="Q68" s="38"/>
      <c r="R68" s="38"/>
      <c r="S68" s="38"/>
    </row>
    <row r="69" spans="1:19" hidden="1" x14ac:dyDescent="0.25">
      <c r="A69" s="38"/>
      <c r="B69" s="38"/>
      <c r="C69" s="38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38"/>
      <c r="O69" s="38"/>
      <c r="P69" s="38"/>
      <c r="Q69" s="38"/>
      <c r="R69" s="38"/>
      <c r="S69" s="38"/>
    </row>
    <row r="70" spans="1:19" hidden="1" x14ac:dyDescent="0.25">
      <c r="A70" s="58" t="s">
        <v>52</v>
      </c>
      <c r="B70" s="38"/>
      <c r="C70" s="38"/>
      <c r="D70" s="72">
        <f>D54-D68</f>
        <v>0</v>
      </c>
      <c r="E70" s="72">
        <f t="shared" ref="E70:M70" si="21">E54-E68</f>
        <v>0</v>
      </c>
      <c r="F70" s="72">
        <f t="shared" si="21"/>
        <v>0</v>
      </c>
      <c r="G70" s="72">
        <f t="shared" si="21"/>
        <v>0</v>
      </c>
      <c r="H70" s="72">
        <f t="shared" si="21"/>
        <v>0</v>
      </c>
      <c r="I70" s="72">
        <f t="shared" si="21"/>
        <v>0</v>
      </c>
      <c r="J70" s="72">
        <f t="shared" si="21"/>
        <v>0</v>
      </c>
      <c r="K70" s="72">
        <f t="shared" si="21"/>
        <v>0</v>
      </c>
      <c r="L70" s="72">
        <f t="shared" si="21"/>
        <v>0</v>
      </c>
      <c r="M70" s="72">
        <f t="shared" si="21"/>
        <v>0</v>
      </c>
      <c r="N70" s="38"/>
      <c r="O70" s="38"/>
      <c r="P70" s="38"/>
      <c r="Q70" s="38"/>
      <c r="R70" s="38"/>
      <c r="S70" s="38"/>
    </row>
    <row r="71" spans="1:19" hidden="1" x14ac:dyDescent="0.25">
      <c r="A71" s="38"/>
      <c r="B71" s="38"/>
      <c r="C71" s="38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38"/>
      <c r="O71" s="38"/>
      <c r="P71" s="38"/>
      <c r="Q71" s="38"/>
      <c r="R71" s="38"/>
      <c r="S71" s="38"/>
    </row>
    <row r="72" spans="1:19" hidden="1" x14ac:dyDescent="0.25">
      <c r="A72" s="38"/>
      <c r="B72" s="38"/>
      <c r="C72" s="38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38"/>
      <c r="O72" s="38"/>
      <c r="P72" s="38"/>
      <c r="Q72" s="38"/>
      <c r="R72" s="38"/>
      <c r="S72" s="38"/>
    </row>
    <row r="73" spans="1:19" ht="16.5" thickBot="1" x14ac:dyDescent="0.3">
      <c r="A73" s="283"/>
      <c r="B73" s="283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38"/>
      <c r="O73" s="38"/>
      <c r="P73" s="38"/>
      <c r="Q73" s="38"/>
      <c r="R73" s="38"/>
      <c r="S73" s="38"/>
    </row>
    <row r="74" spans="1:19" ht="16.5" thickBot="1" x14ac:dyDescent="0.3">
      <c r="A74" s="75" t="s">
        <v>155</v>
      </c>
      <c r="C74" s="130">
        <v>0</v>
      </c>
      <c r="D74" s="131">
        <f>C74+1</f>
        <v>1</v>
      </c>
      <c r="E74" s="131">
        <f t="shared" ref="E74:M74" si="22">D74+1</f>
        <v>2</v>
      </c>
      <c r="F74" s="131">
        <f t="shared" si="22"/>
        <v>3</v>
      </c>
      <c r="G74" s="131">
        <f t="shared" si="22"/>
        <v>4</v>
      </c>
      <c r="H74" s="131">
        <f t="shared" si="22"/>
        <v>5</v>
      </c>
      <c r="I74" s="131">
        <f t="shared" si="22"/>
        <v>6</v>
      </c>
      <c r="J74" s="131">
        <f t="shared" si="22"/>
        <v>7</v>
      </c>
      <c r="K74" s="131">
        <f t="shared" si="22"/>
        <v>8</v>
      </c>
      <c r="L74" s="131">
        <f t="shared" si="22"/>
        <v>9</v>
      </c>
      <c r="M74" s="132">
        <f t="shared" si="22"/>
        <v>10</v>
      </c>
      <c r="N74" s="38"/>
      <c r="O74" s="38"/>
      <c r="P74" s="38"/>
      <c r="Q74" s="38"/>
      <c r="R74" s="38"/>
      <c r="S74" s="38"/>
    </row>
    <row r="75" spans="1:19" x14ac:dyDescent="0.25">
      <c r="A75" s="37" t="s">
        <v>110</v>
      </c>
      <c r="C75" s="91"/>
      <c r="D75" s="77"/>
      <c r="E75" s="77"/>
      <c r="F75" s="77"/>
      <c r="G75" s="77"/>
      <c r="H75" s="77"/>
      <c r="I75" s="77"/>
      <c r="J75" s="77"/>
      <c r="K75" s="77"/>
      <c r="L75" s="77"/>
      <c r="M75" s="83"/>
      <c r="N75" s="38"/>
      <c r="O75" s="38"/>
      <c r="P75" s="38"/>
      <c r="Q75" s="38"/>
      <c r="R75" s="38"/>
      <c r="S75" s="38"/>
    </row>
    <row r="76" spans="1:19" x14ac:dyDescent="0.25">
      <c r="B76" s="37" t="s">
        <v>111</v>
      </c>
      <c r="C76" s="284"/>
      <c r="D76" s="285">
        <f>D24+D25-D27-D30-D31-D32</f>
        <v>38345.186400000006</v>
      </c>
      <c r="E76" s="285">
        <f t="shared" ref="E76:M76" si="23">E24+E25-E27-E30-E31-E32</f>
        <v>42752.593409995083</v>
      </c>
      <c r="F76" s="285">
        <f t="shared" si="23"/>
        <v>48054.205447259475</v>
      </c>
      <c r="G76" s="285">
        <f t="shared" si="23"/>
        <v>54404.135799920012</v>
      </c>
      <c r="H76" s="285">
        <f t="shared" si="23"/>
        <v>61979.677942419483</v>
      </c>
      <c r="I76" s="285">
        <f t="shared" si="23"/>
        <v>70984.567712568911</v>
      </c>
      <c r="J76" s="285">
        <f t="shared" si="23"/>
        <v>81652.690604696458</v>
      </c>
      <c r="K76" s="285">
        <f t="shared" si="23"/>
        <v>94252.294061584631</v>
      </c>
      <c r="L76" s="285">
        <f t="shared" si="23"/>
        <v>109090.77265286713</v>
      </c>
      <c r="M76" s="286">
        <f t="shared" si="23"/>
        <v>126520.10309956694</v>
      </c>
    </row>
    <row r="77" spans="1:19" x14ac:dyDescent="0.25">
      <c r="B77" s="37" t="s">
        <v>112</v>
      </c>
      <c r="C77" s="284"/>
      <c r="D77" s="287">
        <f>D34</f>
        <v>26666.666666666668</v>
      </c>
      <c r="E77" s="287">
        <f t="shared" ref="E77:M77" si="24">E34</f>
        <v>26666.666666666668</v>
      </c>
      <c r="F77" s="287">
        <f t="shared" si="24"/>
        <v>26666.666666666668</v>
      </c>
      <c r="G77" s="287">
        <f t="shared" si="24"/>
        <v>26666.666666666668</v>
      </c>
      <c r="H77" s="287">
        <f t="shared" si="24"/>
        <v>26666.666666666668</v>
      </c>
      <c r="I77" s="287">
        <f t="shared" si="24"/>
        <v>26666.666666666668</v>
      </c>
      <c r="J77" s="287">
        <f t="shared" si="24"/>
        <v>26666.666666666668</v>
      </c>
      <c r="K77" s="287">
        <f t="shared" si="24"/>
        <v>26666.666666666668</v>
      </c>
      <c r="L77" s="287">
        <f t="shared" si="24"/>
        <v>26666.666666666668</v>
      </c>
      <c r="M77" s="288">
        <f t="shared" si="24"/>
        <v>26666.666666666668</v>
      </c>
    </row>
    <row r="78" spans="1:19" x14ac:dyDescent="0.25">
      <c r="B78" s="37" t="s">
        <v>113</v>
      </c>
      <c r="C78" s="284"/>
      <c r="D78" s="285">
        <f>D76-D77</f>
        <v>11678.519733333338</v>
      </c>
      <c r="E78" s="285">
        <f t="shared" ref="E78:M78" si="25">E76-E77</f>
        <v>16085.926743328415</v>
      </c>
      <c r="F78" s="285">
        <f t="shared" si="25"/>
        <v>21387.538780592808</v>
      </c>
      <c r="G78" s="285">
        <f t="shared" si="25"/>
        <v>27737.469133253344</v>
      </c>
      <c r="H78" s="285">
        <f t="shared" si="25"/>
        <v>35313.011275752811</v>
      </c>
      <c r="I78" s="285">
        <f t="shared" si="25"/>
        <v>44317.901045902239</v>
      </c>
      <c r="J78" s="285">
        <f t="shared" si="25"/>
        <v>54986.023938029786</v>
      </c>
      <c r="K78" s="285">
        <f t="shared" si="25"/>
        <v>67585.627394917959</v>
      </c>
      <c r="L78" s="285">
        <f t="shared" si="25"/>
        <v>82424.105986200462</v>
      </c>
      <c r="M78" s="286">
        <f t="shared" si="25"/>
        <v>99853.436432900271</v>
      </c>
    </row>
    <row r="79" spans="1:19" x14ac:dyDescent="0.25">
      <c r="B79" s="37" t="s">
        <v>114</v>
      </c>
      <c r="C79" s="284"/>
      <c r="D79" s="289">
        <f>D78*$N$40</f>
        <v>2919.6299333333345</v>
      </c>
      <c r="E79" s="289">
        <f t="shared" ref="E79:M79" si="26">E78*$N$40</f>
        <v>4021.4816858321037</v>
      </c>
      <c r="F79" s="289">
        <f t="shared" si="26"/>
        <v>5346.8846951482019</v>
      </c>
      <c r="G79" s="289">
        <f t="shared" si="26"/>
        <v>6934.367283313336</v>
      </c>
      <c r="H79" s="289">
        <f t="shared" si="26"/>
        <v>8828.2528189382028</v>
      </c>
      <c r="I79" s="289">
        <f t="shared" si="26"/>
        <v>11079.47526147556</v>
      </c>
      <c r="J79" s="289">
        <f t="shared" si="26"/>
        <v>13746.505984507447</v>
      </c>
      <c r="K79" s="289">
        <f t="shared" si="26"/>
        <v>16896.40684872949</v>
      </c>
      <c r="L79" s="289">
        <f t="shared" si="26"/>
        <v>20606.026496550116</v>
      </c>
      <c r="M79" s="290">
        <f t="shared" si="26"/>
        <v>24963.359108225068</v>
      </c>
    </row>
    <row r="80" spans="1:19" x14ac:dyDescent="0.25">
      <c r="B80" s="37" t="s">
        <v>115</v>
      </c>
      <c r="C80" s="284"/>
      <c r="D80" s="285">
        <f>D78-D79</f>
        <v>8758.8898000000045</v>
      </c>
      <c r="E80" s="285">
        <f t="shared" ref="E80:M80" si="27">E78-E79</f>
        <v>12064.445057496312</v>
      </c>
      <c r="F80" s="285">
        <f t="shared" si="27"/>
        <v>16040.654085444607</v>
      </c>
      <c r="G80" s="285">
        <f t="shared" si="27"/>
        <v>20803.101849940009</v>
      </c>
      <c r="H80" s="285">
        <f t="shared" si="27"/>
        <v>26484.758456814609</v>
      </c>
      <c r="I80" s="285">
        <f t="shared" si="27"/>
        <v>33238.425784426683</v>
      </c>
      <c r="J80" s="285">
        <f t="shared" si="27"/>
        <v>41239.517953522343</v>
      </c>
      <c r="K80" s="285">
        <f t="shared" si="27"/>
        <v>50689.220546188473</v>
      </c>
      <c r="L80" s="285">
        <f t="shared" si="27"/>
        <v>61818.07948965035</v>
      </c>
      <c r="M80" s="286">
        <f t="shared" si="27"/>
        <v>74890.077324675207</v>
      </c>
    </row>
    <row r="81" spans="1:14" x14ac:dyDescent="0.25">
      <c r="C81" s="284"/>
      <c r="D81" s="137"/>
      <c r="E81" s="137"/>
      <c r="F81" s="137"/>
      <c r="G81" s="137"/>
      <c r="H81" s="137"/>
      <c r="I81" s="137"/>
      <c r="J81" s="137"/>
      <c r="K81" s="137"/>
      <c r="L81" s="137"/>
      <c r="M81" s="291"/>
    </row>
    <row r="82" spans="1:14" x14ac:dyDescent="0.25">
      <c r="A82" s="37" t="s">
        <v>116</v>
      </c>
      <c r="C82" s="284"/>
      <c r="D82" s="137"/>
      <c r="E82" s="137"/>
      <c r="F82" s="137"/>
      <c r="G82" s="137"/>
      <c r="H82" s="137"/>
      <c r="I82" s="137"/>
      <c r="J82" s="137"/>
      <c r="K82" s="137"/>
      <c r="L82" s="137"/>
      <c r="M82" s="291"/>
    </row>
    <row r="83" spans="1:14" x14ac:dyDescent="0.25">
      <c r="B83" s="37" t="s">
        <v>117</v>
      </c>
      <c r="C83" s="292">
        <f>C45-D45</f>
        <v>-10000</v>
      </c>
      <c r="D83" s="285">
        <f t="shared" ref="D83:M83" si="28">D45-E45</f>
        <v>0</v>
      </c>
      <c r="E83" s="285">
        <f t="shared" si="28"/>
        <v>0</v>
      </c>
      <c r="F83" s="285">
        <f t="shared" si="28"/>
        <v>0</v>
      </c>
      <c r="G83" s="285">
        <f t="shared" si="28"/>
        <v>0</v>
      </c>
      <c r="H83" s="285">
        <f t="shared" si="28"/>
        <v>0</v>
      </c>
      <c r="I83" s="285">
        <f t="shared" si="28"/>
        <v>0</v>
      </c>
      <c r="J83" s="285">
        <f t="shared" si="28"/>
        <v>0</v>
      </c>
      <c r="K83" s="285">
        <f t="shared" si="28"/>
        <v>0</v>
      </c>
      <c r="L83" s="285">
        <f t="shared" si="28"/>
        <v>0</v>
      </c>
      <c r="M83" s="286">
        <f t="shared" si="28"/>
        <v>10000</v>
      </c>
    </row>
    <row r="84" spans="1:14" x14ac:dyDescent="0.25">
      <c r="B84" s="37" t="s">
        <v>36</v>
      </c>
      <c r="C84" s="292">
        <f>C47-D47</f>
        <v>-8877.3932876712333</v>
      </c>
      <c r="D84" s="285">
        <f t="shared" ref="D84:M85" si="29">D47-E47</f>
        <v>-1180.6933072602751</v>
      </c>
      <c r="E84" s="285">
        <f t="shared" si="29"/>
        <v>-1337.7255171258912</v>
      </c>
      <c r="F84" s="285">
        <f t="shared" si="29"/>
        <v>-1515.6430109036337</v>
      </c>
      <c r="G84" s="285">
        <f t="shared" si="29"/>
        <v>-1717.2235313538185</v>
      </c>
      <c r="H84" s="285">
        <f t="shared" si="29"/>
        <v>-1945.6142610238785</v>
      </c>
      <c r="I84" s="285">
        <f t="shared" si="29"/>
        <v>-2204.3809577400571</v>
      </c>
      <c r="J84" s="285">
        <f t="shared" si="29"/>
        <v>-2497.563625119481</v>
      </c>
      <c r="K84" s="285">
        <f t="shared" si="29"/>
        <v>-2829.7395872603738</v>
      </c>
      <c r="L84" s="285">
        <f t="shared" si="29"/>
        <v>-3206.0949523659983</v>
      </c>
      <c r="M84" s="286">
        <f t="shared" si="29"/>
        <v>27312.072037824641</v>
      </c>
    </row>
    <row r="85" spans="1:14" x14ac:dyDescent="0.25">
      <c r="B85" s="37" t="s">
        <v>37</v>
      </c>
      <c r="C85" s="292">
        <f>C48-D48</f>
        <v>-22015.935353424658</v>
      </c>
      <c r="D85" s="285">
        <f t="shared" si="29"/>
        <v>-1355.7688189830842</v>
      </c>
      <c r="E85" s="285">
        <f t="shared" si="29"/>
        <v>-1476.6905286341644</v>
      </c>
      <c r="F85" s="285">
        <f t="shared" si="29"/>
        <v>-1611.451159021668</v>
      </c>
      <c r="G85" s="285">
        <f t="shared" si="29"/>
        <v>-1761.8065320959722</v>
      </c>
      <c r="H85" s="285">
        <f t="shared" si="29"/>
        <v>-1929.7427925252487</v>
      </c>
      <c r="I85" s="285">
        <f t="shared" si="29"/>
        <v>-2117.5069196766162</v>
      </c>
      <c r="J85" s="285">
        <f t="shared" si="29"/>
        <v>-2327.6412931218874</v>
      </c>
      <c r="K85" s="285">
        <f t="shared" si="29"/>
        <v>-2563.0228506148051</v>
      </c>
      <c r="L85" s="285">
        <f t="shared" si="29"/>
        <v>-2826.9074491588472</v>
      </c>
      <c r="M85" s="286">
        <f t="shared" si="29"/>
        <v>39986.473697256952</v>
      </c>
    </row>
    <row r="86" spans="1:14" x14ac:dyDescent="0.25">
      <c r="C86" s="284"/>
      <c r="D86" s="137"/>
      <c r="E86" s="137"/>
      <c r="F86" s="137"/>
      <c r="G86" s="137"/>
      <c r="H86" s="137"/>
      <c r="I86" s="137"/>
      <c r="J86" s="137"/>
      <c r="K86" s="137"/>
      <c r="L86" s="137"/>
      <c r="M86" s="291"/>
    </row>
    <row r="87" spans="1:14" x14ac:dyDescent="0.25">
      <c r="B87" s="37" t="s">
        <v>38</v>
      </c>
      <c r="C87" s="292">
        <f>C50-D50</f>
        <v>-200000</v>
      </c>
      <c r="D87" s="285">
        <f t="shared" ref="D87:M87" si="30">D50-E50</f>
        <v>0</v>
      </c>
      <c r="E87" s="285">
        <f t="shared" si="30"/>
        <v>0</v>
      </c>
      <c r="F87" s="285">
        <f t="shared" si="30"/>
        <v>0</v>
      </c>
      <c r="G87" s="285">
        <f t="shared" si="30"/>
        <v>0</v>
      </c>
      <c r="H87" s="285">
        <f t="shared" si="30"/>
        <v>0</v>
      </c>
      <c r="I87" s="285">
        <f t="shared" si="30"/>
        <v>0</v>
      </c>
      <c r="J87" s="285">
        <f t="shared" si="30"/>
        <v>0</v>
      </c>
      <c r="K87" s="285">
        <f t="shared" si="30"/>
        <v>0</v>
      </c>
      <c r="L87" s="285">
        <f t="shared" si="30"/>
        <v>0</v>
      </c>
      <c r="M87" s="286">
        <f t="shared" si="30"/>
        <v>200000</v>
      </c>
    </row>
    <row r="88" spans="1:14" x14ac:dyDescent="0.25">
      <c r="B88" s="37" t="s">
        <v>118</v>
      </c>
      <c r="C88" s="284"/>
      <c r="D88" s="137"/>
      <c r="E88" s="137"/>
      <c r="F88" s="137"/>
      <c r="G88" s="137"/>
      <c r="H88" s="137"/>
      <c r="I88" s="137"/>
      <c r="J88" s="137"/>
      <c r="K88" s="137"/>
      <c r="L88" s="137"/>
      <c r="M88" s="291">
        <v>25000</v>
      </c>
    </row>
    <row r="89" spans="1:14" x14ac:dyDescent="0.25">
      <c r="B89" s="37" t="s">
        <v>119</v>
      </c>
      <c r="C89" s="284"/>
      <c r="D89" s="137"/>
      <c r="E89" s="137"/>
      <c r="F89" s="137"/>
      <c r="G89" s="137"/>
      <c r="H89" s="137"/>
      <c r="I89" s="137"/>
      <c r="J89" s="137"/>
      <c r="K89" s="137"/>
      <c r="L89" s="137"/>
      <c r="M89" s="291">
        <f>-M88*(N40)</f>
        <v>-6250</v>
      </c>
    </row>
    <row r="90" spans="1:14" x14ac:dyDescent="0.25">
      <c r="C90" s="284"/>
      <c r="D90" s="137"/>
      <c r="E90" s="137"/>
      <c r="F90" s="137"/>
      <c r="G90" s="137"/>
      <c r="H90" s="137"/>
      <c r="I90" s="137"/>
      <c r="J90" s="137"/>
      <c r="K90" s="137"/>
      <c r="L90" s="137"/>
      <c r="M90" s="291"/>
    </row>
    <row r="91" spans="1:14" x14ac:dyDescent="0.25">
      <c r="B91" s="37" t="s">
        <v>39</v>
      </c>
      <c r="C91" s="292">
        <f>C51-D51</f>
        <v>-800000</v>
      </c>
      <c r="D91" s="285">
        <f t="shared" ref="D91:M91" si="31">D51-E51</f>
        <v>0</v>
      </c>
      <c r="E91" s="285">
        <f t="shared" si="31"/>
        <v>0</v>
      </c>
      <c r="F91" s="285">
        <f t="shared" si="31"/>
        <v>0</v>
      </c>
      <c r="G91" s="285">
        <f t="shared" si="31"/>
        <v>0</v>
      </c>
      <c r="H91" s="285">
        <f t="shared" si="31"/>
        <v>0</v>
      </c>
      <c r="I91" s="285">
        <f t="shared" si="31"/>
        <v>0</v>
      </c>
      <c r="J91" s="285">
        <f t="shared" si="31"/>
        <v>0</v>
      </c>
      <c r="K91" s="285">
        <f t="shared" si="31"/>
        <v>0</v>
      </c>
      <c r="L91" s="285">
        <f t="shared" si="31"/>
        <v>0</v>
      </c>
      <c r="M91" s="286">
        <f t="shared" si="31"/>
        <v>800000</v>
      </c>
      <c r="N91" s="53">
        <f>M91-M52</f>
        <v>533333.33333333337</v>
      </c>
    </row>
    <row r="92" spans="1:14" x14ac:dyDescent="0.25">
      <c r="B92" s="37" t="s">
        <v>118</v>
      </c>
      <c r="C92" s="284"/>
      <c r="D92" s="137"/>
      <c r="E92" s="137"/>
      <c r="F92" s="137"/>
      <c r="G92" s="137"/>
      <c r="H92" s="137"/>
      <c r="I92" s="137"/>
      <c r="J92" s="137"/>
      <c r="K92" s="137"/>
      <c r="L92" s="137"/>
      <c r="M92" s="286">
        <f>N92-N91</f>
        <v>246666.66666666663</v>
      </c>
      <c r="N92" s="54">
        <v>780000</v>
      </c>
    </row>
    <row r="93" spans="1:14" x14ac:dyDescent="0.25">
      <c r="B93" s="37" t="s">
        <v>119</v>
      </c>
      <c r="C93" s="284"/>
      <c r="D93" s="137"/>
      <c r="E93" s="137"/>
      <c r="F93" s="137"/>
      <c r="G93" s="137"/>
      <c r="H93" s="137"/>
      <c r="I93" s="137"/>
      <c r="J93" s="137"/>
      <c r="K93" s="137"/>
      <c r="L93" s="137"/>
      <c r="M93" s="286">
        <f>-M92*N40</f>
        <v>-61666.666666666657</v>
      </c>
      <c r="N93" s="53"/>
    </row>
    <row r="94" spans="1:14" x14ac:dyDescent="0.25">
      <c r="C94" s="284"/>
      <c r="D94" s="137"/>
      <c r="E94" s="137"/>
      <c r="F94" s="137"/>
      <c r="G94" s="137"/>
      <c r="H94" s="137"/>
      <c r="I94" s="137"/>
      <c r="J94" s="137"/>
      <c r="K94" s="137"/>
      <c r="L94" s="137"/>
      <c r="M94" s="291"/>
    </row>
    <row r="95" spans="1:14" x14ac:dyDescent="0.25">
      <c r="B95" s="37" t="s">
        <v>44</v>
      </c>
      <c r="C95" s="292">
        <f>-C58+D58</f>
        <v>66047.806060273986</v>
      </c>
      <c r="D95" s="285">
        <f t="shared" ref="D95:M95" si="32">-D58+E58</f>
        <v>4067.3064569492417</v>
      </c>
      <c r="E95" s="285">
        <f t="shared" si="32"/>
        <v>4430.0715859024931</v>
      </c>
      <c r="F95" s="285">
        <f t="shared" si="32"/>
        <v>4834.3534770650003</v>
      </c>
      <c r="G95" s="285">
        <f t="shared" si="32"/>
        <v>5285.4195962879166</v>
      </c>
      <c r="H95" s="285">
        <f t="shared" si="32"/>
        <v>5789.2283775757387</v>
      </c>
      <c r="I95" s="285">
        <f t="shared" si="32"/>
        <v>6352.5207590298523</v>
      </c>
      <c r="J95" s="285">
        <f t="shared" si="32"/>
        <v>6982.9238793656696</v>
      </c>
      <c r="K95" s="285">
        <f t="shared" si="32"/>
        <v>7689.0685518444225</v>
      </c>
      <c r="L95" s="285">
        <f t="shared" si="32"/>
        <v>8480.7223474765342</v>
      </c>
      <c r="M95" s="286">
        <f t="shared" si="32"/>
        <v>-119959.42109177086</v>
      </c>
    </row>
    <row r="96" spans="1:14" x14ac:dyDescent="0.25">
      <c r="B96" s="37" t="s">
        <v>120</v>
      </c>
      <c r="C96" s="292">
        <f>-C79+D79</f>
        <v>2919.6299333333345</v>
      </c>
      <c r="D96" s="285">
        <f t="shared" ref="D96:M96" si="33">-D79+E79</f>
        <v>1101.8517524987692</v>
      </c>
      <c r="E96" s="285">
        <f t="shared" si="33"/>
        <v>1325.4030093160982</v>
      </c>
      <c r="F96" s="285">
        <f t="shared" si="33"/>
        <v>1587.4825881651341</v>
      </c>
      <c r="G96" s="285">
        <f t="shared" si="33"/>
        <v>1893.8855356248669</v>
      </c>
      <c r="H96" s="285">
        <f t="shared" si="33"/>
        <v>2251.222442537357</v>
      </c>
      <c r="I96" s="285">
        <f t="shared" si="33"/>
        <v>2667.0307230318867</v>
      </c>
      <c r="J96" s="285">
        <f t="shared" si="33"/>
        <v>3149.9008642220433</v>
      </c>
      <c r="K96" s="285">
        <f t="shared" si="33"/>
        <v>3709.6196478206257</v>
      </c>
      <c r="L96" s="285">
        <f t="shared" si="33"/>
        <v>4357.3326116749522</v>
      </c>
      <c r="M96" s="286">
        <f t="shared" si="33"/>
        <v>-24963.359108225068</v>
      </c>
    </row>
    <row r="97" spans="1:16" x14ac:dyDescent="0.25">
      <c r="C97" s="284"/>
      <c r="D97" s="137"/>
      <c r="E97" s="137"/>
      <c r="F97" s="137"/>
      <c r="G97" s="137"/>
      <c r="H97" s="137"/>
      <c r="I97" s="137"/>
      <c r="J97" s="137"/>
      <c r="K97" s="137"/>
      <c r="L97" s="137"/>
      <c r="M97" s="291"/>
    </row>
    <row r="98" spans="1:16" ht="16.5" thickBot="1" x14ac:dyDescent="0.3">
      <c r="A98" s="75" t="s">
        <v>121</v>
      </c>
      <c r="C98" s="293">
        <f>SUM(C80:C96)</f>
        <v>-971925.89264748851</v>
      </c>
      <c r="D98" s="294">
        <f t="shared" ref="D98:M98" si="34">SUM(D80:D96)</f>
        <v>11391.585883204656</v>
      </c>
      <c r="E98" s="294">
        <f t="shared" si="34"/>
        <v>15005.503606954848</v>
      </c>
      <c r="F98" s="294">
        <f t="shared" si="34"/>
        <v>19335.395980749439</v>
      </c>
      <c r="G98" s="294">
        <f t="shared" si="34"/>
        <v>24503.376918403002</v>
      </c>
      <c r="H98" s="294">
        <f t="shared" si="34"/>
        <v>30649.852223378577</v>
      </c>
      <c r="I98" s="294">
        <f t="shared" si="34"/>
        <v>37936.089389071749</v>
      </c>
      <c r="J98" s="294">
        <f t="shared" si="34"/>
        <v>46547.137778868688</v>
      </c>
      <c r="K98" s="294">
        <f t="shared" si="34"/>
        <v>56695.146307978343</v>
      </c>
      <c r="L98" s="294">
        <f t="shared" si="34"/>
        <v>68623.132047277002</v>
      </c>
      <c r="M98" s="295">
        <f t="shared" si="34"/>
        <v>1211015.8428597611</v>
      </c>
    </row>
    <row r="99" spans="1:16" ht="16.5" thickTop="1" x14ac:dyDescent="0.25">
      <c r="A99" s="75" t="s">
        <v>122</v>
      </c>
      <c r="C99" s="55">
        <f>IRR(C98:M98)</f>
        <v>5.0103056123244505E-2</v>
      </c>
    </row>
    <row r="100" spans="1:16" x14ac:dyDescent="0.25">
      <c r="A100" s="75"/>
    </row>
    <row r="101" spans="1:16" x14ac:dyDescent="0.25">
      <c r="A101" s="75" t="s">
        <v>123</v>
      </c>
      <c r="C101" s="50">
        <f>'[5]Cost of Capital Labor Division'!B30</f>
        <v>3.8211490682146146E-2</v>
      </c>
    </row>
    <row r="102" spans="1:16" x14ac:dyDescent="0.25">
      <c r="A102" s="75" t="s">
        <v>124</v>
      </c>
      <c r="C102" s="56">
        <f>NPV(C101,D98:M98)</f>
        <v>1078054.684985315</v>
      </c>
    </row>
    <row r="103" spans="1:16" ht="16.5" thickBot="1" x14ac:dyDescent="0.3">
      <c r="A103" s="255"/>
      <c r="B103" s="255"/>
      <c r="C103" s="255"/>
      <c r="D103" s="255"/>
      <c r="E103" s="255"/>
      <c r="F103" s="255"/>
      <c r="G103" s="255"/>
      <c r="H103" s="255"/>
      <c r="I103" s="255"/>
      <c r="J103" s="255"/>
      <c r="K103" s="255"/>
      <c r="L103" s="255"/>
      <c r="M103" s="255"/>
    </row>
    <row r="104" spans="1:16" ht="16.5" thickBot="1" x14ac:dyDescent="0.3">
      <c r="A104" s="296" t="s">
        <v>156</v>
      </c>
      <c r="B104" s="297"/>
      <c r="C104" s="298">
        <v>0</v>
      </c>
      <c r="D104" s="299">
        <v>1</v>
      </c>
      <c r="E104" s="299">
        <v>2</v>
      </c>
      <c r="F104" s="299">
        <v>3</v>
      </c>
      <c r="G104" s="299">
        <v>4</v>
      </c>
      <c r="H104" s="299">
        <v>5</v>
      </c>
      <c r="I104" s="299">
        <v>6</v>
      </c>
      <c r="J104" s="299">
        <v>7</v>
      </c>
      <c r="K104" s="299">
        <v>8</v>
      </c>
      <c r="L104" s="299">
        <v>9</v>
      </c>
      <c r="M104" s="300">
        <v>10</v>
      </c>
      <c r="N104" s="297"/>
      <c r="O104" s="297"/>
      <c r="P104" s="297"/>
    </row>
    <row r="105" spans="1:16" x14ac:dyDescent="0.25">
      <c r="A105" s="37" t="s">
        <v>110</v>
      </c>
      <c r="B105" s="297"/>
      <c r="C105" s="301"/>
      <c r="D105" s="302"/>
      <c r="E105" s="302"/>
      <c r="F105" s="302"/>
      <c r="G105" s="302"/>
      <c r="H105" s="302"/>
      <c r="I105" s="302"/>
      <c r="J105" s="302"/>
      <c r="K105" s="302"/>
      <c r="L105" s="302"/>
      <c r="M105" s="303"/>
      <c r="N105" s="297"/>
      <c r="O105" s="297"/>
      <c r="P105" s="297"/>
    </row>
    <row r="106" spans="1:16" x14ac:dyDescent="0.25">
      <c r="B106" s="297" t="s">
        <v>111</v>
      </c>
      <c r="C106" s="98"/>
      <c r="D106" s="39">
        <v>38345.186400000006</v>
      </c>
      <c r="E106" s="39">
        <v>58297.685828620102</v>
      </c>
      <c r="F106" s="39">
        <v>81300.105975662242</v>
      </c>
      <c r="G106" s="39">
        <v>107746.25392183318</v>
      </c>
      <c r="H106" s="39">
        <v>138078.13996587397</v>
      </c>
      <c r="I106" s="39">
        <v>172791.79627824458</v>
      </c>
      <c r="J106" s="39">
        <v>212443.79981507937</v>
      </c>
      <c r="K106" s="39">
        <v>257658.58556791954</v>
      </c>
      <c r="L106" s="39">
        <v>309136.64687426784</v>
      </c>
      <c r="M106" s="99">
        <v>367663.73149748443</v>
      </c>
      <c r="N106" s="297"/>
      <c r="O106" s="297"/>
      <c r="P106" s="297"/>
    </row>
    <row r="107" spans="1:16" x14ac:dyDescent="0.25">
      <c r="B107" s="297" t="s">
        <v>112</v>
      </c>
      <c r="C107" s="98"/>
      <c r="D107" s="39">
        <v>43333.333333333336</v>
      </c>
      <c r="E107" s="39">
        <v>43333.333333333336</v>
      </c>
      <c r="F107" s="39">
        <v>43333.333333333336</v>
      </c>
      <c r="G107" s="39">
        <v>43333.333333333336</v>
      </c>
      <c r="H107" s="39">
        <v>43333.333333333336</v>
      </c>
      <c r="I107" s="39">
        <v>43333.333333333336</v>
      </c>
      <c r="J107" s="39">
        <v>43333.333333333336</v>
      </c>
      <c r="K107" s="39">
        <v>43333.333333333336</v>
      </c>
      <c r="L107" s="39">
        <v>43333.333333333336</v>
      </c>
      <c r="M107" s="99">
        <v>43333.333333333336</v>
      </c>
      <c r="N107" s="297"/>
      <c r="O107" s="297"/>
      <c r="P107" s="297"/>
    </row>
    <row r="108" spans="1:16" x14ac:dyDescent="0.25">
      <c r="A108" s="297"/>
      <c r="B108" s="37" t="s">
        <v>113</v>
      </c>
      <c r="C108" s="98"/>
      <c r="D108" s="39">
        <v>-4988.1469333333298</v>
      </c>
      <c r="E108" s="39">
        <v>14964.352495286766</v>
      </c>
      <c r="F108" s="39">
        <v>37966.772642328906</v>
      </c>
      <c r="G108" s="39">
        <v>64412.920588499845</v>
      </c>
      <c r="H108" s="39">
        <v>94744.806632540625</v>
      </c>
      <c r="I108" s="39">
        <v>129458.46294491124</v>
      </c>
      <c r="J108" s="39">
        <v>169110.46648174603</v>
      </c>
      <c r="K108" s="39">
        <v>214325.25223458619</v>
      </c>
      <c r="L108" s="39">
        <v>265803.31354093453</v>
      </c>
      <c r="M108" s="99">
        <v>324330.39816415112</v>
      </c>
      <c r="N108" s="297"/>
      <c r="O108" s="297"/>
      <c r="P108" s="297"/>
    </row>
    <row r="109" spans="1:16" x14ac:dyDescent="0.25">
      <c r="A109" s="297"/>
      <c r="B109" s="37" t="s">
        <v>114</v>
      </c>
      <c r="C109" s="98"/>
      <c r="D109" s="39">
        <v>-1247.0367333333324</v>
      </c>
      <c r="E109" s="39">
        <v>3741.0881238216916</v>
      </c>
      <c r="F109" s="39">
        <v>9491.6931605822265</v>
      </c>
      <c r="G109" s="39">
        <v>16103.230147124961</v>
      </c>
      <c r="H109" s="39">
        <v>23686.201658135156</v>
      </c>
      <c r="I109" s="39">
        <v>32364.61573622781</v>
      </c>
      <c r="J109" s="39">
        <v>42277.616620436507</v>
      </c>
      <c r="K109" s="39">
        <v>53581.313058646549</v>
      </c>
      <c r="L109" s="39">
        <v>66450.828385233632</v>
      </c>
      <c r="M109" s="99">
        <v>81082.59954103778</v>
      </c>
      <c r="N109" s="297"/>
      <c r="O109" s="297"/>
      <c r="P109" s="297"/>
    </row>
    <row r="110" spans="1:16" x14ac:dyDescent="0.25">
      <c r="A110" s="297"/>
      <c r="B110" s="37" t="s">
        <v>115</v>
      </c>
      <c r="C110" s="98"/>
      <c r="D110" s="39">
        <v>-3741.1101999999973</v>
      </c>
      <c r="E110" s="39">
        <v>11223.264371465075</v>
      </c>
      <c r="F110" s="39">
        <v>28475.079481746681</v>
      </c>
      <c r="G110" s="39">
        <v>48309.690441374885</v>
      </c>
      <c r="H110" s="39">
        <v>71058.604974405462</v>
      </c>
      <c r="I110" s="39">
        <v>97093.847208683437</v>
      </c>
      <c r="J110" s="39">
        <v>126832.84986130951</v>
      </c>
      <c r="K110" s="39">
        <v>160743.93917593965</v>
      </c>
      <c r="L110" s="39">
        <v>199352.48515570088</v>
      </c>
      <c r="M110" s="99">
        <v>243247.79862311334</v>
      </c>
      <c r="N110" s="297"/>
      <c r="O110" s="297"/>
      <c r="P110" s="297"/>
    </row>
    <row r="111" spans="1:16" x14ac:dyDescent="0.25">
      <c r="A111" s="297"/>
      <c r="C111" s="98"/>
      <c r="D111" s="39"/>
      <c r="E111" s="39"/>
      <c r="F111" s="39"/>
      <c r="G111" s="39"/>
      <c r="H111" s="39"/>
      <c r="I111" s="39"/>
      <c r="J111" s="39"/>
      <c r="K111" s="39"/>
      <c r="L111" s="39"/>
      <c r="M111" s="99"/>
      <c r="N111" s="297"/>
      <c r="O111" s="297"/>
      <c r="P111" s="297"/>
    </row>
    <row r="112" spans="1:16" x14ac:dyDescent="0.25">
      <c r="A112" s="297" t="s">
        <v>116</v>
      </c>
      <c r="C112" s="98"/>
      <c r="D112" s="39"/>
      <c r="E112" s="39"/>
      <c r="F112" s="39"/>
      <c r="G112" s="39"/>
      <c r="H112" s="39"/>
      <c r="I112" s="39"/>
      <c r="J112" s="39"/>
      <c r="K112" s="39"/>
      <c r="L112" s="39"/>
      <c r="M112" s="99"/>
      <c r="N112" s="297"/>
      <c r="O112" s="297"/>
      <c r="P112" s="297"/>
    </row>
    <row r="113" spans="1:16" x14ac:dyDescent="0.25">
      <c r="A113" s="297"/>
      <c r="B113" s="37" t="s">
        <v>117</v>
      </c>
      <c r="C113" s="98">
        <v>-10000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99">
        <v>10000</v>
      </c>
      <c r="N113" s="297"/>
      <c r="O113" s="297"/>
      <c r="P113" s="297"/>
    </row>
    <row r="114" spans="1:16" x14ac:dyDescent="0.25">
      <c r="A114" s="297"/>
      <c r="B114" s="37" t="s">
        <v>36</v>
      </c>
      <c r="C114" s="98">
        <v>-8877.3932876712333</v>
      </c>
      <c r="D114" s="39">
        <v>-1180.6933072602751</v>
      </c>
      <c r="E114" s="39">
        <v>-1337.7255171258912</v>
      </c>
      <c r="F114" s="39">
        <v>-1515.6430109036337</v>
      </c>
      <c r="G114" s="39">
        <v>-1717.2235313538185</v>
      </c>
      <c r="H114" s="39">
        <v>-1945.6142610238785</v>
      </c>
      <c r="I114" s="39">
        <v>-2204.3809577400571</v>
      </c>
      <c r="J114" s="39">
        <v>-2497.563625119481</v>
      </c>
      <c r="K114" s="39">
        <v>-2829.7395872603738</v>
      </c>
      <c r="L114" s="39">
        <v>-3206.0949523659983</v>
      </c>
      <c r="M114" s="99">
        <v>27312.072037824641</v>
      </c>
      <c r="N114" s="297"/>
      <c r="O114" s="297"/>
      <c r="P114" s="297"/>
    </row>
    <row r="115" spans="1:16" x14ac:dyDescent="0.25">
      <c r="A115" s="297"/>
      <c r="B115" s="297" t="s">
        <v>37</v>
      </c>
      <c r="C115" s="98">
        <v>-22015.935353424658</v>
      </c>
      <c r="D115" s="39">
        <v>-2398.0857583717807</v>
      </c>
      <c r="E115" s="39">
        <v>-2663.5507695925953</v>
      </c>
      <c r="F115" s="39">
        <v>-2958.9264554863184</v>
      </c>
      <c r="G115" s="39">
        <v>-3287.6464620479092</v>
      </c>
      <c r="H115" s="39">
        <v>-3653.5461727895236</v>
      </c>
      <c r="I115" s="39">
        <v>-4060.9105966469069</v>
      </c>
      <c r="J115" s="39">
        <v>-4514.5280656695031</v>
      </c>
      <c r="K115" s="39">
        <v>-5019.75045876269</v>
      </c>
      <c r="L115" s="39">
        <v>-5582.5607573175002</v>
      </c>
      <c r="M115" s="99">
        <v>56155.440850109386</v>
      </c>
      <c r="N115" s="297"/>
      <c r="O115" s="297"/>
      <c r="P115" s="297"/>
    </row>
    <row r="116" spans="1:16" x14ac:dyDescent="0.25">
      <c r="A116" s="297"/>
      <c r="B116" s="297"/>
      <c r="C116" s="98"/>
      <c r="D116" s="39"/>
      <c r="E116" s="39"/>
      <c r="F116" s="39"/>
      <c r="G116" s="39"/>
      <c r="H116" s="39"/>
      <c r="I116" s="39"/>
      <c r="J116" s="39"/>
      <c r="K116" s="39"/>
      <c r="L116" s="39"/>
      <c r="M116" s="99"/>
      <c r="N116" s="297"/>
      <c r="O116" s="297"/>
      <c r="P116" s="297"/>
    </row>
    <row r="117" spans="1:16" x14ac:dyDescent="0.25">
      <c r="A117" s="297"/>
      <c r="B117" s="297" t="s">
        <v>38</v>
      </c>
      <c r="C117" s="98">
        <v>-200000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99">
        <v>200000</v>
      </c>
      <c r="N117" s="297"/>
      <c r="O117" s="297"/>
      <c r="P117" s="297"/>
    </row>
    <row r="118" spans="1:16" x14ac:dyDescent="0.25">
      <c r="A118" s="297"/>
      <c r="B118" s="297" t="s">
        <v>118</v>
      </c>
      <c r="C118" s="98"/>
      <c r="D118" s="39"/>
      <c r="E118" s="39"/>
      <c r="F118" s="39"/>
      <c r="G118" s="39"/>
      <c r="H118" s="39"/>
      <c r="I118" s="39"/>
      <c r="J118" s="39"/>
      <c r="K118" s="39"/>
      <c r="L118" s="39"/>
      <c r="M118" s="99">
        <v>25000</v>
      </c>
      <c r="N118" s="297"/>
      <c r="O118" s="297"/>
      <c r="P118" s="297"/>
    </row>
    <row r="119" spans="1:16" x14ac:dyDescent="0.25">
      <c r="A119" s="297"/>
      <c r="B119" s="297" t="s">
        <v>119</v>
      </c>
      <c r="C119" s="98"/>
      <c r="D119" s="39"/>
      <c r="E119" s="39"/>
      <c r="F119" s="39"/>
      <c r="G119" s="39"/>
      <c r="H119" s="39"/>
      <c r="I119" s="39"/>
      <c r="J119" s="39"/>
      <c r="K119" s="39"/>
      <c r="L119" s="39"/>
      <c r="M119" s="99">
        <v>-6250</v>
      </c>
      <c r="N119" s="297"/>
      <c r="O119" s="297"/>
      <c r="P119" s="297"/>
    </row>
    <row r="120" spans="1:16" x14ac:dyDescent="0.25">
      <c r="A120" s="297"/>
      <c r="B120" s="297"/>
      <c r="C120" s="98"/>
      <c r="D120" s="39"/>
      <c r="E120" s="39"/>
      <c r="F120" s="39"/>
      <c r="G120" s="39"/>
      <c r="H120" s="39"/>
      <c r="I120" s="39"/>
      <c r="J120" s="39"/>
      <c r="K120" s="39"/>
      <c r="L120" s="39"/>
      <c r="M120" s="99"/>
      <c r="N120" s="297"/>
      <c r="O120" s="297"/>
      <c r="P120" s="297"/>
    </row>
    <row r="121" spans="1:16" x14ac:dyDescent="0.25">
      <c r="A121" s="297"/>
      <c r="B121" s="297" t="s">
        <v>39</v>
      </c>
      <c r="C121" s="98">
        <v>-800000</v>
      </c>
      <c r="D121" s="39">
        <v>0</v>
      </c>
      <c r="E121" s="39">
        <v>0</v>
      </c>
      <c r="F121" s="39">
        <v>0</v>
      </c>
      <c r="G121" s="39">
        <v>-500000</v>
      </c>
      <c r="H121" s="39">
        <v>0</v>
      </c>
      <c r="I121" s="39">
        <v>0</v>
      </c>
      <c r="J121" s="39">
        <v>0</v>
      </c>
      <c r="K121" s="39">
        <v>0</v>
      </c>
      <c r="L121" s="39">
        <v>0</v>
      </c>
      <c r="M121" s="99">
        <v>866666.66666666674</v>
      </c>
      <c r="N121" s="297"/>
      <c r="O121" s="297"/>
      <c r="P121" s="297"/>
    </row>
    <row r="122" spans="1:16" x14ac:dyDescent="0.25">
      <c r="A122" s="297"/>
      <c r="B122" s="297" t="s">
        <v>118</v>
      </c>
      <c r="C122" s="98"/>
      <c r="D122" s="39"/>
      <c r="E122" s="39"/>
      <c r="F122" s="39"/>
      <c r="G122" s="39"/>
      <c r="H122" s="39"/>
      <c r="I122" s="39"/>
      <c r="J122" s="39"/>
      <c r="K122" s="39"/>
      <c r="L122" s="39"/>
      <c r="M122" s="99">
        <v>433333.33333333326</v>
      </c>
      <c r="N122" s="297"/>
      <c r="O122" s="297"/>
      <c r="P122" s="297"/>
    </row>
    <row r="123" spans="1:16" x14ac:dyDescent="0.25">
      <c r="A123" s="297"/>
      <c r="B123" s="297" t="s">
        <v>119</v>
      </c>
      <c r="C123" s="98"/>
      <c r="D123" s="39"/>
      <c r="E123" s="39"/>
      <c r="F123" s="39"/>
      <c r="G123" s="39"/>
      <c r="H123" s="39"/>
      <c r="I123" s="39"/>
      <c r="J123" s="39"/>
      <c r="K123" s="39"/>
      <c r="L123" s="39"/>
      <c r="M123" s="99">
        <v>-108333.33333333331</v>
      </c>
      <c r="N123" s="297"/>
      <c r="O123" s="297"/>
      <c r="P123" s="297"/>
    </row>
    <row r="124" spans="1:16" x14ac:dyDescent="0.25">
      <c r="A124" s="297"/>
      <c r="B124" s="297"/>
      <c r="C124" s="98"/>
      <c r="D124" s="39"/>
      <c r="E124" s="39"/>
      <c r="F124" s="39"/>
      <c r="G124" s="39"/>
      <c r="H124" s="39"/>
      <c r="I124" s="39"/>
      <c r="J124" s="39"/>
      <c r="K124" s="39"/>
      <c r="L124" s="39"/>
      <c r="M124" s="99"/>
      <c r="N124" s="297"/>
      <c r="O124" s="297"/>
      <c r="P124" s="297"/>
    </row>
    <row r="125" spans="1:16" x14ac:dyDescent="0.25">
      <c r="A125" s="297"/>
      <c r="B125" s="297" t="s">
        <v>44</v>
      </c>
      <c r="C125" s="98">
        <v>66047.806060273986</v>
      </c>
      <c r="D125" s="39">
        <v>7194.2572751153348</v>
      </c>
      <c r="E125" s="39">
        <v>7990.652308777775</v>
      </c>
      <c r="F125" s="39">
        <v>8876.7793664589553</v>
      </c>
      <c r="G125" s="39">
        <v>9862.9393861437275</v>
      </c>
      <c r="H125" s="39">
        <v>10960.638518368592</v>
      </c>
      <c r="I125" s="39">
        <v>12182.731789940706</v>
      </c>
      <c r="J125" s="39">
        <v>13543.584197008531</v>
      </c>
      <c r="K125" s="39">
        <v>15059.251376288041</v>
      </c>
      <c r="L125" s="39">
        <v>16747.682271952508</v>
      </c>
      <c r="M125" s="99">
        <v>-168466.32255032816</v>
      </c>
      <c r="N125" s="297"/>
      <c r="O125" s="297"/>
      <c r="P125" s="297"/>
    </row>
    <row r="126" spans="1:16" x14ac:dyDescent="0.25">
      <c r="A126" s="297"/>
      <c r="B126" s="297" t="s">
        <v>120</v>
      </c>
      <c r="C126" s="98">
        <v>-1247.0367333333324</v>
      </c>
      <c r="D126" s="39">
        <v>4988.1248571550241</v>
      </c>
      <c r="E126" s="39">
        <v>5750.6050367605349</v>
      </c>
      <c r="F126" s="39">
        <v>6611.5369865427347</v>
      </c>
      <c r="G126" s="39">
        <v>7582.9715110101952</v>
      </c>
      <c r="H126" s="39">
        <v>8678.4140780926537</v>
      </c>
      <c r="I126" s="39">
        <v>9913.0008842086972</v>
      </c>
      <c r="J126" s="39">
        <v>11303.696438210041</v>
      </c>
      <c r="K126" s="39">
        <v>12869.515326587083</v>
      </c>
      <c r="L126" s="39">
        <v>14631.771155804148</v>
      </c>
      <c r="M126" s="99">
        <v>-81082.59954103778</v>
      </c>
      <c r="N126" s="297"/>
      <c r="O126" s="297"/>
      <c r="P126" s="297"/>
    </row>
    <row r="127" spans="1:16" ht="16.5" thickBot="1" x14ac:dyDescent="0.3">
      <c r="A127" s="297"/>
      <c r="B127" s="297"/>
      <c r="C127" s="304"/>
      <c r="D127" s="305"/>
      <c r="E127" s="305"/>
      <c r="F127" s="305"/>
      <c r="G127" s="305"/>
      <c r="H127" s="305"/>
      <c r="I127" s="305"/>
      <c r="J127" s="305"/>
      <c r="K127" s="305"/>
      <c r="L127" s="305"/>
      <c r="M127" s="306"/>
      <c r="N127" s="297"/>
      <c r="O127" s="297"/>
      <c r="P127" s="297"/>
    </row>
    <row r="128" spans="1:16" ht="16.5" thickBot="1" x14ac:dyDescent="0.3">
      <c r="A128" s="297" t="s">
        <v>121</v>
      </c>
      <c r="B128" s="297"/>
      <c r="C128" s="304">
        <v>-976092.55931415525</v>
      </c>
      <c r="D128" s="305">
        <v>4862.4928666383057</v>
      </c>
      <c r="E128" s="305">
        <v>20963.2454302849</v>
      </c>
      <c r="F128" s="305">
        <v>39488.826368358423</v>
      </c>
      <c r="G128" s="305">
        <v>-439249.2686548729</v>
      </c>
      <c r="H128" s="305">
        <v>85098.497137053302</v>
      </c>
      <c r="I128" s="305">
        <v>112924.28832844588</v>
      </c>
      <c r="J128" s="305">
        <v>144668.03880573908</v>
      </c>
      <c r="K128" s="305">
        <v>180823.2158327917</v>
      </c>
      <c r="L128" s="305">
        <v>221943.28287377406</v>
      </c>
      <c r="M128" s="306">
        <v>1497583.0560863481</v>
      </c>
      <c r="N128" s="297"/>
      <c r="O128" s="297"/>
      <c r="P128" s="297"/>
    </row>
    <row r="129" spans="1:16" x14ac:dyDescent="0.25">
      <c r="A129" s="297" t="s">
        <v>122</v>
      </c>
      <c r="B129" s="297"/>
      <c r="C129" s="44">
        <v>6.5396653154460971E-2</v>
      </c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</row>
    <row r="130" spans="1:16" x14ac:dyDescent="0.25">
      <c r="A130" s="297"/>
      <c r="B130" s="297"/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</row>
    <row r="131" spans="1:16" x14ac:dyDescent="0.25">
      <c r="A131" s="297" t="s">
        <v>123</v>
      </c>
      <c r="B131" s="297"/>
      <c r="C131" s="50">
        <v>5.4473061817075577E-2</v>
      </c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</row>
    <row r="132" spans="1:16" x14ac:dyDescent="0.25">
      <c r="A132" s="297" t="s">
        <v>124</v>
      </c>
      <c r="B132" s="297"/>
      <c r="C132" s="297">
        <v>1086196.9579066182</v>
      </c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</row>
    <row r="133" spans="1:16" ht="16.5" thickBot="1" x14ac:dyDescent="0.3">
      <c r="A133" s="307"/>
      <c r="B133" s="255"/>
      <c r="C133" s="308"/>
      <c r="D133" s="255"/>
      <c r="E133" s="255"/>
      <c r="F133" s="255"/>
      <c r="G133" s="255"/>
      <c r="H133" s="255"/>
      <c r="I133" s="255"/>
      <c r="J133" s="255"/>
      <c r="K133" s="255"/>
      <c r="L133" s="255"/>
      <c r="M133" s="255"/>
    </row>
    <row r="134" spans="1:16" ht="16.5" thickBot="1" x14ac:dyDescent="0.3">
      <c r="A134" s="75" t="s">
        <v>157</v>
      </c>
      <c r="C134" s="130">
        <v>0</v>
      </c>
      <c r="D134" s="131">
        <v>1</v>
      </c>
      <c r="E134" s="131">
        <v>2</v>
      </c>
      <c r="F134" s="131">
        <v>3</v>
      </c>
      <c r="G134" s="131">
        <v>4</v>
      </c>
      <c r="H134" s="131">
        <v>5</v>
      </c>
      <c r="I134" s="131">
        <v>6</v>
      </c>
      <c r="J134" s="131">
        <v>7</v>
      </c>
      <c r="K134" s="131">
        <v>8</v>
      </c>
      <c r="L134" s="131">
        <v>9</v>
      </c>
      <c r="M134" s="132">
        <v>10</v>
      </c>
    </row>
    <row r="135" spans="1:16" x14ac:dyDescent="0.25">
      <c r="A135" s="37" t="s">
        <v>110</v>
      </c>
      <c r="C135" s="91"/>
      <c r="D135" s="77"/>
      <c r="E135" s="77"/>
      <c r="F135" s="77"/>
      <c r="G135" s="77"/>
      <c r="H135" s="77"/>
      <c r="I135" s="77"/>
      <c r="J135" s="77"/>
      <c r="K135" s="77"/>
      <c r="L135" s="77"/>
      <c r="M135" s="83"/>
    </row>
    <row r="136" spans="1:16" x14ac:dyDescent="0.25">
      <c r="B136" s="37" t="s">
        <v>111</v>
      </c>
      <c r="C136" s="98"/>
      <c r="D136" s="39">
        <v>38345.186400000006</v>
      </c>
      <c r="E136" s="39">
        <v>20743.205134120071</v>
      </c>
      <c r="F136" s="39">
        <v>2269.9519714323105</v>
      </c>
      <c r="G136" s="39">
        <v>-17127.668970832427</v>
      </c>
      <c r="H136" s="39">
        <v>-37505.742140141025</v>
      </c>
      <c r="I136" s="39">
        <v>-58923.513776771782</v>
      </c>
      <c r="J136" s="39">
        <v>-81443.575072753592</v>
      </c>
      <c r="K136" s="39">
        <v>-105132.05583329318</v>
      </c>
      <c r="L136" s="39">
        <v>-130058.82924521039</v>
      </c>
      <c r="M136" s="99">
        <v>-156297.72839164757</v>
      </c>
    </row>
    <row r="137" spans="1:16" x14ac:dyDescent="0.25">
      <c r="B137" s="37" t="s">
        <v>112</v>
      </c>
      <c r="C137" s="98"/>
      <c r="D137" s="39">
        <v>26666.666666666668</v>
      </c>
      <c r="E137" s="39">
        <v>26666.666666666668</v>
      </c>
      <c r="F137" s="39">
        <v>26666.666666666668</v>
      </c>
      <c r="G137" s="39">
        <v>26666.666666666668</v>
      </c>
      <c r="H137" s="39">
        <v>26666.666666666668</v>
      </c>
      <c r="I137" s="39">
        <v>26666.666666666668</v>
      </c>
      <c r="J137" s="39">
        <v>26666.666666666668</v>
      </c>
      <c r="K137" s="39">
        <v>26666.666666666668</v>
      </c>
      <c r="L137" s="39">
        <v>26666.666666666668</v>
      </c>
      <c r="M137" s="99">
        <v>26666.666666666668</v>
      </c>
    </row>
    <row r="138" spans="1:16" x14ac:dyDescent="0.25">
      <c r="B138" s="37" t="s">
        <v>113</v>
      </c>
      <c r="C138" s="98"/>
      <c r="D138" s="39">
        <v>11678.519733333338</v>
      </c>
      <c r="E138" s="39">
        <v>-5923.4615325465966</v>
      </c>
      <c r="F138" s="39">
        <v>-24396.714695234357</v>
      </c>
      <c r="G138" s="39">
        <v>-43794.335637499098</v>
      </c>
      <c r="H138" s="39">
        <v>-64172.408806807696</v>
      </c>
      <c r="I138" s="39">
        <v>-85590.180443438454</v>
      </c>
      <c r="J138" s="39">
        <v>-108110.24173942026</v>
      </c>
      <c r="K138" s="39">
        <v>-131798.72249995984</v>
      </c>
      <c r="L138" s="39">
        <v>-156725.49591187705</v>
      </c>
      <c r="M138" s="99">
        <v>-182964.39505831423</v>
      </c>
    </row>
    <row r="139" spans="1:16" x14ac:dyDescent="0.25">
      <c r="B139" s="37" t="s">
        <v>114</v>
      </c>
      <c r="C139" s="98"/>
      <c r="D139" s="39">
        <v>2919.6299333333345</v>
      </c>
      <c r="E139" s="39">
        <v>-1480.8653831366491</v>
      </c>
      <c r="F139" s="39">
        <v>-6099.1786738085893</v>
      </c>
      <c r="G139" s="39">
        <v>-10948.583909374775</v>
      </c>
      <c r="H139" s="39">
        <v>-16043.102201701924</v>
      </c>
      <c r="I139" s="39">
        <v>-21397.545110859613</v>
      </c>
      <c r="J139" s="39">
        <v>-27027.560434855066</v>
      </c>
      <c r="K139" s="39">
        <v>-32949.68062498996</v>
      </c>
      <c r="L139" s="39">
        <v>-39181.373977969262</v>
      </c>
      <c r="M139" s="99">
        <v>-45741.098764578557</v>
      </c>
    </row>
    <row r="140" spans="1:16" x14ac:dyDescent="0.25">
      <c r="B140" s="37" t="s">
        <v>115</v>
      </c>
      <c r="C140" s="98"/>
      <c r="D140" s="39">
        <v>8758.8898000000045</v>
      </c>
      <c r="E140" s="39">
        <v>-4442.5961494099474</v>
      </c>
      <c r="F140" s="39">
        <v>-18297.536021425767</v>
      </c>
      <c r="G140" s="39">
        <v>-32845.75172812432</v>
      </c>
      <c r="H140" s="39">
        <v>-48129.306605105769</v>
      </c>
      <c r="I140" s="39">
        <v>-64192.635332578837</v>
      </c>
      <c r="J140" s="39">
        <v>-81082.681304565194</v>
      </c>
      <c r="K140" s="39">
        <v>-98849.041874969873</v>
      </c>
      <c r="L140" s="39">
        <v>-117544.12193390779</v>
      </c>
      <c r="M140" s="99">
        <v>-137223.29629373568</v>
      </c>
    </row>
    <row r="141" spans="1:16" x14ac:dyDescent="0.25">
      <c r="C141" s="98"/>
      <c r="D141" s="39"/>
      <c r="E141" s="39"/>
      <c r="F141" s="39"/>
      <c r="G141" s="39"/>
      <c r="H141" s="39"/>
      <c r="I141" s="39"/>
      <c r="J141" s="39"/>
      <c r="K141" s="39"/>
      <c r="L141" s="39"/>
      <c r="M141" s="99"/>
    </row>
    <row r="142" spans="1:16" x14ac:dyDescent="0.25">
      <c r="A142" s="37" t="s">
        <v>116</v>
      </c>
      <c r="C142" s="98"/>
      <c r="D142" s="39"/>
      <c r="E142" s="39"/>
      <c r="F142" s="39"/>
      <c r="G142" s="39"/>
      <c r="H142" s="39"/>
      <c r="I142" s="39"/>
      <c r="J142" s="39"/>
      <c r="K142" s="39"/>
      <c r="L142" s="39"/>
      <c r="M142" s="99"/>
    </row>
    <row r="143" spans="1:16" x14ac:dyDescent="0.25">
      <c r="B143" s="37" t="s">
        <v>117</v>
      </c>
      <c r="C143" s="98">
        <v>-10000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39">
        <v>0</v>
      </c>
      <c r="M143" s="99">
        <v>10000</v>
      </c>
    </row>
    <row r="144" spans="1:16" x14ac:dyDescent="0.25">
      <c r="B144" s="37" t="s">
        <v>36</v>
      </c>
      <c r="C144" s="98">
        <v>-8877.3932876712333</v>
      </c>
      <c r="D144" s="39">
        <v>190.86395568493208</v>
      </c>
      <c r="E144" s="39">
        <v>186.76038063770466</v>
      </c>
      <c r="F144" s="39">
        <v>182.74503245399501</v>
      </c>
      <c r="G144" s="39">
        <v>178.81601425623467</v>
      </c>
      <c r="H144" s="39">
        <v>174.97146994972445</v>
      </c>
      <c r="I144" s="39">
        <v>171.2095833458061</v>
      </c>
      <c r="J144" s="39">
        <v>167.52857730387041</v>
      </c>
      <c r="K144" s="39">
        <v>163.92671289183818</v>
      </c>
      <c r="L144" s="39">
        <v>160.40228856466274</v>
      </c>
      <c r="M144" s="99">
        <v>7300.1692725824651</v>
      </c>
    </row>
    <row r="145" spans="1:13" x14ac:dyDescent="0.25">
      <c r="B145" s="37" t="s">
        <v>37</v>
      </c>
      <c r="C145" s="98">
        <v>-22015.935353424658</v>
      </c>
      <c r="D145" s="39">
        <v>119.98684767616578</v>
      </c>
      <c r="E145" s="39">
        <v>117.44246602736894</v>
      </c>
      <c r="F145" s="39">
        <v>114.95278505046372</v>
      </c>
      <c r="G145" s="39">
        <v>112.51662868136555</v>
      </c>
      <c r="H145" s="39">
        <v>110.1328461413359</v>
      </c>
      <c r="I145" s="39">
        <v>107.80031139344283</v>
      </c>
      <c r="J145" s="39">
        <v>105.51792261045921</v>
      </c>
      <c r="K145" s="39">
        <v>103.28460165452634</v>
      </c>
      <c r="L145" s="39">
        <v>101.09929356772045</v>
      </c>
      <c r="M145" s="99">
        <v>21023.20165062181</v>
      </c>
    </row>
    <row r="146" spans="1:13" x14ac:dyDescent="0.25">
      <c r="C146" s="98"/>
      <c r="D146" s="39"/>
      <c r="E146" s="39"/>
      <c r="F146" s="39"/>
      <c r="G146" s="39"/>
      <c r="H146" s="39"/>
      <c r="I146" s="39"/>
      <c r="J146" s="39"/>
      <c r="K146" s="39"/>
      <c r="L146" s="39"/>
      <c r="M146" s="99"/>
    </row>
    <row r="147" spans="1:13" x14ac:dyDescent="0.25">
      <c r="B147" s="37" t="s">
        <v>38</v>
      </c>
      <c r="C147" s="98">
        <v>-200000</v>
      </c>
      <c r="D147" s="39">
        <v>0</v>
      </c>
      <c r="E147" s="39">
        <v>0</v>
      </c>
      <c r="F147" s="39">
        <v>0</v>
      </c>
      <c r="G147" s="39">
        <v>0</v>
      </c>
      <c r="H147" s="39">
        <v>0</v>
      </c>
      <c r="I147" s="39">
        <v>0</v>
      </c>
      <c r="J147" s="39">
        <v>0</v>
      </c>
      <c r="K147" s="39">
        <v>0</v>
      </c>
      <c r="L147" s="39">
        <v>0</v>
      </c>
      <c r="M147" s="99">
        <v>200000</v>
      </c>
    </row>
    <row r="148" spans="1:13" x14ac:dyDescent="0.25">
      <c r="B148" s="37" t="s">
        <v>118</v>
      </c>
      <c r="C148" s="98"/>
      <c r="D148" s="39"/>
      <c r="E148" s="39"/>
      <c r="F148" s="39"/>
      <c r="G148" s="39"/>
      <c r="H148" s="39"/>
      <c r="I148" s="39"/>
      <c r="J148" s="39"/>
      <c r="K148" s="39"/>
      <c r="L148" s="39"/>
      <c r="M148" s="99">
        <v>25000</v>
      </c>
    </row>
    <row r="149" spans="1:13" x14ac:dyDescent="0.25">
      <c r="B149" s="37" t="s">
        <v>119</v>
      </c>
      <c r="C149" s="98"/>
      <c r="D149" s="39"/>
      <c r="E149" s="39"/>
      <c r="F149" s="39"/>
      <c r="G149" s="39"/>
      <c r="H149" s="39"/>
      <c r="I149" s="39"/>
      <c r="J149" s="39"/>
      <c r="K149" s="39"/>
      <c r="L149" s="39"/>
      <c r="M149" s="99">
        <v>-6250</v>
      </c>
    </row>
    <row r="150" spans="1:13" x14ac:dyDescent="0.25">
      <c r="C150" s="98"/>
      <c r="D150" s="39"/>
      <c r="E150" s="39"/>
      <c r="F150" s="39"/>
      <c r="G150" s="39"/>
      <c r="H150" s="39"/>
      <c r="I150" s="39"/>
      <c r="J150" s="39"/>
      <c r="K150" s="39"/>
      <c r="L150" s="39"/>
      <c r="M150" s="99"/>
    </row>
    <row r="151" spans="1:13" x14ac:dyDescent="0.25">
      <c r="B151" s="37" t="s">
        <v>39</v>
      </c>
      <c r="C151" s="98">
        <v>-800000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39">
        <v>0</v>
      </c>
      <c r="M151" s="99">
        <v>533333.33333333337</v>
      </c>
    </row>
    <row r="152" spans="1:13" x14ac:dyDescent="0.25">
      <c r="B152" s="37" t="s">
        <v>118</v>
      </c>
      <c r="C152" s="98"/>
      <c r="D152" s="39"/>
      <c r="E152" s="39"/>
      <c r="F152" s="39"/>
      <c r="G152" s="39"/>
      <c r="H152" s="39"/>
      <c r="I152" s="39"/>
      <c r="J152" s="39"/>
      <c r="K152" s="39"/>
      <c r="L152" s="39"/>
      <c r="M152" s="99">
        <v>266666.66666666663</v>
      </c>
    </row>
    <row r="153" spans="1:13" x14ac:dyDescent="0.25">
      <c r="B153" s="37" t="s">
        <v>119</v>
      </c>
      <c r="C153" s="98"/>
      <c r="D153" s="39"/>
      <c r="E153" s="39"/>
      <c r="F153" s="39"/>
      <c r="G153" s="39"/>
      <c r="H153" s="39"/>
      <c r="I153" s="39"/>
      <c r="J153" s="39"/>
      <c r="K153" s="39"/>
      <c r="L153" s="39"/>
      <c r="M153" s="99">
        <v>-66666.666666666657</v>
      </c>
    </row>
    <row r="154" spans="1:13" x14ac:dyDescent="0.25">
      <c r="C154" s="98"/>
      <c r="D154" s="39"/>
      <c r="E154" s="39"/>
      <c r="F154" s="39"/>
      <c r="G154" s="39"/>
      <c r="H154" s="39"/>
      <c r="I154" s="39"/>
      <c r="J154" s="39"/>
      <c r="K154" s="39"/>
      <c r="L154" s="39"/>
      <c r="M154" s="99"/>
    </row>
    <row r="155" spans="1:13" x14ac:dyDescent="0.25">
      <c r="B155" s="37" t="s">
        <v>44</v>
      </c>
      <c r="C155" s="98">
        <v>66047.806060273986</v>
      </c>
      <c r="D155" s="39">
        <v>-359.96054302850098</v>
      </c>
      <c r="E155" s="39">
        <v>-352.32739808211045</v>
      </c>
      <c r="F155" s="39">
        <v>-344.85835515139479</v>
      </c>
      <c r="G155" s="39">
        <v>-337.549886044093</v>
      </c>
      <c r="H155" s="39">
        <v>-330.39853842401499</v>
      </c>
      <c r="I155" s="39">
        <v>-323.40093418031756</v>
      </c>
      <c r="J155" s="39">
        <v>-316.55376783137763</v>
      </c>
      <c r="K155" s="39">
        <v>-309.85380496358994</v>
      </c>
      <c r="L155" s="39">
        <v>-303.29788070315408</v>
      </c>
      <c r="M155" s="99">
        <v>-63069.604951865433</v>
      </c>
    </row>
    <row r="156" spans="1:13" x14ac:dyDescent="0.25">
      <c r="B156" s="37" t="s">
        <v>120</v>
      </c>
      <c r="C156" s="98">
        <v>2919.6299333333345</v>
      </c>
      <c r="D156" s="39">
        <v>-4400.4953164699837</v>
      </c>
      <c r="E156" s="39">
        <v>-4618.3132906719402</v>
      </c>
      <c r="F156" s="39">
        <v>-4849.4052355661852</v>
      </c>
      <c r="G156" s="39">
        <v>-5094.5182923271495</v>
      </c>
      <c r="H156" s="39">
        <v>-5354.4429091576894</v>
      </c>
      <c r="I156" s="39">
        <v>-5630.0153239954525</v>
      </c>
      <c r="J156" s="39">
        <v>-5922.1201901348941</v>
      </c>
      <c r="K156" s="39">
        <v>-6231.6933529793023</v>
      </c>
      <c r="L156" s="39">
        <v>-6559.7247866092948</v>
      </c>
      <c r="M156" s="99">
        <v>45741.098764578557</v>
      </c>
    </row>
    <row r="157" spans="1:13" ht="16.5" thickBot="1" x14ac:dyDescent="0.3">
      <c r="C157" s="309"/>
      <c r="D157" s="255"/>
      <c r="E157" s="255"/>
      <c r="F157" s="255"/>
      <c r="G157" s="255"/>
      <c r="H157" s="255"/>
      <c r="I157" s="255"/>
      <c r="J157" s="255"/>
      <c r="K157" s="255"/>
      <c r="L157" s="255"/>
      <c r="M157" s="310"/>
    </row>
    <row r="158" spans="1:13" ht="16.5" thickBot="1" x14ac:dyDescent="0.3">
      <c r="A158" s="75" t="s">
        <v>121</v>
      </c>
      <c r="C158" s="304">
        <v>-971925.89264748851</v>
      </c>
      <c r="D158" s="305">
        <v>4309.2847438626177</v>
      </c>
      <c r="E158" s="305">
        <v>-9109.0339914989236</v>
      </c>
      <c r="F158" s="305">
        <v>-23194.101794638886</v>
      </c>
      <c r="G158" s="305">
        <v>-37986.487263557967</v>
      </c>
      <c r="H158" s="305">
        <v>-53529.04373659641</v>
      </c>
      <c r="I158" s="305">
        <v>-69867.041696015352</v>
      </c>
      <c r="J158" s="305">
        <v>-87048.308762617162</v>
      </c>
      <c r="K158" s="305">
        <v>-105123.37771836641</v>
      </c>
      <c r="L158" s="305">
        <v>-124145.64301908787</v>
      </c>
      <c r="M158" s="306">
        <v>835854.90177551517</v>
      </c>
    </row>
    <row r="159" spans="1:13" x14ac:dyDescent="0.25">
      <c r="A159" s="75" t="s">
        <v>122</v>
      </c>
      <c r="C159" s="55">
        <v>-7.6814954473941266E-2</v>
      </c>
    </row>
    <row r="160" spans="1:13" x14ac:dyDescent="0.25">
      <c r="A160" s="75"/>
    </row>
    <row r="161" spans="1:13" x14ac:dyDescent="0.25">
      <c r="A161" s="75" t="s">
        <v>123</v>
      </c>
      <c r="C161" s="50">
        <v>3.1215626801465297E-2</v>
      </c>
    </row>
    <row r="162" spans="1:13" x14ac:dyDescent="0.25">
      <c r="A162" s="75" t="s">
        <v>124</v>
      </c>
      <c r="C162" s="297">
        <v>204984.08720016788</v>
      </c>
    </row>
    <row r="163" spans="1:13" x14ac:dyDescent="0.25"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</row>
    <row r="164" spans="1:13" x14ac:dyDescent="0.25">
      <c r="B164" s="311" t="s">
        <v>158</v>
      </c>
      <c r="C164" s="311" t="s">
        <v>159</v>
      </c>
      <c r="D164" s="311" t="s">
        <v>160</v>
      </c>
    </row>
    <row r="165" spans="1:13" x14ac:dyDescent="0.25">
      <c r="B165" s="54">
        <f>C102</f>
        <v>1078054.684985315</v>
      </c>
      <c r="C165" s="54">
        <f>'[5]Forecast 2'!C101</f>
        <v>1086196.9579066182</v>
      </c>
      <c r="D165" s="54">
        <f>'[5]Forecast 3'!C101</f>
        <v>204984.08720016788</v>
      </c>
    </row>
    <row r="166" spans="1:13" x14ac:dyDescent="0.25">
      <c r="B166" s="43">
        <v>0.1</v>
      </c>
      <c r="C166" s="43">
        <v>0.5</v>
      </c>
      <c r="D166" s="43">
        <v>0.4</v>
      </c>
    </row>
    <row r="167" spans="1:13" x14ac:dyDescent="0.25">
      <c r="B167" s="54">
        <f>B165*B166</f>
        <v>107805.4684985315</v>
      </c>
      <c r="C167" s="54">
        <f>C165*C166</f>
        <v>543098.47895330912</v>
      </c>
      <c r="D167" s="54">
        <f>D165*D166</f>
        <v>81993.634880067155</v>
      </c>
    </row>
    <row r="168" spans="1:13" x14ac:dyDescent="0.25">
      <c r="B168" s="297"/>
      <c r="C168" s="297"/>
      <c r="D168" s="297"/>
    </row>
    <row r="169" spans="1:13" ht="16.5" thickBot="1" x14ac:dyDescent="0.3">
      <c r="B169" s="297"/>
      <c r="C169" s="297"/>
      <c r="D169" s="297"/>
    </row>
    <row r="170" spans="1:13" ht="16.5" thickBot="1" x14ac:dyDescent="0.3">
      <c r="B170" s="297" t="s">
        <v>161</v>
      </c>
      <c r="C170" s="312">
        <f>B167+C167+D167</f>
        <v>732897.58233190782</v>
      </c>
      <c r="D170" s="297"/>
    </row>
    <row r="171" spans="1:13" ht="16.5" thickBot="1" x14ac:dyDescent="0.3">
      <c r="A171" s="255"/>
      <c r="B171" s="255"/>
      <c r="C171" s="255"/>
      <c r="D171" s="255"/>
      <c r="E171" s="255"/>
      <c r="F171" s="255"/>
      <c r="G171" s="255"/>
      <c r="H171" s="255"/>
      <c r="I171" s="255"/>
      <c r="J171" s="255"/>
      <c r="K171" s="255"/>
      <c r="L171" s="255"/>
      <c r="M171" s="255"/>
    </row>
  </sheetData>
  <pageMargins left="0.75" right="0.75" top="1" bottom="1" header="0.5" footer="0.5"/>
  <pageSetup scale="48" orientation="landscape" r:id="rId1"/>
  <rowBreaks count="3" manualBreakCount="3">
    <brk id="42" max="16383" man="1"/>
    <brk id="73" max="16383" man="1"/>
    <brk id="133" max="12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Forecast</vt:lpstr>
      <vt:lpstr>Mortgage</vt:lpstr>
      <vt:lpstr>Cost of Capital Labor Division</vt:lpstr>
      <vt:lpstr>Bankruptcy</vt:lpstr>
      <vt:lpstr>Scenarios</vt:lpstr>
      <vt:lpstr>Bankruptcy!Print_Area</vt:lpstr>
      <vt:lpstr>Forecast!Print_Area</vt:lpstr>
      <vt:lpstr>Scenarios!Print_Area</vt:lpstr>
      <vt:lpstr>Bankruptcy!Print_Titles</vt:lpstr>
      <vt:lpstr>Forecast!Print_Titles</vt:lpstr>
      <vt:lpstr>Scenarios!Print_Titles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2019-08-22T21:15:22Z</dcterms:created>
  <dcterms:modified xsi:type="dcterms:W3CDTF">2019-08-22T21:15:31Z</dcterms:modified>
</cp:coreProperties>
</file>