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400" windowHeight="11760" activeTab="3"/>
  </bookViews>
  <sheets>
    <sheet name="Forecast" sheetId="1" r:id="rId1"/>
    <sheet name="Mortgage" sheetId="2" r:id="rId2"/>
    <sheet name="Bankruptcy" sheetId="4" r:id="rId3"/>
    <sheet name="Options" sheetId="7" r:id="rId4"/>
    <sheet name="Sheet1" sheetId="8" r:id="rId5"/>
  </sheets>
  <definedNames>
    <definedName name="solver_adj" localSheetId="2" hidden="1">Bankruptcy!$G$62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in" localSheetId="2" hidden="1">2</definedName>
    <definedName name="solver_neg" localSheetId="2" hidden="1">2</definedName>
    <definedName name="solver_num" localSheetId="2" hidden="1">0</definedName>
    <definedName name="solver_nwt" localSheetId="2" hidden="1">1</definedName>
    <definedName name="solver_opt" localSheetId="2" hidden="1">Bankruptcy!$G$66</definedName>
    <definedName name="solver_pre" localSheetId="2" hidden="1">0.000001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3</definedName>
    <definedName name="solver_val" localSheetId="2" hidden="1">0</definedName>
  </definedNames>
  <calcPr calcId="145621"/>
</workbook>
</file>

<file path=xl/calcChain.xml><?xml version="1.0" encoding="utf-8"?>
<calcChain xmlns="http://schemas.openxmlformats.org/spreadsheetml/2006/main">
  <c r="S26" i="1" l="1"/>
  <c r="S45" i="1"/>
  <c r="J10" i="8" l="1"/>
  <c r="C14" i="8" l="1"/>
  <c r="G10" i="8" s="1"/>
  <c r="G14" i="8"/>
  <c r="I10" i="8" s="1"/>
  <c r="D14" i="8"/>
  <c r="H10" i="8" s="1"/>
  <c r="L3" i="8"/>
  <c r="K3" i="8"/>
  <c r="J3" i="8"/>
  <c r="I3" i="8"/>
  <c r="H3" i="8"/>
  <c r="G70" i="7" l="1"/>
  <c r="F70" i="7"/>
  <c r="E70" i="7"/>
  <c r="D70" i="7"/>
  <c r="C70" i="7"/>
  <c r="J55" i="7"/>
  <c r="K55" i="7"/>
  <c r="L55" i="7"/>
  <c r="I55" i="7"/>
  <c r="J53" i="7"/>
  <c r="K53" i="7"/>
  <c r="L53" i="7"/>
  <c r="M53" i="7"/>
  <c r="I53" i="7"/>
  <c r="D56" i="7"/>
  <c r="E56" i="7"/>
  <c r="F56" i="7"/>
  <c r="G56" i="7"/>
  <c r="H56" i="7"/>
  <c r="K56" i="7"/>
  <c r="C56" i="7"/>
  <c r="M55" i="7"/>
  <c r="M56" i="7" s="1"/>
  <c r="E6" i="7"/>
  <c r="E50" i="7" s="1"/>
  <c r="F6" i="7"/>
  <c r="F50" i="7" s="1"/>
  <c r="G6" i="7"/>
  <c r="G50" i="7" s="1"/>
  <c r="H6" i="7"/>
  <c r="H50" i="7" s="1"/>
  <c r="I6" i="7"/>
  <c r="I50" i="7" s="1"/>
  <c r="J6" i="7"/>
  <c r="J50" i="7" s="1"/>
  <c r="K6" i="7"/>
  <c r="K50" i="7" s="1"/>
  <c r="L6" i="7"/>
  <c r="L50" i="7" s="1"/>
  <c r="M6" i="7"/>
  <c r="M50" i="7" s="1"/>
  <c r="D6" i="7"/>
  <c r="D50" i="7" s="1"/>
  <c r="L56" i="7" l="1"/>
  <c r="J56" i="7"/>
  <c r="I56" i="7"/>
  <c r="C57" i="7"/>
  <c r="H84" i="4"/>
  <c r="H83" i="4"/>
  <c r="C84" i="4"/>
  <c r="D79" i="4"/>
  <c r="E79" i="4"/>
  <c r="F79" i="4"/>
  <c r="C79" i="4"/>
  <c r="C82" i="4" s="1"/>
  <c r="C75" i="4"/>
  <c r="J59" i="4"/>
  <c r="V45" i="4"/>
  <c r="D45" i="4" s="1"/>
  <c r="D44" i="4"/>
  <c r="G31" i="4"/>
  <c r="G81" i="4" s="1"/>
  <c r="F31" i="4"/>
  <c r="F81" i="4" s="1"/>
  <c r="E31" i="4"/>
  <c r="E81" i="4" s="1"/>
  <c r="D31" i="4"/>
  <c r="D81" i="4" s="1"/>
  <c r="Q29" i="4"/>
  <c r="V26" i="4"/>
  <c r="X26" i="4" s="1"/>
  <c r="D26" i="4" s="1"/>
  <c r="E26" i="4" s="1"/>
  <c r="F26" i="4" s="1"/>
  <c r="G26" i="4" s="1"/>
  <c r="E25" i="4"/>
  <c r="F25" i="4" s="1"/>
  <c r="G25" i="4" s="1"/>
  <c r="D25" i="4"/>
  <c r="D11" i="4"/>
  <c r="D3" i="4" s="1"/>
  <c r="E10" i="4"/>
  <c r="F10" i="4" s="1"/>
  <c r="F11" i="4" s="1"/>
  <c r="F8" i="4"/>
  <c r="G8" i="4" s="1"/>
  <c r="E8" i="4"/>
  <c r="E7" i="4"/>
  <c r="E6" i="4"/>
  <c r="F6" i="4" s="1"/>
  <c r="G6" i="4" s="1"/>
  <c r="E5" i="4"/>
  <c r="F5" i="4" s="1"/>
  <c r="G5" i="4" s="1"/>
  <c r="E82" i="4" l="1"/>
  <c r="F82" i="4"/>
  <c r="D82" i="4"/>
  <c r="G29" i="4"/>
  <c r="E29" i="4"/>
  <c r="D18" i="4"/>
  <c r="E3" i="4"/>
  <c r="F7" i="4"/>
  <c r="E11" i="4"/>
  <c r="E44" i="4"/>
  <c r="D4" i="4"/>
  <c r="G10" i="4"/>
  <c r="E45" i="4"/>
  <c r="F29" i="4"/>
  <c r="D29" i="4"/>
  <c r="U26" i="1"/>
  <c r="D26" i="1" s="1"/>
  <c r="D45" i="1"/>
  <c r="D44" i="1"/>
  <c r="F45" i="4" l="1"/>
  <c r="D19" i="4"/>
  <c r="D22" i="4" s="1"/>
  <c r="E4" i="4"/>
  <c r="G7" i="4"/>
  <c r="F3" i="4"/>
  <c r="E18" i="4"/>
  <c r="D46" i="4"/>
  <c r="G11" i="4"/>
  <c r="F44" i="4"/>
  <c r="D21" i="4"/>
  <c r="J6" i="2"/>
  <c r="D61" i="4" s="1"/>
  <c r="E61" i="4" s="1"/>
  <c r="F61" i="4" s="1"/>
  <c r="G61" i="4" s="1"/>
  <c r="P55" i="1"/>
  <c r="Q55" i="1" s="1"/>
  <c r="N55" i="1"/>
  <c r="D25" i="1"/>
  <c r="E25" i="1" s="1"/>
  <c r="F25" i="1" s="1"/>
  <c r="G25" i="1" s="1"/>
  <c r="H25" i="1" s="1"/>
  <c r="I25" i="1" s="1"/>
  <c r="J25" i="1" s="1"/>
  <c r="K25" i="1" s="1"/>
  <c r="L25" i="1" s="1"/>
  <c r="M25" i="1" s="1"/>
  <c r="B79" i="1"/>
  <c r="B78" i="1"/>
  <c r="C81" i="1"/>
  <c r="E44" i="1"/>
  <c r="D39" i="4" l="1"/>
  <c r="D57" i="1"/>
  <c r="D14" i="4"/>
  <c r="D41" i="4" s="1"/>
  <c r="D27" i="4"/>
  <c r="D42" i="4"/>
  <c r="D48" i="4" s="1"/>
  <c r="D51" i="4"/>
  <c r="E46" i="4"/>
  <c r="E21" i="4"/>
  <c r="E19" i="4"/>
  <c r="E22" i="4" s="1"/>
  <c r="F4" i="4"/>
  <c r="G45" i="4"/>
  <c r="I45" i="4" s="1"/>
  <c r="G44" i="4"/>
  <c r="I44" i="4" s="1"/>
  <c r="F18" i="4"/>
  <c r="G3" i="4"/>
  <c r="E26" i="1"/>
  <c r="F26" i="1" s="1"/>
  <c r="G26" i="1" s="1"/>
  <c r="H26" i="1" s="1"/>
  <c r="I26" i="1" s="1"/>
  <c r="J26" i="1" s="1"/>
  <c r="K26" i="1" s="1"/>
  <c r="L26" i="1" s="1"/>
  <c r="M26" i="1" s="1"/>
  <c r="D77" i="1"/>
  <c r="F44" i="1"/>
  <c r="E45" i="1"/>
  <c r="F45" i="1" s="1"/>
  <c r="G45" i="1" s="1"/>
  <c r="H45" i="1" s="1"/>
  <c r="I45" i="1" s="1"/>
  <c r="J45" i="1" s="1"/>
  <c r="K45" i="1" s="1"/>
  <c r="L45" i="1" s="1"/>
  <c r="M45" i="1" s="1"/>
  <c r="C77" i="1"/>
  <c r="I52" i="4" l="1"/>
  <c r="E39" i="4"/>
  <c r="E27" i="4"/>
  <c r="G18" i="4"/>
  <c r="F19" i="4"/>
  <c r="F22" i="4" s="1"/>
  <c r="G4" i="4"/>
  <c r="E51" i="4"/>
  <c r="E42" i="4"/>
  <c r="F21" i="4"/>
  <c r="E14" i="4"/>
  <c r="E41" i="4" s="1"/>
  <c r="F46" i="4"/>
  <c r="G44" i="1"/>
  <c r="D81" i="1"/>
  <c r="E77" i="1"/>
  <c r="F39" i="4" l="1"/>
  <c r="F14" i="4"/>
  <c r="F41" i="4" s="1"/>
  <c r="F27" i="4"/>
  <c r="G46" i="4"/>
  <c r="E48" i="4"/>
  <c r="F51" i="4"/>
  <c r="F42" i="4"/>
  <c r="G19" i="4"/>
  <c r="G22" i="4" s="1"/>
  <c r="G21" i="4"/>
  <c r="H44" i="1"/>
  <c r="G77" i="1" s="1"/>
  <c r="F77" i="1"/>
  <c r="G27" i="4" l="1"/>
  <c r="G39" i="4"/>
  <c r="J39" i="4" s="1"/>
  <c r="F48" i="4"/>
  <c r="G14" i="4"/>
  <c r="G41" i="4" s="1"/>
  <c r="J41" i="4" s="1"/>
  <c r="G51" i="4"/>
  <c r="J51" i="4" s="1"/>
  <c r="G42" i="4"/>
  <c r="I44" i="1"/>
  <c r="H77" i="1" s="1"/>
  <c r="J42" i="4" l="1"/>
  <c r="J52" i="4" s="1"/>
  <c r="G48" i="4"/>
  <c r="J44" i="1"/>
  <c r="I77" i="1" s="1"/>
  <c r="K44" i="1" l="1"/>
  <c r="J77" i="1" s="1"/>
  <c r="L44" i="1" l="1"/>
  <c r="K77" i="1" s="1"/>
  <c r="M44" i="1" l="1"/>
  <c r="M77" i="1" s="1"/>
  <c r="O77" i="1" l="1"/>
  <c r="N77" i="1"/>
  <c r="L77" i="1"/>
  <c r="M78" i="1" l="1"/>
  <c r="P77" i="1"/>
  <c r="M79" i="1" s="1"/>
  <c r="P54" i="1" l="1"/>
  <c r="Q54" i="1" s="1"/>
  <c r="D31" i="1" l="1"/>
  <c r="D11" i="1"/>
  <c r="E10" i="1"/>
  <c r="F10" i="1" s="1"/>
  <c r="G10" i="1" s="1"/>
  <c r="H10" i="1" s="1"/>
  <c r="I10" i="1" s="1"/>
  <c r="J10" i="1" s="1"/>
  <c r="K10" i="1" s="1"/>
  <c r="L10" i="1" s="1"/>
  <c r="M10" i="1" s="1"/>
  <c r="M11" i="1" s="1"/>
  <c r="H31" i="1"/>
  <c r="I31" i="1"/>
  <c r="J31" i="1"/>
  <c r="K31" i="1"/>
  <c r="L31" i="1"/>
  <c r="M31" i="1"/>
  <c r="E8" i="1"/>
  <c r="F8" i="1" s="1"/>
  <c r="G8" i="1" s="1"/>
  <c r="H8" i="1" s="1"/>
  <c r="I8" i="1" s="1"/>
  <c r="J8" i="1" s="1"/>
  <c r="K8" i="1" s="1"/>
  <c r="L8" i="1" s="1"/>
  <c r="M8" i="1" s="1"/>
  <c r="E7" i="1"/>
  <c r="F7" i="1" s="1"/>
  <c r="G7" i="1" s="1"/>
  <c r="H7" i="1" s="1"/>
  <c r="I7" i="1" s="1"/>
  <c r="J7" i="1" s="1"/>
  <c r="K7" i="1" s="1"/>
  <c r="L7" i="1" s="1"/>
  <c r="M7" i="1" s="1"/>
  <c r="E5" i="1"/>
  <c r="F5" i="1" s="1"/>
  <c r="D4" i="1" l="1"/>
  <c r="E4" i="1" s="1"/>
  <c r="D3" i="1"/>
  <c r="D18" i="1" s="1"/>
  <c r="F4" i="1"/>
  <c r="G4" i="1" s="1"/>
  <c r="H4" i="1" s="1"/>
  <c r="I4" i="1" s="1"/>
  <c r="J4" i="1" s="1"/>
  <c r="K4" i="1" s="1"/>
  <c r="L4" i="1" s="1"/>
  <c r="M4" i="1" s="1"/>
  <c r="M81" i="1"/>
  <c r="K81" i="1"/>
  <c r="I81" i="1"/>
  <c r="G81" i="1"/>
  <c r="E81" i="1"/>
  <c r="L81" i="1"/>
  <c r="J81" i="1"/>
  <c r="H81" i="1"/>
  <c r="F81" i="1"/>
  <c r="L11" i="1"/>
  <c r="H11" i="1"/>
  <c r="E11" i="1"/>
  <c r="I11" i="1"/>
  <c r="K11" i="1"/>
  <c r="J11" i="1"/>
  <c r="G11" i="1"/>
  <c r="F11" i="1"/>
  <c r="G5" i="1"/>
  <c r="E57" i="1"/>
  <c r="J4" i="2"/>
  <c r="J2" i="2"/>
  <c r="C2" i="2"/>
  <c r="J8" i="2" l="1"/>
  <c r="F425" i="2" s="1"/>
  <c r="E3" i="1"/>
  <c r="D19" i="1"/>
  <c r="D22" i="1" s="1"/>
  <c r="N81" i="1"/>
  <c r="M82" i="1"/>
  <c r="F57" i="1"/>
  <c r="G57" i="1" s="1"/>
  <c r="H57" i="1" s="1"/>
  <c r="I57" i="1" s="1"/>
  <c r="J57" i="1" s="1"/>
  <c r="K57" i="1" s="1"/>
  <c r="L57" i="1" s="1"/>
  <c r="M57" i="1" s="1"/>
  <c r="F433" i="2"/>
  <c r="F415" i="2"/>
  <c r="F397" i="2"/>
  <c r="F377" i="2"/>
  <c r="F359" i="2"/>
  <c r="F341" i="2"/>
  <c r="F321" i="2"/>
  <c r="F303" i="2"/>
  <c r="F285" i="2"/>
  <c r="F265" i="2"/>
  <c r="F247" i="2"/>
  <c r="F229" i="2"/>
  <c r="F213" i="2"/>
  <c r="F193" i="2"/>
  <c r="F175" i="2"/>
  <c r="F157" i="2"/>
  <c r="F138" i="2"/>
  <c r="F120" i="2"/>
  <c r="F419" i="2"/>
  <c r="F401" i="2"/>
  <c r="F383" i="2"/>
  <c r="F363" i="2"/>
  <c r="F345" i="2"/>
  <c r="F327" i="2"/>
  <c r="F307" i="2"/>
  <c r="F289" i="2"/>
  <c r="F271" i="2"/>
  <c r="F251" i="2"/>
  <c r="F428" i="2"/>
  <c r="F410" i="2"/>
  <c r="F390" i="2"/>
  <c r="F372" i="2"/>
  <c r="F362" i="2"/>
  <c r="F354" i="2"/>
  <c r="F344" i="2"/>
  <c r="F334" i="2"/>
  <c r="F326" i="2"/>
  <c r="F316" i="2"/>
  <c r="F306" i="2"/>
  <c r="F298" i="2"/>
  <c r="F288" i="2"/>
  <c r="F278" i="2"/>
  <c r="F270" i="2"/>
  <c r="F260" i="2"/>
  <c r="F250" i="2"/>
  <c r="F242" i="2"/>
  <c r="F232" i="2"/>
  <c r="F216" i="2"/>
  <c r="F206" i="2"/>
  <c r="F198" i="2"/>
  <c r="F188" i="2"/>
  <c r="F178" i="2"/>
  <c r="F170" i="2"/>
  <c r="F160" i="2"/>
  <c r="F151" i="2"/>
  <c r="F143" i="2"/>
  <c r="F133" i="2"/>
  <c r="F123" i="2"/>
  <c r="F115" i="2"/>
  <c r="F105" i="2"/>
  <c r="F95" i="2"/>
  <c r="F87" i="2"/>
  <c r="F78" i="2"/>
  <c r="F69" i="2"/>
  <c r="F61" i="2"/>
  <c r="F427" i="2"/>
  <c r="F417" i="2"/>
  <c r="F409" i="2"/>
  <c r="F399" i="2"/>
  <c r="F389" i="2"/>
  <c r="F371" i="2"/>
  <c r="F361" i="2"/>
  <c r="F353" i="2"/>
  <c r="F343" i="2"/>
  <c r="F333" i="2"/>
  <c r="F325" i="2"/>
  <c r="F315" i="2"/>
  <c r="F305" i="2"/>
  <c r="F297" i="2"/>
  <c r="F287" i="2"/>
  <c r="F277" i="2"/>
  <c r="F269" i="2"/>
  <c r="F259" i="2"/>
  <c r="F241" i="2"/>
  <c r="F231" i="2"/>
  <c r="F223" i="2"/>
  <c r="F215" i="2"/>
  <c r="F205" i="2"/>
  <c r="F195" i="2"/>
  <c r="F187" i="2"/>
  <c r="F177" i="2"/>
  <c r="F167" i="2"/>
  <c r="F159" i="2"/>
  <c r="F150" i="2"/>
  <c r="F142" i="2"/>
  <c r="F132" i="2"/>
  <c r="F122" i="2"/>
  <c r="F104" i="2"/>
  <c r="F94" i="2"/>
  <c r="F86" i="2"/>
  <c r="F77" i="2"/>
  <c r="F68" i="2"/>
  <c r="F60" i="2"/>
  <c r="F426" i="2"/>
  <c r="F416" i="2"/>
  <c r="F408" i="2"/>
  <c r="F398" i="2"/>
  <c r="F388" i="2"/>
  <c r="F380" i="2"/>
  <c r="F381" i="2"/>
  <c r="F249" i="2"/>
  <c r="F114" i="2"/>
  <c r="F81" i="2"/>
  <c r="F358" i="2"/>
  <c r="F264" i="2"/>
  <c r="F218" i="2"/>
  <c r="F189" i="2"/>
  <c r="F116" i="2"/>
  <c r="F90" i="2"/>
  <c r="F66" i="2"/>
  <c r="F129" i="2"/>
  <c r="F403" i="2"/>
  <c r="F173" i="2"/>
  <c r="F424" i="2"/>
  <c r="F402" i="2"/>
  <c r="F375" i="2"/>
  <c r="F357" i="2"/>
  <c r="F339" i="2"/>
  <c r="F319" i="2"/>
  <c r="F301" i="2"/>
  <c r="F283" i="2"/>
  <c r="F263" i="2"/>
  <c r="F245" i="2"/>
  <c r="F228" i="2"/>
  <c r="F217" i="2"/>
  <c r="F201" i="2"/>
  <c r="F186" i="2"/>
  <c r="F172" i="2"/>
  <c r="F156" i="2"/>
  <c r="F144" i="2"/>
  <c r="F128" i="2"/>
  <c r="F111" i="2"/>
  <c r="F101" i="2"/>
  <c r="F89" i="2"/>
  <c r="F76" i="2"/>
  <c r="F65" i="2"/>
  <c r="F423" i="2"/>
  <c r="F396" i="2"/>
  <c r="F374" i="2"/>
  <c r="F356" i="2"/>
  <c r="F338" i="2"/>
  <c r="F318" i="2"/>
  <c r="F300" i="2"/>
  <c r="F282" i="2"/>
  <c r="F262" i="2"/>
  <c r="F244" i="2"/>
  <c r="F227" i="2"/>
  <c r="F214" i="2"/>
  <c r="F200" i="2"/>
  <c r="F184" i="2"/>
  <c r="F171" i="2"/>
  <c r="F139" i="2"/>
  <c r="F125" i="2"/>
  <c r="F110" i="2"/>
  <c r="F100" i="2"/>
  <c r="F88" i="2"/>
  <c r="F64" i="2"/>
  <c r="F422" i="2"/>
  <c r="F395" i="2"/>
  <c r="F370" i="2"/>
  <c r="F352" i="2"/>
  <c r="F332" i="2"/>
  <c r="F314" i="2"/>
  <c r="F296" i="2"/>
  <c r="F276" i="2"/>
  <c r="F258" i="2"/>
  <c r="F240" i="2"/>
  <c r="F226" i="2"/>
  <c r="F212" i="2"/>
  <c r="F199" i="2"/>
  <c r="F181" i="2"/>
  <c r="F166" i="2"/>
  <c r="F153" i="2"/>
  <c r="F137" i="2"/>
  <c r="F124" i="2"/>
  <c r="F109" i="2"/>
  <c r="F97" i="2"/>
  <c r="F74" i="2"/>
  <c r="F63" i="2"/>
  <c r="F414" i="2"/>
  <c r="F368" i="2"/>
  <c r="F330" i="2"/>
  <c r="F312" i="2"/>
  <c r="F292" i="2"/>
  <c r="F274" i="2"/>
  <c r="F236" i="2"/>
  <c r="F194" i="2"/>
  <c r="F164" i="2"/>
  <c r="F152" i="2"/>
  <c r="F108" i="2"/>
  <c r="F83" i="2"/>
  <c r="F73" i="2"/>
  <c r="F75" i="2"/>
  <c r="F348" i="2"/>
  <c r="F256" i="2"/>
  <c r="F209" i="2"/>
  <c r="F180" i="2"/>
  <c r="F136" i="2"/>
  <c r="F96" i="2"/>
  <c r="F62" i="2"/>
  <c r="F121" i="2"/>
  <c r="F394" i="2"/>
  <c r="F413" i="2"/>
  <c r="F386" i="2"/>
  <c r="F367" i="2"/>
  <c r="F347" i="2"/>
  <c r="F329" i="2"/>
  <c r="F311" i="2"/>
  <c r="F291" i="2"/>
  <c r="F273" i="2"/>
  <c r="F255" i="2"/>
  <c r="F235" i="2"/>
  <c r="F222" i="2"/>
  <c r="F208" i="2"/>
  <c r="F192" i="2"/>
  <c r="F179" i="2"/>
  <c r="F163" i="2"/>
  <c r="F149" i="2"/>
  <c r="F135" i="2"/>
  <c r="F119" i="2"/>
  <c r="F107" i="2"/>
  <c r="F93" i="2"/>
  <c r="F82" i="2"/>
  <c r="F72" i="2"/>
  <c r="F59" i="2"/>
  <c r="F432" i="2"/>
  <c r="F412" i="2"/>
  <c r="F385" i="2"/>
  <c r="F366" i="2"/>
  <c r="F346" i="2"/>
  <c r="F328" i="2"/>
  <c r="F310" i="2"/>
  <c r="F290" i="2"/>
  <c r="F272" i="2"/>
  <c r="F254" i="2"/>
  <c r="F234" i="2"/>
  <c r="F220" i="2"/>
  <c r="F207" i="2"/>
  <c r="F191" i="2"/>
  <c r="F176" i="2"/>
  <c r="F162" i="2"/>
  <c r="F147" i="2"/>
  <c r="F134" i="2"/>
  <c r="F118" i="2"/>
  <c r="F106" i="2"/>
  <c r="F92" i="2"/>
  <c r="F58" i="2"/>
  <c r="F431" i="2"/>
  <c r="F404" i="2"/>
  <c r="F384" i="2"/>
  <c r="F360" i="2"/>
  <c r="F342" i="2"/>
  <c r="F324" i="2"/>
  <c r="F304" i="2"/>
  <c r="F286" i="2"/>
  <c r="F268" i="2"/>
  <c r="F248" i="2"/>
  <c r="F233" i="2"/>
  <c r="F219" i="2"/>
  <c r="F204" i="2"/>
  <c r="F190" i="2"/>
  <c r="F174" i="2"/>
  <c r="F161" i="2"/>
  <c r="F146" i="2"/>
  <c r="F131" i="2"/>
  <c r="F117" i="2"/>
  <c r="F103" i="2"/>
  <c r="F91" i="2"/>
  <c r="F80" i="2"/>
  <c r="F67" i="2"/>
  <c r="F430" i="2"/>
  <c r="F376" i="2"/>
  <c r="F340" i="2"/>
  <c r="F320" i="2"/>
  <c r="F302" i="2"/>
  <c r="F284" i="2"/>
  <c r="F246" i="2"/>
  <c r="F230" i="2"/>
  <c r="F202" i="2"/>
  <c r="F158" i="2"/>
  <c r="F145" i="2"/>
  <c r="F102" i="2"/>
  <c r="F79" i="2"/>
  <c r="H5" i="1"/>
  <c r="I5" i="1" s="1"/>
  <c r="J5" i="1" s="1"/>
  <c r="K5" i="1" s="1"/>
  <c r="L5" i="1" s="1"/>
  <c r="M5" i="1" s="1"/>
  <c r="E2" i="2"/>
  <c r="F30" i="2"/>
  <c r="F9" i="2"/>
  <c r="F49" i="2"/>
  <c r="F41" i="2"/>
  <c r="F25" i="2"/>
  <c r="F3" i="2"/>
  <c r="F52" i="2"/>
  <c r="F44" i="2"/>
  <c r="F36" i="2"/>
  <c r="F20" i="2"/>
  <c r="F12" i="2"/>
  <c r="F55" i="2"/>
  <c r="F47" i="2"/>
  <c r="F39" i="2"/>
  <c r="F31" i="2"/>
  <c r="F23" i="2"/>
  <c r="F50" i="2"/>
  <c r="F34" i="2"/>
  <c r="F26" i="2"/>
  <c r="F18" i="2"/>
  <c r="F10" i="2"/>
  <c r="F7" i="2"/>
  <c r="F4" i="2"/>
  <c r="F19" i="2"/>
  <c r="F2" i="2"/>
  <c r="F54" i="2"/>
  <c r="F53" i="2"/>
  <c r="F45" i="2"/>
  <c r="F37" i="2"/>
  <c r="F21" i="2"/>
  <c r="F13" i="2"/>
  <c r="F48" i="2"/>
  <c r="F40" i="2"/>
  <c r="F32" i="2"/>
  <c r="F24" i="2"/>
  <c r="F16" i="2"/>
  <c r="F5" i="2"/>
  <c r="F35" i="2"/>
  <c r="F27" i="2"/>
  <c r="F8" i="2"/>
  <c r="F46" i="2"/>
  <c r="F38" i="2"/>
  <c r="F22" i="2"/>
  <c r="F17" i="2"/>
  <c r="F6" i="2"/>
  <c r="F51" i="2"/>
  <c r="F11" i="2"/>
  <c r="F33" i="2"/>
  <c r="F382" i="2" l="1"/>
  <c r="F400" i="2"/>
  <c r="F418" i="2"/>
  <c r="F243" i="2"/>
  <c r="F261" i="2"/>
  <c r="F279" i="2"/>
  <c r="F299" i="2"/>
  <c r="F317" i="2"/>
  <c r="F335" i="2"/>
  <c r="F355" i="2"/>
  <c r="F373" i="2"/>
  <c r="F391" i="2"/>
  <c r="F411" i="2"/>
  <c r="F429" i="2"/>
  <c r="F130" i="2"/>
  <c r="F148" i="2"/>
  <c r="F165" i="2"/>
  <c r="F185" i="2"/>
  <c r="F203" i="2"/>
  <c r="F221" i="2"/>
  <c r="F237" i="2"/>
  <c r="F257" i="2"/>
  <c r="F275" i="2"/>
  <c r="F293" i="2"/>
  <c r="F313" i="2"/>
  <c r="F331" i="2"/>
  <c r="F349" i="2"/>
  <c r="F369" i="2"/>
  <c r="F387" i="2"/>
  <c r="F405" i="2"/>
  <c r="N57" i="1"/>
  <c r="D21" i="1"/>
  <c r="D42" i="1" s="1"/>
  <c r="D39" i="1"/>
  <c r="D14" i="1"/>
  <c r="D41" i="1" s="1"/>
  <c r="D2" i="2"/>
  <c r="G2" i="2" s="1"/>
  <c r="C3" i="2" s="1"/>
  <c r="E3" i="2" s="1"/>
  <c r="D3" i="2" s="1"/>
  <c r="C74" i="1" l="1"/>
  <c r="D51" i="1"/>
  <c r="C85" i="1" s="1"/>
  <c r="G3" i="2"/>
  <c r="C4" i="2" s="1"/>
  <c r="C75" i="1" l="1"/>
  <c r="E4" i="2"/>
  <c r="D4" i="2" l="1"/>
  <c r="G4" i="2" l="1"/>
  <c r="C5" i="2" s="1"/>
  <c r="E5" i="2" l="1"/>
  <c r="D5" i="2" s="1"/>
  <c r="G5" i="2" s="1"/>
  <c r="C6" i="2" s="1"/>
  <c r="E6" i="2" l="1"/>
  <c r="D6" i="2" s="1"/>
  <c r="G6" i="2" s="1"/>
  <c r="C7" i="2" s="1"/>
  <c r="E7" i="2" l="1"/>
  <c r="D7" i="2" s="1"/>
  <c r="G7" i="2" s="1"/>
  <c r="C8" i="2" s="1"/>
  <c r="E8" i="2" l="1"/>
  <c r="D8" i="2" s="1"/>
  <c r="G8" i="2" s="1"/>
  <c r="C9" i="2" s="1"/>
  <c r="E9" i="2" l="1"/>
  <c r="D9" i="2" s="1"/>
  <c r="G9" i="2" s="1"/>
  <c r="C10" i="2" s="1"/>
  <c r="E10" i="2" l="1"/>
  <c r="D10" i="2" s="1"/>
  <c r="G10" i="2" s="1"/>
  <c r="C11" i="2" s="1"/>
  <c r="E11" i="2" l="1"/>
  <c r="D11" i="2" s="1"/>
  <c r="G11" i="2" s="1"/>
  <c r="C12" i="2" s="1"/>
  <c r="E12" i="2" l="1"/>
  <c r="D12" i="2" s="1"/>
  <c r="G12" i="2" s="1"/>
  <c r="C13" i="2" s="1"/>
  <c r="E13" i="2" l="1"/>
  <c r="D13" i="2" l="1"/>
  <c r="E14" i="2"/>
  <c r="D30" i="1" l="1"/>
  <c r="D30" i="4"/>
  <c r="D14" i="2"/>
  <c r="G13" i="2"/>
  <c r="D58" i="4" s="1"/>
  <c r="D72" i="4" l="1"/>
  <c r="D33" i="4"/>
  <c r="C70" i="4"/>
  <c r="C73" i="4" s="1"/>
  <c r="C16" i="2"/>
  <c r="D54" i="1"/>
  <c r="E16" i="2"/>
  <c r="D34" i="4" l="1"/>
  <c r="D52" i="4" s="1"/>
  <c r="D16" i="2"/>
  <c r="D35" i="4" l="1"/>
  <c r="G16" i="2"/>
  <c r="C17" i="2" s="1"/>
  <c r="D64" i="4" l="1"/>
  <c r="D66" i="4" s="1"/>
  <c r="D62" i="4"/>
  <c r="E17" i="2"/>
  <c r="D17" i="2" l="1"/>
  <c r="G17" i="2" l="1"/>
  <c r="C18" i="2" s="1"/>
  <c r="E18" i="2" l="1"/>
  <c r="D18" i="2" l="1"/>
  <c r="G18" i="2" l="1"/>
  <c r="C19" i="2" s="1"/>
  <c r="E19" i="2" l="1"/>
  <c r="D19" i="2" l="1"/>
  <c r="G19" i="2" l="1"/>
  <c r="C20" i="2" s="1"/>
  <c r="E20" i="2" l="1"/>
  <c r="D20" i="2" l="1"/>
  <c r="G20" i="2" l="1"/>
  <c r="C21" i="2" s="1"/>
  <c r="E21" i="2" l="1"/>
  <c r="D21" i="2" s="1"/>
  <c r="G21" i="2" s="1"/>
  <c r="C22" i="2" s="1"/>
  <c r="E22" i="2" l="1"/>
  <c r="D22" i="2" s="1"/>
  <c r="G22" i="2" s="1"/>
  <c r="C23" i="2" s="1"/>
  <c r="E23" i="2" l="1"/>
  <c r="D23" i="2" s="1"/>
  <c r="G23" i="2" s="1"/>
  <c r="C24" i="2" s="1"/>
  <c r="E24" i="2" l="1"/>
  <c r="D24" i="2" s="1"/>
  <c r="G24" i="2" s="1"/>
  <c r="C25" i="2" s="1"/>
  <c r="E25" i="2" l="1"/>
  <c r="D25" i="2" s="1"/>
  <c r="G25" i="2" s="1"/>
  <c r="C26" i="2" s="1"/>
  <c r="E26" i="2" l="1"/>
  <c r="D26" i="2" s="1"/>
  <c r="G26" i="2" s="1"/>
  <c r="C27" i="2" s="1"/>
  <c r="E27" i="2" l="1"/>
  <c r="D27" i="2" l="1"/>
  <c r="E28" i="2"/>
  <c r="E30" i="1" l="1"/>
  <c r="E30" i="4"/>
  <c r="D28" i="2"/>
  <c r="G27" i="2"/>
  <c r="E58" i="4" s="1"/>
  <c r="D70" i="4" l="1"/>
  <c r="D73" i="4" s="1"/>
  <c r="E72" i="4"/>
  <c r="E33" i="4"/>
  <c r="C30" i="2"/>
  <c r="E30" i="2" s="1"/>
  <c r="E54" i="1"/>
  <c r="E34" i="4" l="1"/>
  <c r="E52" i="4" s="1"/>
  <c r="D30" i="2"/>
  <c r="E35" i="4" l="1"/>
  <c r="G30" i="2"/>
  <c r="C31" i="2" s="1"/>
  <c r="E64" i="4" l="1"/>
  <c r="E66" i="4" s="1"/>
  <c r="E62" i="4"/>
  <c r="E31" i="2"/>
  <c r="D31" i="2" l="1"/>
  <c r="G31" i="2" l="1"/>
  <c r="C32" i="2" s="1"/>
  <c r="E32" i="2" l="1"/>
  <c r="D32" i="2" l="1"/>
  <c r="G32" i="2" l="1"/>
  <c r="C33" i="2" s="1"/>
  <c r="E33" i="2" l="1"/>
  <c r="D33" i="2" l="1"/>
  <c r="G33" i="2" l="1"/>
  <c r="C34" i="2" s="1"/>
  <c r="E34" i="2" l="1"/>
  <c r="D34" i="2" l="1"/>
  <c r="G34" i="2" l="1"/>
  <c r="C35" i="2" s="1"/>
  <c r="E35" i="2" l="1"/>
  <c r="D35" i="2" s="1"/>
  <c r="G35" i="2" s="1"/>
  <c r="C36" i="2" s="1"/>
  <c r="E36" i="2" l="1"/>
  <c r="D36" i="2" s="1"/>
  <c r="G36" i="2" s="1"/>
  <c r="C37" i="2" s="1"/>
  <c r="E37" i="2" l="1"/>
  <c r="D37" i="2" s="1"/>
  <c r="G37" i="2" s="1"/>
  <c r="C38" i="2" s="1"/>
  <c r="E38" i="2" l="1"/>
  <c r="D38" i="2" s="1"/>
  <c r="G38" i="2" s="1"/>
  <c r="C39" i="2" s="1"/>
  <c r="E39" i="2" l="1"/>
  <c r="D39" i="2" s="1"/>
  <c r="G39" i="2" s="1"/>
  <c r="C40" i="2" s="1"/>
  <c r="E40" i="2" l="1"/>
  <c r="D40" i="2" s="1"/>
  <c r="G40" i="2" s="1"/>
  <c r="C41" i="2" s="1"/>
  <c r="E41" i="2" l="1"/>
  <c r="D41" i="2" l="1"/>
  <c r="E42" i="2"/>
  <c r="F30" i="1" l="1"/>
  <c r="F30" i="4"/>
  <c r="D42" i="2"/>
  <c r="G41" i="2"/>
  <c r="F58" i="4" s="1"/>
  <c r="E70" i="4" l="1"/>
  <c r="E73" i="4" s="1"/>
  <c r="F72" i="4"/>
  <c r="F33" i="4"/>
  <c r="C44" i="2"/>
  <c r="E44" i="2" s="1"/>
  <c r="F54" i="1"/>
  <c r="F34" i="4" l="1"/>
  <c r="F52" i="4" s="1"/>
  <c r="D44" i="2"/>
  <c r="F35" i="4" l="1"/>
  <c r="G44" i="2"/>
  <c r="C45" i="2" s="1"/>
  <c r="F64" i="4" l="1"/>
  <c r="F66" i="4" s="1"/>
  <c r="F62" i="4"/>
  <c r="E45" i="2"/>
  <c r="D45" i="2" l="1"/>
  <c r="G45" i="2" l="1"/>
  <c r="C46" i="2" s="1"/>
  <c r="E46" i="2" l="1"/>
  <c r="D46" i="2" l="1"/>
  <c r="G46" i="2" l="1"/>
  <c r="C47" i="2" s="1"/>
  <c r="E47" i="2" l="1"/>
  <c r="D47" i="2" l="1"/>
  <c r="G47" i="2" l="1"/>
  <c r="C48" i="2" s="1"/>
  <c r="E48" i="2" l="1"/>
  <c r="D48" i="2" l="1"/>
  <c r="G48" i="2" l="1"/>
  <c r="C49" i="2" s="1"/>
  <c r="E49" i="2" l="1"/>
  <c r="D49" i="2" s="1"/>
  <c r="G49" i="2" s="1"/>
  <c r="C50" i="2" s="1"/>
  <c r="E50" i="2" l="1"/>
  <c r="D50" i="2" s="1"/>
  <c r="G50" i="2" s="1"/>
  <c r="C51" i="2" s="1"/>
  <c r="E51" i="2" l="1"/>
  <c r="D51" i="2" s="1"/>
  <c r="G51" i="2" s="1"/>
  <c r="C52" i="2" s="1"/>
  <c r="E52" i="2" l="1"/>
  <c r="D52" i="2" s="1"/>
  <c r="G52" i="2" s="1"/>
  <c r="C53" i="2" s="1"/>
  <c r="E53" i="2" l="1"/>
  <c r="D53" i="2" s="1"/>
  <c r="G53" i="2" s="1"/>
  <c r="C54" i="2" s="1"/>
  <c r="E54" i="2" l="1"/>
  <c r="D54" i="2" s="1"/>
  <c r="G54" i="2" s="1"/>
  <c r="C55" i="2" s="1"/>
  <c r="E55" i="2" l="1"/>
  <c r="D55" i="2" l="1"/>
  <c r="E56" i="2"/>
  <c r="G30" i="1" l="1"/>
  <c r="G30" i="4"/>
  <c r="D56" i="2"/>
  <c r="G55" i="2"/>
  <c r="G58" i="4" s="1"/>
  <c r="I58" i="4" l="1"/>
  <c r="J53" i="4"/>
  <c r="J55" i="4" s="1"/>
  <c r="J58" i="4"/>
  <c r="F70" i="4"/>
  <c r="F73" i="4" s="1"/>
  <c r="G72" i="4"/>
  <c r="G33" i="4"/>
  <c r="C58" i="2"/>
  <c r="G54" i="1"/>
  <c r="E31" i="1"/>
  <c r="F31" i="1"/>
  <c r="G31" i="1"/>
  <c r="N29" i="1"/>
  <c r="D29" i="1" s="1"/>
  <c r="E6" i="1"/>
  <c r="E19" i="1" s="1"/>
  <c r="E22" i="1" s="1"/>
  <c r="G34" i="4" l="1"/>
  <c r="G52" i="4" s="1"/>
  <c r="J60" i="4"/>
  <c r="K59" i="4" s="1"/>
  <c r="L59" i="4" s="1"/>
  <c r="M59" i="4" s="1"/>
  <c r="M58" i="4"/>
  <c r="E29" i="1"/>
  <c r="E67" i="1" s="1"/>
  <c r="G29" i="1"/>
  <c r="I29" i="1"/>
  <c r="K29" i="1"/>
  <c r="M29" i="1"/>
  <c r="F29" i="1"/>
  <c r="F67" i="1" s="1"/>
  <c r="H29" i="1"/>
  <c r="J29" i="1"/>
  <c r="L29" i="1"/>
  <c r="E58" i="2"/>
  <c r="F3" i="1"/>
  <c r="E18" i="1"/>
  <c r="F6" i="1"/>
  <c r="G35" i="4" l="1"/>
  <c r="N58" i="4"/>
  <c r="G71" i="4"/>
  <c r="G73" i="4" s="1"/>
  <c r="C74" i="4" s="1"/>
  <c r="C76" i="4" s="1"/>
  <c r="K58" i="4"/>
  <c r="L58" i="4" s="1"/>
  <c r="N59" i="4"/>
  <c r="G80" i="4"/>
  <c r="G82" i="4" s="1"/>
  <c r="D46" i="1"/>
  <c r="E46" i="1" s="1"/>
  <c r="F46" i="1" s="1"/>
  <c r="D67" i="1"/>
  <c r="E21" i="1"/>
  <c r="E39" i="1"/>
  <c r="E27" i="1"/>
  <c r="E14" i="1"/>
  <c r="E41" i="1" s="1"/>
  <c r="D58" i="2"/>
  <c r="G3" i="1"/>
  <c r="F18" i="1"/>
  <c r="F19" i="1"/>
  <c r="F22" i="1" s="1"/>
  <c r="G6" i="1"/>
  <c r="G62" i="4" l="1"/>
  <c r="G64" i="4" s="1"/>
  <c r="G66" i="4" s="1"/>
  <c r="C83" i="4"/>
  <c r="C85" i="4" s="1"/>
  <c r="E66" i="1"/>
  <c r="F21" i="1"/>
  <c r="F39" i="1"/>
  <c r="D74" i="1"/>
  <c r="E68" i="1"/>
  <c r="G67" i="1"/>
  <c r="E42" i="1"/>
  <c r="E51" i="1"/>
  <c r="D85" i="1" s="1"/>
  <c r="G46" i="1"/>
  <c r="F14" i="1"/>
  <c r="F41" i="1" s="1"/>
  <c r="F27" i="1"/>
  <c r="G58" i="2"/>
  <c r="C59" i="2" s="1"/>
  <c r="H3" i="1"/>
  <c r="G18" i="1"/>
  <c r="G19" i="1"/>
  <c r="G22" i="1" s="1"/>
  <c r="H6" i="1"/>
  <c r="F66" i="1" l="1"/>
  <c r="G21" i="1"/>
  <c r="G39" i="1"/>
  <c r="E73" i="1"/>
  <c r="E69" i="1"/>
  <c r="E48" i="1"/>
  <c r="D75" i="1"/>
  <c r="E74" i="1"/>
  <c r="H67" i="1"/>
  <c r="F42" i="1"/>
  <c r="F51" i="1"/>
  <c r="E85" i="1" s="1"/>
  <c r="H46" i="1"/>
  <c r="G27" i="1"/>
  <c r="G14" i="1"/>
  <c r="G41" i="1" s="1"/>
  <c r="E59" i="2"/>
  <c r="I3" i="1"/>
  <c r="H18" i="1"/>
  <c r="H19" i="1"/>
  <c r="H22" i="1" s="1"/>
  <c r="I6" i="1"/>
  <c r="E70" i="1" l="1"/>
  <c r="E20" i="7" s="1"/>
  <c r="G66" i="1"/>
  <c r="G68" i="1" s="1"/>
  <c r="F68" i="1"/>
  <c r="H21" i="1"/>
  <c r="H39" i="1"/>
  <c r="F73" i="1"/>
  <c r="F69" i="1"/>
  <c r="F48" i="1"/>
  <c r="E75" i="1"/>
  <c r="F74" i="1"/>
  <c r="I67" i="1"/>
  <c r="G42" i="1"/>
  <c r="G51" i="1"/>
  <c r="F85" i="1" s="1"/>
  <c r="I46" i="1"/>
  <c r="H27" i="1"/>
  <c r="H66" i="1" s="1"/>
  <c r="H14" i="1"/>
  <c r="H41" i="1" s="1"/>
  <c r="D59" i="2"/>
  <c r="J3" i="1"/>
  <c r="I18" i="1"/>
  <c r="I19" i="1"/>
  <c r="I22" i="1" s="1"/>
  <c r="J6" i="1"/>
  <c r="F70" i="1" l="1"/>
  <c r="F20" i="7" s="1"/>
  <c r="E86" i="1"/>
  <c r="I21" i="1"/>
  <c r="I39" i="1"/>
  <c r="G73" i="1"/>
  <c r="G69" i="1"/>
  <c r="G48" i="1"/>
  <c r="F75" i="1"/>
  <c r="H68" i="1"/>
  <c r="G74" i="1"/>
  <c r="J67" i="1"/>
  <c r="H42" i="1"/>
  <c r="H51" i="1"/>
  <c r="G85" i="1" s="1"/>
  <c r="J46" i="1"/>
  <c r="I27" i="1"/>
  <c r="I66" i="1" s="1"/>
  <c r="I14" i="1"/>
  <c r="I41" i="1" s="1"/>
  <c r="G59" i="2"/>
  <c r="C60" i="2" s="1"/>
  <c r="K3" i="1"/>
  <c r="J18" i="1"/>
  <c r="J19" i="1"/>
  <c r="J22" i="1" s="1"/>
  <c r="K6" i="1"/>
  <c r="G70" i="1" l="1"/>
  <c r="F86" i="1"/>
  <c r="G20" i="7"/>
  <c r="J21" i="1"/>
  <c r="J39" i="1"/>
  <c r="H73" i="1"/>
  <c r="H69" i="1"/>
  <c r="H48" i="1"/>
  <c r="I68" i="1"/>
  <c r="H74" i="1"/>
  <c r="G75" i="1"/>
  <c r="K67" i="1"/>
  <c r="I42" i="1"/>
  <c r="I51" i="1"/>
  <c r="H85" i="1" s="1"/>
  <c r="K46" i="1"/>
  <c r="J14" i="1"/>
  <c r="J41" i="1" s="1"/>
  <c r="I74" i="1" s="1"/>
  <c r="J27" i="1"/>
  <c r="E60" i="2"/>
  <c r="L3" i="1"/>
  <c r="K18" i="1"/>
  <c r="K19" i="1"/>
  <c r="K22" i="1" s="1"/>
  <c r="L6" i="1"/>
  <c r="H70" i="1" l="1"/>
  <c r="G86" i="1"/>
  <c r="H20" i="7"/>
  <c r="J66" i="1"/>
  <c r="K21" i="1"/>
  <c r="K39" i="1"/>
  <c r="I73" i="1"/>
  <c r="I69" i="1"/>
  <c r="I48" i="1"/>
  <c r="H75" i="1"/>
  <c r="M67" i="1"/>
  <c r="L67" i="1"/>
  <c r="J42" i="1"/>
  <c r="I75" i="1" s="1"/>
  <c r="J51" i="1"/>
  <c r="I85" i="1" s="1"/>
  <c r="L46" i="1"/>
  <c r="K14" i="1"/>
  <c r="K41" i="1" s="1"/>
  <c r="J74" i="1" s="1"/>
  <c r="K27" i="1"/>
  <c r="D60" i="2"/>
  <c r="M3" i="1"/>
  <c r="L18" i="1"/>
  <c r="L19" i="1"/>
  <c r="L22" i="1" s="1"/>
  <c r="M6" i="1"/>
  <c r="I70" i="1" l="1"/>
  <c r="I20" i="7" s="1"/>
  <c r="H86" i="1"/>
  <c r="J68" i="1"/>
  <c r="J69" i="1" s="1"/>
  <c r="K66" i="1"/>
  <c r="L21" i="1"/>
  <c r="L39" i="1"/>
  <c r="J73" i="1"/>
  <c r="J48" i="1"/>
  <c r="K42" i="1"/>
  <c r="K51" i="1"/>
  <c r="J85" i="1" s="1"/>
  <c r="M46" i="1"/>
  <c r="O81" i="1" s="1"/>
  <c r="P81" i="1" s="1"/>
  <c r="M83" i="1" s="1"/>
  <c r="L14" i="1"/>
  <c r="L41" i="1" s="1"/>
  <c r="L27" i="1"/>
  <c r="G60" i="2"/>
  <c r="C61" i="2" s="1"/>
  <c r="M18" i="1"/>
  <c r="M19" i="1"/>
  <c r="M22" i="1" s="1"/>
  <c r="D27" i="1"/>
  <c r="D66" i="1" s="1"/>
  <c r="J70" i="1" l="1"/>
  <c r="I86" i="1"/>
  <c r="J20" i="7"/>
  <c r="K68" i="1"/>
  <c r="L66" i="1"/>
  <c r="M21" i="1"/>
  <c r="M39" i="1"/>
  <c r="M73" i="1" s="1"/>
  <c r="K73" i="1"/>
  <c r="K48" i="1"/>
  <c r="J75" i="1"/>
  <c r="K74" i="1"/>
  <c r="D33" i="1"/>
  <c r="D34" i="1" s="1"/>
  <c r="D52" i="1" s="1"/>
  <c r="L42" i="1"/>
  <c r="L51" i="1"/>
  <c r="K85" i="1" s="1"/>
  <c r="M27" i="1"/>
  <c r="M14" i="1"/>
  <c r="M41" i="1" s="1"/>
  <c r="M74" i="1" s="1"/>
  <c r="E61" i="2"/>
  <c r="E33" i="1"/>
  <c r="E34" i="1" s="1"/>
  <c r="E52" i="1" s="1"/>
  <c r="G33" i="1"/>
  <c r="F33" i="1"/>
  <c r="K69" i="1" l="1"/>
  <c r="L68" i="1"/>
  <c r="L69" i="1" s="1"/>
  <c r="M66" i="1"/>
  <c r="M68" i="1" s="1"/>
  <c r="L73" i="1"/>
  <c r="L48" i="1"/>
  <c r="K75" i="1"/>
  <c r="L74" i="1"/>
  <c r="D68" i="1"/>
  <c r="M42" i="1"/>
  <c r="L75" i="1" s="1"/>
  <c r="M51" i="1"/>
  <c r="D35" i="1"/>
  <c r="D58" i="1" s="1"/>
  <c r="D60" i="1" s="1"/>
  <c r="D61" i="2"/>
  <c r="G34" i="1"/>
  <c r="F34" i="1"/>
  <c r="E35" i="1"/>
  <c r="K70" i="1" l="1"/>
  <c r="J86" i="1"/>
  <c r="L70" i="1"/>
  <c r="L20" i="7" s="1"/>
  <c r="K86" i="1"/>
  <c r="K20" i="7"/>
  <c r="D69" i="1"/>
  <c r="M69" i="1"/>
  <c r="L85" i="1"/>
  <c r="M85" i="1"/>
  <c r="M48" i="1"/>
  <c r="M75" i="1"/>
  <c r="F35" i="1"/>
  <c r="F52" i="1"/>
  <c r="G35" i="1"/>
  <c r="G52" i="1"/>
  <c r="G61" i="2"/>
  <c r="C62" i="2" s="1"/>
  <c r="E58" i="1"/>
  <c r="E60" i="1" s="1"/>
  <c r="C86" i="1" l="1"/>
  <c r="D86" i="1"/>
  <c r="M70" i="1"/>
  <c r="M20" i="7" s="1"/>
  <c r="M86" i="1"/>
  <c r="L86" i="1"/>
  <c r="E87" i="1"/>
  <c r="E35" i="7" s="1"/>
  <c r="E88" i="1"/>
  <c r="D70" i="1"/>
  <c r="D20" i="7" s="1"/>
  <c r="E62" i="2"/>
  <c r="E62" i="1"/>
  <c r="F58" i="1"/>
  <c r="F60" i="1" s="1"/>
  <c r="F87" i="1" l="1"/>
  <c r="F35" i="7" s="1"/>
  <c r="F88" i="1"/>
  <c r="E22" i="7"/>
  <c r="E23" i="7" s="1"/>
  <c r="E11" i="7"/>
  <c r="D62" i="2"/>
  <c r="F62" i="1"/>
  <c r="G58" i="1"/>
  <c r="F22" i="7" l="1"/>
  <c r="F23" i="7" s="1"/>
  <c r="F11" i="7"/>
  <c r="G62" i="2"/>
  <c r="C63" i="2" s="1"/>
  <c r="E63" i="2" s="1"/>
  <c r="D63" i="2" s="1"/>
  <c r="G63" i="2" s="1"/>
  <c r="C64" i="2" s="1"/>
  <c r="E64" i="2" s="1"/>
  <c r="D64" i="2" s="1"/>
  <c r="G64" i="2" s="1"/>
  <c r="C65" i="2" s="1"/>
  <c r="E65" i="2" s="1"/>
  <c r="D65" i="2" s="1"/>
  <c r="G65" i="2" s="1"/>
  <c r="C66" i="2" s="1"/>
  <c r="E66" i="2" s="1"/>
  <c r="D66" i="2" s="1"/>
  <c r="G66" i="2" s="1"/>
  <c r="C67" i="2" s="1"/>
  <c r="E67" i="2" s="1"/>
  <c r="D67" i="2" s="1"/>
  <c r="G67" i="2" s="1"/>
  <c r="C68" i="2" s="1"/>
  <c r="E68" i="2" s="1"/>
  <c r="D68" i="2" s="1"/>
  <c r="G68" i="2" s="1"/>
  <c r="C69" i="2" s="1"/>
  <c r="G60" i="1"/>
  <c r="E69" i="2" l="1"/>
  <c r="G62" i="1"/>
  <c r="D69" i="2" l="1"/>
  <c r="E70" i="2"/>
  <c r="H30" i="1" s="1"/>
  <c r="H33" i="1" s="1"/>
  <c r="H34" i="1" s="1"/>
  <c r="H35" i="1" l="1"/>
  <c r="H58" i="1" s="1"/>
  <c r="H52" i="1"/>
  <c r="D70" i="2"/>
  <c r="G69" i="2"/>
  <c r="G87" i="1" l="1"/>
  <c r="G35" i="7" s="1"/>
  <c r="G88" i="1"/>
  <c r="C72" i="2"/>
  <c r="H54" i="1"/>
  <c r="H60" i="1" s="1"/>
  <c r="H62" i="1" s="1"/>
  <c r="E72" i="2"/>
  <c r="G11" i="7" l="1"/>
  <c r="G22" i="7"/>
  <c r="G23" i="7" s="1"/>
  <c r="D72" i="2"/>
  <c r="G72" i="2" l="1"/>
  <c r="C73" i="2" s="1"/>
  <c r="E73" i="2" l="1"/>
  <c r="D73" i="2" l="1"/>
  <c r="G73" i="2" l="1"/>
  <c r="C74" i="2" s="1"/>
  <c r="E74" i="2" l="1"/>
  <c r="D74" i="2" l="1"/>
  <c r="G74" i="2" l="1"/>
  <c r="C75" i="2" s="1"/>
  <c r="E75" i="2" l="1"/>
  <c r="D75" i="2" l="1"/>
  <c r="G75" i="2" l="1"/>
  <c r="C76" i="2" s="1"/>
  <c r="E76" i="2" s="1"/>
  <c r="D76" i="2" l="1"/>
  <c r="G76" i="2" l="1"/>
  <c r="C77" i="2" s="1"/>
  <c r="E77" i="2" s="1"/>
  <c r="D77" i="2" s="1"/>
  <c r="G77" i="2" s="1"/>
  <c r="C78" i="2" s="1"/>
  <c r="E78" i="2" s="1"/>
  <c r="D78" i="2" s="1"/>
  <c r="G78" i="2" s="1"/>
  <c r="C79" i="2" s="1"/>
  <c r="E79" i="2" s="1"/>
  <c r="D79" i="2" s="1"/>
  <c r="G79" i="2" s="1"/>
  <c r="C80" i="2" s="1"/>
  <c r="E80" i="2" l="1"/>
  <c r="D80" i="2" s="1"/>
  <c r="G80" i="2" s="1"/>
  <c r="C81" i="2" s="1"/>
  <c r="E81" i="2" s="1"/>
  <c r="D81" i="2" s="1"/>
  <c r="G81" i="2" s="1"/>
  <c r="C82" i="2" s="1"/>
  <c r="E82" i="2" s="1"/>
  <c r="D82" i="2" s="1"/>
  <c r="G82" i="2" s="1"/>
  <c r="C83" i="2" s="1"/>
  <c r="E83" i="2" l="1"/>
  <c r="D83" i="2" l="1"/>
  <c r="E84" i="2"/>
  <c r="I30" i="1" s="1"/>
  <c r="I33" i="1" s="1"/>
  <c r="I34" i="1" s="1"/>
  <c r="I35" i="1" l="1"/>
  <c r="I58" i="1" s="1"/>
  <c r="I52" i="1"/>
  <c r="D84" i="2"/>
  <c r="G83" i="2"/>
  <c r="H87" i="1" l="1"/>
  <c r="H88" i="1"/>
  <c r="C86" i="2"/>
  <c r="I54" i="1"/>
  <c r="I60" i="1" s="1"/>
  <c r="I62" i="1" s="1"/>
  <c r="E86" i="2"/>
  <c r="H11" i="7" l="1"/>
  <c r="H22" i="7"/>
  <c r="H23" i="7" s="1"/>
  <c r="D86" i="2"/>
  <c r="G86" i="2" l="1"/>
  <c r="C87" i="2" s="1"/>
  <c r="E87" i="2" l="1"/>
  <c r="D87" i="2" l="1"/>
  <c r="G87" i="2" l="1"/>
  <c r="C88" i="2" s="1"/>
  <c r="E88" i="2" l="1"/>
  <c r="D88" i="2" l="1"/>
  <c r="G88" i="2" l="1"/>
  <c r="C89" i="2" s="1"/>
  <c r="E89" i="2" l="1"/>
  <c r="D89" i="2" l="1"/>
  <c r="G89" i="2" l="1"/>
  <c r="C90" i="2" s="1"/>
  <c r="E90" i="2" s="1"/>
  <c r="D90" i="2" l="1"/>
  <c r="G90" i="2" l="1"/>
  <c r="C91" i="2" s="1"/>
  <c r="E91" i="2" s="1"/>
  <c r="D91" i="2" s="1"/>
  <c r="G91" i="2" s="1"/>
  <c r="C92" i="2" s="1"/>
  <c r="E92" i="2" s="1"/>
  <c r="D92" i="2" s="1"/>
  <c r="G92" i="2" s="1"/>
  <c r="C93" i="2" s="1"/>
  <c r="E93" i="2" s="1"/>
  <c r="D93" i="2" s="1"/>
  <c r="G93" i="2" s="1"/>
  <c r="C94" i="2" s="1"/>
  <c r="E94" i="2" s="1"/>
  <c r="D94" i="2" s="1"/>
  <c r="G94" i="2" s="1"/>
  <c r="C95" i="2" s="1"/>
  <c r="E95" i="2" s="1"/>
  <c r="D95" i="2" s="1"/>
  <c r="G95" i="2" s="1"/>
  <c r="C96" i="2" s="1"/>
  <c r="E96" i="2" s="1"/>
  <c r="D96" i="2" s="1"/>
  <c r="G96" i="2" s="1"/>
  <c r="C97" i="2" s="1"/>
  <c r="E97" i="2" l="1"/>
  <c r="D97" i="2" l="1"/>
  <c r="E98" i="2"/>
  <c r="J30" i="1" s="1"/>
  <c r="J33" i="1" s="1"/>
  <c r="J34" i="1" s="1"/>
  <c r="J35" i="1" l="1"/>
  <c r="J58" i="1" s="1"/>
  <c r="J52" i="1"/>
  <c r="D98" i="2"/>
  <c r="G97" i="2"/>
  <c r="I87" i="1" l="1"/>
  <c r="I88" i="1"/>
  <c r="C100" i="2"/>
  <c r="J54" i="1"/>
  <c r="J60" i="1" s="1"/>
  <c r="J62" i="1" s="1"/>
  <c r="E100" i="2"/>
  <c r="I22" i="7" l="1"/>
  <c r="I23" i="7" s="1"/>
  <c r="I11" i="7"/>
  <c r="D100" i="2"/>
  <c r="G100" i="2" l="1"/>
  <c r="C101" i="2" s="1"/>
  <c r="E101" i="2" l="1"/>
  <c r="D101" i="2" l="1"/>
  <c r="G101" i="2" l="1"/>
  <c r="C102" i="2" s="1"/>
  <c r="E102" i="2" l="1"/>
  <c r="D102" i="2" l="1"/>
  <c r="G102" i="2" l="1"/>
  <c r="C103" i="2" s="1"/>
  <c r="E103" i="2" l="1"/>
  <c r="D103" i="2" l="1"/>
  <c r="G103" i="2" l="1"/>
  <c r="C104" i="2" s="1"/>
  <c r="E104" i="2" l="1"/>
  <c r="D104" i="2" l="1"/>
  <c r="G104" i="2" l="1"/>
  <c r="C105" i="2" s="1"/>
  <c r="E105" i="2" s="1"/>
  <c r="D105" i="2" s="1"/>
  <c r="G105" i="2" s="1"/>
  <c r="C106" i="2" s="1"/>
  <c r="E106" i="2" s="1"/>
  <c r="D106" i="2" s="1"/>
  <c r="G106" i="2" s="1"/>
  <c r="C107" i="2" s="1"/>
  <c r="E107" i="2" s="1"/>
  <c r="D107" i="2" s="1"/>
  <c r="G107" i="2" s="1"/>
  <c r="C108" i="2" s="1"/>
  <c r="E108" i="2" s="1"/>
  <c r="D108" i="2" s="1"/>
  <c r="G108" i="2" s="1"/>
  <c r="C109" i="2" s="1"/>
  <c r="E109" i="2" s="1"/>
  <c r="D109" i="2" s="1"/>
  <c r="G109" i="2" s="1"/>
  <c r="C110" i="2" s="1"/>
  <c r="E110" i="2" s="1"/>
  <c r="D110" i="2" s="1"/>
  <c r="G110" i="2" s="1"/>
  <c r="C111" i="2" s="1"/>
  <c r="E111" i="2" l="1"/>
  <c r="D111" i="2" l="1"/>
  <c r="E112" i="2"/>
  <c r="K30" i="1" s="1"/>
  <c r="K33" i="1" s="1"/>
  <c r="K34" i="1" s="1"/>
  <c r="K35" i="1" l="1"/>
  <c r="K58" i="1" s="1"/>
  <c r="K52" i="1"/>
  <c r="D112" i="2"/>
  <c r="G111" i="2"/>
  <c r="J87" i="1" l="1"/>
  <c r="J88" i="1"/>
  <c r="C114" i="2"/>
  <c r="K54" i="1"/>
  <c r="K60" i="1" s="1"/>
  <c r="K62" i="1" s="1"/>
  <c r="E114" i="2"/>
  <c r="J22" i="7" l="1"/>
  <c r="J23" i="7" s="1"/>
  <c r="J11" i="7"/>
  <c r="D114" i="2"/>
  <c r="G114" i="2" l="1"/>
  <c r="C115" i="2" s="1"/>
  <c r="E115" i="2" l="1"/>
  <c r="D115" i="2" l="1"/>
  <c r="G115" i="2" l="1"/>
  <c r="C116" i="2" s="1"/>
  <c r="E116" i="2" l="1"/>
  <c r="D116" i="2" l="1"/>
  <c r="G116" i="2" l="1"/>
  <c r="C117" i="2" s="1"/>
  <c r="E117" i="2" l="1"/>
  <c r="D117" i="2" l="1"/>
  <c r="G117" i="2" l="1"/>
  <c r="C118" i="2" s="1"/>
  <c r="E118" i="2" l="1"/>
  <c r="D118" i="2" l="1"/>
  <c r="G118" i="2" l="1"/>
  <c r="C119" i="2" s="1"/>
  <c r="E119" i="2" s="1"/>
  <c r="D119" i="2" s="1"/>
  <c r="G119" i="2" s="1"/>
  <c r="C120" i="2" s="1"/>
  <c r="E120" i="2" l="1"/>
  <c r="D120" i="2" s="1"/>
  <c r="G120" i="2" s="1"/>
  <c r="C121" i="2" s="1"/>
  <c r="E121" i="2" s="1"/>
  <c r="D121" i="2" s="1"/>
  <c r="G121" i="2" s="1"/>
  <c r="C122" i="2" s="1"/>
  <c r="E122" i="2" s="1"/>
  <c r="D122" i="2" s="1"/>
  <c r="G122" i="2" s="1"/>
  <c r="C123" i="2" s="1"/>
  <c r="E123" i="2" s="1"/>
  <c r="D123" i="2" s="1"/>
  <c r="G123" i="2" s="1"/>
  <c r="C124" i="2" s="1"/>
  <c r="E124" i="2" s="1"/>
  <c r="D124" i="2" s="1"/>
  <c r="G124" i="2" s="1"/>
  <c r="C125" i="2" s="1"/>
  <c r="E125" i="2" l="1"/>
  <c r="D125" i="2" l="1"/>
  <c r="E126" i="2"/>
  <c r="L30" i="1" s="1"/>
  <c r="L33" i="1" s="1"/>
  <c r="L34" i="1" l="1"/>
  <c r="D126" i="2"/>
  <c r="G125" i="2"/>
  <c r="C128" i="2" l="1"/>
  <c r="L54" i="1"/>
  <c r="L35" i="1"/>
  <c r="L58" i="1" s="1"/>
  <c r="L52" i="1"/>
  <c r="E128" i="2"/>
  <c r="K87" i="1" l="1"/>
  <c r="K88" i="1"/>
  <c r="L60" i="1"/>
  <c r="L62" i="1" s="1"/>
  <c r="D128" i="2"/>
  <c r="K11" i="7" l="1"/>
  <c r="K22" i="7"/>
  <c r="K23" i="7" s="1"/>
  <c r="G128" i="2"/>
  <c r="C129" i="2" s="1"/>
  <c r="E129" i="2" l="1"/>
  <c r="D129" i="2" l="1"/>
  <c r="G129" i="2" l="1"/>
  <c r="C130" i="2" s="1"/>
  <c r="E130" i="2" l="1"/>
  <c r="D130" i="2" l="1"/>
  <c r="G130" i="2" l="1"/>
  <c r="C131" i="2" s="1"/>
  <c r="E131" i="2" l="1"/>
  <c r="D131" i="2" l="1"/>
  <c r="G131" i="2" l="1"/>
  <c r="C132" i="2" s="1"/>
  <c r="E132" i="2" l="1"/>
  <c r="D132" i="2" l="1"/>
  <c r="G132" i="2" l="1"/>
  <c r="C133" i="2" s="1"/>
  <c r="E133" i="2" l="1"/>
  <c r="D133" i="2" s="1"/>
  <c r="G133" i="2" s="1"/>
  <c r="C134" i="2" s="1"/>
  <c r="E134" i="2" s="1"/>
  <c r="D134" i="2" s="1"/>
  <c r="G134" i="2" s="1"/>
  <c r="C135" i="2" s="1"/>
  <c r="E135" i="2" s="1"/>
  <c r="D135" i="2" s="1"/>
  <c r="G135" i="2" s="1"/>
  <c r="C136" i="2" s="1"/>
  <c r="E136" i="2" l="1"/>
  <c r="D136" i="2" s="1"/>
  <c r="G136" i="2" s="1"/>
  <c r="C137" i="2" s="1"/>
  <c r="E137" i="2" s="1"/>
  <c r="D137" i="2" s="1"/>
  <c r="G137" i="2" s="1"/>
  <c r="C138" i="2" s="1"/>
  <c r="E138" i="2" s="1"/>
  <c r="D138" i="2" s="1"/>
  <c r="G138" i="2" s="1"/>
  <c r="C139" i="2" s="1"/>
  <c r="E139" i="2" l="1"/>
  <c r="D139" i="2" l="1"/>
  <c r="E140" i="2"/>
  <c r="M30" i="1" s="1"/>
  <c r="M33" i="1" s="1"/>
  <c r="M34" i="1" l="1"/>
  <c r="D140" i="2"/>
  <c r="G139" i="2"/>
  <c r="C142" i="2" l="1"/>
  <c r="M54" i="1"/>
  <c r="N54" i="1" s="1"/>
  <c r="M35" i="1"/>
  <c r="M58" i="1" s="1"/>
  <c r="N58" i="1" s="1"/>
  <c r="M52" i="1"/>
  <c r="E142" i="2"/>
  <c r="N59" i="1" l="1"/>
  <c r="O55" i="1" s="1"/>
  <c r="R55" i="1" s="1"/>
  <c r="M60" i="1"/>
  <c r="M62" i="1" s="1"/>
  <c r="D142" i="2"/>
  <c r="O54" i="1" l="1"/>
  <c r="L88" i="1"/>
  <c r="L87" i="1"/>
  <c r="M88" i="1"/>
  <c r="M87" i="1"/>
  <c r="O57" i="1"/>
  <c r="G142" i="2"/>
  <c r="C143" i="2" s="1"/>
  <c r="R54" i="1" l="1"/>
  <c r="P49" i="1"/>
  <c r="P50" i="1" s="1"/>
  <c r="P57" i="1" s="1"/>
  <c r="Q57" i="1" s="1"/>
  <c r="R57" i="1" s="1"/>
  <c r="L11" i="7"/>
  <c r="L22" i="7"/>
  <c r="L23" i="7" s="1"/>
  <c r="M22" i="7"/>
  <c r="M23" i="7" s="1"/>
  <c r="M11" i="7"/>
  <c r="E143" i="2"/>
  <c r="R58" i="1" l="1"/>
  <c r="C91" i="1" s="1"/>
  <c r="D143" i="2"/>
  <c r="C26" i="7" l="1"/>
  <c r="C38" i="7"/>
  <c r="C59" i="7" s="1"/>
  <c r="C14" i="7"/>
  <c r="G143" i="2"/>
  <c r="C144" i="2" s="1"/>
  <c r="C73" i="7" l="1"/>
  <c r="C60" i="7"/>
  <c r="D77" i="7" s="1"/>
  <c r="F77" i="7" s="1"/>
  <c r="E144" i="2"/>
  <c r="D79" i="7" l="1"/>
  <c r="F79" i="7" s="1"/>
  <c r="C74" i="7"/>
  <c r="D144" i="2"/>
  <c r="G144" i="2" l="1"/>
  <c r="C145" i="2" s="1"/>
  <c r="E145" i="2" l="1"/>
  <c r="D145" i="2" l="1"/>
  <c r="G145" i="2" l="1"/>
  <c r="C146" i="2" s="1"/>
  <c r="E146" i="2" l="1"/>
  <c r="D146" i="2" l="1"/>
  <c r="G146" i="2" l="1"/>
  <c r="C147" i="2" s="1"/>
  <c r="E147" i="2" s="1"/>
  <c r="D147" i="2" s="1"/>
  <c r="G147" i="2" s="1"/>
  <c r="C148" i="2" s="1"/>
  <c r="E148" i="2" s="1"/>
  <c r="D148" i="2" s="1"/>
  <c r="G148" i="2" s="1"/>
  <c r="C149" i="2" s="1"/>
  <c r="E149" i="2" s="1"/>
  <c r="D149" i="2" s="1"/>
  <c r="G149" i="2" s="1"/>
  <c r="C150" i="2" s="1"/>
  <c r="E150" i="2" s="1"/>
  <c r="D150" i="2" s="1"/>
  <c r="G150" i="2" s="1"/>
  <c r="C151" i="2" s="1"/>
  <c r="E151" i="2" s="1"/>
  <c r="D151" i="2" s="1"/>
  <c r="G151" i="2" s="1"/>
  <c r="C152" i="2" s="1"/>
  <c r="E152" i="2" l="1"/>
  <c r="D152" i="2" s="1"/>
  <c r="G152" i="2" s="1"/>
  <c r="C153" i="2" s="1"/>
  <c r="E153" i="2" l="1"/>
  <c r="D153" i="2" l="1"/>
  <c r="E154" i="2"/>
  <c r="D154" i="2" l="1"/>
  <c r="G153" i="2"/>
  <c r="C156" i="2" s="1"/>
  <c r="E156" i="2" l="1"/>
  <c r="D156" i="2" l="1"/>
  <c r="G156" i="2" l="1"/>
  <c r="C157" i="2" s="1"/>
  <c r="E157" i="2" l="1"/>
  <c r="D157" i="2" l="1"/>
  <c r="G157" i="2" l="1"/>
  <c r="C158" i="2" s="1"/>
  <c r="E158" i="2" l="1"/>
  <c r="D158" i="2" l="1"/>
  <c r="G158" i="2" l="1"/>
  <c r="C159" i="2" s="1"/>
  <c r="E159" i="2" l="1"/>
  <c r="D159" i="2" l="1"/>
  <c r="G159" i="2" l="1"/>
  <c r="C160" i="2" s="1"/>
  <c r="E160" i="2" s="1"/>
  <c r="D160" i="2" l="1"/>
  <c r="G160" i="2" l="1"/>
  <c r="C161" i="2" s="1"/>
  <c r="E161" i="2" s="1"/>
  <c r="D161" i="2" s="1"/>
  <c r="G161" i="2" s="1"/>
  <c r="C162" i="2" s="1"/>
  <c r="E162" i="2" s="1"/>
  <c r="D162" i="2" s="1"/>
  <c r="G162" i="2" s="1"/>
  <c r="C163" i="2" s="1"/>
  <c r="E163" i="2" s="1"/>
  <c r="D163" i="2" s="1"/>
  <c r="G163" i="2" s="1"/>
  <c r="C164" i="2" s="1"/>
  <c r="E164" i="2" s="1"/>
  <c r="D164" i="2" s="1"/>
  <c r="G164" i="2" s="1"/>
  <c r="C165" i="2" s="1"/>
  <c r="E165" i="2" s="1"/>
  <c r="D165" i="2" s="1"/>
  <c r="G165" i="2" s="1"/>
  <c r="C166" i="2" s="1"/>
  <c r="E166" i="2" s="1"/>
  <c r="D166" i="2" s="1"/>
  <c r="G166" i="2" s="1"/>
  <c r="C167" i="2" s="1"/>
  <c r="E167" i="2" l="1"/>
  <c r="D167" i="2" l="1"/>
  <c r="E168" i="2"/>
  <c r="D168" i="2" l="1"/>
  <c r="G167" i="2"/>
  <c r="C170" i="2" s="1"/>
  <c r="E170" i="2" l="1"/>
  <c r="D170" i="2" l="1"/>
  <c r="G170" i="2" l="1"/>
  <c r="C171" i="2" s="1"/>
  <c r="E171" i="2" l="1"/>
  <c r="D171" i="2" l="1"/>
  <c r="G171" i="2" l="1"/>
  <c r="C172" i="2" s="1"/>
  <c r="E172" i="2" l="1"/>
  <c r="D172" i="2" l="1"/>
  <c r="G172" i="2" l="1"/>
  <c r="C173" i="2" s="1"/>
  <c r="E173" i="2" l="1"/>
  <c r="D173" i="2" l="1"/>
  <c r="G173" i="2" l="1"/>
  <c r="C174" i="2" s="1"/>
  <c r="E174" i="2" l="1"/>
  <c r="D174" i="2" l="1"/>
  <c r="G174" i="2" l="1"/>
  <c r="C175" i="2" s="1"/>
  <c r="E175" i="2" s="1"/>
  <c r="D175" i="2" s="1"/>
  <c r="G175" i="2" s="1"/>
  <c r="C176" i="2" s="1"/>
  <c r="E176" i="2" s="1"/>
  <c r="D176" i="2" s="1"/>
  <c r="G176" i="2" s="1"/>
  <c r="C177" i="2" s="1"/>
  <c r="E177" i="2" s="1"/>
  <c r="D177" i="2" s="1"/>
  <c r="G177" i="2" s="1"/>
  <c r="C178" i="2" s="1"/>
  <c r="E178" i="2" l="1"/>
  <c r="D178" i="2" s="1"/>
  <c r="G178" i="2" s="1"/>
  <c r="C179" i="2" s="1"/>
  <c r="E179" i="2" s="1"/>
  <c r="D179" i="2" s="1"/>
  <c r="G179" i="2" s="1"/>
  <c r="C180" i="2" s="1"/>
  <c r="E180" i="2" s="1"/>
  <c r="D180" i="2" s="1"/>
  <c r="G180" i="2" s="1"/>
  <c r="C181" i="2" s="1"/>
  <c r="E181" i="2" l="1"/>
  <c r="D181" i="2" l="1"/>
  <c r="E182" i="2"/>
  <c r="D182" i="2" l="1"/>
  <c r="G181" i="2"/>
  <c r="C184" i="2" s="1"/>
  <c r="E184" i="2" l="1"/>
  <c r="D184" i="2" l="1"/>
  <c r="G184" i="2" l="1"/>
  <c r="C185" i="2" s="1"/>
  <c r="E185" i="2" l="1"/>
  <c r="D185" i="2" l="1"/>
  <c r="G185" i="2" l="1"/>
  <c r="C186" i="2" s="1"/>
  <c r="E186" i="2" l="1"/>
  <c r="D186" i="2" l="1"/>
  <c r="G186" i="2" l="1"/>
  <c r="C187" i="2" s="1"/>
  <c r="E187" i="2" l="1"/>
  <c r="D187" i="2" l="1"/>
  <c r="G187" i="2" l="1"/>
  <c r="C188" i="2" s="1"/>
  <c r="E188" i="2" l="1"/>
  <c r="D188" i="2" l="1"/>
  <c r="G188" i="2" l="1"/>
  <c r="C189" i="2" s="1"/>
  <c r="E189" i="2" s="1"/>
  <c r="D189" i="2" s="1"/>
  <c r="G189" i="2" s="1"/>
  <c r="C190" i="2" s="1"/>
  <c r="E190" i="2" l="1"/>
  <c r="D190" i="2" s="1"/>
  <c r="G190" i="2" s="1"/>
  <c r="C191" i="2" s="1"/>
  <c r="E191" i="2" s="1"/>
  <c r="D191" i="2" s="1"/>
  <c r="G191" i="2" s="1"/>
  <c r="C192" i="2" s="1"/>
  <c r="E192" i="2" s="1"/>
  <c r="D192" i="2" s="1"/>
  <c r="G192" i="2" s="1"/>
  <c r="C193" i="2" s="1"/>
  <c r="E193" i="2" s="1"/>
  <c r="D193" i="2" s="1"/>
  <c r="G193" i="2" s="1"/>
  <c r="C194" i="2" s="1"/>
  <c r="E194" i="2" s="1"/>
  <c r="D194" i="2" s="1"/>
  <c r="G194" i="2" s="1"/>
  <c r="C195" i="2" s="1"/>
  <c r="E195" i="2" l="1"/>
  <c r="D195" i="2" l="1"/>
  <c r="E196" i="2"/>
  <c r="D196" i="2" l="1"/>
  <c r="G195" i="2"/>
  <c r="C198" i="2" s="1"/>
  <c r="E198" i="2" l="1"/>
  <c r="D198" i="2" l="1"/>
  <c r="G198" i="2" l="1"/>
  <c r="C199" i="2" s="1"/>
  <c r="E199" i="2" l="1"/>
  <c r="D199" i="2" l="1"/>
  <c r="G199" i="2" l="1"/>
  <c r="C200" i="2" s="1"/>
  <c r="E200" i="2" l="1"/>
  <c r="D200" i="2" l="1"/>
  <c r="G200" i="2" l="1"/>
  <c r="C201" i="2" s="1"/>
  <c r="E201" i="2" l="1"/>
  <c r="D201" i="2" l="1"/>
  <c r="G201" i="2" l="1"/>
  <c r="C202" i="2" s="1"/>
  <c r="E202" i="2" l="1"/>
  <c r="D202" i="2" l="1"/>
  <c r="G202" i="2" l="1"/>
  <c r="C203" i="2" s="1"/>
  <c r="E203" i="2" l="1"/>
  <c r="D203" i="2" s="1"/>
  <c r="G203" i="2" s="1"/>
  <c r="C204" i="2" s="1"/>
  <c r="E204" i="2" s="1"/>
  <c r="D204" i="2" s="1"/>
  <c r="G204" i="2" s="1"/>
  <c r="C205" i="2" s="1"/>
  <c r="E205" i="2" s="1"/>
  <c r="D205" i="2" s="1"/>
  <c r="G205" i="2" s="1"/>
  <c r="C206" i="2" s="1"/>
  <c r="E206" i="2" l="1"/>
  <c r="D206" i="2" s="1"/>
  <c r="G206" i="2" s="1"/>
  <c r="C207" i="2" s="1"/>
  <c r="E207" i="2" s="1"/>
  <c r="D207" i="2" s="1"/>
  <c r="G207" i="2" s="1"/>
  <c r="C208" i="2" s="1"/>
  <c r="E208" i="2" s="1"/>
  <c r="D208" i="2" s="1"/>
  <c r="G208" i="2" s="1"/>
  <c r="C209" i="2" s="1"/>
  <c r="E209" i="2" l="1"/>
  <c r="D209" i="2" l="1"/>
  <c r="E210" i="2"/>
  <c r="D210" i="2" l="1"/>
  <c r="G209" i="2"/>
  <c r="C212" i="2" s="1"/>
  <c r="E212" i="2" l="1"/>
  <c r="D212" i="2" l="1"/>
  <c r="G212" i="2" l="1"/>
  <c r="C213" i="2" s="1"/>
  <c r="E213" i="2" l="1"/>
  <c r="D213" i="2" l="1"/>
  <c r="G213" i="2" l="1"/>
  <c r="C214" i="2" s="1"/>
  <c r="E214" i="2" l="1"/>
  <c r="D214" i="2" l="1"/>
  <c r="G214" i="2" l="1"/>
  <c r="C215" i="2" s="1"/>
  <c r="E215" i="2" l="1"/>
  <c r="D215" i="2" l="1"/>
  <c r="G215" i="2" l="1"/>
  <c r="C216" i="2" s="1"/>
  <c r="E216" i="2" l="1"/>
  <c r="D216" i="2" l="1"/>
  <c r="G216" i="2" l="1"/>
  <c r="C217" i="2" s="1"/>
  <c r="E217" i="2" s="1"/>
  <c r="D217" i="2" s="1"/>
  <c r="G217" i="2" s="1"/>
  <c r="C218" i="2" s="1"/>
  <c r="E218" i="2" s="1"/>
  <c r="D218" i="2" s="1"/>
  <c r="G218" i="2" s="1"/>
  <c r="C219" i="2" s="1"/>
  <c r="E219" i="2" l="1"/>
  <c r="D219" i="2" s="1"/>
  <c r="G219" i="2" s="1"/>
  <c r="C220" i="2" s="1"/>
  <c r="E220" i="2" s="1"/>
  <c r="D220" i="2" s="1"/>
  <c r="G220" i="2" s="1"/>
  <c r="C221" i="2" s="1"/>
  <c r="E221" i="2" s="1"/>
  <c r="D221" i="2" s="1"/>
  <c r="G221" i="2" s="1"/>
  <c r="C222" i="2" s="1"/>
  <c r="E222" i="2" l="1"/>
  <c r="D222" i="2" s="1"/>
  <c r="G222" i="2" s="1"/>
  <c r="C223" i="2" s="1"/>
  <c r="E223" i="2" l="1"/>
  <c r="D223" i="2" l="1"/>
  <c r="E224" i="2"/>
  <c r="D224" i="2" l="1"/>
  <c r="G223" i="2"/>
  <c r="C226" i="2" s="1"/>
  <c r="E226" i="2" l="1"/>
  <c r="D226" i="2" l="1"/>
  <c r="G226" i="2" l="1"/>
  <c r="C227" i="2" s="1"/>
  <c r="E227" i="2" l="1"/>
  <c r="D227" i="2" l="1"/>
  <c r="G227" i="2" l="1"/>
  <c r="C228" i="2" s="1"/>
  <c r="E228" i="2" l="1"/>
  <c r="D228" i="2" l="1"/>
  <c r="G228" i="2" l="1"/>
  <c r="C229" i="2" s="1"/>
  <c r="E229" i="2" l="1"/>
  <c r="D229" i="2" l="1"/>
  <c r="G229" i="2" l="1"/>
  <c r="C230" i="2" s="1"/>
  <c r="E230" i="2" s="1"/>
  <c r="D230" i="2" l="1"/>
  <c r="G230" i="2" l="1"/>
  <c r="C231" i="2" s="1"/>
  <c r="E231" i="2" s="1"/>
  <c r="D231" i="2" s="1"/>
  <c r="G231" i="2" s="1"/>
  <c r="C232" i="2" s="1"/>
  <c r="E232" i="2" s="1"/>
  <c r="D232" i="2" s="1"/>
  <c r="G232" i="2" s="1"/>
  <c r="C233" i="2" s="1"/>
  <c r="E233" i="2" s="1"/>
  <c r="D233" i="2" s="1"/>
  <c r="G233" i="2" s="1"/>
  <c r="C234" i="2" s="1"/>
  <c r="E234" i="2" s="1"/>
  <c r="D234" i="2" s="1"/>
  <c r="G234" i="2" s="1"/>
  <c r="C235" i="2" s="1"/>
  <c r="E235" i="2" s="1"/>
  <c r="D235" i="2" s="1"/>
  <c r="G235" i="2" s="1"/>
  <c r="C236" i="2" s="1"/>
  <c r="E236" i="2" s="1"/>
  <c r="D236" i="2" s="1"/>
  <c r="G236" i="2" s="1"/>
  <c r="C237" i="2" s="1"/>
  <c r="E237" i="2" l="1"/>
  <c r="D237" i="2" l="1"/>
  <c r="E238" i="2"/>
  <c r="D238" i="2" l="1"/>
  <c r="G237" i="2"/>
  <c r="C240" i="2" s="1"/>
  <c r="E240" i="2" l="1"/>
  <c r="D240" i="2" l="1"/>
  <c r="G240" i="2" l="1"/>
  <c r="C241" i="2" s="1"/>
  <c r="E241" i="2" l="1"/>
  <c r="D241" i="2" l="1"/>
  <c r="G241" i="2" l="1"/>
  <c r="C242" i="2" s="1"/>
  <c r="E242" i="2" l="1"/>
  <c r="D242" i="2" l="1"/>
  <c r="G242" i="2" l="1"/>
  <c r="C243" i="2" s="1"/>
  <c r="E243" i="2" l="1"/>
  <c r="D243" i="2" l="1"/>
  <c r="G243" i="2" l="1"/>
  <c r="C244" i="2" s="1"/>
  <c r="E244" i="2" l="1"/>
  <c r="D244" i="2" l="1"/>
  <c r="G244" i="2" l="1"/>
  <c r="C245" i="2" s="1"/>
  <c r="E245" i="2" l="1"/>
  <c r="D245" i="2" s="1"/>
  <c r="G245" i="2" s="1"/>
  <c r="C246" i="2" s="1"/>
  <c r="E246" i="2" s="1"/>
  <c r="D246" i="2" s="1"/>
  <c r="G246" i="2" s="1"/>
  <c r="C247" i="2" s="1"/>
  <c r="E247" i="2" l="1"/>
  <c r="D247" i="2" s="1"/>
  <c r="G247" i="2" s="1"/>
  <c r="C248" i="2" s="1"/>
  <c r="E248" i="2" l="1"/>
  <c r="D248" i="2" s="1"/>
  <c r="G248" i="2" s="1"/>
  <c r="C249" i="2" s="1"/>
  <c r="E249" i="2" l="1"/>
  <c r="D249" i="2" s="1"/>
  <c r="G249" i="2" s="1"/>
  <c r="C250" i="2" s="1"/>
  <c r="E250" i="2" s="1"/>
  <c r="D250" i="2" s="1"/>
  <c r="G250" i="2" s="1"/>
  <c r="C251" i="2" s="1"/>
  <c r="E251" i="2" l="1"/>
  <c r="D251" i="2" l="1"/>
  <c r="E252" i="2"/>
  <c r="D252" i="2" l="1"/>
  <c r="G251" i="2"/>
  <c r="C254" i="2" s="1"/>
  <c r="E254" i="2" l="1"/>
  <c r="D254" i="2" l="1"/>
  <c r="G254" i="2" l="1"/>
  <c r="C255" i="2" s="1"/>
  <c r="E255" i="2" l="1"/>
  <c r="D255" i="2" l="1"/>
  <c r="G255" i="2" l="1"/>
  <c r="C256" i="2" s="1"/>
  <c r="E256" i="2" l="1"/>
  <c r="D256" i="2" l="1"/>
  <c r="G256" i="2" l="1"/>
  <c r="C257" i="2" s="1"/>
  <c r="E257" i="2" l="1"/>
  <c r="D257" i="2" l="1"/>
  <c r="G257" i="2" l="1"/>
  <c r="C258" i="2" s="1"/>
  <c r="E258" i="2" l="1"/>
  <c r="D258" i="2" l="1"/>
  <c r="G258" i="2" l="1"/>
  <c r="C259" i="2" s="1"/>
  <c r="E259" i="2" s="1"/>
  <c r="D259" i="2" s="1"/>
  <c r="G259" i="2" s="1"/>
  <c r="C260" i="2" s="1"/>
  <c r="E260" i="2" s="1"/>
  <c r="D260" i="2" s="1"/>
  <c r="G260" i="2" s="1"/>
  <c r="C261" i="2" s="1"/>
  <c r="E261" i="2" s="1"/>
  <c r="D261" i="2" s="1"/>
  <c r="G261" i="2" s="1"/>
  <c r="C262" i="2" s="1"/>
  <c r="E262" i="2" s="1"/>
  <c r="D262" i="2" s="1"/>
  <c r="G262" i="2" s="1"/>
  <c r="C263" i="2" s="1"/>
  <c r="E263" i="2" s="1"/>
  <c r="D263" i="2" s="1"/>
  <c r="G263" i="2" s="1"/>
  <c r="C264" i="2" s="1"/>
  <c r="E264" i="2" s="1"/>
  <c r="D264" i="2" s="1"/>
  <c r="G264" i="2" s="1"/>
  <c r="C265" i="2" s="1"/>
  <c r="E265" i="2" l="1"/>
  <c r="D265" i="2" l="1"/>
  <c r="E266" i="2"/>
  <c r="D266" i="2" l="1"/>
  <c r="G265" i="2"/>
  <c r="C268" i="2" s="1"/>
  <c r="E268" i="2" l="1"/>
  <c r="D268" i="2" l="1"/>
  <c r="G268" i="2" l="1"/>
  <c r="C269" i="2" s="1"/>
  <c r="E269" i="2" l="1"/>
  <c r="D269" i="2" l="1"/>
  <c r="G269" i="2" l="1"/>
  <c r="C270" i="2" s="1"/>
  <c r="E270" i="2" l="1"/>
  <c r="D270" i="2" l="1"/>
  <c r="G270" i="2" l="1"/>
  <c r="C271" i="2" s="1"/>
  <c r="E271" i="2" l="1"/>
  <c r="D271" i="2" l="1"/>
  <c r="G271" i="2" l="1"/>
  <c r="C272" i="2" s="1"/>
  <c r="E272" i="2" l="1"/>
  <c r="D272" i="2" l="1"/>
  <c r="G272" i="2" l="1"/>
  <c r="C273" i="2" s="1"/>
  <c r="E273" i="2" s="1"/>
  <c r="D273" i="2" s="1"/>
  <c r="G273" i="2" s="1"/>
  <c r="C274" i="2" s="1"/>
  <c r="E274" i="2" l="1"/>
  <c r="D274" i="2" s="1"/>
  <c r="G274" i="2" s="1"/>
  <c r="C275" i="2" s="1"/>
  <c r="E275" i="2" s="1"/>
  <c r="D275" i="2" s="1"/>
  <c r="G275" i="2" s="1"/>
  <c r="C276" i="2" s="1"/>
  <c r="E276" i="2" s="1"/>
  <c r="D276" i="2" s="1"/>
  <c r="G276" i="2" s="1"/>
  <c r="C277" i="2" s="1"/>
  <c r="E277" i="2" s="1"/>
  <c r="D277" i="2" s="1"/>
  <c r="G277" i="2" s="1"/>
  <c r="C278" i="2" s="1"/>
  <c r="E278" i="2" l="1"/>
  <c r="D278" i="2" s="1"/>
  <c r="G278" i="2" s="1"/>
  <c r="C279" i="2" s="1"/>
  <c r="E279" i="2" l="1"/>
  <c r="D279" i="2" l="1"/>
  <c r="E280" i="2"/>
  <c r="D280" i="2" l="1"/>
  <c r="G279" i="2"/>
  <c r="C282" i="2" s="1"/>
  <c r="E282" i="2" l="1"/>
  <c r="D282" i="2" l="1"/>
  <c r="G282" i="2" l="1"/>
  <c r="C283" i="2" s="1"/>
  <c r="E283" i="2" l="1"/>
  <c r="D283" i="2" l="1"/>
  <c r="G283" i="2" l="1"/>
  <c r="C284" i="2" s="1"/>
  <c r="E284" i="2" l="1"/>
  <c r="D284" i="2" l="1"/>
  <c r="G284" i="2" l="1"/>
  <c r="C285" i="2" s="1"/>
  <c r="E285" i="2" l="1"/>
  <c r="D285" i="2" l="1"/>
  <c r="G285" i="2" l="1"/>
  <c r="C286" i="2" s="1"/>
  <c r="E286" i="2" l="1"/>
  <c r="D286" i="2" l="1"/>
  <c r="G286" i="2" l="1"/>
  <c r="C287" i="2" s="1"/>
  <c r="E287" i="2" s="1"/>
  <c r="D287" i="2" s="1"/>
  <c r="G287" i="2" s="1"/>
  <c r="C288" i="2" s="1"/>
  <c r="E288" i="2" l="1"/>
  <c r="D288" i="2" s="1"/>
  <c r="G288" i="2" s="1"/>
  <c r="C289" i="2" s="1"/>
  <c r="E289" i="2" s="1"/>
  <c r="D289" i="2" s="1"/>
  <c r="G289" i="2" s="1"/>
  <c r="C290" i="2" s="1"/>
  <c r="E290" i="2" s="1"/>
  <c r="D290" i="2" s="1"/>
  <c r="G290" i="2" s="1"/>
  <c r="C291" i="2" s="1"/>
  <c r="E291" i="2" s="1"/>
  <c r="D291" i="2" s="1"/>
  <c r="G291" i="2" s="1"/>
  <c r="C292" i="2" s="1"/>
  <c r="E292" i="2" s="1"/>
  <c r="D292" i="2" s="1"/>
  <c r="G292" i="2" s="1"/>
  <c r="C293" i="2" s="1"/>
  <c r="E293" i="2" l="1"/>
  <c r="D293" i="2" l="1"/>
  <c r="E294" i="2"/>
  <c r="D294" i="2" l="1"/>
  <c r="G293" i="2"/>
  <c r="C296" i="2" s="1"/>
  <c r="E296" i="2" l="1"/>
  <c r="D296" i="2" l="1"/>
  <c r="G296" i="2" l="1"/>
  <c r="C297" i="2" s="1"/>
  <c r="E297" i="2" l="1"/>
  <c r="D297" i="2" l="1"/>
  <c r="G297" i="2" l="1"/>
  <c r="C298" i="2" s="1"/>
  <c r="E298" i="2" l="1"/>
  <c r="D298" i="2" l="1"/>
  <c r="G298" i="2" l="1"/>
  <c r="C299" i="2" s="1"/>
  <c r="E299" i="2" l="1"/>
  <c r="D299" i="2" l="1"/>
  <c r="G299" i="2" l="1"/>
  <c r="C300" i="2" s="1"/>
  <c r="E300" i="2" l="1"/>
  <c r="D300" i="2" l="1"/>
  <c r="G300" i="2" l="1"/>
  <c r="C301" i="2" s="1"/>
  <c r="E301" i="2" l="1"/>
  <c r="D301" i="2" s="1"/>
  <c r="G301" i="2" s="1"/>
  <c r="C302" i="2" s="1"/>
  <c r="E302" i="2" s="1"/>
  <c r="D302" i="2" s="1"/>
  <c r="G302" i="2" s="1"/>
  <c r="C303" i="2" s="1"/>
  <c r="E303" i="2" s="1"/>
  <c r="D303" i="2" s="1"/>
  <c r="G303" i="2" s="1"/>
  <c r="C304" i="2" s="1"/>
  <c r="E304" i="2" l="1"/>
  <c r="D304" i="2" s="1"/>
  <c r="G304" i="2" s="1"/>
  <c r="C305" i="2" s="1"/>
  <c r="E305" i="2" s="1"/>
  <c r="D305" i="2" s="1"/>
  <c r="G305" i="2" s="1"/>
  <c r="C306" i="2" s="1"/>
  <c r="E306" i="2" s="1"/>
  <c r="D306" i="2" s="1"/>
  <c r="G306" i="2" s="1"/>
  <c r="C307" i="2" s="1"/>
  <c r="E307" i="2" l="1"/>
  <c r="D307" i="2" l="1"/>
  <c r="E308" i="2"/>
  <c r="D308" i="2" l="1"/>
  <c r="G307" i="2"/>
  <c r="C310" i="2" s="1"/>
  <c r="E310" i="2" l="1"/>
  <c r="D310" i="2" l="1"/>
  <c r="G310" i="2" l="1"/>
  <c r="C311" i="2" s="1"/>
  <c r="E311" i="2" l="1"/>
  <c r="D311" i="2" l="1"/>
  <c r="G311" i="2" l="1"/>
  <c r="C312" i="2" s="1"/>
  <c r="E312" i="2" l="1"/>
  <c r="D312" i="2" l="1"/>
  <c r="G312" i="2" l="1"/>
  <c r="C313" i="2" s="1"/>
  <c r="E313" i="2" l="1"/>
  <c r="D313" i="2" l="1"/>
  <c r="G313" i="2" l="1"/>
  <c r="C314" i="2" s="1"/>
  <c r="E314" i="2" l="1"/>
  <c r="D314" i="2" l="1"/>
  <c r="G314" i="2" l="1"/>
  <c r="C315" i="2" s="1"/>
  <c r="E315" i="2" s="1"/>
  <c r="D315" i="2" s="1"/>
  <c r="G315" i="2" s="1"/>
  <c r="C316" i="2" s="1"/>
  <c r="E316" i="2" s="1"/>
  <c r="D316" i="2" s="1"/>
  <c r="G316" i="2" s="1"/>
  <c r="C317" i="2" s="1"/>
  <c r="E317" i="2" l="1"/>
  <c r="D317" i="2" s="1"/>
  <c r="G317" i="2" s="1"/>
  <c r="C318" i="2" s="1"/>
  <c r="E318" i="2" s="1"/>
  <c r="D318" i="2" s="1"/>
  <c r="G318" i="2" s="1"/>
  <c r="C319" i="2" s="1"/>
  <c r="E319" i="2" s="1"/>
  <c r="D319" i="2" s="1"/>
  <c r="G319" i="2" s="1"/>
  <c r="C320" i="2" s="1"/>
  <c r="E320" i="2" l="1"/>
  <c r="D320" i="2" s="1"/>
  <c r="G320" i="2" s="1"/>
  <c r="C321" i="2" s="1"/>
  <c r="E321" i="2" l="1"/>
  <c r="D321" i="2" l="1"/>
  <c r="E322" i="2"/>
  <c r="D322" i="2" l="1"/>
  <c r="G321" i="2"/>
  <c r="C324" i="2" s="1"/>
  <c r="E324" i="2" l="1"/>
  <c r="D324" i="2" l="1"/>
  <c r="G324" i="2" l="1"/>
  <c r="C325" i="2" s="1"/>
  <c r="E325" i="2" l="1"/>
  <c r="D325" i="2" l="1"/>
  <c r="G325" i="2" l="1"/>
  <c r="C326" i="2" s="1"/>
  <c r="E326" i="2" l="1"/>
  <c r="D326" i="2" l="1"/>
  <c r="G326" i="2" l="1"/>
  <c r="C327" i="2" s="1"/>
  <c r="E327" i="2" l="1"/>
  <c r="D327" i="2" l="1"/>
  <c r="G327" i="2" l="1"/>
  <c r="C328" i="2" s="1"/>
  <c r="E328" i="2" l="1"/>
  <c r="D328" i="2" l="1"/>
  <c r="G328" i="2" l="1"/>
  <c r="C329" i="2" s="1"/>
  <c r="E329" i="2" s="1"/>
  <c r="D329" i="2" s="1"/>
  <c r="G329" i="2" s="1"/>
  <c r="C330" i="2" s="1"/>
  <c r="E330" i="2" s="1"/>
  <c r="D330" i="2" s="1"/>
  <c r="G330" i="2" s="1"/>
  <c r="C331" i="2" s="1"/>
  <c r="E331" i="2" s="1"/>
  <c r="D331" i="2" s="1"/>
  <c r="G331" i="2" s="1"/>
  <c r="C332" i="2" s="1"/>
  <c r="E332" i="2" s="1"/>
  <c r="D332" i="2" s="1"/>
  <c r="G332" i="2" s="1"/>
  <c r="C333" i="2" s="1"/>
  <c r="E333" i="2" l="1"/>
  <c r="D333" i="2" s="1"/>
  <c r="G333" i="2" s="1"/>
  <c r="C334" i="2" s="1"/>
  <c r="E334" i="2" s="1"/>
  <c r="D334" i="2" s="1"/>
  <c r="G334" i="2" s="1"/>
  <c r="C335" i="2" s="1"/>
  <c r="E335" i="2" l="1"/>
  <c r="D335" i="2" l="1"/>
  <c r="E336" i="2"/>
  <c r="D336" i="2" l="1"/>
  <c r="G335" i="2"/>
  <c r="C338" i="2" s="1"/>
  <c r="E338" i="2" l="1"/>
  <c r="D338" i="2" l="1"/>
  <c r="G338" i="2" l="1"/>
  <c r="C339" i="2" s="1"/>
  <c r="E339" i="2" l="1"/>
  <c r="D339" i="2" l="1"/>
  <c r="G339" i="2" l="1"/>
  <c r="C340" i="2" s="1"/>
  <c r="E340" i="2" l="1"/>
  <c r="D340" i="2" l="1"/>
  <c r="G340" i="2" l="1"/>
  <c r="C341" i="2" s="1"/>
  <c r="E341" i="2" l="1"/>
  <c r="D341" i="2" l="1"/>
  <c r="G341" i="2" l="1"/>
  <c r="C342" i="2" s="1"/>
  <c r="E342" i="2" l="1"/>
  <c r="D342" i="2" l="1"/>
  <c r="G342" i="2" l="1"/>
  <c r="C343" i="2" s="1"/>
  <c r="E343" i="2" s="1"/>
  <c r="D343" i="2" s="1"/>
  <c r="G343" i="2" s="1"/>
  <c r="C344" i="2" s="1"/>
  <c r="E344" i="2" l="1"/>
  <c r="D344" i="2" s="1"/>
  <c r="G344" i="2" s="1"/>
  <c r="C345" i="2" s="1"/>
  <c r="E345" i="2" s="1"/>
  <c r="D345" i="2" s="1"/>
  <c r="G345" i="2" s="1"/>
  <c r="C346" i="2" s="1"/>
  <c r="E346" i="2" s="1"/>
  <c r="D346" i="2" s="1"/>
  <c r="G346" i="2" s="1"/>
  <c r="C347" i="2" s="1"/>
  <c r="E347" i="2" s="1"/>
  <c r="D347" i="2" s="1"/>
  <c r="G347" i="2" s="1"/>
  <c r="C348" i="2" s="1"/>
  <c r="E348" i="2" s="1"/>
  <c r="D348" i="2" s="1"/>
  <c r="G348" i="2" s="1"/>
  <c r="C349" i="2" s="1"/>
  <c r="E349" i="2" l="1"/>
  <c r="D349" i="2" l="1"/>
  <c r="E350" i="2"/>
  <c r="D350" i="2" l="1"/>
  <c r="G349" i="2"/>
  <c r="C352" i="2" s="1"/>
  <c r="E352" i="2" l="1"/>
  <c r="D352" i="2" l="1"/>
  <c r="G352" i="2" l="1"/>
  <c r="C353" i="2" s="1"/>
  <c r="E353" i="2" l="1"/>
  <c r="D353" i="2" l="1"/>
  <c r="G353" i="2" l="1"/>
  <c r="C354" i="2" s="1"/>
  <c r="E354" i="2" l="1"/>
  <c r="D354" i="2" l="1"/>
  <c r="G354" i="2" l="1"/>
  <c r="C355" i="2" s="1"/>
  <c r="E355" i="2" l="1"/>
  <c r="D355" i="2" l="1"/>
  <c r="G355" i="2" l="1"/>
  <c r="C356" i="2" s="1"/>
  <c r="E356" i="2" l="1"/>
  <c r="D356" i="2" l="1"/>
  <c r="G356" i="2" l="1"/>
  <c r="C357" i="2" s="1"/>
  <c r="E357" i="2" l="1"/>
  <c r="D357" i="2" s="1"/>
  <c r="G357" i="2" s="1"/>
  <c r="C358" i="2" s="1"/>
  <c r="E358" i="2" s="1"/>
  <c r="D358" i="2" s="1"/>
  <c r="G358" i="2" s="1"/>
  <c r="C359" i="2" s="1"/>
  <c r="E359" i="2" s="1"/>
  <c r="D359" i="2" s="1"/>
  <c r="G359" i="2" s="1"/>
  <c r="C360" i="2" s="1"/>
  <c r="E360" i="2" l="1"/>
  <c r="D360" i="2" s="1"/>
  <c r="G360" i="2" s="1"/>
  <c r="C361" i="2" s="1"/>
  <c r="E361" i="2" s="1"/>
  <c r="D361" i="2" s="1"/>
  <c r="G361" i="2" s="1"/>
  <c r="C362" i="2" s="1"/>
  <c r="E362" i="2" s="1"/>
  <c r="D362" i="2" s="1"/>
  <c r="G362" i="2" s="1"/>
  <c r="C363" i="2" s="1"/>
  <c r="E363" i="2" l="1"/>
  <c r="D363" i="2" l="1"/>
  <c r="E364" i="2"/>
  <c r="D364" i="2" l="1"/>
  <c r="G363" i="2"/>
  <c r="C366" i="2" s="1"/>
  <c r="E366" i="2" l="1"/>
  <c r="D366" i="2" l="1"/>
  <c r="G366" i="2" l="1"/>
  <c r="C367" i="2" s="1"/>
  <c r="E367" i="2" l="1"/>
  <c r="D367" i="2" l="1"/>
  <c r="G367" i="2" l="1"/>
  <c r="C368" i="2" s="1"/>
  <c r="E368" i="2" l="1"/>
  <c r="D368" i="2" l="1"/>
  <c r="G368" i="2" l="1"/>
  <c r="C369" i="2" s="1"/>
  <c r="E369" i="2" l="1"/>
  <c r="D369" i="2" l="1"/>
  <c r="G369" i="2" l="1"/>
  <c r="C370" i="2" s="1"/>
  <c r="E370" i="2" l="1"/>
  <c r="D370" i="2" l="1"/>
  <c r="G370" i="2" l="1"/>
  <c r="C371" i="2" s="1"/>
  <c r="E371" i="2" s="1"/>
  <c r="D371" i="2" s="1"/>
  <c r="G371" i="2" s="1"/>
  <c r="C372" i="2" s="1"/>
  <c r="E372" i="2" s="1"/>
  <c r="D372" i="2" s="1"/>
  <c r="G372" i="2" s="1"/>
  <c r="C373" i="2" s="1"/>
  <c r="E373" i="2" l="1"/>
  <c r="D373" i="2" s="1"/>
  <c r="G373" i="2" s="1"/>
  <c r="C374" i="2" s="1"/>
  <c r="E374" i="2" s="1"/>
  <c r="D374" i="2" s="1"/>
  <c r="G374" i="2" s="1"/>
  <c r="C375" i="2" s="1"/>
  <c r="E375" i="2" s="1"/>
  <c r="D375" i="2" s="1"/>
  <c r="G375" i="2" s="1"/>
  <c r="C376" i="2" s="1"/>
  <c r="E376" i="2" s="1"/>
  <c r="D376" i="2" s="1"/>
  <c r="G376" i="2" s="1"/>
  <c r="C377" i="2" s="1"/>
  <c r="E377" i="2" l="1"/>
  <c r="D377" i="2" l="1"/>
  <c r="E378" i="2"/>
  <c r="D378" i="2" l="1"/>
  <c r="G377" i="2"/>
  <c r="C380" i="2" s="1"/>
  <c r="E380" i="2" l="1"/>
  <c r="D380" i="2" l="1"/>
  <c r="G380" i="2" l="1"/>
  <c r="C381" i="2" s="1"/>
  <c r="E381" i="2" l="1"/>
  <c r="D381" i="2" l="1"/>
  <c r="G381" i="2" l="1"/>
  <c r="C382" i="2" s="1"/>
  <c r="E382" i="2" l="1"/>
  <c r="D382" i="2" l="1"/>
  <c r="G382" i="2" l="1"/>
  <c r="C383" i="2" s="1"/>
  <c r="E383" i="2" l="1"/>
  <c r="D383" i="2" l="1"/>
  <c r="G383" i="2" l="1"/>
  <c r="C384" i="2" s="1"/>
  <c r="E384" i="2" l="1"/>
  <c r="D384" i="2" l="1"/>
  <c r="G384" i="2" l="1"/>
  <c r="C385" i="2" s="1"/>
  <c r="E385" i="2" s="1"/>
  <c r="D385" i="2" s="1"/>
  <c r="G385" i="2" s="1"/>
  <c r="C386" i="2" s="1"/>
  <c r="E386" i="2" s="1"/>
  <c r="D386" i="2" s="1"/>
  <c r="G386" i="2" s="1"/>
  <c r="C387" i="2" s="1"/>
  <c r="E387" i="2" s="1"/>
  <c r="D387" i="2" s="1"/>
  <c r="G387" i="2" s="1"/>
  <c r="C388" i="2" s="1"/>
  <c r="E388" i="2" s="1"/>
  <c r="D388" i="2" s="1"/>
  <c r="G388" i="2" s="1"/>
  <c r="C389" i="2" s="1"/>
  <c r="E389" i="2" l="1"/>
  <c r="D389" i="2" s="1"/>
  <c r="G389" i="2" s="1"/>
  <c r="C390" i="2" s="1"/>
  <c r="E390" i="2" s="1"/>
  <c r="D390" i="2" s="1"/>
  <c r="G390" i="2" s="1"/>
  <c r="C391" i="2" s="1"/>
  <c r="E391" i="2" l="1"/>
  <c r="D391" i="2" l="1"/>
  <c r="E392" i="2"/>
  <c r="D392" i="2" l="1"/>
  <c r="G391" i="2"/>
  <c r="C394" i="2" s="1"/>
  <c r="E394" i="2" l="1"/>
  <c r="D394" i="2" l="1"/>
  <c r="G394" i="2" l="1"/>
  <c r="C395" i="2" s="1"/>
  <c r="E395" i="2" l="1"/>
  <c r="D395" i="2" l="1"/>
  <c r="G395" i="2" l="1"/>
  <c r="C396" i="2" s="1"/>
  <c r="E396" i="2" l="1"/>
  <c r="D396" i="2" l="1"/>
  <c r="G396" i="2" l="1"/>
  <c r="C397" i="2" s="1"/>
  <c r="E397" i="2" l="1"/>
  <c r="D397" i="2" l="1"/>
  <c r="G397" i="2" l="1"/>
  <c r="C398" i="2" s="1"/>
  <c r="E398" i="2" l="1"/>
  <c r="D398" i="2" l="1"/>
  <c r="G398" i="2" l="1"/>
  <c r="C399" i="2" s="1"/>
  <c r="E399" i="2" s="1"/>
  <c r="D399" i="2" s="1"/>
  <c r="G399" i="2" s="1"/>
  <c r="C400" i="2" s="1"/>
  <c r="E400" i="2" l="1"/>
  <c r="D400" i="2" s="1"/>
  <c r="G400" i="2" s="1"/>
  <c r="C401" i="2" s="1"/>
  <c r="E401" i="2" s="1"/>
  <c r="D401" i="2" s="1"/>
  <c r="G401" i="2" s="1"/>
  <c r="C402" i="2" s="1"/>
  <c r="E402" i="2" s="1"/>
  <c r="D402" i="2" s="1"/>
  <c r="G402" i="2" s="1"/>
  <c r="C403" i="2" s="1"/>
  <c r="E403" i="2" s="1"/>
  <c r="D403" i="2" s="1"/>
  <c r="G403" i="2" s="1"/>
  <c r="C404" i="2" s="1"/>
  <c r="E404" i="2" s="1"/>
  <c r="D404" i="2" s="1"/>
  <c r="G404" i="2" s="1"/>
  <c r="C405" i="2" s="1"/>
  <c r="E405" i="2" l="1"/>
  <c r="D405" i="2" l="1"/>
  <c r="E406" i="2"/>
  <c r="D406" i="2" l="1"/>
  <c r="G405" i="2"/>
  <c r="C408" i="2" s="1"/>
  <c r="E408" i="2" l="1"/>
  <c r="D408" i="2" l="1"/>
  <c r="G408" i="2" l="1"/>
  <c r="C409" i="2" s="1"/>
  <c r="E409" i="2" l="1"/>
  <c r="D409" i="2" l="1"/>
  <c r="G409" i="2" l="1"/>
  <c r="C410" i="2" s="1"/>
  <c r="E410" i="2" l="1"/>
  <c r="D410" i="2" l="1"/>
  <c r="G410" i="2" l="1"/>
  <c r="C411" i="2" s="1"/>
  <c r="E411" i="2" l="1"/>
  <c r="D411" i="2" l="1"/>
  <c r="G411" i="2" l="1"/>
  <c r="C412" i="2" s="1"/>
  <c r="E412" i="2" l="1"/>
  <c r="D412" i="2" l="1"/>
  <c r="G412" i="2" l="1"/>
  <c r="C413" i="2" s="1"/>
  <c r="E413" i="2" l="1"/>
  <c r="D413" i="2" s="1"/>
  <c r="G413" i="2" s="1"/>
  <c r="C414" i="2" s="1"/>
  <c r="E414" i="2" s="1"/>
  <c r="D414" i="2" s="1"/>
  <c r="G414" i="2" s="1"/>
  <c r="C415" i="2" s="1"/>
  <c r="E415" i="2" s="1"/>
  <c r="D415" i="2" s="1"/>
  <c r="G415" i="2" s="1"/>
  <c r="C416" i="2" s="1"/>
  <c r="E416" i="2" l="1"/>
  <c r="D416" i="2" s="1"/>
  <c r="G416" i="2" s="1"/>
  <c r="C417" i="2" s="1"/>
  <c r="E417" i="2" s="1"/>
  <c r="D417" i="2" s="1"/>
  <c r="G417" i="2" s="1"/>
  <c r="C418" i="2" s="1"/>
  <c r="E418" i="2" s="1"/>
  <c r="D418" i="2" s="1"/>
  <c r="G418" i="2" s="1"/>
  <c r="C419" i="2" s="1"/>
  <c r="E419" i="2" l="1"/>
  <c r="D419" i="2" l="1"/>
  <c r="E420" i="2"/>
  <c r="D420" i="2" l="1"/>
  <c r="G419" i="2"/>
  <c r="C422" i="2" s="1"/>
  <c r="E422" i="2" l="1"/>
  <c r="D422" i="2" l="1"/>
  <c r="G422" i="2" l="1"/>
  <c r="C423" i="2" s="1"/>
  <c r="E423" i="2" l="1"/>
  <c r="D423" i="2" l="1"/>
  <c r="G423" i="2" l="1"/>
  <c r="C424" i="2" s="1"/>
  <c r="E424" i="2" l="1"/>
  <c r="D424" i="2" l="1"/>
  <c r="G424" i="2" l="1"/>
  <c r="C425" i="2" s="1"/>
  <c r="E425" i="2" l="1"/>
  <c r="D425" i="2" l="1"/>
  <c r="G425" i="2" l="1"/>
  <c r="C426" i="2" s="1"/>
  <c r="E426" i="2" l="1"/>
  <c r="D426" i="2" l="1"/>
  <c r="G426" i="2" l="1"/>
  <c r="C427" i="2" s="1"/>
  <c r="E427" i="2" s="1"/>
  <c r="D427" i="2" s="1"/>
  <c r="G427" i="2" s="1"/>
  <c r="C428" i="2" s="1"/>
  <c r="E428" i="2" s="1"/>
  <c r="D428" i="2" s="1"/>
  <c r="G428" i="2" s="1"/>
  <c r="C429" i="2" s="1"/>
  <c r="E429" i="2" l="1"/>
  <c r="D429" i="2" s="1"/>
  <c r="G429" i="2" s="1"/>
  <c r="C430" i="2" s="1"/>
  <c r="E430" i="2" s="1"/>
  <c r="D430" i="2" s="1"/>
  <c r="G430" i="2" s="1"/>
  <c r="C431" i="2" s="1"/>
  <c r="E431" i="2" s="1"/>
  <c r="D431" i="2" s="1"/>
  <c r="G431" i="2" s="1"/>
  <c r="C432" i="2" s="1"/>
  <c r="E432" i="2" l="1"/>
  <c r="D432" i="2" s="1"/>
  <c r="G432" i="2" s="1"/>
  <c r="C433" i="2" s="1"/>
  <c r="E433" i="2" l="1"/>
  <c r="D433" i="2" l="1"/>
  <c r="E434" i="2"/>
  <c r="D434" i="2" l="1"/>
  <c r="G433" i="2"/>
  <c r="C73" i="1" l="1"/>
  <c r="C88" i="1" l="1"/>
  <c r="C87" i="1"/>
  <c r="C35" i="7" s="1"/>
  <c r="D73" i="1"/>
  <c r="D48" i="1"/>
  <c r="D62" i="1" s="1"/>
  <c r="C22" i="7" l="1"/>
  <c r="C23" i="7" s="1"/>
  <c r="C11" i="7"/>
  <c r="D87" i="1"/>
  <c r="D35" i="7" s="1"/>
  <c r="C39" i="7" s="1"/>
  <c r="D45" i="7" s="1"/>
  <c r="F45" i="7" s="1"/>
  <c r="D88" i="1"/>
  <c r="C89" i="1" l="1"/>
  <c r="D91" i="1" s="1"/>
  <c r="C92" i="1"/>
  <c r="D11" i="7"/>
  <c r="C12" i="7" s="1"/>
  <c r="D22" i="7"/>
  <c r="D23" i="7" s="1"/>
  <c r="C27" i="7" s="1"/>
  <c r="C15" i="7" l="1"/>
  <c r="D43" i="7" s="1"/>
  <c r="F43" i="7" s="1"/>
  <c r="D44" i="7"/>
  <c r="F44" i="7" s="1"/>
  <c r="D78" i="7"/>
  <c r="F78" i="7" s="1"/>
  <c r="F80" i="7" s="1"/>
  <c r="C24" i="7"/>
  <c r="E14" i="8" s="1"/>
  <c r="K10" i="8" s="1"/>
  <c r="L10" i="8" s="1"/>
  <c r="D92" i="1"/>
  <c r="F46" i="7" l="1"/>
</calcChain>
</file>

<file path=xl/sharedStrings.xml><?xml version="1.0" encoding="utf-8"?>
<sst xmlns="http://schemas.openxmlformats.org/spreadsheetml/2006/main" count="368" uniqueCount="186">
  <si>
    <t>FORECAST</t>
  </si>
  <si>
    <t>INCOME STATEMENT</t>
  </si>
  <si>
    <t>Operating Expenses</t>
  </si>
  <si>
    <t>Depreciation</t>
  </si>
  <si>
    <t>Mortgage Interest Expense</t>
  </si>
  <si>
    <t>Profit Before Taxes</t>
  </si>
  <si>
    <t>Taxes</t>
  </si>
  <si>
    <t>BALANCE SHEET</t>
  </si>
  <si>
    <t>Assets</t>
  </si>
  <si>
    <t>Accounts Receivable</t>
  </si>
  <si>
    <t>Less:  Accumulated Depreciation</t>
  </si>
  <si>
    <t>Total Assets</t>
  </si>
  <si>
    <t>Liabilities and Equity</t>
  </si>
  <si>
    <t>Income Tax Payable</t>
  </si>
  <si>
    <t>Retained Earnings</t>
  </si>
  <si>
    <t>Total Liabilities and Equity</t>
  </si>
  <si>
    <t>Selling, General, and Administrative</t>
  </si>
  <si>
    <t>Extra Bank Loan Interest Expense</t>
  </si>
  <si>
    <t>Net Income</t>
  </si>
  <si>
    <t>Minimum Cash Inventory</t>
  </si>
  <si>
    <t>Extra Cash</t>
  </si>
  <si>
    <t>Extra Bank Loan</t>
  </si>
  <si>
    <t>Mortgage Loan</t>
  </si>
  <si>
    <t>Common Stock</t>
  </si>
  <si>
    <t>Total Inventories</t>
  </si>
  <si>
    <t>Total Accounts Payable</t>
  </si>
  <si>
    <t>Year 1</t>
  </si>
  <si>
    <t xml:space="preserve"> Year 2</t>
  </si>
  <si>
    <t>Year 3</t>
  </si>
  <si>
    <t>Year 4</t>
  </si>
  <si>
    <t>avg collection period (days) receivables</t>
  </si>
  <si>
    <t>payable period (days)</t>
  </si>
  <si>
    <t>Beg Balance</t>
  </si>
  <si>
    <t>Principal</t>
  </si>
  <si>
    <t xml:space="preserve">Interest </t>
  </si>
  <si>
    <t>Payment</t>
  </si>
  <si>
    <t>End Balance</t>
  </si>
  <si>
    <t>Rate</t>
  </si>
  <si>
    <t>Per Rate</t>
  </si>
  <si>
    <t>FV</t>
  </si>
  <si>
    <t>Per</t>
  </si>
  <si>
    <t>Type</t>
  </si>
  <si>
    <t>PV</t>
  </si>
  <si>
    <t>TOTALS</t>
  </si>
  <si>
    <t>DFN</t>
  </si>
  <si>
    <t>PureLight</t>
  </si>
  <si>
    <t>Sales</t>
  </si>
  <si>
    <t>average sale price</t>
  </si>
  <si>
    <t>average candlemaking price</t>
  </si>
  <si>
    <t>inventory days</t>
  </si>
  <si>
    <t>Year 5</t>
  </si>
  <si>
    <t>Year 6</t>
  </si>
  <si>
    <t>Year 7</t>
  </si>
  <si>
    <t>Year 8</t>
  </si>
  <si>
    <t>Year 9</t>
  </si>
  <si>
    <t>Year 10</t>
  </si>
  <si>
    <t>Sales Revenue</t>
  </si>
  <si>
    <t>Candlemaking Sales Revenue</t>
  </si>
  <si>
    <t>Misc Inv COGS</t>
  </si>
  <si>
    <t>Candle COGS</t>
  </si>
  <si>
    <t>Percent of population that purchase candles</t>
  </si>
  <si>
    <t>Laguna households</t>
  </si>
  <si>
    <t>candle/year/household</t>
  </si>
  <si>
    <t>Candle Sales</t>
  </si>
  <si>
    <t>Other purchases</t>
  </si>
  <si>
    <t>Year1</t>
  </si>
  <si>
    <t>Year 2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</si>
  <si>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</si>
  <si>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</si>
  <si>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</si>
  <si>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</si>
  <si>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</si>
  <si>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</si>
  <si>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</si>
  <si>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</si>
  <si>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</si>
  <si>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</si>
  <si>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</si>
  <si>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</si>
  <si>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</si>
  <si>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</si>
  <si>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</si>
  <si>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</si>
  <si>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</si>
  <si>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</si>
  <si>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</si>
  <si>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</si>
  <si>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A/R Sales</t>
  </si>
  <si>
    <t>Buildings/land</t>
  </si>
  <si>
    <t>Average</t>
  </si>
  <si>
    <t>after-tax</t>
  </si>
  <si>
    <t>t-bills</t>
  </si>
  <si>
    <t>unlevered beta</t>
  </si>
  <si>
    <t>s&amp;p</t>
  </si>
  <si>
    <t>Relevered</t>
  </si>
  <si>
    <t>CAPM</t>
  </si>
  <si>
    <t>Weighted</t>
  </si>
  <si>
    <t>WACC</t>
  </si>
  <si>
    <t>Operating profit</t>
  </si>
  <si>
    <t>less depreciation</t>
  </si>
  <si>
    <t>taxable income</t>
  </si>
  <si>
    <t>taxes on operating</t>
  </si>
  <si>
    <t>Net cash from operations</t>
  </si>
  <si>
    <t>FREE CASH FLOWS</t>
  </si>
  <si>
    <t>Cash from operations</t>
  </si>
  <si>
    <t>Cash in/out from Balance Sheet</t>
  </si>
  <si>
    <t>adjustment for resale</t>
  </si>
  <si>
    <t>taxes on resale</t>
  </si>
  <si>
    <t>Total Free Cash Flows</t>
  </si>
  <si>
    <t>IRR</t>
  </si>
  <si>
    <t>WACC Computed from Forecast</t>
  </si>
  <si>
    <t>NPV Using Computed WACC</t>
  </si>
  <si>
    <t>Sales price</t>
  </si>
  <si>
    <t>Book Value</t>
  </si>
  <si>
    <t>Gain(loss)</t>
  </si>
  <si>
    <t>Proportion</t>
  </si>
  <si>
    <t>PURE LIGHT</t>
  </si>
  <si>
    <t>Building</t>
  </si>
  <si>
    <t>Land</t>
  </si>
  <si>
    <t>acres</t>
  </si>
  <si>
    <t>$/acre</t>
  </si>
  <si>
    <t>land</t>
  </si>
  <si>
    <t>Utility</t>
  </si>
  <si>
    <t>Labor</t>
  </si>
  <si>
    <t>employees</t>
  </si>
  <si>
    <t>Sq. Ft</t>
  </si>
  <si>
    <t>$/sq. ft</t>
  </si>
  <si>
    <t>Total Building</t>
  </si>
  <si>
    <t>growth</t>
  </si>
  <si>
    <t>hrs/wk</t>
  </si>
  <si>
    <t>wks/yr</t>
  </si>
  <si>
    <t>hrs/yr</t>
  </si>
  <si>
    <t>$/hr</t>
  </si>
  <si>
    <t>Pay/employee</t>
  </si>
  <si>
    <t>$/sqft</t>
  </si>
  <si>
    <t>sq.ft</t>
  </si>
  <si>
    <t>Secured</t>
  </si>
  <si>
    <t>Unsecured</t>
  </si>
  <si>
    <t>Total</t>
  </si>
  <si>
    <t>Secured Sale</t>
  </si>
  <si>
    <t>Remaining</t>
  </si>
  <si>
    <t>proportion</t>
  </si>
  <si>
    <t>Unsec. Sale</t>
  </si>
  <si>
    <t>Total Paid</t>
  </si>
  <si>
    <t>On the $</t>
  </si>
  <si>
    <t>Mortgage Loan Free Cash Flows</t>
  </si>
  <si>
    <t>Principle</t>
  </si>
  <si>
    <t>Paid in Bankruptcy</t>
  </si>
  <si>
    <t>Interest Paments</t>
  </si>
  <si>
    <t>IRR in Bankruptcy</t>
  </si>
  <si>
    <t>IRR outside Bankruptcy</t>
  </si>
  <si>
    <t>Expected IRR</t>
  </si>
  <si>
    <t>Probability</t>
  </si>
  <si>
    <t>Extra Bank Loan Free Cash Flows</t>
  </si>
  <si>
    <t>Extra secured</t>
  </si>
  <si>
    <t>Administrative</t>
  </si>
  <si>
    <t>Strong Market FCF</t>
  </si>
  <si>
    <t>Existing Market FCF</t>
  </si>
  <si>
    <t>Bad Market FCF</t>
  </si>
  <si>
    <t>percent of households that buy candles from us</t>
  </si>
  <si>
    <t>TOTAL FROM BALANCE SHEET</t>
  </si>
  <si>
    <t>Good</t>
  </si>
  <si>
    <t>Existing</t>
  </si>
  <si>
    <t>Bad</t>
  </si>
  <si>
    <t>NPV</t>
  </si>
  <si>
    <t>Expected NPV</t>
  </si>
  <si>
    <t>Scenario</t>
  </si>
  <si>
    <t>Strong Market FCF w/ Option</t>
  </si>
  <si>
    <t>changes from new building</t>
  </si>
  <si>
    <t>60% of households</t>
  </si>
  <si>
    <t>50% of households</t>
  </si>
  <si>
    <t>42% of households</t>
  </si>
  <si>
    <t>*copy and pasted free cash flow values from forecast tab with changes made for number of households</t>
  </si>
  <si>
    <t>Company</t>
  </si>
  <si>
    <t>Option</t>
  </si>
  <si>
    <t>Medium</t>
  </si>
  <si>
    <t>S</t>
  </si>
  <si>
    <t>X</t>
  </si>
  <si>
    <t>r</t>
  </si>
  <si>
    <t>sd</t>
  </si>
  <si>
    <t>t</t>
  </si>
  <si>
    <t>STDEV(%)</t>
  </si>
  <si>
    <t>Option Price</t>
  </si>
  <si>
    <t>Uncalculable</t>
  </si>
  <si>
    <t>This business should not be pursued as predicted, because expected NPV is negative.</t>
  </si>
  <si>
    <t>This company is only viable with the option to expand, since it then has an expected NPV that is positive.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</si>
</sst>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3" formatCode="_(* #,##0.00_);_(* \(#,##0.00\);_(* &quot;-&quot;??_);_(@_)"/>
    <numFmt numFmtId="164" formatCode="_(\$* #,##0.00_);_(\$* \(#,##0.00\);_(\$* \-??_);_(@_)"/>
    <numFmt numFmtId="165" formatCode="_(\$* #,##0_);_(\$* \(#,##0\);_(\$* \-??_);_(@_)"/>
    <numFmt numFmtId="166" formatCode="[$$-409]#,##0.00;[Red]\-[$$-409]#,##0.00"/>
    <numFmt numFmtId="167" formatCode="_(* #,##0_);_(* \(#,##0\);_(* &quot;-&quot;??_);_(@_)"/>
    <numFmt numFmtId="168" formatCode="0.000%"/>
  </numFmts>
  <fonts count="16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name val="Arial"/>
      <family val="2"/>
    </font>
    <font>
      <u/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11"/>
      <color rgb="FFFF0000"/>
      <name val="Calibri"/>
      <family val="2"/>
      <charset val="1"/>
    </font>
    <font>
      <sz val="12"/>
      <color indexed="8"/>
      <name val="Calibri"/>
      <family val="2"/>
    </font>
    <font>
      <sz val="11"/>
      <color rgb="FF00B0F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9" fontId="1" fillId="0" borderId="0"/>
    <xf numFmtId="43" fontId="5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2"/>
    <xf numFmtId="0" fontId="2" fillId="0" borderId="1" xfId="2" applyFont="1" applyBorder="1"/>
    <xf numFmtId="0" fontId="1" fillId="0" borderId="1" xfId="2" applyBorder="1"/>
    <xf numFmtId="0" fontId="2" fillId="0" borderId="0" xfId="2" applyFont="1"/>
    <xf numFmtId="165" fontId="1" fillId="0" borderId="0" xfId="1" applyNumberFormat="1" applyFont="1" applyFill="1" applyBorder="1" applyAlignment="1" applyProtection="1"/>
    <xf numFmtId="0" fontId="0" fillId="0" borderId="0" xfId="0" applyFont="1" applyAlignment="1">
      <alignment wrapText="1"/>
    </xf>
    <xf numFmtId="166" fontId="0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2" xfId="2" applyFont="1" applyBorder="1"/>
    <xf numFmtId="9" fontId="1" fillId="0" borderId="0" xfId="2" applyNumberFormat="1"/>
    <xf numFmtId="167" fontId="1" fillId="0" borderId="0" xfId="4" applyNumberFormat="1" applyFont="1"/>
    <xf numFmtId="164" fontId="1" fillId="0" borderId="0" xfId="1"/>
    <xf numFmtId="43" fontId="1" fillId="0" borderId="0" xfId="2" applyNumberFormat="1"/>
    <xf numFmtId="9" fontId="1" fillId="0" borderId="0" xfId="3"/>
    <xf numFmtId="1" fontId="1" fillId="0" borderId="0" xfId="2" applyNumberFormat="1"/>
    <xf numFmtId="10" fontId="0" fillId="0" borderId="0" xfId="0" applyNumberFormat="1"/>
    <xf numFmtId="0" fontId="0" fillId="0" borderId="0" xfId="0" applyFont="1" applyAlignment="1">
      <alignment horizontal="left" wrapText="1"/>
    </xf>
    <xf numFmtId="166" fontId="0" fillId="0" borderId="0" xfId="0" applyNumberFormat="1"/>
    <xf numFmtId="0" fontId="0" fillId="0" borderId="0" xfId="0" applyNumberFormat="1"/>
    <xf numFmtId="43" fontId="1" fillId="0" borderId="0" xfId="4" applyFont="1"/>
    <xf numFmtId="165" fontId="1" fillId="0" borderId="0" xfId="2" applyNumberFormat="1"/>
    <xf numFmtId="0" fontId="1" fillId="0" borderId="5" xfId="2" applyBorder="1"/>
    <xf numFmtId="0" fontId="1" fillId="0" borderId="6" xfId="2" applyBorder="1"/>
    <xf numFmtId="0" fontId="1" fillId="0" borderId="0" xfId="2" applyBorder="1"/>
    <xf numFmtId="10" fontId="1" fillId="0" borderId="0" xfId="2" applyNumberFormat="1" applyBorder="1"/>
    <xf numFmtId="0" fontId="1" fillId="0" borderId="8" xfId="2" applyBorder="1"/>
    <xf numFmtId="10" fontId="1" fillId="0" borderId="0" xfId="3" applyNumberFormat="1" applyBorder="1"/>
    <xf numFmtId="168" fontId="1" fillId="0" borderId="0" xfId="2" applyNumberFormat="1" applyBorder="1"/>
    <xf numFmtId="10" fontId="1" fillId="0" borderId="8" xfId="2" applyNumberFormat="1" applyBorder="1"/>
    <xf numFmtId="0" fontId="1" fillId="0" borderId="10" xfId="2" applyBorder="1"/>
    <xf numFmtId="0" fontId="1" fillId="0" borderId="11" xfId="2" applyBorder="1"/>
    <xf numFmtId="2" fontId="1" fillId="0" borderId="0" xfId="2" applyNumberFormat="1" applyBorder="1"/>
    <xf numFmtId="0" fontId="6" fillId="2" borderId="12" xfId="2" applyFont="1" applyFill="1" applyBorder="1"/>
    <xf numFmtId="10" fontId="6" fillId="2" borderId="3" xfId="2" applyNumberFormat="1" applyFont="1" applyFill="1" applyBorder="1"/>
    <xf numFmtId="165" fontId="1" fillId="0" borderId="0" xfId="1" applyNumberFormat="1"/>
    <xf numFmtId="165" fontId="1" fillId="0" borderId="2" xfId="1" applyNumberFormat="1" applyBorder="1"/>
    <xf numFmtId="165" fontId="1" fillId="0" borderId="0" xfId="2" applyNumberFormat="1" applyBorder="1"/>
    <xf numFmtId="165" fontId="1" fillId="0" borderId="2" xfId="2" applyNumberFormat="1" applyBorder="1"/>
    <xf numFmtId="0" fontId="2" fillId="0" borderId="4" xfId="2" applyFont="1" applyFill="1" applyBorder="1"/>
    <xf numFmtId="0" fontId="1" fillId="0" borderId="5" xfId="2" applyFill="1" applyBorder="1"/>
    <xf numFmtId="0" fontId="1" fillId="0" borderId="7" xfId="2" applyFont="1" applyFill="1" applyBorder="1"/>
    <xf numFmtId="0" fontId="1" fillId="0" borderId="0" xfId="2" applyFill="1" applyBorder="1"/>
    <xf numFmtId="0" fontId="1" fillId="0" borderId="7" xfId="2" applyFill="1" applyBorder="1"/>
    <xf numFmtId="0" fontId="2" fillId="0" borderId="7" xfId="2" applyFont="1" applyFill="1" applyBorder="1"/>
    <xf numFmtId="0" fontId="4" fillId="0" borderId="9" xfId="2" applyFont="1" applyFill="1" applyBorder="1"/>
    <xf numFmtId="0" fontId="4" fillId="0" borderId="10" xfId="2" applyFont="1" applyFill="1" applyBorder="1"/>
    <xf numFmtId="0" fontId="4" fillId="0" borderId="10" xfId="2" applyFont="1" applyBorder="1"/>
    <xf numFmtId="0" fontId="4" fillId="0" borderId="11" xfId="2" applyFont="1" applyBorder="1"/>
    <xf numFmtId="0" fontId="1" fillId="0" borderId="14" xfId="2" applyFill="1" applyBorder="1"/>
    <xf numFmtId="0" fontId="6" fillId="0" borderId="14" xfId="2" applyFont="1" applyFill="1" applyBorder="1"/>
    <xf numFmtId="0" fontId="6" fillId="0" borderId="13" xfId="2" applyFont="1" applyFill="1" applyBorder="1"/>
    <xf numFmtId="165" fontId="1" fillId="0" borderId="0" xfId="1" applyNumberFormat="1" applyBorder="1"/>
    <xf numFmtId="165" fontId="1" fillId="0" borderId="8" xfId="1" applyNumberFormat="1" applyBorder="1"/>
    <xf numFmtId="0" fontId="6" fillId="0" borderId="12" xfId="2" applyFont="1" applyFill="1" applyBorder="1"/>
    <xf numFmtId="0" fontId="8" fillId="0" borderId="7" xfId="2" applyFont="1" applyFill="1" applyBorder="1"/>
    <xf numFmtId="165" fontId="6" fillId="0" borderId="10" xfId="2" applyNumberFormat="1" applyFont="1" applyBorder="1"/>
    <xf numFmtId="0" fontId="1" fillId="0" borderId="2" xfId="2" applyBorder="1"/>
    <xf numFmtId="0" fontId="1" fillId="0" borderId="15" xfId="2" applyBorder="1"/>
    <xf numFmtId="6" fontId="6" fillId="2" borderId="3" xfId="2" applyNumberFormat="1" applyFont="1" applyFill="1" applyBorder="1"/>
    <xf numFmtId="165" fontId="6" fillId="0" borderId="12" xfId="1" applyNumberFormat="1" applyFont="1" applyBorder="1"/>
    <xf numFmtId="0" fontId="7" fillId="0" borderId="12" xfId="2" applyFont="1" applyBorder="1"/>
    <xf numFmtId="0" fontId="1" fillId="0" borderId="13" xfId="2" applyBorder="1"/>
    <xf numFmtId="0" fontId="1" fillId="0" borderId="14" xfId="2" applyBorder="1"/>
    <xf numFmtId="43" fontId="1" fillId="0" borderId="0" xfId="4" applyNumberFormat="1" applyFont="1"/>
    <xf numFmtId="9" fontId="1" fillId="0" borderId="0" xfId="2" applyNumberFormat="1" applyFill="1" applyBorder="1"/>
    <xf numFmtId="10" fontId="1" fillId="0" borderId="0" xfId="3" applyNumberFormat="1"/>
    <xf numFmtId="9" fontId="1" fillId="0" borderId="0" xfId="2" applyNumberFormat="1" applyBorder="1"/>
    <xf numFmtId="43" fontId="1" fillId="0" borderId="0" xfId="1" applyNumberFormat="1" applyBorder="1"/>
    <xf numFmtId="0" fontId="7" fillId="0" borderId="7" xfId="2" applyFont="1" applyBorder="1"/>
    <xf numFmtId="0" fontId="1" fillId="0" borderId="7" xfId="2" applyBorder="1"/>
    <xf numFmtId="165" fontId="1" fillId="0" borderId="15" xfId="1" applyNumberFormat="1" applyBorder="1"/>
    <xf numFmtId="165" fontId="1" fillId="0" borderId="8" xfId="2" applyNumberFormat="1" applyBorder="1"/>
    <xf numFmtId="6" fontId="1" fillId="0" borderId="10" xfId="2" applyNumberFormat="1" applyBorder="1"/>
    <xf numFmtId="0" fontId="9" fillId="0" borderId="0" xfId="2" applyFont="1"/>
    <xf numFmtId="165" fontId="1" fillId="0" borderId="0" xfId="1" applyNumberFormat="1" applyFill="1" applyBorder="1"/>
    <xf numFmtId="0" fontId="1" fillId="0" borderId="9" xfId="2" applyBorder="1"/>
    <xf numFmtId="0" fontId="1" fillId="0" borderId="12" xfId="2" applyBorder="1"/>
    <xf numFmtId="165" fontId="1" fillId="0" borderId="8" xfId="1" applyNumberFormat="1" applyFill="1" applyBorder="1"/>
    <xf numFmtId="43" fontId="1" fillId="0" borderId="0" xfId="1" applyNumberFormat="1" applyFill="1" applyBorder="1"/>
    <xf numFmtId="165" fontId="1" fillId="0" borderId="4" xfId="1" applyNumberFormat="1" applyFill="1" applyBorder="1"/>
    <xf numFmtId="165" fontId="1" fillId="0" borderId="5" xfId="1" applyNumberFormat="1" applyFill="1" applyBorder="1"/>
    <xf numFmtId="165" fontId="1" fillId="0" borderId="6" xfId="1" applyNumberFormat="1" applyFill="1" applyBorder="1"/>
    <xf numFmtId="9" fontId="1" fillId="0" borderId="7" xfId="3" applyFill="1" applyBorder="1"/>
    <xf numFmtId="43" fontId="1" fillId="0" borderId="8" xfId="1" applyNumberFormat="1" applyFill="1" applyBorder="1"/>
    <xf numFmtId="9" fontId="1" fillId="0" borderId="0" xfId="3" applyBorder="1"/>
    <xf numFmtId="9" fontId="1" fillId="0" borderId="7" xfId="3" applyBorder="1"/>
    <xf numFmtId="9" fontId="1" fillId="0" borderId="9" xfId="3" applyBorder="1"/>
    <xf numFmtId="165" fontId="1" fillId="0" borderId="10" xfId="1" applyNumberFormat="1" applyBorder="1"/>
    <xf numFmtId="165" fontId="1" fillId="0" borderId="11" xfId="1" applyNumberFormat="1" applyBorder="1"/>
    <xf numFmtId="165" fontId="1" fillId="0" borderId="7" xfId="1" applyNumberFormat="1" applyBorder="1"/>
    <xf numFmtId="164" fontId="1" fillId="0" borderId="8" xfId="1" applyNumberFormat="1" applyBorder="1"/>
    <xf numFmtId="165" fontId="1" fillId="0" borderId="9" xfId="1" applyNumberFormat="1" applyBorder="1"/>
    <xf numFmtId="165" fontId="1" fillId="0" borderId="0" xfId="2" applyNumberFormat="1" applyFill="1" applyBorder="1"/>
    <xf numFmtId="0" fontId="7" fillId="0" borderId="0" xfId="2" applyFont="1" applyFill="1" applyBorder="1"/>
    <xf numFmtId="165" fontId="6" fillId="0" borderId="0" xfId="1" applyNumberFormat="1" applyFont="1" applyFill="1" applyBorder="1"/>
    <xf numFmtId="10" fontId="6" fillId="0" borderId="0" xfId="2" applyNumberFormat="1" applyFont="1" applyFill="1" applyBorder="1"/>
    <xf numFmtId="10" fontId="1" fillId="0" borderId="0" xfId="2" applyNumberFormat="1" applyFill="1" applyBorder="1"/>
    <xf numFmtId="6" fontId="6" fillId="0" borderId="0" xfId="2" applyNumberFormat="1" applyFont="1" applyFill="1" applyBorder="1"/>
    <xf numFmtId="6" fontId="1" fillId="0" borderId="0" xfId="2" applyNumberFormat="1" applyFill="1" applyBorder="1"/>
    <xf numFmtId="2" fontId="1" fillId="0" borderId="0" xfId="2" applyNumberFormat="1" applyFill="1" applyBorder="1"/>
    <xf numFmtId="10" fontId="1" fillId="0" borderId="0" xfId="3" applyNumberFormat="1" applyFill="1" applyBorder="1"/>
    <xf numFmtId="168" fontId="1" fillId="0" borderId="0" xfId="2" applyNumberFormat="1" applyFill="1" applyBorder="1"/>
    <xf numFmtId="0" fontId="6" fillId="0" borderId="0" xfId="2" applyFont="1" applyFill="1" applyBorder="1"/>
    <xf numFmtId="165" fontId="6" fillId="0" borderId="0" xfId="2" applyNumberFormat="1" applyFont="1" applyFill="1" applyBorder="1"/>
    <xf numFmtId="0" fontId="10" fillId="0" borderId="0" xfId="2" applyFont="1" applyBorder="1"/>
    <xf numFmtId="0" fontId="10" fillId="0" borderId="7" xfId="2" applyFont="1" applyBorder="1"/>
    <xf numFmtId="164" fontId="1" fillId="0" borderId="0" xfId="1" applyBorder="1"/>
    <xf numFmtId="165" fontId="1" fillId="0" borderId="12" xfId="1" applyNumberFormat="1" applyBorder="1"/>
    <xf numFmtId="165" fontId="1" fillId="0" borderId="14" xfId="1" applyNumberFormat="1" applyBorder="1"/>
    <xf numFmtId="165" fontId="1" fillId="0" borderId="13" xfId="1" applyNumberFormat="1" applyBorder="1"/>
    <xf numFmtId="43" fontId="1" fillId="0" borderId="0" xfId="1" applyNumberFormat="1"/>
    <xf numFmtId="9" fontId="0" fillId="0" borderId="0" xfId="0" applyNumberFormat="1"/>
    <xf numFmtId="165" fontId="0" fillId="0" borderId="0" xfId="0" applyNumberFormat="1"/>
    <xf numFmtId="0" fontId="0" fillId="0" borderId="18" xfId="0" applyBorder="1"/>
    <xf numFmtId="0" fontId="0" fillId="0" borderId="18" xfId="0" applyFill="1" applyBorder="1"/>
    <xf numFmtId="164" fontId="0" fillId="0" borderId="18" xfId="1" applyFont="1" applyBorder="1"/>
    <xf numFmtId="9" fontId="0" fillId="0" borderId="18" xfId="3" applyFont="1" applyBorder="1"/>
    <xf numFmtId="9" fontId="0" fillId="0" borderId="18" xfId="3" applyNumberFormat="1" applyFont="1" applyBorder="1"/>
    <xf numFmtId="164" fontId="11" fillId="0" borderId="18" xfId="1" applyFont="1" applyBorder="1"/>
    <xf numFmtId="0" fontId="0" fillId="0" borderId="0" xfId="0" applyBorder="1"/>
    <xf numFmtId="0" fontId="0" fillId="0" borderId="0" xfId="0" applyFont="1"/>
    <xf numFmtId="0" fontId="0" fillId="0" borderId="0" xfId="0" applyFont="1" applyBorder="1"/>
    <xf numFmtId="0" fontId="12" fillId="0" borderId="0" xfId="0" applyFont="1"/>
    <xf numFmtId="0" fontId="1" fillId="0" borderId="0" xfId="2" applyFont="1" applyBorder="1"/>
    <xf numFmtId="0" fontId="12" fillId="0" borderId="0" xfId="0" applyFont="1" applyBorder="1"/>
    <xf numFmtId="0" fontId="13" fillId="0" borderId="5" xfId="0" applyFont="1" applyBorder="1"/>
    <xf numFmtId="0" fontId="13" fillId="0" borderId="16" xfId="0" applyFont="1" applyBorder="1"/>
    <xf numFmtId="0" fontId="13" fillId="0" borderId="6" xfId="0" applyFont="1" applyBorder="1"/>
    <xf numFmtId="0" fontId="13" fillId="0" borderId="14" xfId="0" applyFont="1" applyBorder="1"/>
    <xf numFmtId="165" fontId="13" fillId="0" borderId="3" xfId="0" applyNumberFormat="1" applyFont="1" applyBorder="1"/>
    <xf numFmtId="9" fontId="13" fillId="0" borderId="3" xfId="0" applyNumberFormat="1" applyFont="1" applyBorder="1"/>
    <xf numFmtId="165" fontId="13" fillId="0" borderId="13" xfId="0" applyNumberFormat="1" applyFont="1" applyBorder="1"/>
    <xf numFmtId="0" fontId="13" fillId="0" borderId="10" xfId="0" applyFont="1" applyBorder="1"/>
    <xf numFmtId="165" fontId="13" fillId="0" borderId="17" xfId="0" applyNumberFormat="1" applyFont="1" applyBorder="1"/>
    <xf numFmtId="9" fontId="13" fillId="0" borderId="17" xfId="0" applyNumberFormat="1" applyFont="1" applyBorder="1"/>
    <xf numFmtId="165" fontId="13" fillId="0" borderId="11" xfId="0" applyNumberFormat="1" applyFont="1" applyBorder="1"/>
    <xf numFmtId="0" fontId="13" fillId="0" borderId="0" xfId="0" applyFont="1"/>
    <xf numFmtId="0" fontId="13" fillId="3" borderId="3" xfId="0" applyFont="1" applyFill="1" applyBorder="1"/>
    <xf numFmtId="165" fontId="13" fillId="3" borderId="3" xfId="0" applyNumberFormat="1" applyFont="1" applyFill="1" applyBorder="1"/>
    <xf numFmtId="0" fontId="13" fillId="0" borderId="12" xfId="0" applyFont="1" applyBorder="1"/>
    <xf numFmtId="0" fontId="13" fillId="0" borderId="9" xfId="0" applyFont="1" applyBorder="1"/>
    <xf numFmtId="0" fontId="14" fillId="0" borderId="0" xfId="2" applyFont="1" applyBorder="1"/>
    <xf numFmtId="0" fontId="15" fillId="0" borderId="0" xfId="2" applyFont="1" applyBorder="1"/>
    <xf numFmtId="165" fontId="6" fillId="0" borderId="3" xfId="1" applyNumberFormat="1" applyFont="1" applyBorder="1"/>
  </cellXfs>
  <cellStyles count="5">
    <cellStyle name="Comma" xfId="4" builtinId="3"/>
    <cellStyle name="Currency" xfId="1" builtinId="4"/>
    <cellStyle name="Excel Built-in Normal" xfId="2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2"/>
  <sheetViews>
    <sheetView topLeftCell="A62" zoomScale="70" zoomScaleNormal="70" workbookViewId="0">
      <selection activeCell="M87" sqref="M87"/>
    </sheetView>
  </sheetViews>
  <sheetFormatPr defaultColWidth="9.42578125" defaultRowHeight="15" x14ac:dyDescent="0.25"/>
  <cols>
    <col min="1" max="1" width="4.85546875" style="1" customWidth="1"/>
    <col min="2" max="2" width="40.85546875" style="1" bestFit="1" customWidth="1"/>
    <col min="3" max="3" width="13.42578125" style="1" bestFit="1" customWidth="1"/>
    <col min="4" max="4" width="11" style="1" bestFit="1" customWidth="1"/>
    <col min="5" max="8" width="11.42578125" style="1" bestFit="1" customWidth="1"/>
    <col min="9" max="9" width="12" style="1" bestFit="1" customWidth="1"/>
    <col min="10" max="11" width="12.42578125" style="1" bestFit="1" customWidth="1"/>
    <col min="12" max="12" width="12.85546875" style="1" bestFit="1" customWidth="1"/>
    <col min="13" max="14" width="13.42578125" style="1" bestFit="1" customWidth="1"/>
    <col min="15" max="15" width="14.7109375" style="1" bestFit="1" customWidth="1"/>
    <col min="16" max="16" width="12.5703125" style="1" bestFit="1" customWidth="1"/>
    <col min="17" max="17" width="8.7109375" style="1" bestFit="1" customWidth="1"/>
    <col min="18" max="18" width="10" style="1" bestFit="1" customWidth="1"/>
    <col min="19" max="19" width="14.28515625" style="1" bestFit="1" customWidth="1"/>
    <col min="20" max="20" width="9.42578125" style="1"/>
    <col min="21" max="21" width="14.28515625" style="1" bestFit="1" customWidth="1"/>
    <col min="22" max="16384" width="9.42578125" style="1"/>
  </cols>
  <sheetData>
    <row r="1" spans="1:15" s="3" customFormat="1" x14ac:dyDescent="0.25">
      <c r="A1" s="2" t="s">
        <v>45</v>
      </c>
    </row>
    <row r="2" spans="1:15" x14ac:dyDescent="0.25">
      <c r="A2" s="4" t="s">
        <v>0</v>
      </c>
    </row>
    <row r="3" spans="1:15" x14ac:dyDescent="0.25">
      <c r="A3" s="4"/>
      <c r="B3" s="1" t="s">
        <v>46</v>
      </c>
      <c r="C3" s="12">
        <v>0.05</v>
      </c>
      <c r="D3" s="13">
        <f>D11*N3</f>
        <v>3664.1499999999996</v>
      </c>
      <c r="E3" s="66">
        <f>D3+(D3*$C$3)</f>
        <v>3847.3574999999996</v>
      </c>
      <c r="F3" s="13">
        <f t="shared" ref="F3:M3" si="0">E3+(E3*$C$3)</f>
        <v>4039.7253749999995</v>
      </c>
      <c r="G3" s="13">
        <f t="shared" si="0"/>
        <v>4241.7116437499999</v>
      </c>
      <c r="H3" s="13">
        <f t="shared" si="0"/>
        <v>4453.7972259375001</v>
      </c>
      <c r="I3" s="13">
        <f t="shared" si="0"/>
        <v>4676.4870872343754</v>
      </c>
      <c r="J3" s="13">
        <f t="shared" si="0"/>
        <v>4910.3114415960945</v>
      </c>
      <c r="K3" s="13">
        <f t="shared" si="0"/>
        <v>5155.8270136758993</v>
      </c>
      <c r="L3" s="13">
        <f t="shared" si="0"/>
        <v>5413.6183643596942</v>
      </c>
      <c r="M3" s="13">
        <f t="shared" si="0"/>
        <v>5684.2992825776792</v>
      </c>
      <c r="N3" s="12">
        <v>0.5</v>
      </c>
      <c r="O3" s="1" t="s">
        <v>159</v>
      </c>
    </row>
    <row r="4" spans="1:15" x14ac:dyDescent="0.25">
      <c r="A4" s="4"/>
      <c r="B4" s="1" t="s">
        <v>63</v>
      </c>
      <c r="C4" s="12">
        <v>0.01</v>
      </c>
      <c r="D4" s="13">
        <f>D3</f>
        <v>3664.1499999999996</v>
      </c>
      <c r="E4" s="13">
        <f>D4*(1+$C$4)</f>
        <v>3700.7914999999998</v>
      </c>
      <c r="F4" s="13">
        <f t="shared" ref="F4:M4" si="1">E4*(1+$C$4)</f>
        <v>3737.799415</v>
      </c>
      <c r="G4" s="13">
        <f t="shared" si="1"/>
        <v>3775.1774091500001</v>
      </c>
      <c r="H4" s="13">
        <f t="shared" si="1"/>
        <v>3812.9291832415001</v>
      </c>
      <c r="I4" s="13">
        <f t="shared" si="1"/>
        <v>3851.0584750739154</v>
      </c>
      <c r="J4" s="13">
        <f t="shared" si="1"/>
        <v>3889.5690598246547</v>
      </c>
      <c r="K4" s="13">
        <f t="shared" si="1"/>
        <v>3928.4647504229015</v>
      </c>
      <c r="L4" s="13">
        <f t="shared" si="1"/>
        <v>3967.7493979271308</v>
      </c>
      <c r="M4" s="13">
        <f t="shared" si="1"/>
        <v>4007.426891906402</v>
      </c>
    </row>
    <row r="5" spans="1:15" x14ac:dyDescent="0.25">
      <c r="A5" s="4"/>
      <c r="B5" s="1" t="s">
        <v>47</v>
      </c>
      <c r="C5" s="12">
        <v>0.05</v>
      </c>
      <c r="D5" s="14">
        <v>15</v>
      </c>
      <c r="E5" s="14">
        <f>D5+(D5*$C$5)</f>
        <v>15.75</v>
      </c>
      <c r="F5" s="14">
        <f t="shared" ref="F5:M5" si="2">E5+(E5*$C$5)</f>
        <v>16.537500000000001</v>
      </c>
      <c r="G5" s="14">
        <f t="shared" si="2"/>
        <v>17.364375000000003</v>
      </c>
      <c r="H5" s="14">
        <f t="shared" si="2"/>
        <v>18.232593750000003</v>
      </c>
      <c r="I5" s="14">
        <f t="shared" si="2"/>
        <v>19.144223437500003</v>
      </c>
      <c r="J5" s="14">
        <f t="shared" si="2"/>
        <v>20.101434609375001</v>
      </c>
      <c r="K5" s="14">
        <f t="shared" si="2"/>
        <v>21.106506339843751</v>
      </c>
      <c r="L5" s="14">
        <f t="shared" si="2"/>
        <v>22.16183165683594</v>
      </c>
      <c r="M5" s="14">
        <f t="shared" si="2"/>
        <v>23.269923239677738</v>
      </c>
    </row>
    <row r="6" spans="1:15" x14ac:dyDescent="0.25">
      <c r="A6" s="4"/>
      <c r="B6" s="1" t="s">
        <v>48</v>
      </c>
      <c r="C6" s="12">
        <v>0.03</v>
      </c>
      <c r="D6" s="37">
        <v>25</v>
      </c>
      <c r="E6" s="37">
        <f>D6+(D6*$C$6)</f>
        <v>25.75</v>
      </c>
      <c r="F6" s="37">
        <f t="shared" ref="F6:M6" si="3">E6+(E6*$C$6)</f>
        <v>26.522500000000001</v>
      </c>
      <c r="G6" s="37">
        <f t="shared" si="3"/>
        <v>27.318175</v>
      </c>
      <c r="H6" s="37">
        <f t="shared" si="3"/>
        <v>28.137720250000001</v>
      </c>
      <c r="I6" s="37">
        <f t="shared" si="3"/>
        <v>28.981851857500001</v>
      </c>
      <c r="J6" s="37">
        <f t="shared" si="3"/>
        <v>29.851307413225001</v>
      </c>
      <c r="K6" s="37">
        <f t="shared" si="3"/>
        <v>30.74684663562175</v>
      </c>
      <c r="L6" s="37">
        <f t="shared" si="3"/>
        <v>31.669252034690402</v>
      </c>
      <c r="M6" s="37">
        <f t="shared" si="3"/>
        <v>32.619329595731116</v>
      </c>
    </row>
    <row r="7" spans="1:15" x14ac:dyDescent="0.25">
      <c r="A7" s="4"/>
      <c r="B7" s="1" t="s">
        <v>30</v>
      </c>
      <c r="C7" s="12"/>
      <c r="D7" s="1">
        <v>15</v>
      </c>
      <c r="E7" s="17">
        <f>D7-(D7*$C$7)</f>
        <v>15</v>
      </c>
      <c r="F7" s="17">
        <f t="shared" ref="F7:M7" si="4">E7-(E7*$C$7)</f>
        <v>15</v>
      </c>
      <c r="G7" s="17">
        <f t="shared" si="4"/>
        <v>15</v>
      </c>
      <c r="H7" s="17">
        <f t="shared" si="4"/>
        <v>15</v>
      </c>
      <c r="I7" s="17">
        <f t="shared" si="4"/>
        <v>15</v>
      </c>
      <c r="J7" s="17">
        <f t="shared" si="4"/>
        <v>15</v>
      </c>
      <c r="K7" s="17">
        <f t="shared" si="4"/>
        <v>15</v>
      </c>
      <c r="L7" s="17">
        <f t="shared" si="4"/>
        <v>15</v>
      </c>
      <c r="M7" s="17">
        <f t="shared" si="4"/>
        <v>15</v>
      </c>
    </row>
    <row r="8" spans="1:15" x14ac:dyDescent="0.25">
      <c r="A8" s="4"/>
      <c r="B8" s="1" t="s">
        <v>49</v>
      </c>
      <c r="C8" s="12"/>
      <c r="D8" s="1">
        <v>30</v>
      </c>
      <c r="E8" s="17">
        <f>D8+(D8*$C$8)</f>
        <v>30</v>
      </c>
      <c r="F8" s="17">
        <f t="shared" ref="F8:M8" si="5">E8+(E8*$C$8)</f>
        <v>30</v>
      </c>
      <c r="G8" s="17">
        <f t="shared" si="5"/>
        <v>30</v>
      </c>
      <c r="H8" s="17">
        <f t="shared" si="5"/>
        <v>30</v>
      </c>
      <c r="I8" s="17">
        <f t="shared" si="5"/>
        <v>30</v>
      </c>
      <c r="J8" s="17">
        <f t="shared" si="5"/>
        <v>30</v>
      </c>
      <c r="K8" s="17">
        <f t="shared" si="5"/>
        <v>30</v>
      </c>
      <c r="L8" s="17">
        <f t="shared" si="5"/>
        <v>30</v>
      </c>
      <c r="M8" s="17">
        <f t="shared" si="5"/>
        <v>30</v>
      </c>
    </row>
    <row r="9" spans="1:15" x14ac:dyDescent="0.25">
      <c r="A9" s="4"/>
      <c r="B9" s="1" t="s">
        <v>31</v>
      </c>
      <c r="C9" s="12"/>
      <c r="D9" s="1">
        <v>30</v>
      </c>
      <c r="E9" s="1">
        <v>30</v>
      </c>
      <c r="F9" s="1">
        <v>30</v>
      </c>
      <c r="G9" s="1">
        <v>30</v>
      </c>
      <c r="H9" s="1">
        <v>30</v>
      </c>
      <c r="I9" s="1">
        <v>30</v>
      </c>
      <c r="J9" s="1">
        <v>30</v>
      </c>
      <c r="K9" s="1">
        <v>30</v>
      </c>
      <c r="L9" s="1">
        <v>30</v>
      </c>
      <c r="M9" s="1">
        <v>30</v>
      </c>
    </row>
    <row r="10" spans="1:15" x14ac:dyDescent="0.25">
      <c r="A10" s="4"/>
      <c r="B10" s="1" t="s">
        <v>61</v>
      </c>
      <c r="C10" s="16">
        <v>0.01</v>
      </c>
      <c r="D10" s="22">
        <v>10469</v>
      </c>
      <c r="E10" s="15">
        <f>D10+(D10*$C$10)</f>
        <v>10573.69</v>
      </c>
      <c r="F10" s="15">
        <f t="shared" ref="F10:M10" si="6">E10+(E10*$C$10)</f>
        <v>10679.4269</v>
      </c>
      <c r="G10" s="15">
        <f t="shared" si="6"/>
        <v>10786.221169</v>
      </c>
      <c r="H10" s="15">
        <f t="shared" si="6"/>
        <v>10894.083380690001</v>
      </c>
      <c r="I10" s="15">
        <f t="shared" si="6"/>
        <v>11003.024214496902</v>
      </c>
      <c r="J10" s="15">
        <f t="shared" si="6"/>
        <v>11113.05445664187</v>
      </c>
      <c r="K10" s="15">
        <f t="shared" si="6"/>
        <v>11224.185001208289</v>
      </c>
      <c r="L10" s="15">
        <f t="shared" si="6"/>
        <v>11336.426851220371</v>
      </c>
      <c r="M10" s="15">
        <f t="shared" si="6"/>
        <v>11449.791119732574</v>
      </c>
    </row>
    <row r="11" spans="1:15" x14ac:dyDescent="0.25">
      <c r="A11" s="4"/>
      <c r="B11" s="1" t="s">
        <v>60</v>
      </c>
      <c r="C11" s="16">
        <v>0.7</v>
      </c>
      <c r="D11" s="15">
        <f>D10*$C$11</f>
        <v>7328.2999999999993</v>
      </c>
      <c r="E11" s="15">
        <f t="shared" ref="E11:M11" si="7">E10*$C$11</f>
        <v>7401.5829999999996</v>
      </c>
      <c r="F11" s="15">
        <f t="shared" si="7"/>
        <v>7475.5988299999999</v>
      </c>
      <c r="G11" s="15">
        <f t="shared" si="7"/>
        <v>7550.3548182999994</v>
      </c>
      <c r="H11" s="15">
        <f t="shared" si="7"/>
        <v>7625.8583664830003</v>
      </c>
      <c r="I11" s="15">
        <f t="shared" si="7"/>
        <v>7702.1169501478307</v>
      </c>
      <c r="J11" s="15">
        <f t="shared" si="7"/>
        <v>7779.1381196493085</v>
      </c>
      <c r="K11" s="15">
        <f t="shared" si="7"/>
        <v>7856.9295008458012</v>
      </c>
      <c r="L11" s="15">
        <f t="shared" si="7"/>
        <v>7935.4987958542588</v>
      </c>
      <c r="M11" s="15">
        <f t="shared" si="7"/>
        <v>8014.8537838128013</v>
      </c>
    </row>
    <row r="12" spans="1:15" x14ac:dyDescent="0.25">
      <c r="A12" s="4"/>
      <c r="B12" s="1" t="s">
        <v>62</v>
      </c>
      <c r="C12" s="16"/>
      <c r="D12" s="15">
        <v>1</v>
      </c>
      <c r="E12" s="15">
        <v>1</v>
      </c>
      <c r="F12" s="15">
        <v>1</v>
      </c>
      <c r="G12" s="15">
        <v>1</v>
      </c>
      <c r="H12" s="15">
        <v>1</v>
      </c>
      <c r="I12" s="15">
        <v>1</v>
      </c>
      <c r="J12" s="15">
        <v>1</v>
      </c>
      <c r="K12" s="15">
        <v>1</v>
      </c>
      <c r="L12" s="15">
        <v>1</v>
      </c>
      <c r="M12" s="15">
        <v>1</v>
      </c>
    </row>
    <row r="13" spans="1:15" x14ac:dyDescent="0.25">
      <c r="A13" s="4"/>
      <c r="B13" s="1" t="s">
        <v>64</v>
      </c>
      <c r="C13" s="16"/>
      <c r="D13" s="15">
        <v>1</v>
      </c>
      <c r="E13" s="15">
        <v>1</v>
      </c>
      <c r="F13" s="15">
        <v>1</v>
      </c>
      <c r="G13" s="15">
        <v>1</v>
      </c>
      <c r="H13" s="15">
        <v>1</v>
      </c>
      <c r="I13" s="15">
        <v>1</v>
      </c>
      <c r="J13" s="15">
        <v>1</v>
      </c>
      <c r="K13" s="15">
        <v>1</v>
      </c>
      <c r="L13" s="15">
        <v>1</v>
      </c>
      <c r="M13" s="15">
        <v>1</v>
      </c>
    </row>
    <row r="14" spans="1:15" x14ac:dyDescent="0.25">
      <c r="A14" s="4"/>
      <c r="B14" s="1" t="s">
        <v>87</v>
      </c>
      <c r="C14" s="16"/>
      <c r="D14" s="37">
        <f>0.85*SUM(D18:D19)</f>
        <v>124581.09999999998</v>
      </c>
      <c r="E14" s="37">
        <f t="shared" ref="E14:M14" si="8">0.85*SUM(E18:E19)</f>
        <v>132507.5724875</v>
      </c>
      <c r="F14" s="37">
        <f t="shared" si="8"/>
        <v>141051.33186738999</v>
      </c>
      <c r="G14" s="37">
        <f t="shared" si="8"/>
        <v>150267.78443167554</v>
      </c>
      <c r="H14" s="37">
        <f t="shared" si="8"/>
        <v>160217.69863302988</v>
      </c>
      <c r="I14" s="37">
        <f t="shared" si="8"/>
        <v>170967.74193179645</v>
      </c>
      <c r="J14" s="37">
        <f t="shared" si="8"/>
        <v>182591.07215499849</v>
      </c>
      <c r="K14" s="37">
        <f t="shared" si="8"/>
        <v>195167.98893408899</v>
      </c>
      <c r="L14" s="37">
        <f t="shared" si="8"/>
        <v>208786.6513579294</v>
      </c>
      <c r="M14" s="37">
        <f t="shared" si="8"/>
        <v>223543.86860560469</v>
      </c>
    </row>
    <row r="15" spans="1:15" ht="15.75" thickBot="1" x14ac:dyDescent="0.3">
      <c r="A15" s="4"/>
    </row>
    <row r="16" spans="1:15" ht="15.75" thickBot="1" x14ac:dyDescent="0.3">
      <c r="A16" s="56" t="s">
        <v>116</v>
      </c>
      <c r="B16" s="51"/>
      <c r="C16" s="51"/>
      <c r="D16" s="52" t="s">
        <v>26</v>
      </c>
      <c r="E16" s="52" t="s">
        <v>27</v>
      </c>
      <c r="F16" s="52" t="s">
        <v>28</v>
      </c>
      <c r="G16" s="52" t="s">
        <v>29</v>
      </c>
      <c r="H16" s="52" t="s">
        <v>50</v>
      </c>
      <c r="I16" s="52" t="s">
        <v>51</v>
      </c>
      <c r="J16" s="52" t="s">
        <v>52</v>
      </c>
      <c r="K16" s="52" t="s">
        <v>53</v>
      </c>
      <c r="L16" s="52" t="s">
        <v>54</v>
      </c>
      <c r="M16" s="53" t="s">
        <v>55</v>
      </c>
    </row>
    <row r="17" spans="1:23" x14ac:dyDescent="0.25">
      <c r="A17" s="41" t="s">
        <v>1</v>
      </c>
      <c r="B17" s="42"/>
      <c r="C17" s="42"/>
      <c r="D17" s="42"/>
      <c r="E17" s="42"/>
      <c r="F17" s="42"/>
      <c r="G17" s="42"/>
      <c r="H17" s="24"/>
      <c r="I17" s="24"/>
      <c r="J17" s="24"/>
      <c r="K17" s="24"/>
      <c r="L17" s="24"/>
      <c r="M17" s="25"/>
    </row>
    <row r="18" spans="1:23" x14ac:dyDescent="0.25">
      <c r="A18" s="43" t="s">
        <v>56</v>
      </c>
      <c r="B18" s="44"/>
      <c r="C18" s="44"/>
      <c r="D18" s="54">
        <f>D3*D5</f>
        <v>54962.249999999993</v>
      </c>
      <c r="E18" s="54">
        <f t="shared" ref="E18:M18" si="9">E3*E5</f>
        <v>60595.880624999991</v>
      </c>
      <c r="F18" s="54">
        <f t="shared" si="9"/>
        <v>66806.958389062493</v>
      </c>
      <c r="G18" s="54">
        <f t="shared" si="9"/>
        <v>73654.671623941409</v>
      </c>
      <c r="H18" s="54">
        <f t="shared" si="9"/>
        <v>81204.275465395418</v>
      </c>
      <c r="I18" s="54">
        <f t="shared" si="9"/>
        <v>89527.713700598455</v>
      </c>
      <c r="J18" s="54">
        <f t="shared" si="9"/>
        <v>98704.304354909793</v>
      </c>
      <c r="K18" s="54">
        <f t="shared" si="9"/>
        <v>108821.49555128804</v>
      </c>
      <c r="L18" s="54">
        <f t="shared" si="9"/>
        <v>119975.69884529508</v>
      </c>
      <c r="M18" s="55">
        <f t="shared" si="9"/>
        <v>132273.20797693782</v>
      </c>
    </row>
    <row r="19" spans="1:23" x14ac:dyDescent="0.25">
      <c r="A19" s="43" t="s">
        <v>57</v>
      </c>
      <c r="B19" s="44"/>
      <c r="C19" s="44"/>
      <c r="D19" s="54">
        <f t="shared" ref="D19:M19" si="10">D4*D6</f>
        <v>91603.749999999985</v>
      </c>
      <c r="E19" s="54">
        <f t="shared" si="10"/>
        <v>95295.381125</v>
      </c>
      <c r="F19" s="54">
        <f t="shared" si="10"/>
        <v>99135.784984337501</v>
      </c>
      <c r="G19" s="54">
        <f t="shared" si="10"/>
        <v>103130.9571192063</v>
      </c>
      <c r="H19" s="54">
        <f t="shared" si="10"/>
        <v>107287.13469111032</v>
      </c>
      <c r="I19" s="54">
        <f t="shared" si="10"/>
        <v>111610.80621916207</v>
      </c>
      <c r="J19" s="54">
        <f t="shared" si="10"/>
        <v>116108.72170979431</v>
      </c>
      <c r="K19" s="54">
        <f t="shared" si="10"/>
        <v>120787.90319469903</v>
      </c>
      <c r="L19" s="54">
        <f t="shared" si="10"/>
        <v>125655.6556934454</v>
      </c>
      <c r="M19" s="55">
        <f t="shared" si="10"/>
        <v>130719.57861789127</v>
      </c>
    </row>
    <row r="20" spans="1:23" x14ac:dyDescent="0.25">
      <c r="A20" s="43"/>
      <c r="B20" s="44"/>
      <c r="C20" s="44"/>
      <c r="D20" s="54"/>
      <c r="E20" s="54"/>
      <c r="F20" s="54"/>
      <c r="G20" s="54"/>
      <c r="H20" s="54"/>
      <c r="I20" s="54"/>
      <c r="J20" s="54"/>
      <c r="K20" s="54"/>
      <c r="L20" s="54"/>
      <c r="M20" s="55"/>
    </row>
    <row r="21" spans="1:23" x14ac:dyDescent="0.25">
      <c r="A21" s="45" t="s">
        <v>58</v>
      </c>
      <c r="B21" s="44"/>
      <c r="C21" s="44"/>
      <c r="D21" s="54">
        <f>$N$21*D18</f>
        <v>21984.899999999998</v>
      </c>
      <c r="E21" s="54">
        <f t="shared" ref="E21:M21" si="11">$N$21*E18</f>
        <v>24238.352249999996</v>
      </c>
      <c r="F21" s="54">
        <f t="shared" si="11"/>
        <v>26722.783355624997</v>
      </c>
      <c r="G21" s="54">
        <f t="shared" si="11"/>
        <v>29461.868649576565</v>
      </c>
      <c r="H21" s="54">
        <f t="shared" si="11"/>
        <v>32481.710186158169</v>
      </c>
      <c r="I21" s="54">
        <f t="shared" si="11"/>
        <v>35811.085480239381</v>
      </c>
      <c r="J21" s="54">
        <f t="shared" si="11"/>
        <v>39481.72174196392</v>
      </c>
      <c r="K21" s="54">
        <f t="shared" si="11"/>
        <v>43528.598220515218</v>
      </c>
      <c r="L21" s="54">
        <f t="shared" si="11"/>
        <v>47990.279538118033</v>
      </c>
      <c r="M21" s="55">
        <f t="shared" si="11"/>
        <v>52909.283190775132</v>
      </c>
      <c r="N21" s="12">
        <v>0.4</v>
      </c>
    </row>
    <row r="22" spans="1:23" x14ac:dyDescent="0.25">
      <c r="A22" s="45" t="s">
        <v>59</v>
      </c>
      <c r="B22" s="44"/>
      <c r="C22" s="44"/>
      <c r="D22" s="54">
        <f>$N$22*D19</f>
        <v>27481.124999999996</v>
      </c>
      <c r="E22" s="54">
        <f t="shared" ref="E22:M22" si="12">$N$22*E19</f>
        <v>28588.614337499999</v>
      </c>
      <c r="F22" s="54">
        <f t="shared" si="12"/>
        <v>29740.735495301247</v>
      </c>
      <c r="G22" s="54">
        <f t="shared" si="12"/>
        <v>30939.28713576189</v>
      </c>
      <c r="H22" s="54">
        <f t="shared" si="12"/>
        <v>32186.140407333092</v>
      </c>
      <c r="I22" s="54">
        <f t="shared" si="12"/>
        <v>33483.24186574862</v>
      </c>
      <c r="J22" s="54">
        <f t="shared" si="12"/>
        <v>34832.616512938293</v>
      </c>
      <c r="K22" s="54">
        <f t="shared" si="12"/>
        <v>36236.370958409709</v>
      </c>
      <c r="L22" s="54">
        <f t="shared" si="12"/>
        <v>37696.696708033618</v>
      </c>
      <c r="M22" s="55">
        <f t="shared" si="12"/>
        <v>39215.873585367379</v>
      </c>
      <c r="N22" s="12">
        <v>0.3</v>
      </c>
    </row>
    <row r="23" spans="1:23" x14ac:dyDescent="0.25">
      <c r="A23" s="43"/>
      <c r="B23" s="44"/>
      <c r="C23" s="44"/>
      <c r="D23" s="54"/>
      <c r="E23" s="54"/>
      <c r="F23" s="54"/>
      <c r="G23" s="54"/>
      <c r="H23" s="54"/>
      <c r="I23" s="54"/>
      <c r="J23" s="54"/>
      <c r="K23" s="54"/>
      <c r="L23" s="54"/>
      <c r="M23" s="55"/>
    </row>
    <row r="24" spans="1:23" x14ac:dyDescent="0.25">
      <c r="A24" s="45" t="s">
        <v>2</v>
      </c>
      <c r="B24" s="44"/>
      <c r="C24" s="44"/>
      <c r="D24" s="54"/>
      <c r="E24" s="54"/>
      <c r="F24" s="54"/>
      <c r="G24" s="54"/>
      <c r="H24" s="54"/>
      <c r="I24" s="54"/>
      <c r="J24" s="54"/>
      <c r="K24" s="54"/>
      <c r="L24" s="54"/>
      <c r="M24" s="55"/>
      <c r="N24" s="1" t="s">
        <v>134</v>
      </c>
      <c r="O24" s="1" t="s">
        <v>135</v>
      </c>
    </row>
    <row r="25" spans="1:23" x14ac:dyDescent="0.25">
      <c r="A25" s="45"/>
      <c r="B25" s="44" t="s">
        <v>122</v>
      </c>
      <c r="C25" s="44"/>
      <c r="D25" s="54">
        <f>N25*O25</f>
        <v>3400.0000000000005</v>
      </c>
      <c r="E25" s="54">
        <f>D25*(1+$P$25)</f>
        <v>3434.0000000000005</v>
      </c>
      <c r="F25" s="54">
        <f t="shared" ref="F25:M25" si="13">E25*(1+$P$25)</f>
        <v>3468.3400000000006</v>
      </c>
      <c r="G25" s="54">
        <f t="shared" si="13"/>
        <v>3503.0234000000005</v>
      </c>
      <c r="H25" s="54">
        <f t="shared" si="13"/>
        <v>3538.0536340000003</v>
      </c>
      <c r="I25" s="54">
        <f t="shared" si="13"/>
        <v>3573.4341703400005</v>
      </c>
      <c r="J25" s="54">
        <f t="shared" si="13"/>
        <v>3609.1685120434004</v>
      </c>
      <c r="K25" s="54">
        <f t="shared" si="13"/>
        <v>3645.2601971638346</v>
      </c>
      <c r="L25" s="54">
        <f t="shared" si="13"/>
        <v>3681.7127991354728</v>
      </c>
      <c r="M25" s="55">
        <f t="shared" si="13"/>
        <v>3718.5299271268277</v>
      </c>
      <c r="N25" s="1">
        <v>1.36</v>
      </c>
      <c r="O25" s="1">
        <v>2500</v>
      </c>
      <c r="P25" s="1">
        <v>0.01</v>
      </c>
      <c r="Q25" s="1" t="s">
        <v>129</v>
      </c>
      <c r="R25" s="1" t="s">
        <v>130</v>
      </c>
      <c r="S25" s="1" t="s">
        <v>131</v>
      </c>
      <c r="T25" s="1" t="s">
        <v>132</v>
      </c>
      <c r="U25" s="1" t="s">
        <v>133</v>
      </c>
      <c r="V25" s="1" t="s">
        <v>128</v>
      </c>
      <c r="W25" s="1" t="s">
        <v>124</v>
      </c>
    </row>
    <row r="26" spans="1:23" x14ac:dyDescent="0.25">
      <c r="A26" s="45"/>
      <c r="B26" s="44" t="s">
        <v>123</v>
      </c>
      <c r="C26" s="44"/>
      <c r="D26" s="54">
        <f>U26*W26</f>
        <v>62400</v>
      </c>
      <c r="E26" s="54">
        <f t="shared" ref="E26:M26" si="14">D26*(1+$V$26)</f>
        <v>64272</v>
      </c>
      <c r="F26" s="54">
        <f t="shared" si="14"/>
        <v>66200.160000000003</v>
      </c>
      <c r="G26" s="54">
        <f t="shared" si="14"/>
        <v>68186.164799999999</v>
      </c>
      <c r="H26" s="54">
        <f t="shared" si="14"/>
        <v>70231.749744000001</v>
      </c>
      <c r="I26" s="54">
        <f t="shared" si="14"/>
        <v>72338.702236320009</v>
      </c>
      <c r="J26" s="54">
        <f t="shared" si="14"/>
        <v>74508.863303409613</v>
      </c>
      <c r="K26" s="54">
        <f t="shared" si="14"/>
        <v>76744.129202511904</v>
      </c>
      <c r="L26" s="54">
        <f t="shared" si="14"/>
        <v>79046.453078587263</v>
      </c>
      <c r="M26" s="55">
        <f t="shared" si="14"/>
        <v>81417.846670944884</v>
      </c>
      <c r="Q26" s="1">
        <v>40</v>
      </c>
      <c r="R26" s="1">
        <v>52</v>
      </c>
      <c r="S26" s="1">
        <f>Q26*R26</f>
        <v>2080</v>
      </c>
      <c r="T26" s="14">
        <v>10</v>
      </c>
      <c r="U26" s="14">
        <f>S26*T26</f>
        <v>20800</v>
      </c>
      <c r="V26" s="16">
        <v>0.03</v>
      </c>
      <c r="W26" s="1">
        <v>3</v>
      </c>
    </row>
    <row r="27" spans="1:23" x14ac:dyDescent="0.25">
      <c r="A27" s="45"/>
      <c r="B27" s="44" t="s">
        <v>16</v>
      </c>
      <c r="C27" s="44"/>
      <c r="D27" s="54">
        <f>SUM(D18:D19)*$N$27</f>
        <v>29313.199999999997</v>
      </c>
      <c r="E27" s="54">
        <f t="shared" ref="E27:M27" si="15">SUM(E18:E19)*$N$27</f>
        <v>31178.252350000002</v>
      </c>
      <c r="F27" s="54">
        <f t="shared" si="15"/>
        <v>33188.548674680002</v>
      </c>
      <c r="G27" s="54">
        <f t="shared" si="15"/>
        <v>35357.125748629544</v>
      </c>
      <c r="H27" s="54">
        <f t="shared" si="15"/>
        <v>37698.282031301147</v>
      </c>
      <c r="I27" s="54">
        <f t="shared" si="15"/>
        <v>40227.703983952109</v>
      </c>
      <c r="J27" s="54">
        <f t="shared" si="15"/>
        <v>42962.605212940827</v>
      </c>
      <c r="K27" s="54">
        <f t="shared" si="15"/>
        <v>45921.879749197418</v>
      </c>
      <c r="L27" s="54">
        <f t="shared" si="15"/>
        <v>49126.270907748098</v>
      </c>
      <c r="M27" s="55">
        <f t="shared" si="15"/>
        <v>52598.557318965817</v>
      </c>
      <c r="N27" s="16">
        <v>0.2</v>
      </c>
    </row>
    <row r="28" spans="1:23" x14ac:dyDescent="0.25">
      <c r="A28" s="45"/>
      <c r="B28" s="44"/>
      <c r="C28" s="44"/>
      <c r="D28" s="54"/>
      <c r="E28" s="54"/>
      <c r="F28" s="54"/>
      <c r="G28" s="54"/>
      <c r="H28" s="54"/>
      <c r="I28" s="54"/>
      <c r="J28" s="54"/>
      <c r="K28" s="54"/>
      <c r="L28" s="54"/>
      <c r="M28" s="55"/>
    </row>
    <row r="29" spans="1:23" x14ac:dyDescent="0.25">
      <c r="A29" s="45" t="s">
        <v>3</v>
      </c>
      <c r="B29" s="44"/>
      <c r="C29" s="44"/>
      <c r="D29" s="54">
        <f>$D$45*$N$29</f>
        <v>2500</v>
      </c>
      <c r="E29" s="54">
        <f t="shared" ref="E29:M29" si="16">$D$45*$N$29</f>
        <v>2500</v>
      </c>
      <c r="F29" s="54">
        <f t="shared" si="16"/>
        <v>2500</v>
      </c>
      <c r="G29" s="54">
        <f t="shared" si="16"/>
        <v>2500</v>
      </c>
      <c r="H29" s="54">
        <f t="shared" si="16"/>
        <v>2500</v>
      </c>
      <c r="I29" s="54">
        <f t="shared" si="16"/>
        <v>2500</v>
      </c>
      <c r="J29" s="54">
        <f t="shared" si="16"/>
        <v>2500</v>
      </c>
      <c r="K29" s="54">
        <f t="shared" si="16"/>
        <v>2500</v>
      </c>
      <c r="L29" s="54">
        <f t="shared" si="16"/>
        <v>2500</v>
      </c>
      <c r="M29" s="55">
        <f t="shared" si="16"/>
        <v>2500</v>
      </c>
      <c r="N29" s="16">
        <f>1/30</f>
        <v>3.3333333333333333E-2</v>
      </c>
    </row>
    <row r="30" spans="1:23" x14ac:dyDescent="0.25">
      <c r="A30" s="45" t="s">
        <v>4</v>
      </c>
      <c r="B30" s="44"/>
      <c r="C30" s="44"/>
      <c r="D30" s="54">
        <f>Mortgage!E14</f>
        <v>2680.1982157356338</v>
      </c>
      <c r="E30" s="54">
        <f>Mortgage!E28</f>
        <v>2635.7314045555554</v>
      </c>
      <c r="F30" s="54">
        <f>Mortgage!E42</f>
        <v>2589.2217958497513</v>
      </c>
      <c r="G30" s="54">
        <f>Mortgage!E56</f>
        <v>2540.5755438572965</v>
      </c>
      <c r="H30" s="54">
        <f>Mortgage!E70</f>
        <v>2489.6944915594277</v>
      </c>
      <c r="I30" s="54">
        <f>Mortgage!E84</f>
        <v>2436.4759726211141</v>
      </c>
      <c r="J30" s="54">
        <f>Mortgage!E98</f>
        <v>2380.8126042338549</v>
      </c>
      <c r="K30" s="54">
        <f>Mortgage!E112</f>
        <v>2322.592070441714</v>
      </c>
      <c r="L30" s="54">
        <f>Mortgage!E126</f>
        <v>2261.696895513393</v>
      </c>
      <c r="M30" s="55">
        <f>Mortgage!E140</f>
        <v>2198.0042069030492</v>
      </c>
    </row>
    <row r="31" spans="1:23" x14ac:dyDescent="0.25">
      <c r="A31" s="45" t="s">
        <v>17</v>
      </c>
      <c r="B31" s="44"/>
      <c r="C31" s="44"/>
      <c r="D31" s="54">
        <f>D55*$N$31</f>
        <v>1308.7812292914505</v>
      </c>
      <c r="E31" s="54">
        <f>E55*$N$31</f>
        <v>1466.6267312808523</v>
      </c>
      <c r="F31" s="54">
        <f>F55*$N$31</f>
        <v>1376.2327353658447</v>
      </c>
      <c r="G31" s="54">
        <f>G55*$N$31</f>
        <v>985.31329842962009</v>
      </c>
      <c r="H31" s="54">
        <f t="shared" ref="H31:M31" si="17">H55*$N$31</f>
        <v>327.50464902332283</v>
      </c>
      <c r="I31" s="54">
        <f t="shared" si="17"/>
        <v>0</v>
      </c>
      <c r="J31" s="54">
        <f t="shared" si="17"/>
        <v>0</v>
      </c>
      <c r="K31" s="54">
        <f t="shared" si="17"/>
        <v>0</v>
      </c>
      <c r="L31" s="54">
        <f t="shared" si="17"/>
        <v>0</v>
      </c>
      <c r="M31" s="55">
        <f t="shared" si="17"/>
        <v>0</v>
      </c>
      <c r="N31" s="16">
        <v>0.1</v>
      </c>
    </row>
    <row r="32" spans="1:23" x14ac:dyDescent="0.25">
      <c r="A32" s="45"/>
      <c r="B32" s="44"/>
      <c r="C32" s="44"/>
      <c r="D32" s="54"/>
      <c r="E32" s="54"/>
      <c r="F32" s="54"/>
      <c r="G32" s="54"/>
      <c r="H32" s="54"/>
      <c r="I32" s="54"/>
      <c r="J32" s="54"/>
      <c r="K32" s="54"/>
      <c r="L32" s="54"/>
      <c r="M32" s="55"/>
    </row>
    <row r="33" spans="1:19" x14ac:dyDescent="0.25">
      <c r="A33" s="45" t="s">
        <v>5</v>
      </c>
      <c r="B33" s="44"/>
      <c r="C33" s="44"/>
      <c r="D33" s="54">
        <f t="shared" ref="D33:M33" si="18">SUM(D18:D19)-SUM(D21:D31)</f>
        <v>-4502.204445027106</v>
      </c>
      <c r="E33" s="54">
        <f t="shared" si="18"/>
        <v>-2422.3153233363992</v>
      </c>
      <c r="F33" s="54">
        <f t="shared" si="18"/>
        <v>156.72131657815771</v>
      </c>
      <c r="G33" s="54">
        <f t="shared" si="18"/>
        <v>3312.2701668927912</v>
      </c>
      <c r="H33" s="54">
        <f t="shared" si="18"/>
        <v>7038.2750131305656</v>
      </c>
      <c r="I33" s="54">
        <f t="shared" si="18"/>
        <v>10767.876210539282</v>
      </c>
      <c r="J33" s="54">
        <f t="shared" si="18"/>
        <v>14537.238177174178</v>
      </c>
      <c r="K33" s="54">
        <f t="shared" si="18"/>
        <v>18710.568347747263</v>
      </c>
      <c r="L33" s="54">
        <f t="shared" si="18"/>
        <v>23328.244611604605</v>
      </c>
      <c r="M33" s="55">
        <f t="shared" si="18"/>
        <v>28434.691694745969</v>
      </c>
    </row>
    <row r="34" spans="1:19" x14ac:dyDescent="0.25">
      <c r="A34" s="45" t="s">
        <v>6</v>
      </c>
      <c r="B34" s="44"/>
      <c r="C34" s="44"/>
      <c r="D34" s="54">
        <f>IF(D33&lt;0, 0, D33*$N$34)</f>
        <v>0</v>
      </c>
      <c r="E34" s="54">
        <f>IF(E33&lt;0, 0, E33*$N$34)</f>
        <v>0</v>
      </c>
      <c r="F34" s="54">
        <f>IF(F33&lt;0, 0, F33*$N$34)</f>
        <v>47.016394973447312</v>
      </c>
      <c r="G34" s="54">
        <f>IF(G33&lt;0, 0, G33*$N$34)</f>
        <v>993.6810500678373</v>
      </c>
      <c r="H34" s="54">
        <f t="shared" ref="H34:M34" si="19">IF(H33&lt;0, 0, H33*$N$34)</f>
        <v>2111.4825039391694</v>
      </c>
      <c r="I34" s="54">
        <f t="shared" si="19"/>
        <v>3230.3628631617844</v>
      </c>
      <c r="J34" s="54">
        <f t="shared" si="19"/>
        <v>4361.171453152253</v>
      </c>
      <c r="K34" s="54">
        <f t="shared" si="19"/>
        <v>5613.1705043241791</v>
      </c>
      <c r="L34" s="54">
        <f t="shared" si="19"/>
        <v>6998.4733834813815</v>
      </c>
      <c r="M34" s="55">
        <f t="shared" si="19"/>
        <v>8530.4075084237902</v>
      </c>
      <c r="N34" s="16">
        <v>0.3</v>
      </c>
    </row>
    <row r="35" spans="1:19" x14ac:dyDescent="0.25">
      <c r="A35" s="46" t="s">
        <v>18</v>
      </c>
      <c r="B35" s="44"/>
      <c r="C35" s="44"/>
      <c r="D35" s="54">
        <f>D33-D34</f>
        <v>-4502.204445027106</v>
      </c>
      <c r="E35" s="54">
        <f t="shared" ref="E35:M35" si="20">E33-E34</f>
        <v>-2422.3153233363992</v>
      </c>
      <c r="F35" s="54">
        <f t="shared" si="20"/>
        <v>109.70492160471039</v>
      </c>
      <c r="G35" s="54">
        <f t="shared" si="20"/>
        <v>2318.5891168249536</v>
      </c>
      <c r="H35" s="54">
        <f t="shared" si="20"/>
        <v>4926.7925091913967</v>
      </c>
      <c r="I35" s="54">
        <f t="shared" si="20"/>
        <v>7537.5133473774968</v>
      </c>
      <c r="J35" s="54">
        <f t="shared" si="20"/>
        <v>10176.066724021926</v>
      </c>
      <c r="K35" s="54">
        <f t="shared" si="20"/>
        <v>13097.397843423085</v>
      </c>
      <c r="L35" s="54">
        <f t="shared" si="20"/>
        <v>16329.771228123223</v>
      </c>
      <c r="M35" s="55">
        <f t="shared" si="20"/>
        <v>19904.284186322177</v>
      </c>
    </row>
    <row r="36" spans="1:19" x14ac:dyDescent="0.25">
      <c r="A36" s="45"/>
      <c r="B36" s="44"/>
      <c r="C36" s="44"/>
      <c r="D36" s="54"/>
      <c r="E36" s="54"/>
      <c r="F36" s="54"/>
      <c r="G36" s="54"/>
      <c r="H36" s="54"/>
      <c r="I36" s="54"/>
      <c r="J36" s="54"/>
      <c r="K36" s="54"/>
      <c r="L36" s="54"/>
      <c r="M36" s="55"/>
    </row>
    <row r="37" spans="1:19" x14ac:dyDescent="0.25">
      <c r="A37" s="46" t="s">
        <v>7</v>
      </c>
      <c r="B37" s="44"/>
      <c r="C37" s="44"/>
      <c r="D37" s="54"/>
      <c r="E37" s="54"/>
      <c r="F37" s="54"/>
      <c r="G37" s="54"/>
      <c r="H37" s="54"/>
      <c r="I37" s="54"/>
      <c r="J37" s="54"/>
      <c r="K37" s="54"/>
      <c r="L37" s="54"/>
      <c r="M37" s="55"/>
    </row>
    <row r="38" spans="1:19" x14ac:dyDescent="0.25">
      <c r="A38" s="46" t="s">
        <v>8</v>
      </c>
      <c r="B38" s="44"/>
      <c r="C38" s="44"/>
      <c r="D38" s="54"/>
      <c r="E38" s="54"/>
      <c r="F38" s="54"/>
      <c r="G38" s="54"/>
      <c r="H38" s="54"/>
      <c r="I38" s="54"/>
      <c r="J38" s="54"/>
      <c r="K38" s="54"/>
      <c r="L38" s="54"/>
      <c r="M38" s="55"/>
    </row>
    <row r="39" spans="1:19" x14ac:dyDescent="0.25">
      <c r="A39" s="45" t="s">
        <v>19</v>
      </c>
      <c r="B39" s="44"/>
      <c r="C39" s="44"/>
      <c r="D39" s="77">
        <f>(D18+D19)*$O$39</f>
        <v>4997.900599999999</v>
      </c>
      <c r="E39" s="77">
        <f t="shared" ref="E39:M39" si="21">(E18+E19)*$O$39</f>
        <v>5315.8920256749998</v>
      </c>
      <c r="F39" s="77">
        <f t="shared" si="21"/>
        <v>5658.6475490329403</v>
      </c>
      <c r="G39" s="77">
        <f t="shared" si="21"/>
        <v>6028.3899401413364</v>
      </c>
      <c r="H39" s="77">
        <f t="shared" si="21"/>
        <v>6427.5570863368457</v>
      </c>
      <c r="I39" s="77">
        <f t="shared" si="21"/>
        <v>6858.8235292638337</v>
      </c>
      <c r="J39" s="77">
        <f t="shared" si="21"/>
        <v>7325.1241888064096</v>
      </c>
      <c r="K39" s="77">
        <f t="shared" si="21"/>
        <v>7829.6804972381588</v>
      </c>
      <c r="L39" s="77">
        <f t="shared" si="21"/>
        <v>8376.0291897710504</v>
      </c>
      <c r="M39" s="80">
        <f t="shared" si="21"/>
        <v>8968.0540228836708</v>
      </c>
      <c r="N39" s="76"/>
      <c r="O39" s="68">
        <v>3.4099999999999998E-2</v>
      </c>
    </row>
    <row r="40" spans="1:19" x14ac:dyDescent="0.25">
      <c r="A40" s="45" t="s">
        <v>20</v>
      </c>
      <c r="B40" s="44"/>
      <c r="C40" s="44"/>
      <c r="D40" s="54"/>
      <c r="E40" s="54"/>
      <c r="F40" s="54"/>
      <c r="G40" s="54"/>
      <c r="H40" s="54"/>
      <c r="I40" s="54">
        <v>5797</v>
      </c>
      <c r="J40" s="54">
        <v>17392</v>
      </c>
      <c r="K40" s="54">
        <v>31895</v>
      </c>
      <c r="L40" s="54">
        <v>49617</v>
      </c>
      <c r="M40" s="55">
        <v>70905</v>
      </c>
    </row>
    <row r="41" spans="1:19" x14ac:dyDescent="0.25">
      <c r="A41" s="45" t="s">
        <v>9</v>
      </c>
      <c r="B41" s="44"/>
      <c r="C41" s="44"/>
      <c r="D41" s="70">
        <f t="shared" ref="D41:M41" si="22">D7*(D14/365)</f>
        <v>5119.771232876712</v>
      </c>
      <c r="E41" s="54">
        <f t="shared" si="22"/>
        <v>5445.5166775684938</v>
      </c>
      <c r="F41" s="54">
        <f t="shared" si="22"/>
        <v>5796.6300767420544</v>
      </c>
      <c r="G41" s="54">
        <f t="shared" si="22"/>
        <v>6175.3884013017341</v>
      </c>
      <c r="H41" s="54">
        <f t="shared" si="22"/>
        <v>6584.288984919036</v>
      </c>
      <c r="I41" s="54">
        <f t="shared" si="22"/>
        <v>7026.0715862382103</v>
      </c>
      <c r="J41" s="54">
        <f t="shared" si="22"/>
        <v>7503.7426913013078</v>
      </c>
      <c r="K41" s="54">
        <f t="shared" si="22"/>
        <v>8020.6022849625615</v>
      </c>
      <c r="L41" s="54">
        <f t="shared" si="22"/>
        <v>8580.2733434765505</v>
      </c>
      <c r="M41" s="55">
        <f t="shared" si="22"/>
        <v>9186.7343262577269</v>
      </c>
    </row>
    <row r="42" spans="1:19" x14ac:dyDescent="0.25">
      <c r="A42" s="45" t="s">
        <v>24</v>
      </c>
      <c r="B42" s="44"/>
      <c r="C42" s="44"/>
      <c r="D42" s="70">
        <f t="shared" ref="D42:M42" si="23">(D8*(D21/365))+(D8*(D22/365))</f>
        <v>4065.7006849315062</v>
      </c>
      <c r="E42" s="54">
        <f t="shared" si="23"/>
        <v>4341.9424592465748</v>
      </c>
      <c r="F42" s="54">
        <f t="shared" si="23"/>
        <v>4640.8371658295546</v>
      </c>
      <c r="G42" s="54">
        <f t="shared" si="23"/>
        <v>4964.4785576990507</v>
      </c>
      <c r="H42" s="54">
        <f t="shared" si="23"/>
        <v>5315.1658022047613</v>
      </c>
      <c r="I42" s="54">
        <f t="shared" si="23"/>
        <v>5695.4241654236712</v>
      </c>
      <c r="J42" s="54">
        <f t="shared" si="23"/>
        <v>6108.0278017727842</v>
      </c>
      <c r="K42" s="54">
        <f t="shared" si="23"/>
        <v>6556.0248640212267</v>
      </c>
      <c r="L42" s="54">
        <f t="shared" si="23"/>
        <v>7042.7651709165748</v>
      </c>
      <c r="M42" s="55">
        <f t="shared" si="23"/>
        <v>7571.930693929522</v>
      </c>
    </row>
    <row r="43" spans="1:19" ht="15.75" thickBot="1" x14ac:dyDescent="0.3">
      <c r="A43" s="45"/>
      <c r="B43" s="44"/>
      <c r="C43" s="44"/>
      <c r="D43" s="54"/>
      <c r="E43" s="54"/>
      <c r="F43" s="54"/>
      <c r="G43" s="54"/>
      <c r="H43" s="54"/>
      <c r="I43" s="54"/>
      <c r="J43" s="54"/>
      <c r="K43" s="54"/>
      <c r="L43" s="54"/>
      <c r="M43" s="55"/>
      <c r="O43" s="1" t="s">
        <v>119</v>
      </c>
      <c r="P43" s="1" t="s">
        <v>120</v>
      </c>
    </row>
    <row r="44" spans="1:19" ht="15.75" thickBot="1" x14ac:dyDescent="0.3">
      <c r="A44" s="45" t="s">
        <v>118</v>
      </c>
      <c r="B44" s="44"/>
      <c r="C44" s="44"/>
      <c r="D44" s="54">
        <f>O44*P44</f>
        <v>25000</v>
      </c>
      <c r="E44" s="54">
        <f>D44</f>
        <v>25000</v>
      </c>
      <c r="F44" s="54">
        <f t="shared" ref="F44:L44" si="24">E44</f>
        <v>25000</v>
      </c>
      <c r="G44" s="54">
        <f t="shared" si="24"/>
        <v>25000</v>
      </c>
      <c r="H44" s="54">
        <f t="shared" si="24"/>
        <v>25000</v>
      </c>
      <c r="I44" s="54">
        <f t="shared" si="24"/>
        <v>25000</v>
      </c>
      <c r="J44" s="54">
        <f t="shared" si="24"/>
        <v>25000</v>
      </c>
      <c r="K44" s="54">
        <f t="shared" si="24"/>
        <v>25000</v>
      </c>
      <c r="L44" s="54">
        <f t="shared" si="24"/>
        <v>25000</v>
      </c>
      <c r="M44" s="55">
        <f>L44</f>
        <v>25000</v>
      </c>
      <c r="O44" s="1">
        <v>0.25</v>
      </c>
      <c r="P44" s="14">
        <v>100000</v>
      </c>
      <c r="Q44" s="79" t="s">
        <v>125</v>
      </c>
      <c r="R44" s="65" t="s">
        <v>126</v>
      </c>
      <c r="S44" s="64" t="s">
        <v>127</v>
      </c>
    </row>
    <row r="45" spans="1:19" ht="15.75" thickBot="1" x14ac:dyDescent="0.3">
      <c r="A45" s="45" t="s">
        <v>117</v>
      </c>
      <c r="B45" s="44"/>
      <c r="C45" s="44"/>
      <c r="D45" s="54">
        <f>$S$45</f>
        <v>75000</v>
      </c>
      <c r="E45" s="54">
        <f>D45</f>
        <v>75000</v>
      </c>
      <c r="F45" s="54">
        <f t="shared" ref="F45:L45" si="25">E45</f>
        <v>75000</v>
      </c>
      <c r="G45" s="54">
        <f t="shared" si="25"/>
        <v>75000</v>
      </c>
      <c r="H45" s="54">
        <f t="shared" si="25"/>
        <v>75000</v>
      </c>
      <c r="I45" s="54">
        <f t="shared" si="25"/>
        <v>75000</v>
      </c>
      <c r="J45" s="54">
        <f t="shared" si="25"/>
        <v>75000</v>
      </c>
      <c r="K45" s="54">
        <f t="shared" si="25"/>
        <v>75000</v>
      </c>
      <c r="L45" s="54">
        <f t="shared" si="25"/>
        <v>75000</v>
      </c>
      <c r="M45" s="55">
        <f>L45</f>
        <v>75000</v>
      </c>
      <c r="Q45" s="78">
        <v>2500</v>
      </c>
      <c r="R45" s="32">
        <v>30</v>
      </c>
      <c r="S45" s="33">
        <f>Q45*R45</f>
        <v>75000</v>
      </c>
    </row>
    <row r="46" spans="1:19" x14ac:dyDescent="0.25">
      <c r="A46" s="45" t="s">
        <v>10</v>
      </c>
      <c r="B46" s="44"/>
      <c r="C46" s="44"/>
      <c r="D46" s="54">
        <f>C46+D29</f>
        <v>2500</v>
      </c>
      <c r="E46" s="54">
        <f t="shared" ref="E46:M46" si="26">D46+E29</f>
        <v>5000</v>
      </c>
      <c r="F46" s="54">
        <f t="shared" si="26"/>
        <v>7500</v>
      </c>
      <c r="G46" s="54">
        <f t="shared" si="26"/>
        <v>10000</v>
      </c>
      <c r="H46" s="54">
        <f t="shared" si="26"/>
        <v>12500</v>
      </c>
      <c r="I46" s="54">
        <f t="shared" si="26"/>
        <v>15000</v>
      </c>
      <c r="J46" s="54">
        <f t="shared" si="26"/>
        <v>17500</v>
      </c>
      <c r="K46" s="54">
        <f t="shared" si="26"/>
        <v>20000</v>
      </c>
      <c r="L46" s="54">
        <f t="shared" si="26"/>
        <v>22500</v>
      </c>
      <c r="M46" s="55">
        <f t="shared" si="26"/>
        <v>25000</v>
      </c>
      <c r="N46" s="24"/>
      <c r="O46" s="24" t="s">
        <v>92</v>
      </c>
      <c r="P46" s="24">
        <v>0.98</v>
      </c>
      <c r="Q46" s="26"/>
      <c r="R46" s="28"/>
    </row>
    <row r="47" spans="1:19" x14ac:dyDescent="0.25">
      <c r="A47" s="45"/>
      <c r="B47" s="44"/>
      <c r="C47" s="44"/>
      <c r="D47" s="54"/>
      <c r="E47" s="54"/>
      <c r="F47" s="54"/>
      <c r="G47" s="54"/>
      <c r="H47" s="54"/>
      <c r="I47" s="54"/>
      <c r="J47" s="54"/>
      <c r="K47" s="54"/>
      <c r="L47" s="54"/>
      <c r="M47" s="55"/>
      <c r="N47" s="26"/>
      <c r="O47" s="26" t="s">
        <v>91</v>
      </c>
      <c r="P47" s="27">
        <v>2.75E-2</v>
      </c>
      <c r="Q47" s="26"/>
      <c r="R47" s="28"/>
    </row>
    <row r="48" spans="1:19" x14ac:dyDescent="0.25">
      <c r="A48" s="46" t="s">
        <v>11</v>
      </c>
      <c r="B48" s="44"/>
      <c r="C48" s="44"/>
      <c r="D48" s="54">
        <f>SUM(D39:D45)-D46</f>
        <v>111683.37251780822</v>
      </c>
      <c r="E48" s="54">
        <f t="shared" ref="E48:M48" si="27">SUM(E39:E45)-E46</f>
        <v>110103.35116249007</v>
      </c>
      <c r="F48" s="54">
        <f t="shared" si="27"/>
        <v>108596.11479160454</v>
      </c>
      <c r="G48" s="54">
        <f t="shared" si="27"/>
        <v>107168.25689914211</v>
      </c>
      <c r="H48" s="54">
        <f t="shared" si="27"/>
        <v>105827.01187346064</v>
      </c>
      <c r="I48" s="54">
        <f t="shared" si="27"/>
        <v>110377.31928092572</v>
      </c>
      <c r="J48" s="54">
        <f t="shared" si="27"/>
        <v>120828.89468188051</v>
      </c>
      <c r="K48" s="54">
        <f t="shared" si="27"/>
        <v>134301.30764622195</v>
      </c>
      <c r="L48" s="54">
        <f t="shared" si="27"/>
        <v>151116.06770416419</v>
      </c>
      <c r="M48" s="55">
        <f t="shared" si="27"/>
        <v>171631.71904307092</v>
      </c>
      <c r="N48" s="26"/>
      <c r="O48" s="26" t="s">
        <v>93</v>
      </c>
      <c r="P48" s="27">
        <v>7.0599999999999996E-2</v>
      </c>
      <c r="Q48" s="26"/>
      <c r="R48" s="28"/>
    </row>
    <row r="49" spans="1:18" x14ac:dyDescent="0.25">
      <c r="A49" s="45"/>
      <c r="B49" s="44"/>
      <c r="C49" s="44"/>
      <c r="D49" s="54"/>
      <c r="E49" s="54"/>
      <c r="F49" s="54"/>
      <c r="G49" s="54"/>
      <c r="H49" s="54"/>
      <c r="I49" s="54"/>
      <c r="J49" s="54"/>
      <c r="K49" s="54"/>
      <c r="L49" s="54"/>
      <c r="M49" s="55"/>
      <c r="N49" s="26"/>
      <c r="O49" s="26" t="s">
        <v>94</v>
      </c>
      <c r="P49" s="34">
        <f>P46*(1+(1-N34)*((O54+O55)/O57))</f>
        <v>1.7880905395672981</v>
      </c>
      <c r="Q49" s="26"/>
      <c r="R49" s="28"/>
    </row>
    <row r="50" spans="1:18" x14ac:dyDescent="0.25">
      <c r="A50" s="46" t="s">
        <v>12</v>
      </c>
      <c r="B50" s="44"/>
      <c r="C50" s="44"/>
      <c r="D50" s="54"/>
      <c r="E50" s="54"/>
      <c r="F50" s="54"/>
      <c r="G50" s="54"/>
      <c r="H50" s="54"/>
      <c r="I50" s="54"/>
      <c r="J50" s="54"/>
      <c r="K50" s="54"/>
      <c r="L50" s="54"/>
      <c r="M50" s="55"/>
      <c r="N50" s="26"/>
      <c r="O50" s="26" t="s">
        <v>95</v>
      </c>
      <c r="P50" s="29">
        <f>P47+P49*(P48-P47)</f>
        <v>0.10456670225535054</v>
      </c>
      <c r="Q50" s="26"/>
      <c r="R50" s="28"/>
    </row>
    <row r="51" spans="1:18" x14ac:dyDescent="0.25">
      <c r="A51" s="57" t="s">
        <v>25</v>
      </c>
      <c r="B51" s="44"/>
      <c r="C51" s="44"/>
      <c r="D51" s="54">
        <f t="shared" ref="D51:M51" si="28">SUM(D21:D22)/365*D9</f>
        <v>4065.7006849315067</v>
      </c>
      <c r="E51" s="54">
        <f t="shared" si="28"/>
        <v>4341.9424592465748</v>
      </c>
      <c r="F51" s="54">
        <f t="shared" si="28"/>
        <v>4640.8371658295546</v>
      </c>
      <c r="G51" s="54">
        <f t="shared" si="28"/>
        <v>4964.4785576990516</v>
      </c>
      <c r="H51" s="54">
        <f t="shared" si="28"/>
        <v>5315.1658022047613</v>
      </c>
      <c r="I51" s="54">
        <f t="shared" si="28"/>
        <v>5695.4241654236721</v>
      </c>
      <c r="J51" s="54">
        <f t="shared" si="28"/>
        <v>6108.0278017727851</v>
      </c>
      <c r="K51" s="54">
        <f t="shared" si="28"/>
        <v>6556.0248640212267</v>
      </c>
      <c r="L51" s="54">
        <f t="shared" si="28"/>
        <v>7042.7651709165748</v>
      </c>
      <c r="M51" s="55">
        <f t="shared" si="28"/>
        <v>7571.9306939295211</v>
      </c>
      <c r="N51" s="26"/>
      <c r="O51" s="26"/>
      <c r="P51" s="26"/>
      <c r="Q51" s="26"/>
      <c r="R51" s="28"/>
    </row>
    <row r="52" spans="1:18" x14ac:dyDescent="0.25">
      <c r="A52" s="45" t="s">
        <v>13</v>
      </c>
      <c r="B52" s="44"/>
      <c r="C52" s="44"/>
      <c r="D52" s="54">
        <f>D34</f>
        <v>0</v>
      </c>
      <c r="E52" s="54">
        <f t="shared" ref="E52:M52" si="29">E34</f>
        <v>0</v>
      </c>
      <c r="F52" s="54">
        <f t="shared" si="29"/>
        <v>47.016394973447312</v>
      </c>
      <c r="G52" s="54">
        <f t="shared" si="29"/>
        <v>993.6810500678373</v>
      </c>
      <c r="H52" s="54">
        <f t="shared" si="29"/>
        <v>2111.4825039391694</v>
      </c>
      <c r="I52" s="54">
        <f t="shared" si="29"/>
        <v>3230.3628631617844</v>
      </c>
      <c r="J52" s="54">
        <f t="shared" si="29"/>
        <v>4361.171453152253</v>
      </c>
      <c r="K52" s="54">
        <f t="shared" si="29"/>
        <v>5613.1705043241791</v>
      </c>
      <c r="L52" s="54">
        <f t="shared" si="29"/>
        <v>6998.4733834813815</v>
      </c>
      <c r="M52" s="55">
        <f t="shared" si="29"/>
        <v>8530.4075084237902</v>
      </c>
      <c r="N52" s="26"/>
      <c r="O52" s="26"/>
      <c r="P52" s="26"/>
      <c r="Q52" s="26"/>
      <c r="R52" s="28"/>
    </row>
    <row r="53" spans="1:18" x14ac:dyDescent="0.25">
      <c r="A53" s="45"/>
      <c r="B53" s="44"/>
      <c r="C53" s="44"/>
      <c r="D53" s="54"/>
      <c r="E53" s="54"/>
      <c r="F53" s="54"/>
      <c r="G53" s="54"/>
      <c r="H53" s="54"/>
      <c r="I53" s="54"/>
      <c r="J53" s="54"/>
      <c r="K53" s="54"/>
      <c r="L53" s="54"/>
      <c r="M53" s="55"/>
      <c r="N53" s="59" t="s">
        <v>89</v>
      </c>
      <c r="O53" s="59" t="s">
        <v>115</v>
      </c>
      <c r="P53" s="59" t="s">
        <v>37</v>
      </c>
      <c r="Q53" s="59" t="s">
        <v>90</v>
      </c>
      <c r="R53" s="60" t="s">
        <v>96</v>
      </c>
    </row>
    <row r="54" spans="1:18" x14ac:dyDescent="0.25">
      <c r="A54" s="45" t="s">
        <v>22</v>
      </c>
      <c r="B54" s="44"/>
      <c r="C54" s="67">
        <v>0.6</v>
      </c>
      <c r="D54" s="54">
        <f>Mortgage!G13</f>
        <v>59032.063984989283</v>
      </c>
      <c r="E54" s="54">
        <f>Mortgage!G27</f>
        <v>58019.661158798495</v>
      </c>
      <c r="F54" s="54">
        <f>Mortgage!G41</f>
        <v>56960.74872390191</v>
      </c>
      <c r="G54" s="54">
        <f>Mortgage!G55</f>
        <v>55853.190037012871</v>
      </c>
      <c r="H54" s="54">
        <f>Mortgage!G69</f>
        <v>54694.750297825958</v>
      </c>
      <c r="I54" s="54">
        <f>Mortgage!G83</f>
        <v>53483.092039700736</v>
      </c>
      <c r="J54" s="54">
        <f>Mortgage!G97</f>
        <v>52215.770413188256</v>
      </c>
      <c r="K54" s="54">
        <f>Mortgage!G111</f>
        <v>50890.228252883629</v>
      </c>
      <c r="L54" s="54">
        <f>Mortgage!G125</f>
        <v>49503.790917650673</v>
      </c>
      <c r="M54" s="55">
        <f>Mortgage!G139</f>
        <v>48053.660893807384</v>
      </c>
      <c r="N54" s="39">
        <f>AVERAGE(D54:M54)</f>
        <v>53870.695671975918</v>
      </c>
      <c r="O54" s="29">
        <f>N54/N59</f>
        <v>0.44963828085249002</v>
      </c>
      <c r="P54" s="27">
        <f>Mortgage!J1</f>
        <v>4.4999999999999998E-2</v>
      </c>
      <c r="Q54" s="30">
        <f>P54*(1-N34)</f>
        <v>3.15E-2</v>
      </c>
      <c r="R54" s="31">
        <f>O54*Q54</f>
        <v>1.4163605846853436E-2</v>
      </c>
    </row>
    <row r="55" spans="1:18" x14ac:dyDescent="0.25">
      <c r="A55" s="45" t="s">
        <v>21</v>
      </c>
      <c r="B55" s="44"/>
      <c r="C55" s="44"/>
      <c r="D55" s="54">
        <v>13087.812292914503</v>
      </c>
      <c r="E55" s="54">
        <v>14666.267312808521</v>
      </c>
      <c r="F55" s="54">
        <v>13762.327353658447</v>
      </c>
      <c r="G55" s="54">
        <v>9853.1329842962004</v>
      </c>
      <c r="H55" s="54">
        <v>3275.0464902332278</v>
      </c>
      <c r="I55" s="54"/>
      <c r="J55" s="54"/>
      <c r="K55" s="54"/>
      <c r="L55" s="54"/>
      <c r="M55" s="55"/>
      <c r="N55" s="39">
        <f>AVERAGE(D55:M55)</f>
        <v>10928.91728678218</v>
      </c>
      <c r="O55" s="68">
        <f>N55/N59</f>
        <v>9.1219530750632993E-2</v>
      </c>
      <c r="P55" s="69">
        <f>N31</f>
        <v>0.1</v>
      </c>
      <c r="Q55" s="30">
        <f>P55*(1-N34)</f>
        <v>6.9999999999999993E-2</v>
      </c>
      <c r="R55" s="31">
        <f>Q55*O55</f>
        <v>6.3853671525443091E-3</v>
      </c>
    </row>
    <row r="56" spans="1:18" x14ac:dyDescent="0.25">
      <c r="A56" s="45"/>
      <c r="B56" s="44"/>
      <c r="C56" s="4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26"/>
      <c r="O56" s="26"/>
      <c r="P56" s="26"/>
      <c r="Q56" s="26"/>
      <c r="R56" s="28"/>
    </row>
    <row r="57" spans="1:18" ht="15.75" thickBot="1" x14ac:dyDescent="0.3">
      <c r="A57" s="45" t="s">
        <v>23</v>
      </c>
      <c r="B57" s="44"/>
      <c r="C57" s="44"/>
      <c r="D57" s="54">
        <f>(D44+D45)-Mortgage!J6</f>
        <v>40000</v>
      </c>
      <c r="E57" s="54">
        <f>D57</f>
        <v>40000</v>
      </c>
      <c r="F57" s="54">
        <f t="shared" ref="F57:G57" si="30">E57</f>
        <v>40000</v>
      </c>
      <c r="G57" s="54">
        <f t="shared" si="30"/>
        <v>40000</v>
      </c>
      <c r="H57" s="54">
        <f t="shared" ref="H57" si="31">G57</f>
        <v>40000</v>
      </c>
      <c r="I57" s="54">
        <f t="shared" ref="I57" si="32">H57</f>
        <v>40000</v>
      </c>
      <c r="J57" s="54">
        <f t="shared" ref="J57" si="33">I57</f>
        <v>40000</v>
      </c>
      <c r="K57" s="54">
        <f t="shared" ref="K57" si="34">J57</f>
        <v>40000</v>
      </c>
      <c r="L57" s="54">
        <f t="shared" ref="L57" si="35">K57</f>
        <v>40000</v>
      </c>
      <c r="M57" s="55">
        <f t="shared" ref="M57" si="36">L57</f>
        <v>40000</v>
      </c>
      <c r="N57" s="39">
        <f>AVERAGE(D57:M57)</f>
        <v>40000</v>
      </c>
      <c r="O57" s="29">
        <f>(N57+N58)/N59</f>
        <v>0.45914218839687698</v>
      </c>
      <c r="P57" s="27">
        <f>P50</f>
        <v>0.10456670225535054</v>
      </c>
      <c r="Q57" s="27">
        <f>P57</f>
        <v>0.10456670225535054</v>
      </c>
      <c r="R57" s="31">
        <f>Q57*O57</f>
        <v>4.8010984506966302E-2</v>
      </c>
    </row>
    <row r="58" spans="1:18" ht="15.75" thickBot="1" x14ac:dyDescent="0.3">
      <c r="A58" s="45" t="s">
        <v>14</v>
      </c>
      <c r="B58" s="44"/>
      <c r="C58" s="5"/>
      <c r="D58" s="54">
        <f>C58+D35</f>
        <v>-4502.204445027106</v>
      </c>
      <c r="E58" s="54">
        <f>D58+E35</f>
        <v>-6924.5197683635051</v>
      </c>
      <c r="F58" s="54">
        <f>E58+F35</f>
        <v>-6814.8148467587944</v>
      </c>
      <c r="G58" s="54">
        <f>F58+G35</f>
        <v>-4496.2257299338407</v>
      </c>
      <c r="H58" s="54">
        <f t="shared" ref="H58:M58" si="37">G58+H35</f>
        <v>430.56677925755594</v>
      </c>
      <c r="I58" s="54">
        <f t="shared" si="37"/>
        <v>7968.0801266350527</v>
      </c>
      <c r="J58" s="54">
        <f t="shared" si="37"/>
        <v>18144.14685065698</v>
      </c>
      <c r="K58" s="54">
        <f t="shared" si="37"/>
        <v>31241.544694080065</v>
      </c>
      <c r="L58" s="54">
        <f t="shared" si="37"/>
        <v>47571.315922203285</v>
      </c>
      <c r="M58" s="55">
        <f t="shared" si="37"/>
        <v>67475.600108525454</v>
      </c>
      <c r="N58" s="40">
        <f>AVERAGE(D58:M58)</f>
        <v>15009.348969127514</v>
      </c>
      <c r="O58" s="26"/>
      <c r="P58" s="26"/>
      <c r="Q58" s="35" t="s">
        <v>97</v>
      </c>
      <c r="R58" s="36">
        <f>SUM(R54:R57)</f>
        <v>6.8559957506364039E-2</v>
      </c>
    </row>
    <row r="59" spans="1:18" ht="15.75" thickBot="1" x14ac:dyDescent="0.3">
      <c r="A59" s="45"/>
      <c r="B59" s="44"/>
      <c r="C59" s="44"/>
      <c r="D59" s="54"/>
      <c r="E59" s="54"/>
      <c r="F59" s="54"/>
      <c r="G59" s="54"/>
      <c r="H59" s="54"/>
      <c r="I59" s="54"/>
      <c r="J59" s="54"/>
      <c r="K59" s="54"/>
      <c r="L59" s="54"/>
      <c r="M59" s="55"/>
      <c r="N59" s="58">
        <f>SUM(N54:N58)</f>
        <v>119808.96192788561</v>
      </c>
      <c r="O59" s="32"/>
      <c r="P59" s="32"/>
      <c r="Q59" s="32"/>
      <c r="R59" s="33"/>
    </row>
    <row r="60" spans="1:18" x14ac:dyDescent="0.25">
      <c r="A60" s="46" t="s">
        <v>15</v>
      </c>
      <c r="B60" s="44"/>
      <c r="C60" s="44"/>
      <c r="D60" s="54">
        <f>SUM(D51:D58)</f>
        <v>111683.37251780819</v>
      </c>
      <c r="E60" s="54">
        <f t="shared" ref="E60:M60" si="38">SUM(E51:E58)</f>
        <v>110103.35116249009</v>
      </c>
      <c r="F60" s="54">
        <f t="shared" si="38"/>
        <v>108596.11479160457</v>
      </c>
      <c r="G60" s="54">
        <f t="shared" si="38"/>
        <v>107168.25689914213</v>
      </c>
      <c r="H60" s="54">
        <f t="shared" si="38"/>
        <v>105827.01187346067</v>
      </c>
      <c r="I60" s="54">
        <f t="shared" si="38"/>
        <v>110376.95919492123</v>
      </c>
      <c r="J60" s="54">
        <f t="shared" si="38"/>
        <v>120829.11651877027</v>
      </c>
      <c r="K60" s="54">
        <f t="shared" si="38"/>
        <v>134300.96831530912</v>
      </c>
      <c r="L60" s="54">
        <f t="shared" si="38"/>
        <v>151116.34539425193</v>
      </c>
      <c r="M60" s="55">
        <f t="shared" si="38"/>
        <v>171631.59920468615</v>
      </c>
    </row>
    <row r="61" spans="1:18" x14ac:dyDescent="0.25">
      <c r="A61" s="46"/>
      <c r="B61" s="44"/>
      <c r="C61" s="44"/>
      <c r="D61" s="54"/>
      <c r="E61" s="54"/>
      <c r="F61" s="54"/>
      <c r="G61" s="54"/>
      <c r="H61" s="54"/>
      <c r="I61" s="54"/>
      <c r="J61" s="54"/>
      <c r="K61" s="54"/>
      <c r="L61" s="54"/>
      <c r="M61" s="55"/>
    </row>
    <row r="62" spans="1:18" x14ac:dyDescent="0.25">
      <c r="A62" s="46"/>
      <c r="B62" s="44" t="s">
        <v>44</v>
      </c>
      <c r="C62" s="44"/>
      <c r="D62" s="54">
        <f>D48-D60</f>
        <v>0</v>
      </c>
      <c r="E62" s="54">
        <f t="shared" ref="E62:M62" si="39">E48-E60</f>
        <v>0</v>
      </c>
      <c r="F62" s="54">
        <f t="shared" si="39"/>
        <v>0</v>
      </c>
      <c r="G62" s="54">
        <f t="shared" si="39"/>
        <v>0</v>
      </c>
      <c r="H62" s="54">
        <f t="shared" si="39"/>
        <v>0</v>
      </c>
      <c r="I62" s="54">
        <f t="shared" si="39"/>
        <v>0.36008600448258221</v>
      </c>
      <c r="J62" s="54">
        <f t="shared" si="39"/>
        <v>-0.22183688975928817</v>
      </c>
      <c r="K62" s="54">
        <f t="shared" si="39"/>
        <v>0.33933091282960959</v>
      </c>
      <c r="L62" s="54">
        <f t="shared" si="39"/>
        <v>-0.27769008773611858</v>
      </c>
      <c r="M62" s="55">
        <f t="shared" si="39"/>
        <v>0.11983838476589881</v>
      </c>
    </row>
    <row r="63" spans="1:18" s="11" customFormat="1" ht="15.75" thickBot="1" x14ac:dyDescent="0.3">
      <c r="A63" s="47"/>
      <c r="B63" s="48"/>
      <c r="C63" s="48"/>
      <c r="D63" s="48"/>
      <c r="E63" s="48"/>
      <c r="F63" s="48"/>
      <c r="G63" s="48"/>
      <c r="H63" s="49"/>
      <c r="I63" s="49"/>
      <c r="J63" s="49"/>
      <c r="K63" s="49"/>
      <c r="L63" s="49"/>
      <c r="M63" s="50"/>
    </row>
    <row r="64" spans="1:18" ht="19.5" thickBot="1" x14ac:dyDescent="0.35">
      <c r="A64" s="63" t="s">
        <v>103</v>
      </c>
      <c r="B64" s="6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5"/>
    </row>
    <row r="65" spans="1:16" ht="18.75" x14ac:dyDescent="0.3">
      <c r="A65" s="71" t="s">
        <v>104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8"/>
    </row>
    <row r="66" spans="1:16" x14ac:dyDescent="0.25">
      <c r="A66" s="72"/>
      <c r="B66" s="26" t="s">
        <v>98</v>
      </c>
      <c r="C66" s="26"/>
      <c r="D66" s="54">
        <f>D18+D19-D21-D22-D27-D25-D26</f>
        <v>1986.7749999999796</v>
      </c>
      <c r="E66" s="54">
        <f t="shared" ref="E66:M66" si="40">E18+E19-E21-E22-E27-E25-E26</f>
        <v>4180.0428125000035</v>
      </c>
      <c r="F66" s="54">
        <f t="shared" si="40"/>
        <v>6622.1758477937547</v>
      </c>
      <c r="G66" s="54">
        <f t="shared" si="40"/>
        <v>9338.1590091797116</v>
      </c>
      <c r="H66" s="54">
        <f t="shared" si="40"/>
        <v>12355.474153713338</v>
      </c>
      <c r="I66" s="54">
        <f t="shared" si="40"/>
        <v>15704.352183160387</v>
      </c>
      <c r="J66" s="54">
        <f t="shared" si="40"/>
        <v>19418.050781408048</v>
      </c>
      <c r="K66" s="54">
        <f t="shared" si="40"/>
        <v>23533.160418188985</v>
      </c>
      <c r="L66" s="54">
        <f t="shared" si="40"/>
        <v>28089.941507117968</v>
      </c>
      <c r="M66" s="55">
        <f t="shared" si="40"/>
        <v>33132.695901649015</v>
      </c>
    </row>
    <row r="67" spans="1:16" x14ac:dyDescent="0.25">
      <c r="A67" s="72"/>
      <c r="B67" s="26" t="s">
        <v>99</v>
      </c>
      <c r="C67" s="26"/>
      <c r="D67" s="54">
        <f>D29</f>
        <v>2500</v>
      </c>
      <c r="E67" s="54">
        <f t="shared" ref="E67:M67" si="41">E29</f>
        <v>2500</v>
      </c>
      <c r="F67" s="54">
        <f t="shared" si="41"/>
        <v>2500</v>
      </c>
      <c r="G67" s="54">
        <f t="shared" si="41"/>
        <v>2500</v>
      </c>
      <c r="H67" s="54">
        <f t="shared" si="41"/>
        <v>2500</v>
      </c>
      <c r="I67" s="54">
        <f t="shared" si="41"/>
        <v>2500</v>
      </c>
      <c r="J67" s="54">
        <f t="shared" si="41"/>
        <v>2500</v>
      </c>
      <c r="K67" s="54">
        <f t="shared" si="41"/>
        <v>2500</v>
      </c>
      <c r="L67" s="54">
        <f t="shared" si="41"/>
        <v>2500</v>
      </c>
      <c r="M67" s="55">
        <f t="shared" si="41"/>
        <v>2500</v>
      </c>
    </row>
    <row r="68" spans="1:16" x14ac:dyDescent="0.25">
      <c r="A68" s="72"/>
      <c r="B68" s="26" t="s">
        <v>100</v>
      </c>
      <c r="C68" s="26"/>
      <c r="D68" s="54">
        <f>D66-D67</f>
        <v>-513.22500000002037</v>
      </c>
      <c r="E68" s="54">
        <f t="shared" ref="E68:M68" si="42">E66-E67</f>
        <v>1680.0428125000035</v>
      </c>
      <c r="F68" s="54">
        <f t="shared" si="42"/>
        <v>4122.1758477937547</v>
      </c>
      <c r="G68" s="54">
        <f t="shared" si="42"/>
        <v>6838.1590091797116</v>
      </c>
      <c r="H68" s="54">
        <f t="shared" si="42"/>
        <v>9855.4741537133377</v>
      </c>
      <c r="I68" s="54">
        <f t="shared" si="42"/>
        <v>13204.352183160387</v>
      </c>
      <c r="J68" s="54">
        <f t="shared" si="42"/>
        <v>16918.050781408048</v>
      </c>
      <c r="K68" s="54">
        <f t="shared" si="42"/>
        <v>21033.160418188985</v>
      </c>
      <c r="L68" s="54">
        <f t="shared" si="42"/>
        <v>25589.941507117968</v>
      </c>
      <c r="M68" s="55">
        <f t="shared" si="42"/>
        <v>30632.695901649015</v>
      </c>
    </row>
    <row r="69" spans="1:16" x14ac:dyDescent="0.25">
      <c r="A69" s="72"/>
      <c r="B69" s="26" t="s">
        <v>101</v>
      </c>
      <c r="C69" s="26"/>
      <c r="D69" s="38">
        <f>IF(D68&gt;0,D68*$N$34,0)</f>
        <v>0</v>
      </c>
      <c r="E69" s="38">
        <f t="shared" ref="E69:M69" si="43">IF(E68&gt;0,E68*$N$34,0)</f>
        <v>504.01284375000103</v>
      </c>
      <c r="F69" s="38">
        <f t="shared" si="43"/>
        <v>1236.6527543381264</v>
      </c>
      <c r="G69" s="38">
        <f t="shared" si="43"/>
        <v>2051.4477027539133</v>
      </c>
      <c r="H69" s="38">
        <f t="shared" si="43"/>
        <v>2956.6422461140014</v>
      </c>
      <c r="I69" s="38">
        <f t="shared" si="43"/>
        <v>3961.3056549481157</v>
      </c>
      <c r="J69" s="38">
        <f t="shared" si="43"/>
        <v>5075.415234422414</v>
      </c>
      <c r="K69" s="38">
        <f t="shared" si="43"/>
        <v>6309.9481254566954</v>
      </c>
      <c r="L69" s="38">
        <f t="shared" si="43"/>
        <v>7676.9824521353903</v>
      </c>
      <c r="M69" s="73">
        <f t="shared" si="43"/>
        <v>9189.8087704947047</v>
      </c>
    </row>
    <row r="70" spans="1:16" x14ac:dyDescent="0.25">
      <c r="A70" s="72"/>
      <c r="B70" s="26" t="s">
        <v>102</v>
      </c>
      <c r="C70" s="26"/>
      <c r="D70" s="54">
        <f>D66-D69</f>
        <v>1986.7749999999796</v>
      </c>
      <c r="E70" s="54">
        <f t="shared" ref="E70:M70" si="44">E66-E69</f>
        <v>3676.0299687500024</v>
      </c>
      <c r="F70" s="54">
        <f t="shared" si="44"/>
        <v>5385.5230934556284</v>
      </c>
      <c r="G70" s="54">
        <f t="shared" si="44"/>
        <v>7286.7113064257983</v>
      </c>
      <c r="H70" s="54">
        <f t="shared" si="44"/>
        <v>9398.8319075993368</v>
      </c>
      <c r="I70" s="54">
        <f t="shared" si="44"/>
        <v>11743.046528212271</v>
      </c>
      <c r="J70" s="54">
        <f t="shared" si="44"/>
        <v>14342.635546985635</v>
      </c>
      <c r="K70" s="54">
        <f t="shared" si="44"/>
        <v>17223.212292732289</v>
      </c>
      <c r="L70" s="54">
        <f t="shared" si="44"/>
        <v>20412.959054982577</v>
      </c>
      <c r="M70" s="55">
        <f t="shared" si="44"/>
        <v>23942.887131154312</v>
      </c>
    </row>
    <row r="71" spans="1:16" x14ac:dyDescent="0.25">
      <c r="A71" s="72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8"/>
    </row>
    <row r="72" spans="1:16" ht="18.75" x14ac:dyDescent="0.3">
      <c r="A72" s="71" t="s">
        <v>105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8"/>
    </row>
    <row r="73" spans="1:16" x14ac:dyDescent="0.25">
      <c r="A73" s="72"/>
      <c r="B73" s="26" t="s">
        <v>19</v>
      </c>
      <c r="C73" s="39">
        <f>C39-D39</f>
        <v>-4997.900599999999</v>
      </c>
      <c r="D73" s="39">
        <f t="shared" ref="D73:L73" si="45">D39-E39</f>
        <v>-317.99142567500076</v>
      </c>
      <c r="E73" s="39">
        <f t="shared" si="45"/>
        <v>-342.75552335794055</v>
      </c>
      <c r="F73" s="39">
        <f t="shared" si="45"/>
        <v>-369.74239110839608</v>
      </c>
      <c r="G73" s="39">
        <f t="shared" si="45"/>
        <v>-399.1671461955093</v>
      </c>
      <c r="H73" s="39">
        <f t="shared" si="45"/>
        <v>-431.26644292698802</v>
      </c>
      <c r="I73" s="39">
        <f t="shared" si="45"/>
        <v>-466.30065954257589</v>
      </c>
      <c r="J73" s="39">
        <f t="shared" si="45"/>
        <v>-504.55630843174913</v>
      </c>
      <c r="K73" s="39">
        <f t="shared" si="45"/>
        <v>-546.34869253289162</v>
      </c>
      <c r="L73" s="39">
        <f t="shared" si="45"/>
        <v>-592.0248331126204</v>
      </c>
      <c r="M73" s="74">
        <f>M39-N39</f>
        <v>8968.0540228836708</v>
      </c>
    </row>
    <row r="74" spans="1:16" x14ac:dyDescent="0.25">
      <c r="A74" s="72"/>
      <c r="B74" s="26" t="s">
        <v>9</v>
      </c>
      <c r="C74" s="39">
        <f>C41-D41</f>
        <v>-5119.771232876712</v>
      </c>
      <c r="D74" s="39">
        <f t="shared" ref="D74:M74" si="46">D41-E41</f>
        <v>-325.74544469178181</v>
      </c>
      <c r="E74" s="39">
        <f t="shared" si="46"/>
        <v>-351.11339917356054</v>
      </c>
      <c r="F74" s="39">
        <f t="shared" si="46"/>
        <v>-378.75832455967975</v>
      </c>
      <c r="G74" s="39">
        <f t="shared" si="46"/>
        <v>-408.90058361730189</v>
      </c>
      <c r="H74" s="39">
        <f t="shared" si="46"/>
        <v>-441.78260131917432</v>
      </c>
      <c r="I74" s="39">
        <f t="shared" si="46"/>
        <v>-477.67110506309746</v>
      </c>
      <c r="J74" s="39">
        <f t="shared" si="46"/>
        <v>-516.85959366125371</v>
      </c>
      <c r="K74" s="39">
        <f t="shared" si="46"/>
        <v>-559.67105851398901</v>
      </c>
      <c r="L74" s="39">
        <f t="shared" si="46"/>
        <v>-606.46098278117643</v>
      </c>
      <c r="M74" s="74">
        <f t="shared" si="46"/>
        <v>9186.7343262577269</v>
      </c>
    </row>
    <row r="75" spans="1:16" x14ac:dyDescent="0.25">
      <c r="A75" s="72"/>
      <c r="B75" s="26" t="s">
        <v>24</v>
      </c>
      <c r="C75" s="39">
        <f>C42-D42</f>
        <v>-4065.7006849315062</v>
      </c>
      <c r="D75" s="39">
        <f t="shared" ref="D75:M75" si="47">D42-E42</f>
        <v>-276.2417743150686</v>
      </c>
      <c r="E75" s="39">
        <f t="shared" si="47"/>
        <v>-298.89470658297978</v>
      </c>
      <c r="F75" s="39">
        <f t="shared" si="47"/>
        <v>-323.64139186949615</v>
      </c>
      <c r="G75" s="39">
        <f t="shared" si="47"/>
        <v>-350.68724450571062</v>
      </c>
      <c r="H75" s="39">
        <f t="shared" si="47"/>
        <v>-380.25836321890984</v>
      </c>
      <c r="I75" s="39">
        <f t="shared" si="47"/>
        <v>-412.603636349113</v>
      </c>
      <c r="J75" s="39">
        <f t="shared" si="47"/>
        <v>-447.99706224844249</v>
      </c>
      <c r="K75" s="39">
        <f t="shared" si="47"/>
        <v>-486.74030689534811</v>
      </c>
      <c r="L75" s="39">
        <f t="shared" si="47"/>
        <v>-529.16552301294723</v>
      </c>
      <c r="M75" s="74">
        <f t="shared" si="47"/>
        <v>7571.930693929522</v>
      </c>
    </row>
    <row r="76" spans="1:16" x14ac:dyDescent="0.25">
      <c r="A76" s="72"/>
      <c r="B76" s="26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74"/>
      <c r="N76" s="1" t="s">
        <v>112</v>
      </c>
      <c r="O76" s="1" t="s">
        <v>113</v>
      </c>
      <c r="P76" s="1" t="s">
        <v>114</v>
      </c>
    </row>
    <row r="77" spans="1:16" x14ac:dyDescent="0.25">
      <c r="A77" s="72"/>
      <c r="B77" s="26" t="s">
        <v>121</v>
      </c>
      <c r="C77" s="39">
        <f>C44-D44</f>
        <v>-25000</v>
      </c>
      <c r="D77" s="39">
        <f t="shared" ref="D77:M77" si="48">D44-E44</f>
        <v>0</v>
      </c>
      <c r="E77" s="39">
        <f t="shared" si="48"/>
        <v>0</v>
      </c>
      <c r="F77" s="39">
        <f t="shared" si="48"/>
        <v>0</v>
      </c>
      <c r="G77" s="39">
        <f t="shared" si="48"/>
        <v>0</v>
      </c>
      <c r="H77" s="39">
        <f t="shared" si="48"/>
        <v>0</v>
      </c>
      <c r="I77" s="39">
        <f t="shared" si="48"/>
        <v>0</v>
      </c>
      <c r="J77" s="39">
        <f t="shared" si="48"/>
        <v>0</v>
      </c>
      <c r="K77" s="39">
        <f t="shared" si="48"/>
        <v>0</v>
      </c>
      <c r="L77" s="39">
        <f t="shared" si="48"/>
        <v>0</v>
      </c>
      <c r="M77" s="74">
        <f t="shared" si="48"/>
        <v>25000</v>
      </c>
      <c r="N77" s="23">
        <f>M77*N78</f>
        <v>27500.000000000004</v>
      </c>
      <c r="O77" s="23">
        <f>M77</f>
        <v>25000</v>
      </c>
      <c r="P77" s="23">
        <f>N77-O77</f>
        <v>2500.0000000000036</v>
      </c>
    </row>
    <row r="78" spans="1:16" x14ac:dyDescent="0.25">
      <c r="A78" s="72"/>
      <c r="B78" s="26" t="str">
        <f>B82</f>
        <v>adjustment for resale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74">
        <f>N77-M77</f>
        <v>2500.0000000000036</v>
      </c>
      <c r="N78" s="12">
        <v>1.1000000000000001</v>
      </c>
    </row>
    <row r="79" spans="1:16" x14ac:dyDescent="0.25">
      <c r="A79" s="72"/>
      <c r="B79" s="26" t="str">
        <f>B83</f>
        <v>taxes on resale</v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74">
        <f>P77*-N34</f>
        <v>-750.00000000000102</v>
      </c>
    </row>
    <row r="80" spans="1:16" x14ac:dyDescent="0.25">
      <c r="A80" s="72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8"/>
    </row>
    <row r="81" spans="1:16" x14ac:dyDescent="0.25">
      <c r="A81" s="72"/>
      <c r="B81" s="26" t="s">
        <v>88</v>
      </c>
      <c r="C81" s="39">
        <f>C45-D45</f>
        <v>-75000</v>
      </c>
      <c r="D81" s="39">
        <f t="shared" ref="D81:L81" si="49">D45-E45</f>
        <v>0</v>
      </c>
      <c r="E81" s="39">
        <f t="shared" si="49"/>
        <v>0</v>
      </c>
      <c r="F81" s="39">
        <f t="shared" si="49"/>
        <v>0</v>
      </c>
      <c r="G81" s="39">
        <f t="shared" si="49"/>
        <v>0</v>
      </c>
      <c r="H81" s="39">
        <f t="shared" si="49"/>
        <v>0</v>
      </c>
      <c r="I81" s="39">
        <f t="shared" si="49"/>
        <v>0</v>
      </c>
      <c r="J81" s="39">
        <f t="shared" si="49"/>
        <v>0</v>
      </c>
      <c r="K81" s="39">
        <f t="shared" si="49"/>
        <v>0</v>
      </c>
      <c r="L81" s="39">
        <f t="shared" si="49"/>
        <v>0</v>
      </c>
      <c r="M81" s="74">
        <f>M45-N45</f>
        <v>75000</v>
      </c>
      <c r="N81" s="23">
        <f>M81*N82</f>
        <v>56250</v>
      </c>
      <c r="O81" s="23">
        <f>M45-M46</f>
        <v>50000</v>
      </c>
      <c r="P81" s="23">
        <f>N81-O81</f>
        <v>6250</v>
      </c>
    </row>
    <row r="82" spans="1:16" x14ac:dyDescent="0.25">
      <c r="A82" s="72"/>
      <c r="B82" s="26" t="s">
        <v>106</v>
      </c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74">
        <f>-(M81*(1-N82))</f>
        <v>-18750</v>
      </c>
      <c r="N82" s="16">
        <v>0.75</v>
      </c>
    </row>
    <row r="83" spans="1:16" x14ac:dyDescent="0.25">
      <c r="A83" s="72"/>
      <c r="B83" s="26" t="s">
        <v>107</v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74">
        <f>P81*-N34</f>
        <v>-1875</v>
      </c>
    </row>
    <row r="84" spans="1:16" x14ac:dyDescent="0.25">
      <c r="A84" s="72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8"/>
    </row>
    <row r="85" spans="1:16" x14ac:dyDescent="0.25">
      <c r="A85" s="72"/>
      <c r="B85" s="26" t="s">
        <v>25</v>
      </c>
      <c r="C85" s="39">
        <f>D51-C51</f>
        <v>4065.7006849315067</v>
      </c>
      <c r="D85" s="39">
        <f t="shared" ref="D85:M85" si="50">E51-D51</f>
        <v>276.24177431506814</v>
      </c>
      <c r="E85" s="39">
        <f t="shared" si="50"/>
        <v>298.89470658297978</v>
      </c>
      <c r="F85" s="39">
        <f t="shared" si="50"/>
        <v>323.64139186949706</v>
      </c>
      <c r="G85" s="39">
        <f t="shared" si="50"/>
        <v>350.68724450570971</v>
      </c>
      <c r="H85" s="39">
        <f t="shared" si="50"/>
        <v>380.25836321891074</v>
      </c>
      <c r="I85" s="39">
        <f t="shared" si="50"/>
        <v>412.603636349113</v>
      </c>
      <c r="J85" s="39">
        <f t="shared" si="50"/>
        <v>447.99706224844158</v>
      </c>
      <c r="K85" s="39">
        <f t="shared" si="50"/>
        <v>486.74030689534811</v>
      </c>
      <c r="L85" s="39">
        <f t="shared" si="50"/>
        <v>529.16552301294632</v>
      </c>
      <c r="M85" s="74">
        <f t="shared" si="50"/>
        <v>-7571.9306939295211</v>
      </c>
    </row>
    <row r="86" spans="1:16" x14ac:dyDescent="0.25">
      <c r="A86" s="72"/>
      <c r="B86" s="26" t="s">
        <v>13</v>
      </c>
      <c r="C86" s="39">
        <f>D69-C69</f>
        <v>0</v>
      </c>
      <c r="D86" s="39">
        <f t="shared" ref="D86:M86" si="51">E69-D69</f>
        <v>504.01284375000103</v>
      </c>
      <c r="E86" s="39">
        <f t="shared" si="51"/>
        <v>732.63991058812542</v>
      </c>
      <c r="F86" s="39">
        <f t="shared" si="51"/>
        <v>814.79494841578685</v>
      </c>
      <c r="G86" s="39">
        <f t="shared" si="51"/>
        <v>905.19454336008812</v>
      </c>
      <c r="H86" s="39">
        <f t="shared" si="51"/>
        <v>1004.6634088341143</v>
      </c>
      <c r="I86" s="39">
        <f t="shared" si="51"/>
        <v>1114.1095794742982</v>
      </c>
      <c r="J86" s="39">
        <f t="shared" si="51"/>
        <v>1234.5328910342814</v>
      </c>
      <c r="K86" s="39">
        <f t="shared" si="51"/>
        <v>1367.0343266786949</v>
      </c>
      <c r="L86" s="39">
        <f t="shared" si="51"/>
        <v>1512.8263183593144</v>
      </c>
      <c r="M86" s="74">
        <f t="shared" si="51"/>
        <v>-9189.8087704947047</v>
      </c>
    </row>
    <row r="87" spans="1:16" ht="15.75" thickBot="1" x14ac:dyDescent="0.3">
      <c r="A87" s="72"/>
      <c r="B87" s="26" t="s">
        <v>160</v>
      </c>
      <c r="C87" s="39">
        <f>SUM(C73:C86)</f>
        <v>-110117.67183287672</v>
      </c>
      <c r="D87" s="39">
        <f t="shared" ref="D87:M87" si="52">SUM(D73:D86)</f>
        <v>-139.724026616782</v>
      </c>
      <c r="E87" s="39">
        <f t="shared" si="52"/>
        <v>38.770988056624333</v>
      </c>
      <c r="F87" s="39">
        <f t="shared" si="52"/>
        <v>66.294232747711931</v>
      </c>
      <c r="G87" s="39">
        <f t="shared" si="52"/>
        <v>97.126813547276015</v>
      </c>
      <c r="H87" s="39">
        <f t="shared" si="52"/>
        <v>131.61436458795288</v>
      </c>
      <c r="I87" s="39">
        <f t="shared" si="52"/>
        <v>170.1378148686249</v>
      </c>
      <c r="J87" s="39">
        <f t="shared" si="52"/>
        <v>213.11698894127767</v>
      </c>
      <c r="K87" s="39">
        <f t="shared" si="52"/>
        <v>261.0145756318143</v>
      </c>
      <c r="L87" s="39">
        <f t="shared" si="52"/>
        <v>314.34050246551669</v>
      </c>
      <c r="M87" s="74">
        <f t="shared" si="52"/>
        <v>90089.979578646686</v>
      </c>
    </row>
    <row r="88" spans="1:16" ht="19.5" thickBot="1" x14ac:dyDescent="0.35">
      <c r="A88" s="63" t="s">
        <v>108</v>
      </c>
      <c r="B88" s="64"/>
      <c r="C88" s="62">
        <f>SUM(C70:C86)</f>
        <v>-110117.67183287672</v>
      </c>
      <c r="D88" s="62">
        <f t="shared" ref="D88:M88" si="53">SUM(D70:D86)</f>
        <v>1847.0509733831977</v>
      </c>
      <c r="E88" s="62">
        <f t="shared" si="53"/>
        <v>3714.8009568066268</v>
      </c>
      <c r="F88" s="62">
        <f t="shared" si="53"/>
        <v>5451.8173262033406</v>
      </c>
      <c r="G88" s="62">
        <f t="shared" si="53"/>
        <v>7383.8381199730738</v>
      </c>
      <c r="H88" s="62">
        <f t="shared" si="53"/>
        <v>9530.4462721872897</v>
      </c>
      <c r="I88" s="62">
        <f t="shared" si="53"/>
        <v>11913.184343080895</v>
      </c>
      <c r="J88" s="62">
        <f t="shared" si="53"/>
        <v>14555.752535926913</v>
      </c>
      <c r="K88" s="62">
        <f t="shared" si="53"/>
        <v>17484.226868364105</v>
      </c>
      <c r="L88" s="62">
        <f t="shared" si="53"/>
        <v>20727.299557448096</v>
      </c>
      <c r="M88" s="146">
        <f t="shared" si="53"/>
        <v>114032.86670980099</v>
      </c>
    </row>
    <row r="89" spans="1:16" ht="19.5" thickBot="1" x14ac:dyDescent="0.35">
      <c r="A89" s="72"/>
      <c r="B89" s="63" t="s">
        <v>109</v>
      </c>
      <c r="C89" s="36">
        <f>IRR(C88:M88)</f>
        <v>7.9574110431750444E-2</v>
      </c>
      <c r="D89" s="26"/>
      <c r="E89" s="26"/>
      <c r="F89" s="26"/>
      <c r="G89" s="26"/>
      <c r="H89" s="26"/>
      <c r="I89" s="26"/>
      <c r="J89" s="26"/>
      <c r="K89" s="26"/>
      <c r="L89" s="26"/>
      <c r="M89" s="28"/>
    </row>
    <row r="90" spans="1:16" ht="15.75" thickBot="1" x14ac:dyDescent="0.3">
      <c r="A90" s="72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8"/>
    </row>
    <row r="91" spans="1:16" ht="19.5" thickBot="1" x14ac:dyDescent="0.35">
      <c r="A91" s="63" t="s">
        <v>110</v>
      </c>
      <c r="B91" s="65"/>
      <c r="C91" s="36">
        <f>R58</f>
        <v>6.8559957506364039E-2</v>
      </c>
      <c r="D91" s="27">
        <f>C89-C91</f>
        <v>1.1014152925386406E-2</v>
      </c>
      <c r="E91" s="26"/>
      <c r="F91" s="26"/>
      <c r="G91" s="26"/>
      <c r="H91" s="26"/>
      <c r="I91" s="26"/>
      <c r="J91" s="26"/>
      <c r="K91" s="26"/>
      <c r="L91" s="26"/>
      <c r="M91" s="28"/>
    </row>
    <row r="92" spans="1:16" ht="19.5" thickBot="1" x14ac:dyDescent="0.35">
      <c r="A92" s="63" t="s">
        <v>111</v>
      </c>
      <c r="B92" s="65"/>
      <c r="C92" s="61">
        <f>NPV(C91,D88:M88)</f>
        <v>119560.34909806577</v>
      </c>
      <c r="D92" s="75">
        <f>C92+C88</f>
        <v>9442.6772651890496</v>
      </c>
      <c r="E92" s="32"/>
      <c r="F92" s="32"/>
      <c r="G92" s="32"/>
      <c r="H92" s="32"/>
      <c r="I92" s="32"/>
      <c r="J92" s="32"/>
      <c r="K92" s="32"/>
      <c r="L92" s="32"/>
      <c r="M92" s="33"/>
    </row>
  </sheetData>
  <sheetProtection selectLockedCells="1" selectUnlockedCells="1"/>
  <dataConsolidate/>
  <pageMargins left="0.7" right="0.7" top="0.75" bottom="0.75" header="0.51180555555555596" footer="0.51180555555555596"/>
  <pageSetup scale="42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4"/>
  <sheetViews>
    <sheetView workbookViewId="0"/>
  </sheetViews>
  <sheetFormatPr defaultColWidth="11.5703125" defaultRowHeight="12.75" x14ac:dyDescent="0.2"/>
  <cols>
    <col min="2" max="2" width="30.140625" customWidth="1"/>
    <col min="3" max="4" width="12.7109375" customWidth="1"/>
    <col min="5" max="5" width="12.85546875" customWidth="1"/>
    <col min="6" max="6" width="13.5703125" customWidth="1"/>
    <col min="7" max="7" width="12.42578125" customWidth="1"/>
    <col min="10" max="10" width="12.7109375" bestFit="1" customWidth="1"/>
  </cols>
  <sheetData>
    <row r="1" spans="1:10" x14ac:dyDescent="0.2">
      <c r="A1" t="s">
        <v>65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  <c r="I1" t="s">
        <v>37</v>
      </c>
      <c r="J1" s="18">
        <v>4.4999999999999998E-2</v>
      </c>
    </row>
    <row r="2" spans="1:10" x14ac:dyDescent="0.2">
      <c r="B2" s="19">
        <v>1</v>
      </c>
      <c r="C2" s="7">
        <f>J6</f>
        <v>60000</v>
      </c>
      <c r="D2" s="7">
        <f t="shared" ref="D2:D13" si="0">+F2-E2</f>
        <v>79.011185895528399</v>
      </c>
      <c r="E2" s="7">
        <f t="shared" ref="E2:E13" si="1">C2*$J$2</f>
        <v>225</v>
      </c>
      <c r="F2" s="7">
        <f t="shared" ref="F2:F13" si="2">-$J$8</f>
        <v>304.0111858955284</v>
      </c>
      <c r="G2" s="7">
        <f t="shared" ref="G2:G13" si="3">+C2-D2</f>
        <v>59920.988814104472</v>
      </c>
      <c r="I2" t="s">
        <v>38</v>
      </c>
      <c r="J2" s="18">
        <f>+J1/12</f>
        <v>3.7499999999999999E-3</v>
      </c>
    </row>
    <row r="3" spans="1:10" x14ac:dyDescent="0.2">
      <c r="B3" s="19">
        <v>2</v>
      </c>
      <c r="C3" s="7">
        <f t="shared" ref="C3:C13" si="4">+G2</f>
        <v>59920.988814104472</v>
      </c>
      <c r="D3" s="7">
        <f t="shared" si="0"/>
        <v>79.307477842636644</v>
      </c>
      <c r="E3" s="7">
        <f t="shared" si="1"/>
        <v>224.70370805289176</v>
      </c>
      <c r="F3" s="7">
        <f t="shared" si="2"/>
        <v>304.0111858955284</v>
      </c>
      <c r="G3" s="7">
        <f t="shared" si="3"/>
        <v>59841.681336261834</v>
      </c>
      <c r="I3" t="s">
        <v>39</v>
      </c>
      <c r="J3" s="20">
        <v>0</v>
      </c>
    </row>
    <row r="4" spans="1:10" x14ac:dyDescent="0.2">
      <c r="B4" s="19">
        <v>3</v>
      </c>
      <c r="C4" s="7">
        <f t="shared" si="4"/>
        <v>59841.681336261834</v>
      </c>
      <c r="D4" s="7">
        <f t="shared" si="0"/>
        <v>79.604880884546532</v>
      </c>
      <c r="E4" s="7">
        <f t="shared" si="1"/>
        <v>224.40630501098187</v>
      </c>
      <c r="F4" s="7">
        <f t="shared" si="2"/>
        <v>304.0111858955284</v>
      </c>
      <c r="G4" s="7">
        <f t="shared" si="3"/>
        <v>59762.07645537729</v>
      </c>
      <c r="I4" t="s">
        <v>40</v>
      </c>
      <c r="J4" s="21">
        <f>12*30</f>
        <v>360</v>
      </c>
    </row>
    <row r="5" spans="1:10" x14ac:dyDescent="0.2">
      <c r="B5" s="19">
        <v>4</v>
      </c>
      <c r="C5" s="7">
        <f t="shared" si="4"/>
        <v>59762.07645537729</v>
      </c>
      <c r="D5" s="7">
        <f t="shared" si="0"/>
        <v>79.903399187863585</v>
      </c>
      <c r="E5" s="7">
        <f t="shared" si="1"/>
        <v>224.10778670766481</v>
      </c>
      <c r="F5" s="7">
        <f t="shared" si="2"/>
        <v>304.0111858955284</v>
      </c>
      <c r="G5" s="7">
        <f t="shared" si="3"/>
        <v>59682.173056189429</v>
      </c>
      <c r="I5" t="s">
        <v>41</v>
      </c>
      <c r="J5">
        <v>0</v>
      </c>
    </row>
    <row r="6" spans="1:10" x14ac:dyDescent="0.2">
      <c r="B6" s="19">
        <v>5</v>
      </c>
      <c r="C6" s="7">
        <f t="shared" si="4"/>
        <v>59682.173056189429</v>
      </c>
      <c r="D6" s="7">
        <f t="shared" si="0"/>
        <v>80.203036934818044</v>
      </c>
      <c r="E6" s="7">
        <f t="shared" si="1"/>
        <v>223.80814896071035</v>
      </c>
      <c r="F6" s="7">
        <f t="shared" si="2"/>
        <v>304.0111858955284</v>
      </c>
      <c r="G6" s="7">
        <f t="shared" si="3"/>
        <v>59601.970019254608</v>
      </c>
      <c r="I6" t="s">
        <v>42</v>
      </c>
      <c r="J6" s="20">
        <f>(Forecast!D44+Forecast!D45)*Forecast!C54</f>
        <v>60000</v>
      </c>
    </row>
    <row r="7" spans="1:10" x14ac:dyDescent="0.2">
      <c r="B7" s="19">
        <v>6</v>
      </c>
      <c r="C7" s="7">
        <f t="shared" si="4"/>
        <v>59601.970019254608</v>
      </c>
      <c r="D7" s="7">
        <f t="shared" si="0"/>
        <v>80.503798323323622</v>
      </c>
      <c r="E7" s="7">
        <f t="shared" si="1"/>
        <v>223.50738757220478</v>
      </c>
      <c r="F7" s="7">
        <f t="shared" si="2"/>
        <v>304.0111858955284</v>
      </c>
      <c r="G7" s="7">
        <f t="shared" si="3"/>
        <v>59521.466220931281</v>
      </c>
    </row>
    <row r="8" spans="1:10" x14ac:dyDescent="0.2">
      <c r="B8" s="19">
        <v>7</v>
      </c>
      <c r="C8" s="7">
        <f t="shared" si="4"/>
        <v>59521.466220931281</v>
      </c>
      <c r="D8" s="7">
        <f t="shared" si="0"/>
        <v>80.805687567036102</v>
      </c>
      <c r="E8" s="7">
        <f t="shared" si="1"/>
        <v>223.2054983284923</v>
      </c>
      <c r="F8" s="7">
        <f t="shared" si="2"/>
        <v>304.0111858955284</v>
      </c>
      <c r="G8" s="7">
        <f t="shared" si="3"/>
        <v>59440.660533364244</v>
      </c>
      <c r="I8" t="s">
        <v>35</v>
      </c>
      <c r="J8" s="20">
        <f>PMT(J2,J4,J6,J3,J5)</f>
        <v>-304.0111858955284</v>
      </c>
    </row>
    <row r="9" spans="1:10" x14ac:dyDescent="0.2">
      <c r="B9" s="19">
        <v>8</v>
      </c>
      <c r="C9" s="7">
        <f t="shared" si="4"/>
        <v>59440.660533364244</v>
      </c>
      <c r="D9" s="7">
        <f t="shared" si="0"/>
        <v>81.108708895412491</v>
      </c>
      <c r="E9" s="7">
        <f t="shared" si="1"/>
        <v>222.90247700011591</v>
      </c>
      <c r="F9" s="7">
        <f t="shared" si="2"/>
        <v>304.0111858955284</v>
      </c>
      <c r="G9" s="7">
        <f t="shared" si="3"/>
        <v>59359.551824468828</v>
      </c>
    </row>
    <row r="10" spans="1:10" x14ac:dyDescent="0.2">
      <c r="B10" s="19">
        <v>9</v>
      </c>
      <c r="C10" s="7">
        <f t="shared" si="4"/>
        <v>59359.551824468828</v>
      </c>
      <c r="D10" s="7">
        <f t="shared" si="0"/>
        <v>81.4128665537703</v>
      </c>
      <c r="E10" s="7">
        <f t="shared" si="1"/>
        <v>222.5983193417581</v>
      </c>
      <c r="F10" s="7">
        <f t="shared" si="2"/>
        <v>304.0111858955284</v>
      </c>
      <c r="G10" s="7">
        <f t="shared" si="3"/>
        <v>59278.138957915056</v>
      </c>
    </row>
    <row r="11" spans="1:10" x14ac:dyDescent="0.2">
      <c r="B11" s="19">
        <v>10</v>
      </c>
      <c r="C11" s="7">
        <f t="shared" si="4"/>
        <v>59278.138957915056</v>
      </c>
      <c r="D11" s="7">
        <f t="shared" si="0"/>
        <v>81.718164803346951</v>
      </c>
      <c r="E11" s="7">
        <f t="shared" si="1"/>
        <v>222.29302109218145</v>
      </c>
      <c r="F11" s="7">
        <f t="shared" si="2"/>
        <v>304.0111858955284</v>
      </c>
      <c r="G11" s="7">
        <f t="shared" si="3"/>
        <v>59196.420793111713</v>
      </c>
    </row>
    <row r="12" spans="1:10" x14ac:dyDescent="0.2">
      <c r="B12" s="19">
        <v>11</v>
      </c>
      <c r="C12" s="7">
        <f t="shared" si="4"/>
        <v>59196.420793111713</v>
      </c>
      <c r="D12" s="7">
        <f t="shared" si="0"/>
        <v>82.02460792135949</v>
      </c>
      <c r="E12" s="7">
        <f t="shared" si="1"/>
        <v>221.98657797416891</v>
      </c>
      <c r="F12" s="7">
        <f t="shared" si="2"/>
        <v>304.0111858955284</v>
      </c>
      <c r="G12" s="7">
        <f t="shared" si="3"/>
        <v>59114.396185190351</v>
      </c>
    </row>
    <row r="13" spans="1:10" x14ac:dyDescent="0.2">
      <c r="B13" s="19">
        <v>12</v>
      </c>
      <c r="C13" s="7">
        <f t="shared" si="4"/>
        <v>59114.396185190351</v>
      </c>
      <c r="D13" s="7">
        <f t="shared" si="0"/>
        <v>82.33220020106458</v>
      </c>
      <c r="E13" s="7">
        <f t="shared" si="1"/>
        <v>221.67898569446382</v>
      </c>
      <c r="F13" s="7">
        <f t="shared" si="2"/>
        <v>304.0111858955284</v>
      </c>
      <c r="G13" s="8">
        <f t="shared" si="3"/>
        <v>59032.063984989283</v>
      </c>
    </row>
    <row r="14" spans="1:10" x14ac:dyDescent="0.2">
      <c r="B14" s="9" t="s">
        <v>43</v>
      </c>
      <c r="C14" s="9"/>
      <c r="D14" s="8">
        <f>SUM(D2:D13)</f>
        <v>967.93601501070668</v>
      </c>
      <c r="E14" s="8">
        <f>SUM(E2:E13)</f>
        <v>2680.1982157356338</v>
      </c>
      <c r="F14" s="7"/>
      <c r="G14" s="7"/>
    </row>
    <row r="15" spans="1:10" x14ac:dyDescent="0.2">
      <c r="B15" s="6"/>
      <c r="C15" s="6"/>
      <c r="D15" s="7"/>
      <c r="E15" s="7"/>
      <c r="F15" s="7"/>
      <c r="G15" s="7"/>
    </row>
    <row r="16" spans="1:10" x14ac:dyDescent="0.2">
      <c r="A16" t="s">
        <v>66</v>
      </c>
      <c r="B16" s="19">
        <v>1</v>
      </c>
      <c r="C16" s="7">
        <f>+G13</f>
        <v>59032.063984989283</v>
      </c>
      <c r="D16" s="7">
        <f t="shared" ref="D16:D27" si="5">+F16-E16</f>
        <v>82.640945951818594</v>
      </c>
      <c r="E16" s="7">
        <f t="shared" ref="E16:E27" si="6">C16*$J$2</f>
        <v>221.37023994370981</v>
      </c>
      <c r="F16" s="7">
        <f t="shared" ref="F16:F27" si="7">-$J$8</f>
        <v>304.0111858955284</v>
      </c>
      <c r="G16" s="7">
        <f t="shared" ref="G16:G27" si="8">+C16-D16</f>
        <v>58949.423039037465</v>
      </c>
    </row>
    <row r="17" spans="1:7" x14ac:dyDescent="0.2">
      <c r="B17" s="19">
        <v>2</v>
      </c>
      <c r="C17" s="7">
        <f t="shared" ref="C17:C27" si="9">+G16</f>
        <v>58949.423039037465</v>
      </c>
      <c r="D17" s="7">
        <f t="shared" si="5"/>
        <v>82.950849499137917</v>
      </c>
      <c r="E17" s="7">
        <f t="shared" si="6"/>
        <v>221.06033639639048</v>
      </c>
      <c r="F17" s="7">
        <f t="shared" si="7"/>
        <v>304.0111858955284</v>
      </c>
      <c r="G17" s="7">
        <f t="shared" si="8"/>
        <v>58866.472189538326</v>
      </c>
    </row>
    <row r="18" spans="1:7" x14ac:dyDescent="0.2">
      <c r="B18" s="19">
        <v>3</v>
      </c>
      <c r="C18" s="7">
        <f t="shared" si="9"/>
        <v>58866.472189538326</v>
      </c>
      <c r="D18" s="7">
        <f t="shared" si="5"/>
        <v>83.261915184759687</v>
      </c>
      <c r="E18" s="7">
        <f t="shared" si="6"/>
        <v>220.74927071076871</v>
      </c>
      <c r="F18" s="7">
        <f t="shared" si="7"/>
        <v>304.0111858955284</v>
      </c>
      <c r="G18" s="7">
        <f t="shared" si="8"/>
        <v>58783.210274353565</v>
      </c>
    </row>
    <row r="19" spans="1:7" x14ac:dyDescent="0.2">
      <c r="B19" s="19">
        <v>4</v>
      </c>
      <c r="C19" s="7">
        <f t="shared" si="9"/>
        <v>58783.210274353565</v>
      </c>
      <c r="D19" s="7">
        <f t="shared" si="5"/>
        <v>83.574147366702533</v>
      </c>
      <c r="E19" s="7">
        <f t="shared" si="6"/>
        <v>220.43703852882587</v>
      </c>
      <c r="F19" s="7">
        <f t="shared" si="7"/>
        <v>304.0111858955284</v>
      </c>
      <c r="G19" s="7">
        <f t="shared" si="8"/>
        <v>58699.636126986865</v>
      </c>
    </row>
    <row r="20" spans="1:7" x14ac:dyDescent="0.2">
      <c r="B20" s="19">
        <v>5</v>
      </c>
      <c r="C20" s="7">
        <f t="shared" si="9"/>
        <v>58699.636126986865</v>
      </c>
      <c r="D20" s="7">
        <f t="shared" si="5"/>
        <v>83.887550419327653</v>
      </c>
      <c r="E20" s="7">
        <f t="shared" si="6"/>
        <v>220.12363547620075</v>
      </c>
      <c r="F20" s="7">
        <f t="shared" si="7"/>
        <v>304.0111858955284</v>
      </c>
      <c r="G20" s="7">
        <f t="shared" si="8"/>
        <v>58615.748576567537</v>
      </c>
    </row>
    <row r="21" spans="1:7" x14ac:dyDescent="0.2">
      <c r="B21" s="19">
        <v>6</v>
      </c>
      <c r="C21" s="7">
        <f t="shared" si="9"/>
        <v>58615.748576567537</v>
      </c>
      <c r="D21" s="7">
        <f t="shared" si="5"/>
        <v>84.202128733400144</v>
      </c>
      <c r="E21" s="7">
        <f t="shared" si="6"/>
        <v>219.80905716212825</v>
      </c>
      <c r="F21" s="7">
        <f t="shared" si="7"/>
        <v>304.0111858955284</v>
      </c>
      <c r="G21" s="7">
        <f t="shared" si="8"/>
        <v>58531.546447834138</v>
      </c>
    </row>
    <row r="22" spans="1:7" x14ac:dyDescent="0.2">
      <c r="B22" s="19">
        <v>7</v>
      </c>
      <c r="C22" s="7">
        <f t="shared" si="9"/>
        <v>58531.546447834138</v>
      </c>
      <c r="D22" s="7">
        <f t="shared" si="5"/>
        <v>84.5178867161504</v>
      </c>
      <c r="E22" s="7">
        <f t="shared" si="6"/>
        <v>219.493299179378</v>
      </c>
      <c r="F22" s="7">
        <f t="shared" si="7"/>
        <v>304.0111858955284</v>
      </c>
      <c r="G22" s="7">
        <f t="shared" si="8"/>
        <v>58447.028561117986</v>
      </c>
    </row>
    <row r="23" spans="1:7" x14ac:dyDescent="0.2">
      <c r="B23" s="19">
        <v>8</v>
      </c>
      <c r="C23" s="7">
        <f t="shared" si="9"/>
        <v>58447.028561117986</v>
      </c>
      <c r="D23" s="7">
        <f t="shared" si="5"/>
        <v>84.834828791335951</v>
      </c>
      <c r="E23" s="7">
        <f t="shared" si="6"/>
        <v>219.17635710419245</v>
      </c>
      <c r="F23" s="7">
        <f t="shared" si="7"/>
        <v>304.0111858955284</v>
      </c>
      <c r="G23" s="7">
        <f t="shared" si="8"/>
        <v>58362.193732326647</v>
      </c>
    </row>
    <row r="24" spans="1:7" x14ac:dyDescent="0.2">
      <c r="B24" s="19">
        <v>9</v>
      </c>
      <c r="C24" s="7">
        <f t="shared" si="9"/>
        <v>58362.193732326647</v>
      </c>
      <c r="D24" s="7">
        <f t="shared" si="5"/>
        <v>85.152959399303484</v>
      </c>
      <c r="E24" s="7">
        <f t="shared" si="6"/>
        <v>218.85822649622492</v>
      </c>
      <c r="F24" s="7">
        <f t="shared" si="7"/>
        <v>304.0111858955284</v>
      </c>
      <c r="G24" s="7">
        <f t="shared" si="8"/>
        <v>58277.040772927343</v>
      </c>
    </row>
    <row r="25" spans="1:7" x14ac:dyDescent="0.2">
      <c r="B25" s="19">
        <v>10</v>
      </c>
      <c r="C25" s="7">
        <f t="shared" si="9"/>
        <v>58277.040772927343</v>
      </c>
      <c r="D25" s="7">
        <f t="shared" si="5"/>
        <v>85.472282997050883</v>
      </c>
      <c r="E25" s="7">
        <f t="shared" si="6"/>
        <v>218.53890289847752</v>
      </c>
      <c r="F25" s="7">
        <f t="shared" si="7"/>
        <v>304.0111858955284</v>
      </c>
      <c r="G25" s="7">
        <f t="shared" si="8"/>
        <v>58191.568489930294</v>
      </c>
    </row>
    <row r="26" spans="1:7" x14ac:dyDescent="0.2">
      <c r="B26" s="19">
        <v>11</v>
      </c>
      <c r="C26" s="7">
        <f t="shared" si="9"/>
        <v>58191.568489930294</v>
      </c>
      <c r="D26" s="7">
        <f t="shared" si="5"/>
        <v>85.792804058289818</v>
      </c>
      <c r="E26" s="7">
        <f t="shared" si="6"/>
        <v>218.21838183723858</v>
      </c>
      <c r="F26" s="7">
        <f t="shared" si="7"/>
        <v>304.0111858955284</v>
      </c>
      <c r="G26" s="7">
        <f t="shared" si="8"/>
        <v>58105.775685872002</v>
      </c>
    </row>
    <row r="27" spans="1:7" x14ac:dyDescent="0.2">
      <c r="B27" s="19">
        <v>12</v>
      </c>
      <c r="C27" s="7">
        <f t="shared" si="9"/>
        <v>58105.775685872002</v>
      </c>
      <c r="D27" s="7">
        <f t="shared" si="5"/>
        <v>86.114527073508413</v>
      </c>
      <c r="E27" s="7">
        <f t="shared" si="6"/>
        <v>217.89665882201999</v>
      </c>
      <c r="F27" s="7">
        <f t="shared" si="7"/>
        <v>304.0111858955284</v>
      </c>
      <c r="G27" s="8">
        <f t="shared" si="8"/>
        <v>58019.661158798495</v>
      </c>
    </row>
    <row r="28" spans="1:7" x14ac:dyDescent="0.2">
      <c r="B28" s="9" t="s">
        <v>43</v>
      </c>
      <c r="C28" s="9"/>
      <c r="D28" s="8">
        <f>SUM(D16:D27)</f>
        <v>1012.4028261907855</v>
      </c>
      <c r="E28" s="8">
        <f>SUM(E16:E27)</f>
        <v>2635.7314045555554</v>
      </c>
      <c r="F28" s="7"/>
      <c r="G28" s="7"/>
    </row>
    <row r="29" spans="1:7" x14ac:dyDescent="0.2">
      <c r="B29" s="6"/>
      <c r="C29" s="6"/>
      <c r="D29" s="7"/>
      <c r="E29" s="7"/>
      <c r="F29" s="7"/>
      <c r="G29" s="7"/>
    </row>
    <row r="30" spans="1:7" x14ac:dyDescent="0.2">
      <c r="A30" t="s">
        <v>28</v>
      </c>
      <c r="B30" s="19">
        <v>1</v>
      </c>
      <c r="C30" s="7">
        <f>+G27</f>
        <v>58019.661158798495</v>
      </c>
      <c r="D30" s="7">
        <f t="shared" ref="D30:D41" si="10">+F30-E30</f>
        <v>86.437456550034057</v>
      </c>
      <c r="E30" s="7">
        <f t="shared" ref="E30:E41" si="11">C30*$J$2</f>
        <v>217.57372934549434</v>
      </c>
      <c r="F30" s="7">
        <f t="shared" ref="F30:F41" si="12">-$J$8</f>
        <v>304.0111858955284</v>
      </c>
      <c r="G30" s="7">
        <f t="shared" ref="G30:G41" si="13">+C30-D30</f>
        <v>57933.223702248462</v>
      </c>
    </row>
    <row r="31" spans="1:7" x14ac:dyDescent="0.2">
      <c r="B31" s="19">
        <v>2</v>
      </c>
      <c r="C31" s="7">
        <f t="shared" ref="C31:C41" si="14">+G30</f>
        <v>57933.223702248462</v>
      </c>
      <c r="D31" s="7">
        <f t="shared" si="10"/>
        <v>86.761597012096672</v>
      </c>
      <c r="E31" s="7">
        <f t="shared" si="11"/>
        <v>217.24958888343173</v>
      </c>
      <c r="F31" s="7">
        <f t="shared" si="12"/>
        <v>304.0111858955284</v>
      </c>
      <c r="G31" s="7">
        <f t="shared" si="13"/>
        <v>57846.462105236365</v>
      </c>
    </row>
    <row r="32" spans="1:7" x14ac:dyDescent="0.2">
      <c r="B32" s="19">
        <v>3</v>
      </c>
      <c r="C32" s="7">
        <f t="shared" si="14"/>
        <v>57846.462105236365</v>
      </c>
      <c r="D32" s="7">
        <f t="shared" si="10"/>
        <v>87.086953000892038</v>
      </c>
      <c r="E32" s="7">
        <f t="shared" si="11"/>
        <v>216.92423289463636</v>
      </c>
      <c r="F32" s="7">
        <f t="shared" si="12"/>
        <v>304.0111858955284</v>
      </c>
      <c r="G32" s="7">
        <f t="shared" si="13"/>
        <v>57759.375152235472</v>
      </c>
    </row>
    <row r="33" spans="1:7" x14ac:dyDescent="0.2">
      <c r="B33" s="19">
        <v>4</v>
      </c>
      <c r="C33" s="7">
        <f t="shared" si="14"/>
        <v>57759.375152235472</v>
      </c>
      <c r="D33" s="7">
        <f t="shared" si="10"/>
        <v>87.413529074645396</v>
      </c>
      <c r="E33" s="7">
        <f t="shared" si="11"/>
        <v>216.597656820883</v>
      </c>
      <c r="F33" s="7">
        <f t="shared" si="12"/>
        <v>304.0111858955284</v>
      </c>
      <c r="G33" s="7">
        <f t="shared" si="13"/>
        <v>57671.961623160823</v>
      </c>
    </row>
    <row r="34" spans="1:7" x14ac:dyDescent="0.2">
      <c r="B34" s="19">
        <v>5</v>
      </c>
      <c r="C34" s="7">
        <f t="shared" si="14"/>
        <v>57671.961623160823</v>
      </c>
      <c r="D34" s="7">
        <f t="shared" si="10"/>
        <v>87.741329808675317</v>
      </c>
      <c r="E34" s="7">
        <f t="shared" si="11"/>
        <v>216.26985608685308</v>
      </c>
      <c r="F34" s="7">
        <f t="shared" si="12"/>
        <v>304.0111858955284</v>
      </c>
      <c r="G34" s="7">
        <f t="shared" si="13"/>
        <v>57584.220293352148</v>
      </c>
    </row>
    <row r="35" spans="1:7" x14ac:dyDescent="0.2">
      <c r="B35" s="19">
        <v>6</v>
      </c>
      <c r="C35" s="7">
        <f t="shared" si="14"/>
        <v>57584.220293352148</v>
      </c>
      <c r="D35" s="7">
        <f t="shared" si="10"/>
        <v>88.070359795457847</v>
      </c>
      <c r="E35" s="7">
        <f t="shared" si="11"/>
        <v>215.94082610007055</v>
      </c>
      <c r="F35" s="7">
        <f t="shared" si="12"/>
        <v>304.0111858955284</v>
      </c>
      <c r="G35" s="7">
        <f t="shared" si="13"/>
        <v>57496.149933556691</v>
      </c>
    </row>
    <row r="36" spans="1:7" x14ac:dyDescent="0.2">
      <c r="B36" s="19">
        <v>7</v>
      </c>
      <c r="C36" s="7">
        <f t="shared" si="14"/>
        <v>57496.149933556691</v>
      </c>
      <c r="D36" s="7">
        <f t="shared" si="10"/>
        <v>88.400623644690825</v>
      </c>
      <c r="E36" s="7">
        <f t="shared" si="11"/>
        <v>215.61056225083757</v>
      </c>
      <c r="F36" s="7">
        <f t="shared" si="12"/>
        <v>304.0111858955284</v>
      </c>
      <c r="G36" s="7">
        <f t="shared" si="13"/>
        <v>57407.749309912004</v>
      </c>
    </row>
    <row r="37" spans="1:7" x14ac:dyDescent="0.2">
      <c r="B37" s="19">
        <v>8</v>
      </c>
      <c r="C37" s="7">
        <f t="shared" si="14"/>
        <v>57407.749309912004</v>
      </c>
      <c r="D37" s="7">
        <f t="shared" si="10"/>
        <v>88.732125983358401</v>
      </c>
      <c r="E37" s="7">
        <f t="shared" si="11"/>
        <v>215.27905991217</v>
      </c>
      <c r="F37" s="7">
        <f t="shared" si="12"/>
        <v>304.0111858955284</v>
      </c>
      <c r="G37" s="7">
        <f t="shared" si="13"/>
        <v>57319.017183928649</v>
      </c>
    </row>
    <row r="38" spans="1:7" x14ac:dyDescent="0.2">
      <c r="B38" s="19">
        <v>9</v>
      </c>
      <c r="C38" s="7">
        <f t="shared" si="14"/>
        <v>57319.017183928649</v>
      </c>
      <c r="D38" s="7">
        <f t="shared" si="10"/>
        <v>89.064871455795981</v>
      </c>
      <c r="E38" s="7">
        <f t="shared" si="11"/>
        <v>214.94631443973242</v>
      </c>
      <c r="F38" s="7">
        <f t="shared" si="12"/>
        <v>304.0111858955284</v>
      </c>
      <c r="G38" s="7">
        <f t="shared" si="13"/>
        <v>57229.952312472851</v>
      </c>
    </row>
    <row r="39" spans="1:7" x14ac:dyDescent="0.2">
      <c r="B39" s="19">
        <v>10</v>
      </c>
      <c r="C39" s="7">
        <f t="shared" si="14"/>
        <v>57229.952312472851</v>
      </c>
      <c r="D39" s="7">
        <f t="shared" si="10"/>
        <v>89.398864723755224</v>
      </c>
      <c r="E39" s="7">
        <f t="shared" si="11"/>
        <v>214.61232117177317</v>
      </c>
      <c r="F39" s="7">
        <f t="shared" si="12"/>
        <v>304.0111858955284</v>
      </c>
      <c r="G39" s="7">
        <f t="shared" si="13"/>
        <v>57140.553447749095</v>
      </c>
    </row>
    <row r="40" spans="1:7" x14ac:dyDescent="0.2">
      <c r="B40" s="19">
        <v>11</v>
      </c>
      <c r="C40" s="7">
        <f t="shared" si="14"/>
        <v>57140.553447749095</v>
      </c>
      <c r="D40" s="7">
        <f t="shared" si="10"/>
        <v>89.734110466469303</v>
      </c>
      <c r="E40" s="7">
        <f t="shared" si="11"/>
        <v>214.2770754290591</v>
      </c>
      <c r="F40" s="7">
        <f t="shared" si="12"/>
        <v>304.0111858955284</v>
      </c>
      <c r="G40" s="7">
        <f t="shared" si="13"/>
        <v>57050.819337282628</v>
      </c>
    </row>
    <row r="41" spans="1:7" x14ac:dyDescent="0.2">
      <c r="B41" s="19">
        <v>12</v>
      </c>
      <c r="C41" s="7">
        <f t="shared" si="14"/>
        <v>57050.819337282628</v>
      </c>
      <c r="D41" s="7">
        <f t="shared" si="10"/>
        <v>90.070613380718555</v>
      </c>
      <c r="E41" s="7">
        <f t="shared" si="11"/>
        <v>213.94057251480984</v>
      </c>
      <c r="F41" s="7">
        <f t="shared" si="12"/>
        <v>304.0111858955284</v>
      </c>
      <c r="G41" s="8">
        <f t="shared" si="13"/>
        <v>56960.74872390191</v>
      </c>
    </row>
    <row r="42" spans="1:7" x14ac:dyDescent="0.2">
      <c r="B42" s="9" t="s">
        <v>43</v>
      </c>
      <c r="C42" s="9"/>
      <c r="D42" s="8">
        <f>SUM(D30:D41)</f>
        <v>1058.9124348965897</v>
      </c>
      <c r="E42" s="8">
        <f>SUM(E30:E41)</f>
        <v>2589.2217958497513</v>
      </c>
      <c r="F42" s="7"/>
      <c r="G42" s="7"/>
    </row>
    <row r="43" spans="1:7" x14ac:dyDescent="0.2">
      <c r="A43" t="s">
        <v>29</v>
      </c>
      <c r="B43" s="6"/>
      <c r="C43" s="6"/>
      <c r="D43" s="7"/>
      <c r="E43" s="7"/>
      <c r="F43" s="7"/>
      <c r="G43" s="7"/>
    </row>
    <row r="44" spans="1:7" x14ac:dyDescent="0.2">
      <c r="B44" s="19">
        <v>1</v>
      </c>
      <c r="C44" s="7">
        <f>+G41</f>
        <v>56960.74872390191</v>
      </c>
      <c r="D44" s="7">
        <f t="shared" ref="D44:D55" si="15">+F44-E44</f>
        <v>90.40837818089625</v>
      </c>
      <c r="E44" s="7">
        <f t="shared" ref="E44:E55" si="16">C44*$J$2</f>
        <v>213.60280771463215</v>
      </c>
      <c r="F44" s="7">
        <f t="shared" ref="F44:F55" si="17">-$J$8</f>
        <v>304.0111858955284</v>
      </c>
      <c r="G44" s="7">
        <f t="shared" ref="G44:G55" si="18">+C44-D44</f>
        <v>56870.340345721015</v>
      </c>
    </row>
    <row r="45" spans="1:7" x14ac:dyDescent="0.2">
      <c r="B45" s="19">
        <v>2</v>
      </c>
      <c r="C45" s="7">
        <f t="shared" ref="C45:C55" si="19">+G44</f>
        <v>56870.340345721015</v>
      </c>
      <c r="D45" s="7">
        <f t="shared" si="15"/>
        <v>90.747409599074587</v>
      </c>
      <c r="E45" s="7">
        <f t="shared" si="16"/>
        <v>213.26377629645381</v>
      </c>
      <c r="F45" s="7">
        <f t="shared" si="17"/>
        <v>304.0111858955284</v>
      </c>
      <c r="G45" s="7">
        <f t="shared" si="18"/>
        <v>56779.592936121939</v>
      </c>
    </row>
    <row r="46" spans="1:7" x14ac:dyDescent="0.2">
      <c r="B46" s="19">
        <v>3</v>
      </c>
      <c r="C46" s="7">
        <f t="shared" si="19"/>
        <v>56779.592936121939</v>
      </c>
      <c r="D46" s="7">
        <f t="shared" si="15"/>
        <v>91.087712385071143</v>
      </c>
      <c r="E46" s="7">
        <f t="shared" si="16"/>
        <v>212.92347351045726</v>
      </c>
      <c r="F46" s="7">
        <f t="shared" si="17"/>
        <v>304.0111858955284</v>
      </c>
      <c r="G46" s="7">
        <f t="shared" si="18"/>
        <v>56688.505223736865</v>
      </c>
    </row>
    <row r="47" spans="1:7" x14ac:dyDescent="0.2">
      <c r="B47" s="19">
        <v>4</v>
      </c>
      <c r="C47" s="7">
        <f t="shared" si="19"/>
        <v>56688.505223736865</v>
      </c>
      <c r="D47" s="7">
        <f t="shared" si="15"/>
        <v>91.429291306515154</v>
      </c>
      <c r="E47" s="7">
        <f t="shared" si="16"/>
        <v>212.58189458901325</v>
      </c>
      <c r="F47" s="7">
        <f t="shared" si="17"/>
        <v>304.0111858955284</v>
      </c>
      <c r="G47" s="7">
        <f t="shared" si="18"/>
        <v>56597.075932430351</v>
      </c>
    </row>
    <row r="48" spans="1:7" x14ac:dyDescent="0.2">
      <c r="B48" s="19">
        <v>5</v>
      </c>
      <c r="C48" s="7">
        <f t="shared" si="19"/>
        <v>56597.075932430351</v>
      </c>
      <c r="D48" s="7">
        <f t="shared" si="15"/>
        <v>91.772151148914588</v>
      </c>
      <c r="E48" s="7">
        <f t="shared" si="16"/>
        <v>212.23903474661381</v>
      </c>
      <c r="F48" s="7">
        <f t="shared" si="17"/>
        <v>304.0111858955284</v>
      </c>
      <c r="G48" s="7">
        <f t="shared" si="18"/>
        <v>56505.303781281436</v>
      </c>
    </row>
    <row r="49" spans="1:8" x14ac:dyDescent="0.2">
      <c r="B49" s="19">
        <v>6</v>
      </c>
      <c r="C49" s="7">
        <f t="shared" si="19"/>
        <v>56505.303781281436</v>
      </c>
      <c r="D49" s="7">
        <f t="shared" si="15"/>
        <v>92.116296715723024</v>
      </c>
      <c r="E49" s="7">
        <f t="shared" si="16"/>
        <v>211.89488917980538</v>
      </c>
      <c r="F49" s="7">
        <f t="shared" si="17"/>
        <v>304.0111858955284</v>
      </c>
      <c r="G49" s="7">
        <f t="shared" si="18"/>
        <v>56413.187484565715</v>
      </c>
    </row>
    <row r="50" spans="1:8" x14ac:dyDescent="0.2">
      <c r="B50" s="19">
        <v>7</v>
      </c>
      <c r="C50" s="7">
        <f t="shared" si="19"/>
        <v>56413.187484565715</v>
      </c>
      <c r="D50" s="7">
        <f t="shared" si="15"/>
        <v>92.46173282840698</v>
      </c>
      <c r="E50" s="7">
        <f t="shared" si="16"/>
        <v>211.54945306712142</v>
      </c>
      <c r="F50" s="7">
        <f t="shared" si="17"/>
        <v>304.0111858955284</v>
      </c>
      <c r="G50" s="7">
        <f t="shared" si="18"/>
        <v>56320.725751737307</v>
      </c>
    </row>
    <row r="51" spans="1:8" x14ac:dyDescent="0.2">
      <c r="B51" s="19">
        <v>8</v>
      </c>
      <c r="C51" s="7">
        <f t="shared" si="19"/>
        <v>56320.725751737307</v>
      </c>
      <c r="D51" s="7">
        <f t="shared" si="15"/>
        <v>92.808464326513501</v>
      </c>
      <c r="E51" s="7">
        <f t="shared" si="16"/>
        <v>211.2027215690149</v>
      </c>
      <c r="F51" s="7">
        <f t="shared" si="17"/>
        <v>304.0111858955284</v>
      </c>
      <c r="G51" s="7">
        <f t="shared" si="18"/>
        <v>56227.917287410797</v>
      </c>
    </row>
    <row r="52" spans="1:8" x14ac:dyDescent="0.2">
      <c r="B52" s="19">
        <v>9</v>
      </c>
      <c r="C52" s="7">
        <f t="shared" si="19"/>
        <v>56227.917287410797</v>
      </c>
      <c r="D52" s="7">
        <f t="shared" si="15"/>
        <v>93.156496067737919</v>
      </c>
      <c r="E52" s="7">
        <f t="shared" si="16"/>
        <v>210.85468982779048</v>
      </c>
      <c r="F52" s="7">
        <f t="shared" si="17"/>
        <v>304.0111858955284</v>
      </c>
      <c r="G52" s="7">
        <f t="shared" si="18"/>
        <v>56134.760791343062</v>
      </c>
    </row>
    <row r="53" spans="1:8" x14ac:dyDescent="0.2">
      <c r="B53" s="19">
        <v>10</v>
      </c>
      <c r="C53" s="7">
        <f t="shared" si="19"/>
        <v>56134.760791343062</v>
      </c>
      <c r="D53" s="7">
        <f t="shared" si="15"/>
        <v>93.505832927991918</v>
      </c>
      <c r="E53" s="7">
        <f t="shared" si="16"/>
        <v>210.50535296753648</v>
      </c>
      <c r="F53" s="7">
        <f t="shared" si="17"/>
        <v>304.0111858955284</v>
      </c>
      <c r="G53" s="7">
        <f t="shared" si="18"/>
        <v>56041.254958415069</v>
      </c>
    </row>
    <row r="54" spans="1:8" x14ac:dyDescent="0.2">
      <c r="B54" s="19">
        <v>11</v>
      </c>
      <c r="C54" s="7">
        <f t="shared" si="19"/>
        <v>56041.254958415069</v>
      </c>
      <c r="D54" s="7">
        <f t="shared" si="15"/>
        <v>93.856479801471892</v>
      </c>
      <c r="E54" s="7">
        <f t="shared" si="16"/>
        <v>210.15470609405651</v>
      </c>
      <c r="F54" s="7">
        <f t="shared" si="17"/>
        <v>304.0111858955284</v>
      </c>
      <c r="G54" s="7">
        <f t="shared" si="18"/>
        <v>55947.398478613599</v>
      </c>
    </row>
    <row r="55" spans="1:8" x14ac:dyDescent="0.2">
      <c r="B55" s="19">
        <v>12</v>
      </c>
      <c r="C55" s="7">
        <f t="shared" si="19"/>
        <v>55947.398478613599</v>
      </c>
      <c r="D55" s="7">
        <f t="shared" si="15"/>
        <v>94.208441600727411</v>
      </c>
      <c r="E55" s="7">
        <f t="shared" si="16"/>
        <v>209.80274429480099</v>
      </c>
      <c r="F55" s="7">
        <f t="shared" si="17"/>
        <v>304.0111858955284</v>
      </c>
      <c r="G55" s="8">
        <f t="shared" si="18"/>
        <v>55853.190037012871</v>
      </c>
      <c r="H55" s="7"/>
    </row>
    <row r="56" spans="1:8" x14ac:dyDescent="0.2">
      <c r="B56" s="9" t="s">
        <v>43</v>
      </c>
      <c r="C56" s="10"/>
      <c r="D56" s="8">
        <f>SUM(D44:D55)</f>
        <v>1107.5586868890443</v>
      </c>
      <c r="E56" s="8">
        <f>SUM(E44:E55)</f>
        <v>2540.5755438572965</v>
      </c>
    </row>
    <row r="58" spans="1:8" x14ac:dyDescent="0.2">
      <c r="A58" t="s">
        <v>50</v>
      </c>
      <c r="B58" s="19">
        <v>1</v>
      </c>
      <c r="C58" s="7">
        <f>+G55</f>
        <v>55853.190037012871</v>
      </c>
      <c r="D58" s="7">
        <f t="shared" ref="D58:D69" si="20">+F58-E58</f>
        <v>94.561723256730147</v>
      </c>
      <c r="E58" s="7">
        <f t="shared" ref="E58:E69" si="21">C58*$J$2</f>
        <v>209.44946263879825</v>
      </c>
      <c r="F58" s="7">
        <f t="shared" ref="F58:F69" si="22">-$J$8</f>
        <v>304.0111858955284</v>
      </c>
      <c r="G58" s="7">
        <f t="shared" ref="G58:G69" si="23">+C58-D58</f>
        <v>55758.62831375614</v>
      </c>
    </row>
    <row r="59" spans="1:8" x14ac:dyDescent="0.2">
      <c r="B59" s="19">
        <v>2</v>
      </c>
      <c r="C59" s="7">
        <f t="shared" ref="C59:C69" si="24">+G58</f>
        <v>55758.62831375614</v>
      </c>
      <c r="D59" s="7">
        <f t="shared" si="20"/>
        <v>94.916329718942876</v>
      </c>
      <c r="E59" s="7">
        <f t="shared" si="21"/>
        <v>209.09485617658552</v>
      </c>
      <c r="F59" s="7">
        <f t="shared" si="22"/>
        <v>304.0111858955284</v>
      </c>
      <c r="G59" s="7">
        <f t="shared" si="23"/>
        <v>55663.711984037196</v>
      </c>
    </row>
    <row r="60" spans="1:8" x14ac:dyDescent="0.2">
      <c r="B60" s="19">
        <v>3</v>
      </c>
      <c r="C60" s="7">
        <f t="shared" si="24"/>
        <v>55663.711984037196</v>
      </c>
      <c r="D60" s="7">
        <f t="shared" si="20"/>
        <v>95.272265955388917</v>
      </c>
      <c r="E60" s="7">
        <f t="shared" si="21"/>
        <v>208.73891994013948</v>
      </c>
      <c r="F60" s="7">
        <f t="shared" si="22"/>
        <v>304.0111858955284</v>
      </c>
      <c r="G60" s="7">
        <f t="shared" si="23"/>
        <v>55568.439718081805</v>
      </c>
    </row>
    <row r="61" spans="1:8" x14ac:dyDescent="0.2">
      <c r="B61" s="19">
        <v>4</v>
      </c>
      <c r="C61" s="7">
        <f t="shared" si="24"/>
        <v>55568.439718081805</v>
      </c>
      <c r="D61" s="7">
        <f t="shared" si="20"/>
        <v>95.629536952721651</v>
      </c>
      <c r="E61" s="7">
        <f t="shared" si="21"/>
        <v>208.38164894280675</v>
      </c>
      <c r="F61" s="7">
        <f t="shared" si="22"/>
        <v>304.0111858955284</v>
      </c>
      <c r="G61" s="7">
        <f t="shared" si="23"/>
        <v>55472.810181129084</v>
      </c>
    </row>
    <row r="62" spans="1:8" x14ac:dyDescent="0.2">
      <c r="B62" s="19">
        <v>5</v>
      </c>
      <c r="C62" s="7">
        <f t="shared" si="24"/>
        <v>55472.810181129084</v>
      </c>
      <c r="D62" s="7">
        <f t="shared" si="20"/>
        <v>95.98814771629435</v>
      </c>
      <c r="E62" s="7">
        <f t="shared" si="21"/>
        <v>208.02303817923405</v>
      </c>
      <c r="F62" s="7">
        <f t="shared" si="22"/>
        <v>304.0111858955284</v>
      </c>
      <c r="G62" s="7">
        <f t="shared" si="23"/>
        <v>55376.822033412791</v>
      </c>
    </row>
    <row r="63" spans="1:8" x14ac:dyDescent="0.2">
      <c r="B63" s="19">
        <v>6</v>
      </c>
      <c r="C63" s="7">
        <f t="shared" si="24"/>
        <v>55376.822033412791</v>
      </c>
      <c r="D63" s="7">
        <f t="shared" si="20"/>
        <v>96.348103270230439</v>
      </c>
      <c r="E63" s="7">
        <f t="shared" si="21"/>
        <v>207.66308262529796</v>
      </c>
      <c r="F63" s="7">
        <f t="shared" si="22"/>
        <v>304.0111858955284</v>
      </c>
      <c r="G63" s="7">
        <f t="shared" si="23"/>
        <v>55280.473930142558</v>
      </c>
    </row>
    <row r="64" spans="1:8" x14ac:dyDescent="0.2">
      <c r="B64" s="19">
        <v>7</v>
      </c>
      <c r="C64" s="7">
        <f t="shared" si="24"/>
        <v>55280.473930142558</v>
      </c>
      <c r="D64" s="7">
        <f t="shared" si="20"/>
        <v>96.70940865749381</v>
      </c>
      <c r="E64" s="7">
        <f t="shared" si="21"/>
        <v>207.30177723803459</v>
      </c>
      <c r="F64" s="7">
        <f t="shared" si="22"/>
        <v>304.0111858955284</v>
      </c>
      <c r="G64" s="7">
        <f t="shared" si="23"/>
        <v>55183.764521485064</v>
      </c>
    </row>
    <row r="65" spans="1:7" x14ac:dyDescent="0.2">
      <c r="B65" s="19">
        <v>8</v>
      </c>
      <c r="C65" s="7">
        <f t="shared" si="24"/>
        <v>55183.764521485064</v>
      </c>
      <c r="D65" s="7">
        <f t="shared" si="20"/>
        <v>97.072068939959422</v>
      </c>
      <c r="E65" s="7">
        <f t="shared" si="21"/>
        <v>206.93911695556898</v>
      </c>
      <c r="F65" s="7">
        <f t="shared" si="22"/>
        <v>304.0111858955284</v>
      </c>
      <c r="G65" s="7">
        <f t="shared" si="23"/>
        <v>55086.692452545103</v>
      </c>
    </row>
    <row r="66" spans="1:7" x14ac:dyDescent="0.2">
      <c r="B66" s="19">
        <v>9</v>
      </c>
      <c r="C66" s="7">
        <f t="shared" si="24"/>
        <v>55086.692452545103</v>
      </c>
      <c r="D66" s="7">
        <f t="shared" si="20"/>
        <v>97.436089198484268</v>
      </c>
      <c r="E66" s="7">
        <f t="shared" si="21"/>
        <v>206.57509669704413</v>
      </c>
      <c r="F66" s="7">
        <f t="shared" si="22"/>
        <v>304.0111858955284</v>
      </c>
      <c r="G66" s="7">
        <f t="shared" si="23"/>
        <v>54989.25636334662</v>
      </c>
    </row>
    <row r="67" spans="1:7" x14ac:dyDescent="0.2">
      <c r="B67" s="19">
        <v>10</v>
      </c>
      <c r="C67" s="7">
        <f t="shared" si="24"/>
        <v>54989.25636334662</v>
      </c>
      <c r="D67" s="7">
        <f t="shared" si="20"/>
        <v>97.801474532978574</v>
      </c>
      <c r="E67" s="7">
        <f t="shared" si="21"/>
        <v>206.20971136254983</v>
      </c>
      <c r="F67" s="7">
        <f t="shared" si="22"/>
        <v>304.0111858955284</v>
      </c>
      <c r="G67" s="7">
        <f t="shared" si="23"/>
        <v>54891.454888813641</v>
      </c>
    </row>
    <row r="68" spans="1:7" x14ac:dyDescent="0.2">
      <c r="B68" s="19">
        <v>11</v>
      </c>
      <c r="C68" s="7">
        <f t="shared" si="24"/>
        <v>54891.454888813641</v>
      </c>
      <c r="D68" s="7">
        <f t="shared" si="20"/>
        <v>98.168230062477249</v>
      </c>
      <c r="E68" s="7">
        <f t="shared" si="21"/>
        <v>205.84295583305115</v>
      </c>
      <c r="F68" s="7">
        <f t="shared" si="22"/>
        <v>304.0111858955284</v>
      </c>
      <c r="G68" s="7">
        <f t="shared" si="23"/>
        <v>54793.286658751167</v>
      </c>
    </row>
    <row r="69" spans="1:7" x14ac:dyDescent="0.2">
      <c r="B69" s="19">
        <v>12</v>
      </c>
      <c r="C69" s="7">
        <f t="shared" si="24"/>
        <v>54793.286658751167</v>
      </c>
      <c r="D69" s="7">
        <f t="shared" si="20"/>
        <v>98.53636092521154</v>
      </c>
      <c r="E69" s="7">
        <f t="shared" si="21"/>
        <v>205.47482497031686</v>
      </c>
      <c r="F69" s="7">
        <f t="shared" si="22"/>
        <v>304.0111858955284</v>
      </c>
      <c r="G69" s="8">
        <f t="shared" si="23"/>
        <v>54694.750297825958</v>
      </c>
    </row>
    <row r="70" spans="1:7" x14ac:dyDescent="0.2">
      <c r="B70" s="9" t="s">
        <v>43</v>
      </c>
      <c r="C70" s="10"/>
      <c r="D70" s="8">
        <f>SUM(D58:D69)</f>
        <v>1158.4397391869131</v>
      </c>
      <c r="E70" s="8">
        <f>SUM(E58:E69)</f>
        <v>2489.6944915594277</v>
      </c>
    </row>
    <row r="71" spans="1:7" x14ac:dyDescent="0.2">
      <c r="B71" s="9"/>
      <c r="C71" s="9"/>
      <c r="D71" s="8"/>
      <c r="E71" s="8"/>
      <c r="F71" s="7"/>
      <c r="G71" s="7"/>
    </row>
    <row r="72" spans="1:7" x14ac:dyDescent="0.2">
      <c r="A72" t="s">
        <v>51</v>
      </c>
      <c r="B72" s="19">
        <v>1</v>
      </c>
      <c r="C72" s="7">
        <f>+G69</f>
        <v>54694.750297825958</v>
      </c>
      <c r="D72" s="7">
        <f t="shared" ref="D72:D83" si="25">+F72-E72</f>
        <v>98.905872278681073</v>
      </c>
      <c r="E72" s="7">
        <f t="shared" ref="E72:E83" si="26">C72*$J$2</f>
        <v>205.10531361684733</v>
      </c>
      <c r="F72" s="7">
        <f t="shared" ref="F72:F83" si="27">-$J$8</f>
        <v>304.0111858955284</v>
      </c>
      <c r="G72" s="7">
        <f t="shared" ref="G72:G83" si="28">+C72-D72</f>
        <v>54595.844425547279</v>
      </c>
    </row>
    <row r="73" spans="1:7" x14ac:dyDescent="0.2">
      <c r="B73" s="19">
        <v>2</v>
      </c>
      <c r="C73" s="7">
        <f t="shared" ref="C73:C83" si="29">+G72</f>
        <v>54595.844425547279</v>
      </c>
      <c r="D73" s="7">
        <f t="shared" si="25"/>
        <v>99.276769299726112</v>
      </c>
      <c r="E73" s="7">
        <f t="shared" si="26"/>
        <v>204.73441659580229</v>
      </c>
      <c r="F73" s="7">
        <f t="shared" si="27"/>
        <v>304.0111858955284</v>
      </c>
      <c r="G73" s="7">
        <f t="shared" si="28"/>
        <v>54496.567656247549</v>
      </c>
    </row>
    <row r="74" spans="1:7" x14ac:dyDescent="0.2">
      <c r="B74" s="19">
        <v>3</v>
      </c>
      <c r="C74" s="7">
        <f t="shared" si="29"/>
        <v>54496.567656247549</v>
      </c>
      <c r="D74" s="7">
        <f t="shared" si="25"/>
        <v>99.64905718460011</v>
      </c>
      <c r="E74" s="7">
        <f t="shared" si="26"/>
        <v>204.36212871092829</v>
      </c>
      <c r="F74" s="7">
        <f t="shared" si="27"/>
        <v>304.0111858955284</v>
      </c>
      <c r="G74" s="7">
        <f t="shared" si="28"/>
        <v>54396.918599062948</v>
      </c>
    </row>
    <row r="75" spans="1:7" x14ac:dyDescent="0.2">
      <c r="B75" s="19">
        <v>4</v>
      </c>
      <c r="C75" s="7">
        <f t="shared" si="29"/>
        <v>54396.918599062948</v>
      </c>
      <c r="D75" s="7">
        <f t="shared" si="25"/>
        <v>100.02274114904236</v>
      </c>
      <c r="E75" s="7">
        <f t="shared" si="26"/>
        <v>203.98844474648604</v>
      </c>
      <c r="F75" s="7">
        <f t="shared" si="27"/>
        <v>304.0111858955284</v>
      </c>
      <c r="G75" s="7">
        <f t="shared" si="28"/>
        <v>54296.895857913907</v>
      </c>
    </row>
    <row r="76" spans="1:7" x14ac:dyDescent="0.2">
      <c r="B76" s="19">
        <v>5</v>
      </c>
      <c r="C76" s="7">
        <f t="shared" si="29"/>
        <v>54296.895857913907</v>
      </c>
      <c r="D76" s="7">
        <f t="shared" si="25"/>
        <v>100.39782642835127</v>
      </c>
      <c r="E76" s="7">
        <f t="shared" si="26"/>
        <v>203.61335946717713</v>
      </c>
      <c r="F76" s="7">
        <f t="shared" si="27"/>
        <v>304.0111858955284</v>
      </c>
      <c r="G76" s="7">
        <f t="shared" si="28"/>
        <v>54196.498031485557</v>
      </c>
    </row>
    <row r="77" spans="1:7" x14ac:dyDescent="0.2">
      <c r="B77" s="19">
        <v>6</v>
      </c>
      <c r="C77" s="7">
        <f t="shared" si="29"/>
        <v>54196.498031485557</v>
      </c>
      <c r="D77" s="7">
        <f t="shared" si="25"/>
        <v>100.77431827745758</v>
      </c>
      <c r="E77" s="7">
        <f t="shared" si="26"/>
        <v>203.23686761807082</v>
      </c>
      <c r="F77" s="7">
        <f t="shared" si="27"/>
        <v>304.0111858955284</v>
      </c>
      <c r="G77" s="7">
        <f t="shared" si="28"/>
        <v>54095.723713208099</v>
      </c>
    </row>
    <row r="78" spans="1:7" x14ac:dyDescent="0.2">
      <c r="B78" s="19">
        <v>7</v>
      </c>
      <c r="C78" s="7">
        <f t="shared" si="29"/>
        <v>54095.723713208099</v>
      </c>
      <c r="D78" s="7">
        <f t="shared" si="25"/>
        <v>101.15222197099803</v>
      </c>
      <c r="E78" s="7">
        <f t="shared" si="26"/>
        <v>202.85896392453037</v>
      </c>
      <c r="F78" s="7">
        <f t="shared" si="27"/>
        <v>304.0111858955284</v>
      </c>
      <c r="G78" s="7">
        <f t="shared" si="28"/>
        <v>53994.571491237104</v>
      </c>
    </row>
    <row r="79" spans="1:7" x14ac:dyDescent="0.2">
      <c r="B79" s="19">
        <v>8</v>
      </c>
      <c r="C79" s="7">
        <f t="shared" si="29"/>
        <v>53994.571491237104</v>
      </c>
      <c r="D79" s="7">
        <f t="shared" si="25"/>
        <v>101.53154280338927</v>
      </c>
      <c r="E79" s="7">
        <f t="shared" si="26"/>
        <v>202.47964309213913</v>
      </c>
      <c r="F79" s="7">
        <f t="shared" si="27"/>
        <v>304.0111858955284</v>
      </c>
      <c r="G79" s="7">
        <f t="shared" si="28"/>
        <v>53893.039948433718</v>
      </c>
    </row>
    <row r="80" spans="1:7" x14ac:dyDescent="0.2">
      <c r="B80" s="19">
        <v>9</v>
      </c>
      <c r="C80" s="7">
        <f t="shared" si="29"/>
        <v>53893.039948433718</v>
      </c>
      <c r="D80" s="7">
        <f t="shared" si="25"/>
        <v>101.91228608890196</v>
      </c>
      <c r="E80" s="7">
        <f t="shared" si="26"/>
        <v>202.09889980662643</v>
      </c>
      <c r="F80" s="7">
        <f t="shared" si="27"/>
        <v>304.0111858955284</v>
      </c>
      <c r="G80" s="7">
        <f t="shared" si="28"/>
        <v>53791.127662344814</v>
      </c>
    </row>
    <row r="81" spans="1:7" x14ac:dyDescent="0.2">
      <c r="B81" s="19">
        <v>10</v>
      </c>
      <c r="C81" s="7">
        <f t="shared" si="29"/>
        <v>53791.127662344814</v>
      </c>
      <c r="D81" s="7">
        <f t="shared" si="25"/>
        <v>102.29445716173535</v>
      </c>
      <c r="E81" s="7">
        <f t="shared" si="26"/>
        <v>201.71672873379305</v>
      </c>
      <c r="F81" s="7">
        <f t="shared" si="27"/>
        <v>304.0111858955284</v>
      </c>
      <c r="G81" s="7">
        <f t="shared" si="28"/>
        <v>53688.83320518308</v>
      </c>
    </row>
    <row r="82" spans="1:7" x14ac:dyDescent="0.2">
      <c r="B82" s="19">
        <v>11</v>
      </c>
      <c r="C82" s="7">
        <f t="shared" si="29"/>
        <v>53688.83320518308</v>
      </c>
      <c r="D82" s="7">
        <f t="shared" si="25"/>
        <v>102.67806137609185</v>
      </c>
      <c r="E82" s="7">
        <f t="shared" si="26"/>
        <v>201.33312451943655</v>
      </c>
      <c r="F82" s="7">
        <f t="shared" si="27"/>
        <v>304.0111858955284</v>
      </c>
      <c r="G82" s="7">
        <f t="shared" si="28"/>
        <v>53586.155143806987</v>
      </c>
    </row>
    <row r="83" spans="1:7" x14ac:dyDescent="0.2">
      <c r="B83" s="19">
        <v>12</v>
      </c>
      <c r="C83" s="7">
        <f t="shared" si="29"/>
        <v>53586.155143806987</v>
      </c>
      <c r="D83" s="7">
        <f t="shared" si="25"/>
        <v>103.06310410625221</v>
      </c>
      <c r="E83" s="7">
        <f t="shared" si="26"/>
        <v>200.94808178927619</v>
      </c>
      <c r="F83" s="7">
        <f t="shared" si="27"/>
        <v>304.0111858955284</v>
      </c>
      <c r="G83" s="8">
        <f t="shared" si="28"/>
        <v>53483.092039700736</v>
      </c>
    </row>
    <row r="84" spans="1:7" x14ac:dyDescent="0.2">
      <c r="B84" s="9" t="s">
        <v>43</v>
      </c>
      <c r="C84" s="10"/>
      <c r="D84" s="8">
        <f>SUM(D72:D83)</f>
        <v>1211.6582581252271</v>
      </c>
      <c r="E84" s="8">
        <f>SUM(E72:E83)</f>
        <v>2436.4759726211141</v>
      </c>
    </row>
    <row r="85" spans="1:7" x14ac:dyDescent="0.2">
      <c r="B85" s="9"/>
      <c r="C85" s="9"/>
      <c r="D85" s="8"/>
      <c r="E85" s="8"/>
      <c r="F85" s="7"/>
      <c r="G85" s="7"/>
    </row>
    <row r="86" spans="1:7" x14ac:dyDescent="0.2">
      <c r="A86" t="s">
        <v>52</v>
      </c>
      <c r="B86" s="19">
        <v>1</v>
      </c>
      <c r="C86" s="7">
        <f>+G83</f>
        <v>53483.092039700736</v>
      </c>
      <c r="D86" s="7">
        <f t="shared" ref="D86:D97" si="30">+F86-E86</f>
        <v>103.44959074665064</v>
      </c>
      <c r="E86" s="7">
        <f t="shared" ref="E86:E97" si="31">C86*$J$2</f>
        <v>200.56159514887776</v>
      </c>
      <c r="F86" s="7">
        <f t="shared" ref="F86:F97" si="32">-$J$8</f>
        <v>304.0111858955284</v>
      </c>
      <c r="G86" s="7">
        <f t="shared" ref="G86:G97" si="33">+C86-D86</f>
        <v>53379.642448954088</v>
      </c>
    </row>
    <row r="87" spans="1:7" x14ac:dyDescent="0.2">
      <c r="B87" s="19">
        <v>2</v>
      </c>
      <c r="C87" s="7">
        <f t="shared" ref="C87:C97" si="34">+G86</f>
        <v>53379.642448954088</v>
      </c>
      <c r="D87" s="7">
        <f t="shared" si="30"/>
        <v>103.83752671195057</v>
      </c>
      <c r="E87" s="7">
        <f t="shared" si="31"/>
        <v>200.17365918357783</v>
      </c>
      <c r="F87" s="7">
        <f t="shared" si="32"/>
        <v>304.0111858955284</v>
      </c>
      <c r="G87" s="7">
        <f t="shared" si="33"/>
        <v>53275.80492224214</v>
      </c>
    </row>
    <row r="88" spans="1:7" x14ac:dyDescent="0.2">
      <c r="B88" s="19">
        <v>3</v>
      </c>
      <c r="C88" s="7">
        <f t="shared" si="34"/>
        <v>53275.80492224214</v>
      </c>
      <c r="D88" s="7">
        <f t="shared" si="30"/>
        <v>104.22691743712039</v>
      </c>
      <c r="E88" s="7">
        <f t="shared" si="31"/>
        <v>199.78426845840801</v>
      </c>
      <c r="F88" s="7">
        <f t="shared" si="32"/>
        <v>304.0111858955284</v>
      </c>
      <c r="G88" s="7">
        <f t="shared" si="33"/>
        <v>53171.578004805022</v>
      </c>
    </row>
    <row r="89" spans="1:7" x14ac:dyDescent="0.2">
      <c r="B89" s="19">
        <v>4</v>
      </c>
      <c r="C89" s="7">
        <f t="shared" si="34"/>
        <v>53171.578004805022</v>
      </c>
      <c r="D89" s="7">
        <f t="shared" si="30"/>
        <v>104.61776837750958</v>
      </c>
      <c r="E89" s="7">
        <f t="shared" si="31"/>
        <v>199.39341751801882</v>
      </c>
      <c r="F89" s="7">
        <f t="shared" si="32"/>
        <v>304.0111858955284</v>
      </c>
      <c r="G89" s="7">
        <f t="shared" si="33"/>
        <v>53066.960236427512</v>
      </c>
    </row>
    <row r="90" spans="1:7" x14ac:dyDescent="0.2">
      <c r="B90" s="19">
        <v>5</v>
      </c>
      <c r="C90" s="7">
        <f t="shared" si="34"/>
        <v>53066.960236427512</v>
      </c>
      <c r="D90" s="7">
        <f t="shared" si="30"/>
        <v>105.01008500892524</v>
      </c>
      <c r="E90" s="7">
        <f t="shared" si="31"/>
        <v>199.00110088660315</v>
      </c>
      <c r="F90" s="7">
        <f t="shared" si="32"/>
        <v>304.0111858955284</v>
      </c>
      <c r="G90" s="7">
        <f t="shared" si="33"/>
        <v>52961.95015141859</v>
      </c>
    </row>
    <row r="91" spans="1:7" x14ac:dyDescent="0.2">
      <c r="B91" s="19">
        <v>6</v>
      </c>
      <c r="C91" s="7">
        <f t="shared" si="34"/>
        <v>52961.95015141859</v>
      </c>
      <c r="D91" s="7">
        <f t="shared" si="30"/>
        <v>105.40387282770868</v>
      </c>
      <c r="E91" s="7">
        <f t="shared" si="31"/>
        <v>198.60731306781972</v>
      </c>
      <c r="F91" s="7">
        <f t="shared" si="32"/>
        <v>304.0111858955284</v>
      </c>
      <c r="G91" s="7">
        <f t="shared" si="33"/>
        <v>52856.546278590882</v>
      </c>
    </row>
    <row r="92" spans="1:7" x14ac:dyDescent="0.2">
      <c r="B92" s="19">
        <v>7</v>
      </c>
      <c r="C92" s="7">
        <f t="shared" si="34"/>
        <v>52856.546278590882</v>
      </c>
      <c r="D92" s="7">
        <f t="shared" si="30"/>
        <v>105.7991373508126</v>
      </c>
      <c r="E92" s="7">
        <f t="shared" si="31"/>
        <v>198.2120485447158</v>
      </c>
      <c r="F92" s="7">
        <f t="shared" si="32"/>
        <v>304.0111858955284</v>
      </c>
      <c r="G92" s="7">
        <f t="shared" si="33"/>
        <v>52750.74714124007</v>
      </c>
    </row>
    <row r="93" spans="1:7" x14ac:dyDescent="0.2">
      <c r="B93" s="19">
        <v>8</v>
      </c>
      <c r="C93" s="7">
        <f t="shared" si="34"/>
        <v>52750.74714124007</v>
      </c>
      <c r="D93" s="7">
        <f t="shared" si="30"/>
        <v>106.19588411587813</v>
      </c>
      <c r="E93" s="7">
        <f t="shared" si="31"/>
        <v>197.81530177965027</v>
      </c>
      <c r="F93" s="7">
        <f t="shared" si="32"/>
        <v>304.0111858955284</v>
      </c>
      <c r="G93" s="7">
        <f t="shared" si="33"/>
        <v>52644.551257124192</v>
      </c>
    </row>
    <row r="94" spans="1:7" x14ac:dyDescent="0.2">
      <c r="B94" s="19">
        <v>9</v>
      </c>
      <c r="C94" s="7">
        <f t="shared" si="34"/>
        <v>52644.551257124192</v>
      </c>
      <c r="D94" s="7">
        <f t="shared" si="30"/>
        <v>106.59411868131269</v>
      </c>
      <c r="E94" s="7">
        <f t="shared" si="31"/>
        <v>197.41706721421571</v>
      </c>
      <c r="F94" s="7">
        <f t="shared" si="32"/>
        <v>304.0111858955284</v>
      </c>
      <c r="G94" s="7">
        <f t="shared" si="33"/>
        <v>52537.957138442878</v>
      </c>
    </row>
    <row r="95" spans="1:7" x14ac:dyDescent="0.2">
      <c r="B95" s="19">
        <v>10</v>
      </c>
      <c r="C95" s="7">
        <f t="shared" si="34"/>
        <v>52537.957138442878</v>
      </c>
      <c r="D95" s="7">
        <f t="shared" si="30"/>
        <v>106.9938466263676</v>
      </c>
      <c r="E95" s="7">
        <f t="shared" si="31"/>
        <v>197.0173392691608</v>
      </c>
      <c r="F95" s="7">
        <f t="shared" si="32"/>
        <v>304.0111858955284</v>
      </c>
      <c r="G95" s="7">
        <f t="shared" si="33"/>
        <v>52430.963291816508</v>
      </c>
    </row>
    <row r="96" spans="1:7" x14ac:dyDescent="0.2">
      <c r="B96" s="19">
        <v>11</v>
      </c>
      <c r="C96" s="7">
        <f t="shared" si="34"/>
        <v>52430.963291816508</v>
      </c>
      <c r="D96" s="7">
        <f t="shared" si="30"/>
        <v>107.39507355121651</v>
      </c>
      <c r="E96" s="7">
        <f t="shared" si="31"/>
        <v>196.61611234431189</v>
      </c>
      <c r="F96" s="7">
        <f t="shared" si="32"/>
        <v>304.0111858955284</v>
      </c>
      <c r="G96" s="7">
        <f t="shared" si="33"/>
        <v>52323.568218265289</v>
      </c>
    </row>
    <row r="97" spans="1:7" x14ac:dyDescent="0.2">
      <c r="B97" s="19">
        <v>12</v>
      </c>
      <c r="C97" s="7">
        <f t="shared" si="34"/>
        <v>52323.568218265289</v>
      </c>
      <c r="D97" s="7">
        <f t="shared" si="30"/>
        <v>107.79780507703356</v>
      </c>
      <c r="E97" s="7">
        <f t="shared" si="31"/>
        <v>196.21338081849484</v>
      </c>
      <c r="F97" s="7">
        <f t="shared" si="32"/>
        <v>304.0111858955284</v>
      </c>
      <c r="G97" s="8">
        <f t="shared" si="33"/>
        <v>52215.770413188256</v>
      </c>
    </row>
    <row r="98" spans="1:7" x14ac:dyDescent="0.2">
      <c r="B98" s="9" t="s">
        <v>43</v>
      </c>
      <c r="C98" s="9"/>
      <c r="D98" s="8">
        <f>SUM(D86:D97)</f>
        <v>1267.3216265124861</v>
      </c>
      <c r="E98" s="8">
        <f>SUM(E86:E97)</f>
        <v>2380.8126042338549</v>
      </c>
      <c r="F98" s="7"/>
      <c r="G98" s="7"/>
    </row>
    <row r="99" spans="1:7" x14ac:dyDescent="0.2">
      <c r="B99" s="6"/>
      <c r="C99" s="6"/>
      <c r="D99" s="7"/>
      <c r="E99" s="7"/>
      <c r="F99" s="7"/>
      <c r="G99" s="7"/>
    </row>
    <row r="100" spans="1:7" x14ac:dyDescent="0.2">
      <c r="A100" t="s">
        <v>53</v>
      </c>
      <c r="B100" s="19">
        <v>1</v>
      </c>
      <c r="C100" s="7">
        <f>+G97</f>
        <v>52215.770413188256</v>
      </c>
      <c r="D100" s="7">
        <f t="shared" ref="D100:D111" si="35">+F100-E100</f>
        <v>108.20204684607245</v>
      </c>
      <c r="E100" s="7">
        <f t="shared" ref="E100:E111" si="36">C100*$J$2</f>
        <v>195.80913904945595</v>
      </c>
      <c r="F100" s="7">
        <f t="shared" ref="F100:F111" si="37">-$J$8</f>
        <v>304.0111858955284</v>
      </c>
      <c r="G100" s="7">
        <f t="shared" ref="G100:G111" si="38">+C100-D100</f>
        <v>52107.568366342181</v>
      </c>
    </row>
    <row r="101" spans="1:7" x14ac:dyDescent="0.2">
      <c r="B101" s="19">
        <v>2</v>
      </c>
      <c r="C101" s="7">
        <f t="shared" ref="C101:C111" si="39">+G100</f>
        <v>52107.568366342181</v>
      </c>
      <c r="D101" s="7">
        <f t="shared" si="35"/>
        <v>108.60780452174524</v>
      </c>
      <c r="E101" s="7">
        <f t="shared" si="36"/>
        <v>195.40338137378316</v>
      </c>
      <c r="F101" s="7">
        <f t="shared" si="37"/>
        <v>304.0111858955284</v>
      </c>
      <c r="G101" s="7">
        <f t="shared" si="38"/>
        <v>51998.960561820437</v>
      </c>
    </row>
    <row r="102" spans="1:7" x14ac:dyDescent="0.2">
      <c r="B102" s="19">
        <v>3</v>
      </c>
      <c r="C102" s="7">
        <f t="shared" si="39"/>
        <v>51998.960561820437</v>
      </c>
      <c r="D102" s="7">
        <f t="shared" si="35"/>
        <v>109.01508378870176</v>
      </c>
      <c r="E102" s="7">
        <f t="shared" si="36"/>
        <v>194.99610210682664</v>
      </c>
      <c r="F102" s="7">
        <f t="shared" si="37"/>
        <v>304.0111858955284</v>
      </c>
      <c r="G102" s="7">
        <f t="shared" si="38"/>
        <v>51889.945478031732</v>
      </c>
    </row>
    <row r="103" spans="1:7" x14ac:dyDescent="0.2">
      <c r="B103" s="19">
        <v>4</v>
      </c>
      <c r="C103" s="7">
        <f t="shared" si="39"/>
        <v>51889.945478031732</v>
      </c>
      <c r="D103" s="7">
        <f t="shared" si="35"/>
        <v>109.42389035290941</v>
      </c>
      <c r="E103" s="7">
        <f t="shared" si="36"/>
        <v>194.58729554261899</v>
      </c>
      <c r="F103" s="7">
        <f t="shared" si="37"/>
        <v>304.0111858955284</v>
      </c>
      <c r="G103" s="7">
        <f t="shared" si="38"/>
        <v>51780.521587678821</v>
      </c>
    </row>
    <row r="104" spans="1:7" x14ac:dyDescent="0.2">
      <c r="B104" s="19">
        <v>5</v>
      </c>
      <c r="C104" s="7">
        <f t="shared" si="39"/>
        <v>51780.521587678821</v>
      </c>
      <c r="D104" s="7">
        <f t="shared" si="35"/>
        <v>109.83422994173281</v>
      </c>
      <c r="E104" s="7">
        <f t="shared" si="36"/>
        <v>194.17695595379558</v>
      </c>
      <c r="F104" s="7">
        <f t="shared" si="37"/>
        <v>304.0111858955284</v>
      </c>
      <c r="G104" s="7">
        <f t="shared" si="38"/>
        <v>51670.687357737086</v>
      </c>
    </row>
    <row r="105" spans="1:7" x14ac:dyDescent="0.2">
      <c r="B105" s="19">
        <v>6</v>
      </c>
      <c r="C105" s="7">
        <f t="shared" si="39"/>
        <v>51670.687357737086</v>
      </c>
      <c r="D105" s="7">
        <f t="shared" si="35"/>
        <v>110.24610830401434</v>
      </c>
      <c r="E105" s="7">
        <f t="shared" si="36"/>
        <v>193.76507759151406</v>
      </c>
      <c r="F105" s="7">
        <f t="shared" si="37"/>
        <v>304.0111858955284</v>
      </c>
      <c r="G105" s="7">
        <f t="shared" si="38"/>
        <v>51560.441249433075</v>
      </c>
    </row>
    <row r="106" spans="1:7" x14ac:dyDescent="0.2">
      <c r="B106" s="19">
        <v>7</v>
      </c>
      <c r="C106" s="7">
        <f t="shared" si="39"/>
        <v>51560.441249433075</v>
      </c>
      <c r="D106" s="7">
        <f t="shared" si="35"/>
        <v>110.65953121015437</v>
      </c>
      <c r="E106" s="7">
        <f t="shared" si="36"/>
        <v>193.35165468537403</v>
      </c>
      <c r="F106" s="7">
        <f t="shared" si="37"/>
        <v>304.0111858955284</v>
      </c>
      <c r="G106" s="7">
        <f t="shared" si="38"/>
        <v>51449.781718222919</v>
      </c>
    </row>
    <row r="107" spans="1:7" x14ac:dyDescent="0.2">
      <c r="B107" s="19">
        <v>8</v>
      </c>
      <c r="C107" s="7">
        <f t="shared" si="39"/>
        <v>51449.781718222919</v>
      </c>
      <c r="D107" s="7">
        <f t="shared" si="35"/>
        <v>111.07450445219246</v>
      </c>
      <c r="E107" s="7">
        <f t="shared" si="36"/>
        <v>192.93668144333594</v>
      </c>
      <c r="F107" s="7">
        <f t="shared" si="37"/>
        <v>304.0111858955284</v>
      </c>
      <c r="G107" s="7">
        <f t="shared" si="38"/>
        <v>51338.707213770729</v>
      </c>
    </row>
    <row r="108" spans="1:7" x14ac:dyDescent="0.2">
      <c r="B108" s="19">
        <v>9</v>
      </c>
      <c r="C108" s="7">
        <f t="shared" si="39"/>
        <v>51338.707213770729</v>
      </c>
      <c r="D108" s="7">
        <f t="shared" si="35"/>
        <v>111.49103384388818</v>
      </c>
      <c r="E108" s="7">
        <f t="shared" si="36"/>
        <v>192.52015205164022</v>
      </c>
      <c r="F108" s="7">
        <f t="shared" si="37"/>
        <v>304.0111858955284</v>
      </c>
      <c r="G108" s="7">
        <f t="shared" si="38"/>
        <v>51227.216179926843</v>
      </c>
    </row>
    <row r="109" spans="1:7" x14ac:dyDescent="0.2">
      <c r="B109" s="19">
        <v>10</v>
      </c>
      <c r="C109" s="7">
        <f t="shared" si="39"/>
        <v>51227.216179926843</v>
      </c>
      <c r="D109" s="7">
        <f t="shared" si="35"/>
        <v>111.90912522080274</v>
      </c>
      <c r="E109" s="7">
        <f t="shared" si="36"/>
        <v>192.10206067472566</v>
      </c>
      <c r="F109" s="7">
        <f t="shared" si="37"/>
        <v>304.0111858955284</v>
      </c>
      <c r="G109" s="7">
        <f t="shared" si="38"/>
        <v>51115.307054706042</v>
      </c>
    </row>
    <row r="110" spans="1:7" x14ac:dyDescent="0.2">
      <c r="B110" s="19">
        <v>11</v>
      </c>
      <c r="C110" s="7">
        <f t="shared" si="39"/>
        <v>51115.307054706042</v>
      </c>
      <c r="D110" s="7">
        <f t="shared" si="35"/>
        <v>112.32878444038076</v>
      </c>
      <c r="E110" s="7">
        <f t="shared" si="36"/>
        <v>191.68240145514764</v>
      </c>
      <c r="F110" s="7">
        <f t="shared" si="37"/>
        <v>304.0111858955284</v>
      </c>
      <c r="G110" s="7">
        <f t="shared" si="38"/>
        <v>51002.978270265659</v>
      </c>
    </row>
    <row r="111" spans="1:7" x14ac:dyDescent="0.2">
      <c r="B111" s="19">
        <v>12</v>
      </c>
      <c r="C111" s="7">
        <f t="shared" si="39"/>
        <v>51002.978270265659</v>
      </c>
      <c r="D111" s="7">
        <f t="shared" si="35"/>
        <v>112.75001738203218</v>
      </c>
      <c r="E111" s="7">
        <f t="shared" si="36"/>
        <v>191.26116851349622</v>
      </c>
      <c r="F111" s="7">
        <f t="shared" si="37"/>
        <v>304.0111858955284</v>
      </c>
      <c r="G111" s="8">
        <f t="shared" si="38"/>
        <v>50890.228252883629</v>
      </c>
    </row>
    <row r="112" spans="1:7" x14ac:dyDescent="0.2">
      <c r="B112" s="9" t="s">
        <v>43</v>
      </c>
      <c r="C112" s="9"/>
      <c r="D112" s="8">
        <f>SUM(D100:D111)</f>
        <v>1325.5421603046268</v>
      </c>
      <c r="E112" s="8">
        <f>SUM(E100:E111)</f>
        <v>2322.592070441714</v>
      </c>
      <c r="F112" s="7"/>
      <c r="G112" s="7"/>
    </row>
    <row r="113" spans="1:7" x14ac:dyDescent="0.2">
      <c r="B113" s="6"/>
      <c r="C113" s="6"/>
      <c r="D113" s="7"/>
      <c r="E113" s="7"/>
      <c r="F113" s="7"/>
      <c r="G113" s="7"/>
    </row>
    <row r="114" spans="1:7" x14ac:dyDescent="0.2">
      <c r="A114" t="s">
        <v>54</v>
      </c>
      <c r="B114" s="19">
        <v>1</v>
      </c>
      <c r="C114" s="7">
        <f>+G111</f>
        <v>50890.228252883629</v>
      </c>
      <c r="D114" s="7">
        <f t="shared" ref="D114:D125" si="40">+F114-E114</f>
        <v>113.17282994721481</v>
      </c>
      <c r="E114" s="7">
        <f t="shared" ref="E114:E125" si="41">C114*$J$2</f>
        <v>190.83835594831359</v>
      </c>
      <c r="F114" s="7">
        <f t="shared" ref="F114:F125" si="42">-$J$8</f>
        <v>304.0111858955284</v>
      </c>
      <c r="G114" s="7">
        <f t="shared" ref="G114:G125" si="43">+C114-D114</f>
        <v>50777.055422936413</v>
      </c>
    </row>
    <row r="115" spans="1:7" x14ac:dyDescent="0.2">
      <c r="B115" s="19">
        <v>2</v>
      </c>
      <c r="C115" s="7">
        <f t="shared" ref="C115:C125" si="44">+G114</f>
        <v>50777.055422936413</v>
      </c>
      <c r="D115" s="7">
        <f t="shared" si="40"/>
        <v>113.59722805951685</v>
      </c>
      <c r="E115" s="7">
        <f t="shared" si="41"/>
        <v>190.41395783601155</v>
      </c>
      <c r="F115" s="7">
        <f t="shared" si="42"/>
        <v>304.0111858955284</v>
      </c>
      <c r="G115" s="7">
        <f t="shared" si="43"/>
        <v>50663.458194876897</v>
      </c>
    </row>
    <row r="116" spans="1:7" x14ac:dyDescent="0.2">
      <c r="B116" s="19">
        <v>3</v>
      </c>
      <c r="C116" s="7">
        <f t="shared" si="44"/>
        <v>50663.458194876897</v>
      </c>
      <c r="D116" s="7">
        <f t="shared" si="40"/>
        <v>114.02321766474003</v>
      </c>
      <c r="E116" s="7">
        <f t="shared" si="41"/>
        <v>189.98796823078837</v>
      </c>
      <c r="F116" s="7">
        <f t="shared" si="42"/>
        <v>304.0111858955284</v>
      </c>
      <c r="G116" s="7">
        <f t="shared" si="43"/>
        <v>50549.434977212157</v>
      </c>
    </row>
    <row r="117" spans="1:7" x14ac:dyDescent="0.2">
      <c r="B117" s="19">
        <v>4</v>
      </c>
      <c r="C117" s="7">
        <f t="shared" si="44"/>
        <v>50549.434977212157</v>
      </c>
      <c r="D117" s="7">
        <f t="shared" si="40"/>
        <v>114.45080473098281</v>
      </c>
      <c r="E117" s="7">
        <f t="shared" si="41"/>
        <v>189.56038116454559</v>
      </c>
      <c r="F117" s="7">
        <f t="shared" si="42"/>
        <v>304.0111858955284</v>
      </c>
      <c r="G117" s="7">
        <f t="shared" si="43"/>
        <v>50434.98417248117</v>
      </c>
    </row>
    <row r="118" spans="1:7" x14ac:dyDescent="0.2">
      <c r="B118" s="19">
        <v>5</v>
      </c>
      <c r="C118" s="7">
        <f t="shared" si="44"/>
        <v>50434.98417248117</v>
      </c>
      <c r="D118" s="7">
        <f t="shared" si="40"/>
        <v>114.87999524872401</v>
      </c>
      <c r="E118" s="7">
        <f t="shared" si="41"/>
        <v>189.13119064680438</v>
      </c>
      <c r="F118" s="7">
        <f t="shared" si="42"/>
        <v>304.0111858955284</v>
      </c>
      <c r="G118" s="7">
        <f t="shared" si="43"/>
        <v>50320.104177232446</v>
      </c>
    </row>
    <row r="119" spans="1:7" x14ac:dyDescent="0.2">
      <c r="B119" s="19">
        <v>6</v>
      </c>
      <c r="C119" s="7">
        <f t="shared" si="44"/>
        <v>50320.104177232446</v>
      </c>
      <c r="D119" s="7">
        <f t="shared" si="40"/>
        <v>115.31079523090673</v>
      </c>
      <c r="E119" s="7">
        <f t="shared" si="41"/>
        <v>188.70039066462166</v>
      </c>
      <c r="F119" s="7">
        <f t="shared" si="42"/>
        <v>304.0111858955284</v>
      </c>
      <c r="G119" s="7">
        <f t="shared" si="43"/>
        <v>50204.793382001539</v>
      </c>
    </row>
    <row r="120" spans="1:7" x14ac:dyDescent="0.2">
      <c r="B120" s="19">
        <v>7</v>
      </c>
      <c r="C120" s="7">
        <f t="shared" si="44"/>
        <v>50204.793382001539</v>
      </c>
      <c r="D120" s="7">
        <f t="shared" si="40"/>
        <v>115.74321071302265</v>
      </c>
      <c r="E120" s="7">
        <f t="shared" si="41"/>
        <v>188.26797518250575</v>
      </c>
      <c r="F120" s="7">
        <f t="shared" si="42"/>
        <v>304.0111858955284</v>
      </c>
      <c r="G120" s="7">
        <f t="shared" si="43"/>
        <v>50089.050171288516</v>
      </c>
    </row>
    <row r="121" spans="1:7" x14ac:dyDescent="0.2">
      <c r="B121" s="19">
        <v>8</v>
      </c>
      <c r="C121" s="7">
        <f t="shared" si="44"/>
        <v>50089.050171288516</v>
      </c>
      <c r="D121" s="7">
        <f t="shared" si="40"/>
        <v>116.17724775319647</v>
      </c>
      <c r="E121" s="7">
        <f t="shared" si="41"/>
        <v>187.83393814233193</v>
      </c>
      <c r="F121" s="7">
        <f t="shared" si="42"/>
        <v>304.0111858955284</v>
      </c>
      <c r="G121" s="7">
        <f t="shared" si="43"/>
        <v>49972.872923535317</v>
      </c>
    </row>
    <row r="122" spans="1:7" x14ac:dyDescent="0.2">
      <c r="B122" s="19">
        <v>9</v>
      </c>
      <c r="C122" s="7">
        <f t="shared" si="44"/>
        <v>49972.872923535317</v>
      </c>
      <c r="D122" s="7">
        <f t="shared" si="40"/>
        <v>116.61291243227097</v>
      </c>
      <c r="E122" s="7">
        <f t="shared" si="41"/>
        <v>187.39827346325742</v>
      </c>
      <c r="F122" s="7">
        <f t="shared" si="42"/>
        <v>304.0111858955284</v>
      </c>
      <c r="G122" s="7">
        <f t="shared" si="43"/>
        <v>49856.260011103048</v>
      </c>
    </row>
    <row r="123" spans="1:7" x14ac:dyDescent="0.2">
      <c r="B123" s="19">
        <v>10</v>
      </c>
      <c r="C123" s="7">
        <f t="shared" si="44"/>
        <v>49856.260011103048</v>
      </c>
      <c r="D123" s="7">
        <f t="shared" si="40"/>
        <v>117.05021085389197</v>
      </c>
      <c r="E123" s="7">
        <f t="shared" si="41"/>
        <v>186.96097504163643</v>
      </c>
      <c r="F123" s="7">
        <f t="shared" si="42"/>
        <v>304.0111858955284</v>
      </c>
      <c r="G123" s="7">
        <f t="shared" si="43"/>
        <v>49739.209800249155</v>
      </c>
    </row>
    <row r="124" spans="1:7" x14ac:dyDescent="0.2">
      <c r="B124" s="19">
        <v>11</v>
      </c>
      <c r="C124" s="7">
        <f t="shared" si="44"/>
        <v>49739.209800249155</v>
      </c>
      <c r="D124" s="7">
        <f t="shared" si="40"/>
        <v>117.48914914459408</v>
      </c>
      <c r="E124" s="7">
        <f t="shared" si="41"/>
        <v>186.52203675093432</v>
      </c>
      <c r="F124" s="7">
        <f t="shared" si="42"/>
        <v>304.0111858955284</v>
      </c>
      <c r="G124" s="7">
        <f t="shared" si="43"/>
        <v>49621.720651104559</v>
      </c>
    </row>
    <row r="125" spans="1:7" x14ac:dyDescent="0.2">
      <c r="B125" s="19">
        <v>12</v>
      </c>
      <c r="C125" s="7">
        <f t="shared" si="44"/>
        <v>49621.720651104559</v>
      </c>
      <c r="D125" s="7">
        <f t="shared" si="40"/>
        <v>117.92973345388631</v>
      </c>
      <c r="E125" s="7">
        <f t="shared" si="41"/>
        <v>186.08145244164209</v>
      </c>
      <c r="F125" s="7">
        <f t="shared" si="42"/>
        <v>304.0111858955284</v>
      </c>
      <c r="G125" s="8">
        <f t="shared" si="43"/>
        <v>49503.790917650673</v>
      </c>
    </row>
    <row r="126" spans="1:7" x14ac:dyDescent="0.2">
      <c r="B126" s="9" t="s">
        <v>43</v>
      </c>
      <c r="C126" s="10"/>
      <c r="D126" s="8">
        <f>SUM(D114:D125)</f>
        <v>1386.4373352329478</v>
      </c>
      <c r="E126" s="8">
        <f>SUM(E114:E125)</f>
        <v>2261.696895513393</v>
      </c>
    </row>
    <row r="128" spans="1:7" x14ac:dyDescent="0.2">
      <c r="A128" t="s">
        <v>55</v>
      </c>
      <c r="B128" s="19">
        <v>1</v>
      </c>
      <c r="C128" s="7">
        <f>+G125</f>
        <v>49503.790917650673</v>
      </c>
      <c r="D128" s="7">
        <f t="shared" ref="D128:D139" si="45">+F128-E128</f>
        <v>118.3719699543384</v>
      </c>
      <c r="E128" s="7">
        <f t="shared" ref="E128:E139" si="46">C128*$J$2</f>
        <v>185.63921594119</v>
      </c>
      <c r="F128" s="7">
        <f t="shared" ref="F128:F139" si="47">-$J$8</f>
        <v>304.0111858955284</v>
      </c>
      <c r="G128" s="7">
        <f t="shared" ref="G128:G139" si="48">+C128-D128</f>
        <v>49385.418947696337</v>
      </c>
    </row>
    <row r="129" spans="1:7" x14ac:dyDescent="0.2">
      <c r="B129" s="19">
        <v>2</v>
      </c>
      <c r="C129" s="7">
        <f t="shared" ref="C129:C139" si="49">+G128</f>
        <v>49385.418947696337</v>
      </c>
      <c r="D129" s="7">
        <f t="shared" si="45"/>
        <v>118.81586484166715</v>
      </c>
      <c r="E129" s="7">
        <f t="shared" si="46"/>
        <v>185.19532105386125</v>
      </c>
      <c r="F129" s="7">
        <f t="shared" si="47"/>
        <v>304.0111858955284</v>
      </c>
      <c r="G129" s="7">
        <f t="shared" si="48"/>
        <v>49266.603082854672</v>
      </c>
    </row>
    <row r="130" spans="1:7" x14ac:dyDescent="0.2">
      <c r="B130" s="19">
        <v>3</v>
      </c>
      <c r="C130" s="7">
        <f t="shared" si="49"/>
        <v>49266.603082854672</v>
      </c>
      <c r="D130" s="7">
        <f t="shared" si="45"/>
        <v>119.26142433482337</v>
      </c>
      <c r="E130" s="7">
        <f t="shared" si="46"/>
        <v>184.74976156070502</v>
      </c>
      <c r="F130" s="7">
        <f t="shared" si="47"/>
        <v>304.0111858955284</v>
      </c>
      <c r="G130" s="7">
        <f t="shared" si="48"/>
        <v>49147.34165851985</v>
      </c>
    </row>
    <row r="131" spans="1:7" x14ac:dyDescent="0.2">
      <c r="B131" s="19">
        <v>4</v>
      </c>
      <c r="C131" s="7">
        <f t="shared" si="49"/>
        <v>49147.34165851985</v>
      </c>
      <c r="D131" s="7">
        <f t="shared" si="45"/>
        <v>119.70865467607896</v>
      </c>
      <c r="E131" s="7">
        <f t="shared" si="46"/>
        <v>184.30253121944943</v>
      </c>
      <c r="F131" s="7">
        <f t="shared" si="47"/>
        <v>304.0111858955284</v>
      </c>
      <c r="G131" s="7">
        <f t="shared" si="48"/>
        <v>49027.633003843774</v>
      </c>
    </row>
    <row r="132" spans="1:7" x14ac:dyDescent="0.2">
      <c r="B132" s="19">
        <v>5</v>
      </c>
      <c r="C132" s="7">
        <f t="shared" si="49"/>
        <v>49027.633003843774</v>
      </c>
      <c r="D132" s="7">
        <f t="shared" si="45"/>
        <v>120.15756213111425</v>
      </c>
      <c r="E132" s="7">
        <f t="shared" si="46"/>
        <v>183.85362376441415</v>
      </c>
      <c r="F132" s="7">
        <f t="shared" si="47"/>
        <v>304.0111858955284</v>
      </c>
      <c r="G132" s="7">
        <f t="shared" si="48"/>
        <v>48907.475441712661</v>
      </c>
    </row>
    <row r="133" spans="1:7" x14ac:dyDescent="0.2">
      <c r="B133" s="19">
        <v>6</v>
      </c>
      <c r="C133" s="7">
        <f t="shared" si="49"/>
        <v>48907.475441712661</v>
      </c>
      <c r="D133" s="7">
        <f t="shared" si="45"/>
        <v>120.60815298910592</v>
      </c>
      <c r="E133" s="7">
        <f t="shared" si="46"/>
        <v>183.40303290642248</v>
      </c>
      <c r="F133" s="7">
        <f t="shared" si="47"/>
        <v>304.0111858955284</v>
      </c>
      <c r="G133" s="7">
        <f t="shared" si="48"/>
        <v>48786.867288723552</v>
      </c>
    </row>
    <row r="134" spans="1:7" x14ac:dyDescent="0.2">
      <c r="B134" s="19">
        <v>7</v>
      </c>
      <c r="C134" s="7">
        <f t="shared" si="49"/>
        <v>48786.867288723552</v>
      </c>
      <c r="D134" s="7">
        <f t="shared" si="45"/>
        <v>121.06043356281509</v>
      </c>
      <c r="E134" s="7">
        <f t="shared" si="46"/>
        <v>182.95075233271331</v>
      </c>
      <c r="F134" s="7">
        <f t="shared" si="47"/>
        <v>304.0111858955284</v>
      </c>
      <c r="G134" s="7">
        <f t="shared" si="48"/>
        <v>48665.806855160736</v>
      </c>
    </row>
    <row r="135" spans="1:7" x14ac:dyDescent="0.2">
      <c r="B135" s="19">
        <v>8</v>
      </c>
      <c r="C135" s="7">
        <f t="shared" si="49"/>
        <v>48665.806855160736</v>
      </c>
      <c r="D135" s="7">
        <f t="shared" si="45"/>
        <v>121.51441018867564</v>
      </c>
      <c r="E135" s="7">
        <f t="shared" si="46"/>
        <v>182.49677570685276</v>
      </c>
      <c r="F135" s="7">
        <f t="shared" si="47"/>
        <v>304.0111858955284</v>
      </c>
      <c r="G135" s="7">
        <f t="shared" si="48"/>
        <v>48544.292444972059</v>
      </c>
    </row>
    <row r="136" spans="1:7" x14ac:dyDescent="0.2">
      <c r="B136" s="19">
        <v>9</v>
      </c>
      <c r="C136" s="7">
        <f t="shared" si="49"/>
        <v>48544.292444972059</v>
      </c>
      <c r="D136" s="7">
        <f t="shared" si="45"/>
        <v>121.97008922688318</v>
      </c>
      <c r="E136" s="7">
        <f t="shared" si="46"/>
        <v>182.04109666864522</v>
      </c>
      <c r="F136" s="7">
        <f t="shared" si="47"/>
        <v>304.0111858955284</v>
      </c>
      <c r="G136" s="7">
        <f t="shared" si="48"/>
        <v>48422.322355745178</v>
      </c>
    </row>
    <row r="137" spans="1:7" x14ac:dyDescent="0.2">
      <c r="B137" s="19">
        <v>10</v>
      </c>
      <c r="C137" s="7">
        <f t="shared" si="49"/>
        <v>48422.322355745178</v>
      </c>
      <c r="D137" s="7">
        <f t="shared" si="45"/>
        <v>122.42747706148398</v>
      </c>
      <c r="E137" s="7">
        <f t="shared" si="46"/>
        <v>181.58370883404442</v>
      </c>
      <c r="F137" s="7">
        <f t="shared" si="47"/>
        <v>304.0111858955284</v>
      </c>
      <c r="G137" s="7">
        <f t="shared" si="48"/>
        <v>48299.894878683692</v>
      </c>
    </row>
    <row r="138" spans="1:7" x14ac:dyDescent="0.2">
      <c r="B138" s="19">
        <v>11</v>
      </c>
      <c r="C138" s="7">
        <f t="shared" si="49"/>
        <v>48299.894878683692</v>
      </c>
      <c r="D138" s="7">
        <f t="shared" si="45"/>
        <v>122.88658010046456</v>
      </c>
      <c r="E138" s="7">
        <f t="shared" si="46"/>
        <v>181.12460579506384</v>
      </c>
      <c r="F138" s="7">
        <f t="shared" si="47"/>
        <v>304.0111858955284</v>
      </c>
      <c r="G138" s="7">
        <f t="shared" si="48"/>
        <v>48177.008298583227</v>
      </c>
    </row>
    <row r="139" spans="1:7" x14ac:dyDescent="0.2">
      <c r="B139" s="19">
        <v>12</v>
      </c>
      <c r="C139" s="7">
        <f t="shared" si="49"/>
        <v>48177.008298583227</v>
      </c>
      <c r="D139" s="7">
        <f t="shared" si="45"/>
        <v>123.34740477584131</v>
      </c>
      <c r="E139" s="7">
        <f t="shared" si="46"/>
        <v>180.66378111968709</v>
      </c>
      <c r="F139" s="7">
        <f t="shared" si="47"/>
        <v>304.0111858955284</v>
      </c>
      <c r="G139" s="8">
        <f t="shared" si="48"/>
        <v>48053.660893807384</v>
      </c>
    </row>
    <row r="140" spans="1:7" x14ac:dyDescent="0.2">
      <c r="B140" s="9" t="s">
        <v>43</v>
      </c>
      <c r="C140" s="10"/>
      <c r="D140" s="8">
        <f>SUM(D128:D139)</f>
        <v>1450.1300238432918</v>
      </c>
      <c r="E140" s="8">
        <f>SUM(E128:E139)</f>
        <v>2198.0042069030492</v>
      </c>
    </row>
    <row r="141" spans="1:7" x14ac:dyDescent="0.2">
      <c r="B141" s="9"/>
      <c r="C141" s="9"/>
      <c r="D141" s="8"/>
      <c r="E141" s="8"/>
      <c r="F141" s="7"/>
      <c r="G141" s="7"/>
    </row>
    <row r="142" spans="1:7" x14ac:dyDescent="0.2">
      <c r="A142" t="s">
        <v>67</v>
      </c>
      <c r="B142" s="19">
        <v>1</v>
      </c>
      <c r="C142" s="7">
        <f>+G139</f>
        <v>48053.660893807384</v>
      </c>
      <c r="D142" s="7">
        <f t="shared" ref="D142:D153" si="50">+F142-E142</f>
        <v>123.80995754375073</v>
      </c>
      <c r="E142" s="7">
        <f t="shared" ref="E142:E153" si="51">C142*$J$2</f>
        <v>180.20122835177767</v>
      </c>
      <c r="F142" s="7">
        <f t="shared" ref="F142:F153" si="52">-$J$8</f>
        <v>304.0111858955284</v>
      </c>
      <c r="G142" s="7">
        <f t="shared" ref="G142:G153" si="53">+C142-D142</f>
        <v>47929.850936263632</v>
      </c>
    </row>
    <row r="143" spans="1:7" x14ac:dyDescent="0.2">
      <c r="B143" s="19">
        <v>2</v>
      </c>
      <c r="C143" s="7">
        <f t="shared" ref="C143:C153" si="54">+G142</f>
        <v>47929.850936263632</v>
      </c>
      <c r="D143" s="7">
        <f t="shared" si="50"/>
        <v>124.2742448845398</v>
      </c>
      <c r="E143" s="7">
        <f t="shared" si="51"/>
        <v>179.7369410109886</v>
      </c>
      <c r="F143" s="7">
        <f t="shared" si="52"/>
        <v>304.0111858955284</v>
      </c>
      <c r="G143" s="7">
        <f t="shared" si="53"/>
        <v>47805.576691379094</v>
      </c>
    </row>
    <row r="144" spans="1:7" x14ac:dyDescent="0.2">
      <c r="B144" s="19">
        <v>3</v>
      </c>
      <c r="C144" s="7">
        <f t="shared" si="54"/>
        <v>47805.576691379094</v>
      </c>
      <c r="D144" s="7">
        <f t="shared" si="50"/>
        <v>124.74027330285679</v>
      </c>
      <c r="E144" s="7">
        <f t="shared" si="51"/>
        <v>179.27091259267161</v>
      </c>
      <c r="F144" s="7">
        <f t="shared" si="52"/>
        <v>304.0111858955284</v>
      </c>
      <c r="G144" s="7">
        <f t="shared" si="53"/>
        <v>47680.836418076236</v>
      </c>
    </row>
    <row r="145" spans="1:7" x14ac:dyDescent="0.2">
      <c r="B145" s="19">
        <v>4</v>
      </c>
      <c r="C145" s="7">
        <f t="shared" si="54"/>
        <v>47680.836418076236</v>
      </c>
      <c r="D145" s="7">
        <f t="shared" si="50"/>
        <v>125.20804932774251</v>
      </c>
      <c r="E145" s="7">
        <f t="shared" si="51"/>
        <v>178.80313656778588</v>
      </c>
      <c r="F145" s="7">
        <f t="shared" si="52"/>
        <v>304.0111858955284</v>
      </c>
      <c r="G145" s="7">
        <f t="shared" si="53"/>
        <v>47555.628368748497</v>
      </c>
    </row>
    <row r="146" spans="1:7" x14ac:dyDescent="0.2">
      <c r="B146" s="19">
        <v>5</v>
      </c>
      <c r="C146" s="7">
        <f t="shared" si="54"/>
        <v>47555.628368748497</v>
      </c>
      <c r="D146" s="7">
        <f t="shared" si="50"/>
        <v>125.67757951272154</v>
      </c>
      <c r="E146" s="7">
        <f t="shared" si="51"/>
        <v>178.33360638280686</v>
      </c>
      <c r="F146" s="7">
        <f t="shared" si="52"/>
        <v>304.0111858955284</v>
      </c>
      <c r="G146" s="7">
        <f t="shared" si="53"/>
        <v>47429.950789235772</v>
      </c>
    </row>
    <row r="147" spans="1:7" x14ac:dyDescent="0.2">
      <c r="B147" s="19">
        <v>6</v>
      </c>
      <c r="C147" s="7">
        <f t="shared" si="54"/>
        <v>47429.950789235772</v>
      </c>
      <c r="D147" s="7">
        <f t="shared" si="50"/>
        <v>126.14887043589425</v>
      </c>
      <c r="E147" s="7">
        <f t="shared" si="51"/>
        <v>177.86231545963415</v>
      </c>
      <c r="F147" s="7">
        <f t="shared" si="52"/>
        <v>304.0111858955284</v>
      </c>
      <c r="G147" s="7">
        <f t="shared" si="53"/>
        <v>47303.80191879988</v>
      </c>
    </row>
    <row r="148" spans="1:7" x14ac:dyDescent="0.2">
      <c r="B148" s="19">
        <v>7</v>
      </c>
      <c r="C148" s="7">
        <f t="shared" si="54"/>
        <v>47303.80191879988</v>
      </c>
      <c r="D148" s="7">
        <f t="shared" si="50"/>
        <v>126.62192870002886</v>
      </c>
      <c r="E148" s="7">
        <f t="shared" si="51"/>
        <v>177.38925719549954</v>
      </c>
      <c r="F148" s="7">
        <f t="shared" si="52"/>
        <v>304.0111858955284</v>
      </c>
      <c r="G148" s="7">
        <f t="shared" si="53"/>
        <v>47177.179990099852</v>
      </c>
    </row>
    <row r="149" spans="1:7" x14ac:dyDescent="0.2">
      <c r="B149" s="19">
        <v>8</v>
      </c>
      <c r="C149" s="7">
        <f t="shared" si="54"/>
        <v>47177.179990099852</v>
      </c>
      <c r="D149" s="7">
        <f t="shared" si="50"/>
        <v>127.09676093265395</v>
      </c>
      <c r="E149" s="7">
        <f t="shared" si="51"/>
        <v>176.91442496287445</v>
      </c>
      <c r="F149" s="7">
        <f t="shared" si="52"/>
        <v>304.0111858955284</v>
      </c>
      <c r="G149" s="7">
        <f t="shared" si="53"/>
        <v>47050.083229167198</v>
      </c>
    </row>
    <row r="150" spans="1:7" x14ac:dyDescent="0.2">
      <c r="B150" s="19">
        <v>9</v>
      </c>
      <c r="C150" s="7">
        <f t="shared" si="54"/>
        <v>47050.083229167198</v>
      </c>
      <c r="D150" s="7">
        <f t="shared" si="50"/>
        <v>127.57337378615142</v>
      </c>
      <c r="E150" s="7">
        <f t="shared" si="51"/>
        <v>176.43781210937698</v>
      </c>
      <c r="F150" s="7">
        <f t="shared" si="52"/>
        <v>304.0111858955284</v>
      </c>
      <c r="G150" s="7">
        <f t="shared" si="53"/>
        <v>46922.509855381046</v>
      </c>
    </row>
    <row r="151" spans="1:7" x14ac:dyDescent="0.2">
      <c r="B151" s="19">
        <v>10</v>
      </c>
      <c r="C151" s="7">
        <f t="shared" si="54"/>
        <v>46922.509855381046</v>
      </c>
      <c r="D151" s="7">
        <f t="shared" si="50"/>
        <v>128.05177393784948</v>
      </c>
      <c r="E151" s="7">
        <f t="shared" si="51"/>
        <v>175.95941195767892</v>
      </c>
      <c r="F151" s="7">
        <f t="shared" si="52"/>
        <v>304.0111858955284</v>
      </c>
      <c r="G151" s="7">
        <f t="shared" si="53"/>
        <v>46794.458081443197</v>
      </c>
    </row>
    <row r="152" spans="1:7" x14ac:dyDescent="0.2">
      <c r="B152" s="19">
        <v>11</v>
      </c>
      <c r="C152" s="7">
        <f t="shared" si="54"/>
        <v>46794.458081443197</v>
      </c>
      <c r="D152" s="7">
        <f t="shared" si="50"/>
        <v>128.53196809011641</v>
      </c>
      <c r="E152" s="7">
        <f t="shared" si="51"/>
        <v>175.47921780541199</v>
      </c>
      <c r="F152" s="7">
        <f t="shared" si="52"/>
        <v>304.0111858955284</v>
      </c>
      <c r="G152" s="7">
        <f t="shared" si="53"/>
        <v>46665.926113353082</v>
      </c>
    </row>
    <row r="153" spans="1:7" x14ac:dyDescent="0.2">
      <c r="B153" s="19">
        <v>12</v>
      </c>
      <c r="C153" s="7">
        <f t="shared" si="54"/>
        <v>46665.926113353082</v>
      </c>
      <c r="D153" s="7">
        <f t="shared" si="50"/>
        <v>129.01396297045434</v>
      </c>
      <c r="E153" s="7">
        <f t="shared" si="51"/>
        <v>174.99722292507406</v>
      </c>
      <c r="F153" s="7">
        <f t="shared" si="52"/>
        <v>304.0111858955284</v>
      </c>
      <c r="G153" s="8">
        <f t="shared" si="53"/>
        <v>46536.912150382625</v>
      </c>
    </row>
    <row r="154" spans="1:7" x14ac:dyDescent="0.2">
      <c r="B154" s="9" t="s">
        <v>43</v>
      </c>
      <c r="C154" s="10"/>
      <c r="D154" s="8">
        <f>SUM(D142:D153)</f>
        <v>1516.7487434247601</v>
      </c>
      <c r="E154" s="8">
        <f>SUM(E142:E153)</f>
        <v>2131.3854873215805</v>
      </c>
    </row>
    <row r="155" spans="1:7" x14ac:dyDescent="0.2">
      <c r="B155" s="9"/>
      <c r="C155" s="9"/>
      <c r="D155" s="8"/>
      <c r="E155" s="8"/>
      <c r="F155" s="7"/>
      <c r="G155" s="7"/>
    </row>
    <row r="156" spans="1:7" x14ac:dyDescent="0.2">
      <c r="A156" t="s">
        <v>68</v>
      </c>
      <c r="B156" s="19">
        <v>1</v>
      </c>
      <c r="C156" s="7">
        <f>+G153</f>
        <v>46536.912150382625</v>
      </c>
      <c r="D156" s="7">
        <f t="shared" ref="D156:D167" si="55">+F156-E156</f>
        <v>129.49776533159357</v>
      </c>
      <c r="E156" s="7">
        <f t="shared" ref="E156:E167" si="56">C156*$J$2</f>
        <v>174.51342056393483</v>
      </c>
      <c r="F156" s="7">
        <f t="shared" ref="F156:F167" si="57">-$J$8</f>
        <v>304.0111858955284</v>
      </c>
      <c r="G156" s="7">
        <f t="shared" ref="G156:G167" si="58">+C156-D156</f>
        <v>46407.41438505103</v>
      </c>
    </row>
    <row r="157" spans="1:7" x14ac:dyDescent="0.2">
      <c r="B157" s="19">
        <v>2</v>
      </c>
      <c r="C157" s="7">
        <f t="shared" ref="C157:C167" si="59">+G156</f>
        <v>46407.41438505103</v>
      </c>
      <c r="D157" s="7">
        <f t="shared" si="55"/>
        <v>129.98338195158703</v>
      </c>
      <c r="E157" s="7">
        <f t="shared" si="56"/>
        <v>174.02780394394136</v>
      </c>
      <c r="F157" s="7">
        <f t="shared" si="57"/>
        <v>304.0111858955284</v>
      </c>
      <c r="G157" s="7">
        <f t="shared" si="58"/>
        <v>46277.431003099446</v>
      </c>
    </row>
    <row r="158" spans="1:7" x14ac:dyDescent="0.2">
      <c r="B158" s="19">
        <v>3</v>
      </c>
      <c r="C158" s="7">
        <f t="shared" si="59"/>
        <v>46277.431003099446</v>
      </c>
      <c r="D158" s="7">
        <f t="shared" si="55"/>
        <v>130.47081963390548</v>
      </c>
      <c r="E158" s="7">
        <f t="shared" si="56"/>
        <v>173.54036626162292</v>
      </c>
      <c r="F158" s="7">
        <f t="shared" si="57"/>
        <v>304.0111858955284</v>
      </c>
      <c r="G158" s="7">
        <f t="shared" si="58"/>
        <v>46146.96018346554</v>
      </c>
    </row>
    <row r="159" spans="1:7" x14ac:dyDescent="0.2">
      <c r="B159" s="19">
        <v>4</v>
      </c>
      <c r="C159" s="7">
        <f t="shared" si="59"/>
        <v>46146.96018346554</v>
      </c>
      <c r="D159" s="7">
        <f t="shared" si="55"/>
        <v>130.96008520753264</v>
      </c>
      <c r="E159" s="7">
        <f t="shared" si="56"/>
        <v>173.05110068799576</v>
      </c>
      <c r="F159" s="7">
        <f t="shared" si="57"/>
        <v>304.0111858955284</v>
      </c>
      <c r="G159" s="7">
        <f t="shared" si="58"/>
        <v>46016.00009825801</v>
      </c>
    </row>
    <row r="160" spans="1:7" x14ac:dyDescent="0.2">
      <c r="B160" s="19">
        <v>5</v>
      </c>
      <c r="C160" s="7">
        <f t="shared" si="59"/>
        <v>46016.00009825801</v>
      </c>
      <c r="D160" s="7">
        <f t="shared" si="55"/>
        <v>131.45118552706086</v>
      </c>
      <c r="E160" s="7">
        <f t="shared" si="56"/>
        <v>172.56000036846754</v>
      </c>
      <c r="F160" s="7">
        <f t="shared" si="57"/>
        <v>304.0111858955284</v>
      </c>
      <c r="G160" s="7">
        <f t="shared" si="58"/>
        <v>45884.548912730948</v>
      </c>
    </row>
    <row r="161" spans="1:7" x14ac:dyDescent="0.2">
      <c r="B161" s="19">
        <v>6</v>
      </c>
      <c r="C161" s="7">
        <f t="shared" si="59"/>
        <v>45884.548912730948</v>
      </c>
      <c r="D161" s="7">
        <f t="shared" si="55"/>
        <v>131.94412747278736</v>
      </c>
      <c r="E161" s="7">
        <f t="shared" si="56"/>
        <v>172.06705842274104</v>
      </c>
      <c r="F161" s="7">
        <f t="shared" si="57"/>
        <v>304.0111858955284</v>
      </c>
      <c r="G161" s="7">
        <f t="shared" si="58"/>
        <v>45752.604785258161</v>
      </c>
    </row>
    <row r="162" spans="1:7" x14ac:dyDescent="0.2">
      <c r="B162" s="19">
        <v>7</v>
      </c>
      <c r="C162" s="7">
        <f t="shared" si="59"/>
        <v>45752.604785258161</v>
      </c>
      <c r="D162" s="7">
        <f t="shared" si="55"/>
        <v>132.43891795081029</v>
      </c>
      <c r="E162" s="7">
        <f t="shared" si="56"/>
        <v>171.57226794471811</v>
      </c>
      <c r="F162" s="7">
        <f t="shared" si="57"/>
        <v>304.0111858955284</v>
      </c>
      <c r="G162" s="7">
        <f t="shared" si="58"/>
        <v>45620.165867307354</v>
      </c>
    </row>
    <row r="163" spans="1:7" x14ac:dyDescent="0.2">
      <c r="B163" s="19">
        <v>8</v>
      </c>
      <c r="C163" s="7">
        <f t="shared" si="59"/>
        <v>45620.165867307354</v>
      </c>
      <c r="D163" s="7">
        <f t="shared" si="55"/>
        <v>132.93556389312582</v>
      </c>
      <c r="E163" s="7">
        <f t="shared" si="56"/>
        <v>171.07562200240258</v>
      </c>
      <c r="F163" s="7">
        <f t="shared" si="57"/>
        <v>304.0111858955284</v>
      </c>
      <c r="G163" s="7">
        <f t="shared" si="58"/>
        <v>45487.230303414231</v>
      </c>
    </row>
    <row r="164" spans="1:7" x14ac:dyDescent="0.2">
      <c r="B164" s="19">
        <v>9</v>
      </c>
      <c r="C164" s="7">
        <f t="shared" si="59"/>
        <v>45487.230303414231</v>
      </c>
      <c r="D164" s="7">
        <f t="shared" si="55"/>
        <v>133.43407225772503</v>
      </c>
      <c r="E164" s="7">
        <f t="shared" si="56"/>
        <v>170.57711363780336</v>
      </c>
      <c r="F164" s="7">
        <f t="shared" si="57"/>
        <v>304.0111858955284</v>
      </c>
      <c r="G164" s="7">
        <f t="shared" si="58"/>
        <v>45353.796231156506</v>
      </c>
    </row>
    <row r="165" spans="1:7" x14ac:dyDescent="0.2">
      <c r="B165" s="19">
        <v>10</v>
      </c>
      <c r="C165" s="7">
        <f t="shared" si="59"/>
        <v>45353.796231156506</v>
      </c>
      <c r="D165" s="7">
        <f t="shared" si="55"/>
        <v>133.93445002869151</v>
      </c>
      <c r="E165" s="7">
        <f t="shared" si="56"/>
        <v>170.07673586683688</v>
      </c>
      <c r="F165" s="7">
        <f t="shared" si="57"/>
        <v>304.0111858955284</v>
      </c>
      <c r="G165" s="7">
        <f t="shared" si="58"/>
        <v>45219.861781127816</v>
      </c>
    </row>
    <row r="166" spans="1:7" x14ac:dyDescent="0.2">
      <c r="B166" s="19">
        <v>11</v>
      </c>
      <c r="C166" s="7">
        <f t="shared" si="59"/>
        <v>45219.861781127816</v>
      </c>
      <c r="D166" s="7">
        <f t="shared" si="55"/>
        <v>134.43670421629909</v>
      </c>
      <c r="E166" s="7">
        <f t="shared" si="56"/>
        <v>169.57448167922931</v>
      </c>
      <c r="F166" s="7">
        <f t="shared" si="57"/>
        <v>304.0111858955284</v>
      </c>
      <c r="G166" s="7">
        <f t="shared" si="58"/>
        <v>45085.425076911517</v>
      </c>
    </row>
    <row r="167" spans="1:7" x14ac:dyDescent="0.2">
      <c r="B167" s="19">
        <v>12</v>
      </c>
      <c r="C167" s="7">
        <f t="shared" si="59"/>
        <v>45085.425076911517</v>
      </c>
      <c r="D167" s="7">
        <f t="shared" si="55"/>
        <v>134.94084185711023</v>
      </c>
      <c r="E167" s="7">
        <f t="shared" si="56"/>
        <v>169.07034403841817</v>
      </c>
      <c r="F167" s="7">
        <f t="shared" si="57"/>
        <v>304.0111858955284</v>
      </c>
      <c r="G167" s="8">
        <f t="shared" si="58"/>
        <v>44950.484235054406</v>
      </c>
    </row>
    <row r="168" spans="1:7" x14ac:dyDescent="0.2">
      <c r="B168" s="9" t="s">
        <v>43</v>
      </c>
      <c r="C168" s="9"/>
      <c r="D168" s="8">
        <f>SUM(D156:D167)</f>
        <v>1586.4279153282289</v>
      </c>
      <c r="E168" s="8">
        <f>SUM(E156:E167)</f>
        <v>2061.7063154181119</v>
      </c>
      <c r="F168" s="7"/>
      <c r="G168" s="7"/>
    </row>
    <row r="169" spans="1:7" x14ac:dyDescent="0.2">
      <c r="B169" s="6"/>
      <c r="C169" s="6"/>
      <c r="D169" s="7"/>
      <c r="E169" s="7"/>
      <c r="F169" s="7"/>
      <c r="G169" s="7"/>
    </row>
    <row r="170" spans="1:7" x14ac:dyDescent="0.2">
      <c r="A170" t="s">
        <v>69</v>
      </c>
      <c r="B170" s="19">
        <v>1</v>
      </c>
      <c r="C170" s="7">
        <f>+G167</f>
        <v>44950.484235054406</v>
      </c>
      <c r="D170" s="7">
        <f t="shared" ref="D170:D181" si="60">+F170-E170</f>
        <v>135.44687001407439</v>
      </c>
      <c r="E170" s="7">
        <f t="shared" ref="E170:E181" si="61">C170*$J$2</f>
        <v>168.56431588145401</v>
      </c>
      <c r="F170" s="7">
        <f t="shared" ref="F170:F181" si="62">-$J$8</f>
        <v>304.0111858955284</v>
      </c>
      <c r="G170" s="7">
        <f t="shared" ref="G170:G181" si="63">+C170-D170</f>
        <v>44815.037365040334</v>
      </c>
    </row>
    <row r="171" spans="1:7" x14ac:dyDescent="0.2">
      <c r="B171" s="19">
        <v>2</v>
      </c>
      <c r="C171" s="7">
        <f t="shared" ref="C171:C181" si="64">+G170</f>
        <v>44815.037365040334</v>
      </c>
      <c r="D171" s="7">
        <f t="shared" si="60"/>
        <v>135.95479577662715</v>
      </c>
      <c r="E171" s="7">
        <f t="shared" si="61"/>
        <v>168.05639011890125</v>
      </c>
      <c r="F171" s="7">
        <f t="shared" si="62"/>
        <v>304.0111858955284</v>
      </c>
      <c r="G171" s="7">
        <f t="shared" si="63"/>
        <v>44679.082569263708</v>
      </c>
    </row>
    <row r="172" spans="1:7" x14ac:dyDescent="0.2">
      <c r="B172" s="19">
        <v>3</v>
      </c>
      <c r="C172" s="7">
        <f t="shared" si="64"/>
        <v>44679.082569263708</v>
      </c>
      <c r="D172" s="7">
        <f t="shared" si="60"/>
        <v>136.46462626078949</v>
      </c>
      <c r="E172" s="7">
        <f t="shared" si="61"/>
        <v>167.54655963473891</v>
      </c>
      <c r="F172" s="7">
        <f t="shared" si="62"/>
        <v>304.0111858955284</v>
      </c>
      <c r="G172" s="7">
        <f t="shared" si="63"/>
        <v>44542.617943002915</v>
      </c>
    </row>
    <row r="173" spans="1:7" x14ac:dyDescent="0.2">
      <c r="B173" s="19">
        <v>4</v>
      </c>
      <c r="C173" s="7">
        <f t="shared" si="64"/>
        <v>44542.617943002915</v>
      </c>
      <c r="D173" s="7">
        <f t="shared" si="60"/>
        <v>136.97636860926747</v>
      </c>
      <c r="E173" s="7">
        <f t="shared" si="61"/>
        <v>167.03481728626093</v>
      </c>
      <c r="F173" s="7">
        <f t="shared" si="62"/>
        <v>304.0111858955284</v>
      </c>
      <c r="G173" s="7">
        <f t="shared" si="63"/>
        <v>44405.641574393645</v>
      </c>
    </row>
    <row r="174" spans="1:7" x14ac:dyDescent="0.2">
      <c r="B174" s="19">
        <v>5</v>
      </c>
      <c r="C174" s="7">
        <f t="shared" si="64"/>
        <v>44405.641574393645</v>
      </c>
      <c r="D174" s="7">
        <f t="shared" si="60"/>
        <v>137.49002999155223</v>
      </c>
      <c r="E174" s="7">
        <f t="shared" si="61"/>
        <v>166.52115590397617</v>
      </c>
      <c r="F174" s="7">
        <f t="shared" si="62"/>
        <v>304.0111858955284</v>
      </c>
      <c r="G174" s="7">
        <f t="shared" si="63"/>
        <v>44268.151544402092</v>
      </c>
    </row>
    <row r="175" spans="1:7" x14ac:dyDescent="0.2">
      <c r="B175" s="19">
        <v>6</v>
      </c>
      <c r="C175" s="7">
        <f t="shared" si="64"/>
        <v>44268.151544402092</v>
      </c>
      <c r="D175" s="7">
        <f t="shared" si="60"/>
        <v>138.00561760402056</v>
      </c>
      <c r="E175" s="7">
        <f t="shared" si="61"/>
        <v>166.00556829150784</v>
      </c>
      <c r="F175" s="7">
        <f t="shared" si="62"/>
        <v>304.0111858955284</v>
      </c>
      <c r="G175" s="7">
        <f t="shared" si="63"/>
        <v>44130.145926798068</v>
      </c>
    </row>
    <row r="176" spans="1:7" x14ac:dyDescent="0.2">
      <c r="B176" s="19">
        <v>7</v>
      </c>
      <c r="C176" s="7">
        <f t="shared" si="64"/>
        <v>44130.145926798068</v>
      </c>
      <c r="D176" s="7">
        <f t="shared" si="60"/>
        <v>138.52313867003565</v>
      </c>
      <c r="E176" s="7">
        <f t="shared" si="61"/>
        <v>165.48804722549275</v>
      </c>
      <c r="F176" s="7">
        <f t="shared" si="62"/>
        <v>304.0111858955284</v>
      </c>
      <c r="G176" s="7">
        <f t="shared" si="63"/>
        <v>43991.622788128036</v>
      </c>
    </row>
    <row r="177" spans="1:7" x14ac:dyDescent="0.2">
      <c r="B177" s="19">
        <v>8</v>
      </c>
      <c r="C177" s="7">
        <f t="shared" si="64"/>
        <v>43991.622788128036</v>
      </c>
      <c r="D177" s="7">
        <f t="shared" si="60"/>
        <v>139.04260044004826</v>
      </c>
      <c r="E177" s="7">
        <f t="shared" si="61"/>
        <v>164.96858545548014</v>
      </c>
      <c r="F177" s="7">
        <f t="shared" si="62"/>
        <v>304.0111858955284</v>
      </c>
      <c r="G177" s="7">
        <f t="shared" si="63"/>
        <v>43852.580187687985</v>
      </c>
    </row>
    <row r="178" spans="1:7" x14ac:dyDescent="0.2">
      <c r="B178" s="19">
        <v>9</v>
      </c>
      <c r="C178" s="7">
        <f t="shared" si="64"/>
        <v>43852.580187687985</v>
      </c>
      <c r="D178" s="7">
        <f t="shared" si="60"/>
        <v>139.56401019169846</v>
      </c>
      <c r="E178" s="7">
        <f t="shared" si="61"/>
        <v>164.44717570382994</v>
      </c>
      <c r="F178" s="7">
        <f t="shared" si="62"/>
        <v>304.0111858955284</v>
      </c>
      <c r="G178" s="7">
        <f t="shared" si="63"/>
        <v>43713.016177496283</v>
      </c>
    </row>
    <row r="179" spans="1:7" x14ac:dyDescent="0.2">
      <c r="B179" s="19">
        <v>10</v>
      </c>
      <c r="C179" s="7">
        <f t="shared" si="64"/>
        <v>43713.016177496283</v>
      </c>
      <c r="D179" s="7">
        <f t="shared" si="60"/>
        <v>140.08737522991734</v>
      </c>
      <c r="E179" s="7">
        <f t="shared" si="61"/>
        <v>163.92381066561106</v>
      </c>
      <c r="F179" s="7">
        <f t="shared" si="62"/>
        <v>304.0111858955284</v>
      </c>
      <c r="G179" s="7">
        <f t="shared" si="63"/>
        <v>43572.928802266368</v>
      </c>
    </row>
    <row r="180" spans="1:7" x14ac:dyDescent="0.2">
      <c r="B180" s="19">
        <v>11</v>
      </c>
      <c r="C180" s="7">
        <f t="shared" si="64"/>
        <v>43572.928802266368</v>
      </c>
      <c r="D180" s="7">
        <f t="shared" si="60"/>
        <v>140.61270288702951</v>
      </c>
      <c r="E180" s="7">
        <f t="shared" si="61"/>
        <v>163.39848300849889</v>
      </c>
      <c r="F180" s="7">
        <f t="shared" si="62"/>
        <v>304.0111858955284</v>
      </c>
      <c r="G180" s="7">
        <f t="shared" si="63"/>
        <v>43432.316099379335</v>
      </c>
    </row>
    <row r="181" spans="1:7" x14ac:dyDescent="0.2">
      <c r="B181" s="19">
        <v>12</v>
      </c>
      <c r="C181" s="7">
        <f t="shared" si="64"/>
        <v>43432.316099379335</v>
      </c>
      <c r="D181" s="7">
        <f t="shared" si="60"/>
        <v>141.1400005228559</v>
      </c>
      <c r="E181" s="7">
        <f t="shared" si="61"/>
        <v>162.8711853726725</v>
      </c>
      <c r="F181" s="7">
        <f t="shared" si="62"/>
        <v>304.0111858955284</v>
      </c>
      <c r="G181" s="8">
        <f t="shared" si="63"/>
        <v>43291.176098856478</v>
      </c>
    </row>
    <row r="182" spans="1:7" x14ac:dyDescent="0.2">
      <c r="B182" s="9" t="s">
        <v>43</v>
      </c>
      <c r="C182" s="9"/>
      <c r="D182" s="8">
        <f>SUM(D170:D181)</f>
        <v>1659.3081361979164</v>
      </c>
      <c r="E182" s="8">
        <f>SUM(E170:E181)</f>
        <v>1988.8260945484242</v>
      </c>
      <c r="F182" s="7"/>
      <c r="G182" s="7"/>
    </row>
    <row r="183" spans="1:7" x14ac:dyDescent="0.2">
      <c r="B183" s="6"/>
      <c r="C183" s="6"/>
      <c r="D183" s="7"/>
      <c r="E183" s="7"/>
      <c r="F183" s="7"/>
      <c r="G183" s="7"/>
    </row>
    <row r="184" spans="1:7" x14ac:dyDescent="0.2">
      <c r="A184" t="s">
        <v>70</v>
      </c>
      <c r="B184" s="19">
        <v>1</v>
      </c>
      <c r="C184" s="7">
        <f>+G181</f>
        <v>43291.176098856478</v>
      </c>
      <c r="D184" s="7">
        <f t="shared" ref="D184:D195" si="65">+F184-E184</f>
        <v>141.66927552481661</v>
      </c>
      <c r="E184" s="7">
        <f t="shared" ref="E184:E195" si="66">C184*$J$2</f>
        <v>162.34191037071179</v>
      </c>
      <c r="F184" s="7">
        <f t="shared" ref="F184:F195" si="67">-$J$8</f>
        <v>304.0111858955284</v>
      </c>
      <c r="G184" s="7">
        <f t="shared" ref="G184:G195" si="68">+C184-D184</f>
        <v>43149.506823331663</v>
      </c>
    </row>
    <row r="185" spans="1:7" x14ac:dyDescent="0.2">
      <c r="B185" s="19">
        <v>2</v>
      </c>
      <c r="C185" s="7">
        <f t="shared" ref="C185:C195" si="69">+G184</f>
        <v>43149.506823331663</v>
      </c>
      <c r="D185" s="7">
        <f t="shared" si="65"/>
        <v>142.20053530803466</v>
      </c>
      <c r="E185" s="7">
        <f t="shared" si="66"/>
        <v>161.81065058749374</v>
      </c>
      <c r="F185" s="7">
        <f t="shared" si="67"/>
        <v>304.0111858955284</v>
      </c>
      <c r="G185" s="7">
        <f t="shared" si="68"/>
        <v>43007.306288023632</v>
      </c>
    </row>
    <row r="186" spans="1:7" x14ac:dyDescent="0.2">
      <c r="B186" s="19">
        <v>3</v>
      </c>
      <c r="C186" s="7">
        <f t="shared" si="69"/>
        <v>43007.306288023632</v>
      </c>
      <c r="D186" s="7">
        <f t="shared" si="65"/>
        <v>142.7337873154398</v>
      </c>
      <c r="E186" s="7">
        <f t="shared" si="66"/>
        <v>161.2773985800886</v>
      </c>
      <c r="F186" s="7">
        <f t="shared" si="67"/>
        <v>304.0111858955284</v>
      </c>
      <c r="G186" s="7">
        <f t="shared" si="68"/>
        <v>42864.572500708193</v>
      </c>
    </row>
    <row r="187" spans="1:7" x14ac:dyDescent="0.2">
      <c r="B187" s="19">
        <v>4</v>
      </c>
      <c r="C187" s="7">
        <f t="shared" si="69"/>
        <v>42864.572500708193</v>
      </c>
      <c r="D187" s="7">
        <f t="shared" si="65"/>
        <v>143.26903901787267</v>
      </c>
      <c r="E187" s="7">
        <f t="shared" si="66"/>
        <v>160.74214687765573</v>
      </c>
      <c r="F187" s="7">
        <f t="shared" si="67"/>
        <v>304.0111858955284</v>
      </c>
      <c r="G187" s="7">
        <f t="shared" si="68"/>
        <v>42721.303461690317</v>
      </c>
    </row>
    <row r="188" spans="1:7" x14ac:dyDescent="0.2">
      <c r="B188" s="19">
        <v>5</v>
      </c>
      <c r="C188" s="7">
        <f t="shared" si="69"/>
        <v>42721.303461690317</v>
      </c>
      <c r="D188" s="7">
        <f t="shared" si="65"/>
        <v>143.80629791418971</v>
      </c>
      <c r="E188" s="7">
        <f t="shared" si="66"/>
        <v>160.20488798133869</v>
      </c>
      <c r="F188" s="7">
        <f t="shared" si="67"/>
        <v>304.0111858955284</v>
      </c>
      <c r="G188" s="7">
        <f t="shared" si="68"/>
        <v>42577.497163776126</v>
      </c>
    </row>
    <row r="189" spans="1:7" x14ac:dyDescent="0.2">
      <c r="B189" s="19">
        <v>6</v>
      </c>
      <c r="C189" s="7">
        <f t="shared" si="69"/>
        <v>42577.497163776126</v>
      </c>
      <c r="D189" s="7">
        <f t="shared" si="65"/>
        <v>144.34557153136794</v>
      </c>
      <c r="E189" s="7">
        <f t="shared" si="66"/>
        <v>159.66561436416046</v>
      </c>
      <c r="F189" s="7">
        <f t="shared" si="67"/>
        <v>304.0111858955284</v>
      </c>
      <c r="G189" s="7">
        <f t="shared" si="68"/>
        <v>42433.151592244758</v>
      </c>
    </row>
    <row r="190" spans="1:7" x14ac:dyDescent="0.2">
      <c r="B190" s="19">
        <v>7</v>
      </c>
      <c r="C190" s="7">
        <f t="shared" si="69"/>
        <v>42433.151592244758</v>
      </c>
      <c r="D190" s="7">
        <f t="shared" si="65"/>
        <v>144.88686742461056</v>
      </c>
      <c r="E190" s="7">
        <f t="shared" si="66"/>
        <v>159.12431847091784</v>
      </c>
      <c r="F190" s="7">
        <f t="shared" si="67"/>
        <v>304.0111858955284</v>
      </c>
      <c r="G190" s="7">
        <f t="shared" si="68"/>
        <v>42288.264724820147</v>
      </c>
    </row>
    <row r="191" spans="1:7" x14ac:dyDescent="0.2">
      <c r="B191" s="19">
        <v>8</v>
      </c>
      <c r="C191" s="7">
        <f t="shared" si="69"/>
        <v>42288.264724820147</v>
      </c>
      <c r="D191" s="7">
        <f t="shared" si="65"/>
        <v>145.43019317745285</v>
      </c>
      <c r="E191" s="7">
        <f t="shared" si="66"/>
        <v>158.58099271807555</v>
      </c>
      <c r="F191" s="7">
        <f t="shared" si="67"/>
        <v>304.0111858955284</v>
      </c>
      <c r="G191" s="7">
        <f t="shared" si="68"/>
        <v>42142.834531642693</v>
      </c>
    </row>
    <row r="192" spans="1:7" x14ac:dyDescent="0.2">
      <c r="B192" s="19">
        <v>9</v>
      </c>
      <c r="C192" s="7">
        <f t="shared" si="69"/>
        <v>42142.834531642693</v>
      </c>
      <c r="D192" s="7">
        <f t="shared" si="65"/>
        <v>145.97555640186832</v>
      </c>
      <c r="E192" s="7">
        <f t="shared" si="66"/>
        <v>158.03562949366008</v>
      </c>
      <c r="F192" s="7">
        <f t="shared" si="67"/>
        <v>304.0111858955284</v>
      </c>
      <c r="G192" s="7">
        <f t="shared" si="68"/>
        <v>41996.858975240822</v>
      </c>
    </row>
    <row r="193" spans="1:7" x14ac:dyDescent="0.2">
      <c r="B193" s="19">
        <v>10</v>
      </c>
      <c r="C193" s="7">
        <f t="shared" si="69"/>
        <v>41996.858975240822</v>
      </c>
      <c r="D193" s="7">
        <f t="shared" si="65"/>
        <v>146.52296473837532</v>
      </c>
      <c r="E193" s="7">
        <f t="shared" si="66"/>
        <v>157.48822115715308</v>
      </c>
      <c r="F193" s="7">
        <f t="shared" si="67"/>
        <v>304.0111858955284</v>
      </c>
      <c r="G193" s="7">
        <f t="shared" si="68"/>
        <v>41850.336010502448</v>
      </c>
    </row>
    <row r="194" spans="1:7" x14ac:dyDescent="0.2">
      <c r="B194" s="19">
        <v>11</v>
      </c>
      <c r="C194" s="7">
        <f t="shared" si="69"/>
        <v>41850.336010502448</v>
      </c>
      <c r="D194" s="7">
        <f t="shared" si="65"/>
        <v>147.07242585614424</v>
      </c>
      <c r="E194" s="7">
        <f t="shared" si="66"/>
        <v>156.93876003938416</v>
      </c>
      <c r="F194" s="7">
        <f t="shared" si="67"/>
        <v>304.0111858955284</v>
      </c>
      <c r="G194" s="7">
        <f t="shared" si="68"/>
        <v>41703.263584646302</v>
      </c>
    </row>
    <row r="195" spans="1:7" x14ac:dyDescent="0.2">
      <c r="B195" s="19">
        <v>12</v>
      </c>
      <c r="C195" s="7">
        <f t="shared" si="69"/>
        <v>41703.263584646302</v>
      </c>
      <c r="D195" s="7">
        <f t="shared" si="65"/>
        <v>147.62394745310476</v>
      </c>
      <c r="E195" s="7">
        <f t="shared" si="66"/>
        <v>156.38723844242364</v>
      </c>
      <c r="F195" s="7">
        <f t="shared" si="67"/>
        <v>304.0111858955284</v>
      </c>
      <c r="G195" s="8">
        <f t="shared" si="68"/>
        <v>41555.639637193199</v>
      </c>
    </row>
    <row r="196" spans="1:7" x14ac:dyDescent="0.2">
      <c r="B196" s="9" t="s">
        <v>43</v>
      </c>
      <c r="C196" s="10"/>
      <c r="D196" s="8">
        <f>SUM(D184:D195)</f>
        <v>1735.5364616632774</v>
      </c>
      <c r="E196" s="8">
        <f>SUM(E184:E195)</f>
        <v>1912.5977690830634</v>
      </c>
    </row>
    <row r="198" spans="1:7" x14ac:dyDescent="0.2">
      <c r="A198" t="s">
        <v>71</v>
      </c>
      <c r="B198" s="19">
        <v>1</v>
      </c>
      <c r="C198" s="7">
        <f>+G195</f>
        <v>41555.639637193199</v>
      </c>
      <c r="D198" s="7">
        <f t="shared" ref="D198:D209" si="70">+F198-E198</f>
        <v>148.17753725605391</v>
      </c>
      <c r="E198" s="7">
        <f t="shared" ref="E198:E209" si="71">C198*$J$2</f>
        <v>155.83364863947449</v>
      </c>
      <c r="F198" s="7">
        <f t="shared" ref="F198:F209" si="72">-$J$8</f>
        <v>304.0111858955284</v>
      </c>
      <c r="G198" s="7">
        <f t="shared" ref="G198:G209" si="73">+C198-D198</f>
        <v>41407.462099937147</v>
      </c>
    </row>
    <row r="199" spans="1:7" x14ac:dyDescent="0.2">
      <c r="B199" s="19">
        <v>2</v>
      </c>
      <c r="C199" s="7">
        <f t="shared" ref="C199:C209" si="74">+G198</f>
        <v>41407.462099937147</v>
      </c>
      <c r="D199" s="7">
        <f t="shared" si="70"/>
        <v>148.73320302076411</v>
      </c>
      <c r="E199" s="7">
        <f t="shared" si="71"/>
        <v>155.27798287476429</v>
      </c>
      <c r="F199" s="7">
        <f t="shared" si="72"/>
        <v>304.0111858955284</v>
      </c>
      <c r="G199" s="7">
        <f t="shared" si="73"/>
        <v>41258.728896916386</v>
      </c>
    </row>
    <row r="200" spans="1:7" x14ac:dyDescent="0.2">
      <c r="B200" s="19">
        <v>3</v>
      </c>
      <c r="C200" s="7">
        <f t="shared" si="74"/>
        <v>41258.728896916386</v>
      </c>
      <c r="D200" s="7">
        <f t="shared" si="70"/>
        <v>149.29095253209195</v>
      </c>
      <c r="E200" s="7">
        <f t="shared" si="71"/>
        <v>154.72023336343645</v>
      </c>
      <c r="F200" s="7">
        <f t="shared" si="72"/>
        <v>304.0111858955284</v>
      </c>
      <c r="G200" s="7">
        <f t="shared" si="73"/>
        <v>41109.437944384292</v>
      </c>
    </row>
    <row r="201" spans="1:7" x14ac:dyDescent="0.2">
      <c r="B201" s="19">
        <v>4</v>
      </c>
      <c r="C201" s="7">
        <f t="shared" si="74"/>
        <v>41109.437944384292</v>
      </c>
      <c r="D201" s="7">
        <f t="shared" si="70"/>
        <v>149.8507936040873</v>
      </c>
      <c r="E201" s="7">
        <f t="shared" si="71"/>
        <v>154.1603922914411</v>
      </c>
      <c r="F201" s="7">
        <f t="shared" si="72"/>
        <v>304.0111858955284</v>
      </c>
      <c r="G201" s="7">
        <f t="shared" si="73"/>
        <v>40959.587150780208</v>
      </c>
    </row>
    <row r="202" spans="1:7" x14ac:dyDescent="0.2">
      <c r="B202" s="19">
        <v>5</v>
      </c>
      <c r="C202" s="7">
        <f t="shared" si="74"/>
        <v>40959.587150780208</v>
      </c>
      <c r="D202" s="7">
        <f t="shared" si="70"/>
        <v>150.41273408010264</v>
      </c>
      <c r="E202" s="7">
        <f t="shared" si="71"/>
        <v>153.59845181542576</v>
      </c>
      <c r="F202" s="7">
        <f t="shared" si="72"/>
        <v>304.0111858955284</v>
      </c>
      <c r="G202" s="7">
        <f t="shared" si="73"/>
        <v>40809.174416700102</v>
      </c>
    </row>
    <row r="203" spans="1:7" x14ac:dyDescent="0.2">
      <c r="B203" s="19">
        <v>6</v>
      </c>
      <c r="C203" s="7">
        <f t="shared" si="74"/>
        <v>40809.174416700102</v>
      </c>
      <c r="D203" s="7">
        <f t="shared" si="70"/>
        <v>150.97678183290301</v>
      </c>
      <c r="E203" s="7">
        <f t="shared" si="71"/>
        <v>153.03440406262538</v>
      </c>
      <c r="F203" s="7">
        <f t="shared" si="72"/>
        <v>304.0111858955284</v>
      </c>
      <c r="G203" s="7">
        <f t="shared" si="73"/>
        <v>40658.197634867196</v>
      </c>
    </row>
    <row r="204" spans="1:7" x14ac:dyDescent="0.2">
      <c r="B204" s="19">
        <v>7</v>
      </c>
      <c r="C204" s="7">
        <f t="shared" si="74"/>
        <v>40658.197634867196</v>
      </c>
      <c r="D204" s="7">
        <f t="shared" si="70"/>
        <v>151.54294476477642</v>
      </c>
      <c r="E204" s="7">
        <f t="shared" si="71"/>
        <v>152.46824113075198</v>
      </c>
      <c r="F204" s="7">
        <f t="shared" si="72"/>
        <v>304.0111858955284</v>
      </c>
      <c r="G204" s="7">
        <f t="shared" si="73"/>
        <v>40506.654690102419</v>
      </c>
    </row>
    <row r="205" spans="1:7" x14ac:dyDescent="0.2">
      <c r="B205" s="19">
        <v>8</v>
      </c>
      <c r="C205" s="7">
        <f t="shared" si="74"/>
        <v>40506.654690102419</v>
      </c>
      <c r="D205" s="7">
        <f t="shared" si="70"/>
        <v>152.11123080764432</v>
      </c>
      <c r="E205" s="7">
        <f t="shared" si="71"/>
        <v>151.89995508788408</v>
      </c>
      <c r="F205" s="7">
        <f t="shared" si="72"/>
        <v>304.0111858955284</v>
      </c>
      <c r="G205" s="7">
        <f t="shared" si="73"/>
        <v>40354.543459294779</v>
      </c>
    </row>
    <row r="206" spans="1:7" x14ac:dyDescent="0.2">
      <c r="B206" s="19">
        <v>9</v>
      </c>
      <c r="C206" s="7">
        <f t="shared" si="74"/>
        <v>40354.543459294779</v>
      </c>
      <c r="D206" s="7">
        <f t="shared" si="70"/>
        <v>152.68164792317299</v>
      </c>
      <c r="E206" s="7">
        <f t="shared" si="71"/>
        <v>151.32953797235541</v>
      </c>
      <c r="F206" s="7">
        <f t="shared" si="72"/>
        <v>304.0111858955284</v>
      </c>
      <c r="G206" s="7">
        <f t="shared" si="73"/>
        <v>40201.861811371607</v>
      </c>
    </row>
    <row r="207" spans="1:7" x14ac:dyDescent="0.2">
      <c r="B207" s="19">
        <v>10</v>
      </c>
      <c r="C207" s="7">
        <f t="shared" si="74"/>
        <v>40201.861811371607</v>
      </c>
      <c r="D207" s="7">
        <f t="shared" si="70"/>
        <v>153.25420410288487</v>
      </c>
      <c r="E207" s="7">
        <f t="shared" si="71"/>
        <v>150.75698179264353</v>
      </c>
      <c r="F207" s="7">
        <f t="shared" si="72"/>
        <v>304.0111858955284</v>
      </c>
      <c r="G207" s="7">
        <f t="shared" si="73"/>
        <v>40048.607607268721</v>
      </c>
    </row>
    <row r="208" spans="1:7" x14ac:dyDescent="0.2">
      <c r="B208" s="19">
        <v>11</v>
      </c>
      <c r="C208" s="7">
        <f t="shared" si="74"/>
        <v>40048.607607268721</v>
      </c>
      <c r="D208" s="7">
        <f t="shared" si="70"/>
        <v>153.82890736827071</v>
      </c>
      <c r="E208" s="7">
        <f t="shared" si="71"/>
        <v>150.18227852725769</v>
      </c>
      <c r="F208" s="7">
        <f t="shared" si="72"/>
        <v>304.0111858955284</v>
      </c>
      <c r="G208" s="7">
        <f t="shared" si="73"/>
        <v>39894.778699900453</v>
      </c>
    </row>
    <row r="209" spans="1:7" x14ac:dyDescent="0.2">
      <c r="B209" s="19">
        <v>12</v>
      </c>
      <c r="C209" s="7">
        <f t="shared" si="74"/>
        <v>39894.778699900453</v>
      </c>
      <c r="D209" s="7">
        <f t="shared" si="70"/>
        <v>154.4057657709017</v>
      </c>
      <c r="E209" s="7">
        <f t="shared" si="71"/>
        <v>149.6054201246267</v>
      </c>
      <c r="F209" s="7">
        <f t="shared" si="72"/>
        <v>304.0111858955284</v>
      </c>
      <c r="G209" s="8">
        <f t="shared" si="73"/>
        <v>39740.372934129555</v>
      </c>
    </row>
    <row r="210" spans="1:7" x14ac:dyDescent="0.2">
      <c r="B210" s="9" t="s">
        <v>43</v>
      </c>
      <c r="C210" s="10"/>
      <c r="D210" s="8">
        <f>SUM(D198:D209)</f>
        <v>1815.2667030636537</v>
      </c>
      <c r="E210" s="8">
        <f>SUM(E198:E209)</f>
        <v>1832.8675276826871</v>
      </c>
    </row>
    <row r="211" spans="1:7" x14ac:dyDescent="0.2">
      <c r="B211" s="9"/>
      <c r="C211" s="9"/>
      <c r="D211" s="8"/>
      <c r="E211" s="8"/>
      <c r="F211" s="7"/>
      <c r="G211" s="7"/>
    </row>
    <row r="212" spans="1:7" x14ac:dyDescent="0.2">
      <c r="A212" t="s">
        <v>72</v>
      </c>
      <c r="B212" s="19">
        <v>1</v>
      </c>
      <c r="C212" s="7">
        <f>+G209</f>
        <v>39740.372934129555</v>
      </c>
      <c r="D212" s="7">
        <f t="shared" ref="D212:D223" si="75">+F212-E212</f>
        <v>154.98478739254259</v>
      </c>
      <c r="E212" s="7">
        <f t="shared" ref="E212:E223" si="76">C212*$J$2</f>
        <v>149.02639850298581</v>
      </c>
      <c r="F212" s="7">
        <f t="shared" ref="F212:F223" si="77">-$J$8</f>
        <v>304.0111858955284</v>
      </c>
      <c r="G212" s="7">
        <f t="shared" ref="G212:G223" si="78">+C212-D212</f>
        <v>39585.388146737016</v>
      </c>
    </row>
    <row r="213" spans="1:7" x14ac:dyDescent="0.2">
      <c r="B213" s="19">
        <v>2</v>
      </c>
      <c r="C213" s="7">
        <f t="shared" ref="C213:C223" si="79">+G212</f>
        <v>39585.388146737016</v>
      </c>
      <c r="D213" s="7">
        <f t="shared" si="75"/>
        <v>155.56598034526459</v>
      </c>
      <c r="E213" s="7">
        <f t="shared" si="76"/>
        <v>148.44520555026381</v>
      </c>
      <c r="F213" s="7">
        <f t="shared" si="77"/>
        <v>304.0111858955284</v>
      </c>
      <c r="G213" s="7">
        <f t="shared" si="78"/>
        <v>39429.82216639175</v>
      </c>
    </row>
    <row r="214" spans="1:7" x14ac:dyDescent="0.2">
      <c r="B214" s="19">
        <v>3</v>
      </c>
      <c r="C214" s="7">
        <f t="shared" si="79"/>
        <v>39429.82216639175</v>
      </c>
      <c r="D214" s="7">
        <f t="shared" si="75"/>
        <v>156.14935277155934</v>
      </c>
      <c r="E214" s="7">
        <f t="shared" si="76"/>
        <v>147.86183312396906</v>
      </c>
      <c r="F214" s="7">
        <f t="shared" si="77"/>
        <v>304.0111858955284</v>
      </c>
      <c r="G214" s="7">
        <f t="shared" si="78"/>
        <v>39273.672813620193</v>
      </c>
    </row>
    <row r="215" spans="1:7" x14ac:dyDescent="0.2">
      <c r="B215" s="19">
        <v>4</v>
      </c>
      <c r="C215" s="7">
        <f t="shared" si="79"/>
        <v>39273.672813620193</v>
      </c>
      <c r="D215" s="7">
        <f t="shared" si="75"/>
        <v>156.73491284445268</v>
      </c>
      <c r="E215" s="7">
        <f t="shared" si="76"/>
        <v>147.27627305107572</v>
      </c>
      <c r="F215" s="7">
        <f t="shared" si="77"/>
        <v>304.0111858955284</v>
      </c>
      <c r="G215" s="7">
        <f t="shared" si="78"/>
        <v>39116.937900775738</v>
      </c>
    </row>
    <row r="216" spans="1:7" x14ac:dyDescent="0.2">
      <c r="B216" s="19">
        <v>5</v>
      </c>
      <c r="C216" s="7">
        <f t="shared" si="79"/>
        <v>39116.937900775738</v>
      </c>
      <c r="D216" s="7">
        <f t="shared" si="75"/>
        <v>157.32266876761938</v>
      </c>
      <c r="E216" s="7">
        <f t="shared" si="76"/>
        <v>146.68851712790902</v>
      </c>
      <c r="F216" s="7">
        <f t="shared" si="77"/>
        <v>304.0111858955284</v>
      </c>
      <c r="G216" s="7">
        <f t="shared" si="78"/>
        <v>38959.615232008116</v>
      </c>
    </row>
    <row r="217" spans="1:7" x14ac:dyDescent="0.2">
      <c r="B217" s="19">
        <v>6</v>
      </c>
      <c r="C217" s="7">
        <f t="shared" si="79"/>
        <v>38959.615232008116</v>
      </c>
      <c r="D217" s="7">
        <f t="shared" si="75"/>
        <v>157.91262877549798</v>
      </c>
      <c r="E217" s="7">
        <f t="shared" si="76"/>
        <v>146.09855712003042</v>
      </c>
      <c r="F217" s="7">
        <f t="shared" si="77"/>
        <v>304.0111858955284</v>
      </c>
      <c r="G217" s="7">
        <f t="shared" si="78"/>
        <v>38801.702603232618</v>
      </c>
    </row>
    <row r="218" spans="1:7" x14ac:dyDescent="0.2">
      <c r="B218" s="19">
        <v>7</v>
      </c>
      <c r="C218" s="7">
        <f t="shared" si="79"/>
        <v>38801.702603232618</v>
      </c>
      <c r="D218" s="7">
        <f t="shared" si="75"/>
        <v>158.50480113340609</v>
      </c>
      <c r="E218" s="7">
        <f t="shared" si="76"/>
        <v>145.50638476212231</v>
      </c>
      <c r="F218" s="7">
        <f t="shared" si="77"/>
        <v>304.0111858955284</v>
      </c>
      <c r="G218" s="7">
        <f t="shared" si="78"/>
        <v>38643.19780209921</v>
      </c>
    </row>
    <row r="219" spans="1:7" x14ac:dyDescent="0.2">
      <c r="B219" s="19">
        <v>8</v>
      </c>
      <c r="C219" s="7">
        <f t="shared" si="79"/>
        <v>38643.19780209921</v>
      </c>
      <c r="D219" s="7">
        <f t="shared" si="75"/>
        <v>159.09919413765635</v>
      </c>
      <c r="E219" s="7">
        <f t="shared" si="76"/>
        <v>144.91199175787204</v>
      </c>
      <c r="F219" s="7">
        <f t="shared" si="77"/>
        <v>304.0111858955284</v>
      </c>
      <c r="G219" s="7">
        <f t="shared" si="78"/>
        <v>38484.098607961554</v>
      </c>
    </row>
    <row r="220" spans="1:7" x14ac:dyDescent="0.2">
      <c r="B220" s="19">
        <v>9</v>
      </c>
      <c r="C220" s="7">
        <f t="shared" si="79"/>
        <v>38484.098607961554</v>
      </c>
      <c r="D220" s="7">
        <f t="shared" si="75"/>
        <v>159.69581611567259</v>
      </c>
      <c r="E220" s="7">
        <f t="shared" si="76"/>
        <v>144.31536977985581</v>
      </c>
      <c r="F220" s="7">
        <f t="shared" si="77"/>
        <v>304.0111858955284</v>
      </c>
      <c r="G220" s="7">
        <f t="shared" si="78"/>
        <v>38324.402791845881</v>
      </c>
    </row>
    <row r="221" spans="1:7" x14ac:dyDescent="0.2">
      <c r="B221" s="19">
        <v>10</v>
      </c>
      <c r="C221" s="7">
        <f t="shared" si="79"/>
        <v>38324.402791845881</v>
      </c>
      <c r="D221" s="7">
        <f t="shared" si="75"/>
        <v>160.29467542610635</v>
      </c>
      <c r="E221" s="7">
        <f t="shared" si="76"/>
        <v>143.71651046942205</v>
      </c>
      <c r="F221" s="7">
        <f t="shared" si="77"/>
        <v>304.0111858955284</v>
      </c>
      <c r="G221" s="7">
        <f t="shared" si="78"/>
        <v>38164.108116419775</v>
      </c>
    </row>
    <row r="222" spans="1:7" x14ac:dyDescent="0.2">
      <c r="B222" s="19">
        <v>11</v>
      </c>
      <c r="C222" s="7">
        <f t="shared" si="79"/>
        <v>38164.108116419775</v>
      </c>
      <c r="D222" s="7">
        <f t="shared" si="75"/>
        <v>160.89578045895425</v>
      </c>
      <c r="E222" s="7">
        <f t="shared" si="76"/>
        <v>143.11540543657415</v>
      </c>
      <c r="F222" s="7">
        <f t="shared" si="77"/>
        <v>304.0111858955284</v>
      </c>
      <c r="G222" s="7">
        <f t="shared" si="78"/>
        <v>38003.212335960823</v>
      </c>
    </row>
    <row r="223" spans="1:7" x14ac:dyDescent="0.2">
      <c r="B223" s="19">
        <v>12</v>
      </c>
      <c r="C223" s="7">
        <f t="shared" si="79"/>
        <v>38003.212335960823</v>
      </c>
      <c r="D223" s="7">
        <f t="shared" si="75"/>
        <v>161.49913963567531</v>
      </c>
      <c r="E223" s="7">
        <f t="shared" si="76"/>
        <v>142.51204625985309</v>
      </c>
      <c r="F223" s="7">
        <f t="shared" si="77"/>
        <v>304.0111858955284</v>
      </c>
      <c r="G223" s="8">
        <f t="shared" si="78"/>
        <v>37841.713196325145</v>
      </c>
    </row>
    <row r="224" spans="1:7" x14ac:dyDescent="0.2">
      <c r="B224" s="9" t="s">
        <v>43</v>
      </c>
      <c r="C224" s="10"/>
      <c r="D224" s="8">
        <f>SUM(D212:D223)</f>
        <v>1898.6597378044075</v>
      </c>
      <c r="E224" s="8">
        <f>SUM(E212:E223)</f>
        <v>1749.4744929419332</v>
      </c>
    </row>
    <row r="225" spans="1:7" x14ac:dyDescent="0.2">
      <c r="B225" s="9"/>
      <c r="C225" s="9"/>
      <c r="D225" s="8"/>
      <c r="E225" s="8"/>
      <c r="F225" s="7"/>
      <c r="G225" s="7"/>
    </row>
    <row r="226" spans="1:7" x14ac:dyDescent="0.2">
      <c r="A226" t="s">
        <v>73</v>
      </c>
      <c r="B226" s="19">
        <v>1</v>
      </c>
      <c r="C226" s="7">
        <f>+G223</f>
        <v>37841.713196325145</v>
      </c>
      <c r="D226" s="7">
        <f t="shared" ref="D226:D237" si="80">+F226-E226</f>
        <v>162.10476140930911</v>
      </c>
      <c r="E226" s="7">
        <f t="shared" ref="E226:E237" si="81">C226*$J$2</f>
        <v>141.90642448621929</v>
      </c>
      <c r="F226" s="7">
        <f t="shared" ref="F226:F237" si="82">-$J$8</f>
        <v>304.0111858955284</v>
      </c>
      <c r="G226" s="7">
        <f t="shared" ref="G226:G237" si="83">+C226-D226</f>
        <v>37679.608434915834</v>
      </c>
    </row>
    <row r="227" spans="1:7" x14ac:dyDescent="0.2">
      <c r="B227" s="19">
        <v>2</v>
      </c>
      <c r="C227" s="7">
        <f t="shared" ref="C227:C237" si="84">+G226</f>
        <v>37679.608434915834</v>
      </c>
      <c r="D227" s="7">
        <f t="shared" si="80"/>
        <v>162.71265426459402</v>
      </c>
      <c r="E227" s="7">
        <f t="shared" si="81"/>
        <v>141.29853163093438</v>
      </c>
      <c r="F227" s="7">
        <f t="shared" si="82"/>
        <v>304.0111858955284</v>
      </c>
      <c r="G227" s="7">
        <f t="shared" si="83"/>
        <v>37516.895780651241</v>
      </c>
    </row>
    <row r="228" spans="1:7" x14ac:dyDescent="0.2">
      <c r="B228" s="19">
        <v>3</v>
      </c>
      <c r="C228" s="7">
        <f t="shared" si="84"/>
        <v>37516.895780651241</v>
      </c>
      <c r="D228" s="7">
        <f t="shared" si="80"/>
        <v>163.32282671808625</v>
      </c>
      <c r="E228" s="7">
        <f t="shared" si="81"/>
        <v>140.68835917744215</v>
      </c>
      <c r="F228" s="7">
        <f t="shared" si="82"/>
        <v>304.0111858955284</v>
      </c>
      <c r="G228" s="7">
        <f t="shared" si="83"/>
        <v>37353.572953933151</v>
      </c>
    </row>
    <row r="229" spans="1:7" x14ac:dyDescent="0.2">
      <c r="B229" s="19">
        <v>4</v>
      </c>
      <c r="C229" s="7">
        <f t="shared" si="84"/>
        <v>37353.572953933151</v>
      </c>
      <c r="D229" s="7">
        <f t="shared" si="80"/>
        <v>163.93528731827908</v>
      </c>
      <c r="E229" s="7">
        <f t="shared" si="81"/>
        <v>140.07589857724932</v>
      </c>
      <c r="F229" s="7">
        <f t="shared" si="82"/>
        <v>304.0111858955284</v>
      </c>
      <c r="G229" s="7">
        <f t="shared" si="83"/>
        <v>37189.637666614872</v>
      </c>
    </row>
    <row r="230" spans="1:7" x14ac:dyDescent="0.2">
      <c r="B230" s="19">
        <v>5</v>
      </c>
      <c r="C230" s="7">
        <f t="shared" si="84"/>
        <v>37189.637666614872</v>
      </c>
      <c r="D230" s="7">
        <f t="shared" si="80"/>
        <v>164.55004464572264</v>
      </c>
      <c r="E230" s="7">
        <f t="shared" si="81"/>
        <v>139.46114124980576</v>
      </c>
      <c r="F230" s="7">
        <f t="shared" si="82"/>
        <v>304.0111858955284</v>
      </c>
      <c r="G230" s="7">
        <f t="shared" si="83"/>
        <v>37025.087621969149</v>
      </c>
    </row>
    <row r="231" spans="1:7" x14ac:dyDescent="0.2">
      <c r="B231" s="19">
        <v>6</v>
      </c>
      <c r="C231" s="7">
        <f t="shared" si="84"/>
        <v>37025.087621969149</v>
      </c>
      <c r="D231" s="7">
        <f t="shared" si="80"/>
        <v>165.1671073131441</v>
      </c>
      <c r="E231" s="7">
        <f t="shared" si="81"/>
        <v>138.8440785823843</v>
      </c>
      <c r="F231" s="7">
        <f t="shared" si="82"/>
        <v>304.0111858955284</v>
      </c>
      <c r="G231" s="7">
        <f t="shared" si="83"/>
        <v>36859.920514656005</v>
      </c>
    </row>
    <row r="232" spans="1:7" x14ac:dyDescent="0.2">
      <c r="B232" s="19">
        <v>7</v>
      </c>
      <c r="C232" s="7">
        <f t="shared" si="84"/>
        <v>36859.920514656005</v>
      </c>
      <c r="D232" s="7">
        <f t="shared" si="80"/>
        <v>165.78648396556838</v>
      </c>
      <c r="E232" s="7">
        <f t="shared" si="81"/>
        <v>138.22470192996002</v>
      </c>
      <c r="F232" s="7">
        <f t="shared" si="82"/>
        <v>304.0111858955284</v>
      </c>
      <c r="G232" s="7">
        <f t="shared" si="83"/>
        <v>36694.134030690439</v>
      </c>
    </row>
    <row r="233" spans="1:7" x14ac:dyDescent="0.2">
      <c r="B233" s="19">
        <v>8</v>
      </c>
      <c r="C233" s="7">
        <f t="shared" si="84"/>
        <v>36694.134030690439</v>
      </c>
      <c r="D233" s="7">
        <f t="shared" si="80"/>
        <v>166.40818328043926</v>
      </c>
      <c r="E233" s="7">
        <f t="shared" si="81"/>
        <v>137.60300261508914</v>
      </c>
      <c r="F233" s="7">
        <f t="shared" si="82"/>
        <v>304.0111858955284</v>
      </c>
      <c r="G233" s="7">
        <f t="shared" si="83"/>
        <v>36527.725847410002</v>
      </c>
    </row>
    <row r="234" spans="1:7" x14ac:dyDescent="0.2">
      <c r="B234" s="19">
        <v>9</v>
      </c>
      <c r="C234" s="7">
        <f t="shared" si="84"/>
        <v>36527.725847410002</v>
      </c>
      <c r="D234" s="7">
        <f t="shared" si="80"/>
        <v>167.03221396774089</v>
      </c>
      <c r="E234" s="7">
        <f t="shared" si="81"/>
        <v>136.97897192778751</v>
      </c>
      <c r="F234" s="7">
        <f t="shared" si="82"/>
        <v>304.0111858955284</v>
      </c>
      <c r="G234" s="7">
        <f t="shared" si="83"/>
        <v>36360.693633442264</v>
      </c>
    </row>
    <row r="235" spans="1:7" x14ac:dyDescent="0.2">
      <c r="B235" s="19">
        <v>10</v>
      </c>
      <c r="C235" s="7">
        <f t="shared" si="84"/>
        <v>36360.693633442264</v>
      </c>
      <c r="D235" s="7">
        <f t="shared" si="80"/>
        <v>167.65858477011992</v>
      </c>
      <c r="E235" s="7">
        <f t="shared" si="81"/>
        <v>136.35260112540848</v>
      </c>
      <c r="F235" s="7">
        <f t="shared" si="82"/>
        <v>304.0111858955284</v>
      </c>
      <c r="G235" s="7">
        <f t="shared" si="83"/>
        <v>36193.035048672144</v>
      </c>
    </row>
    <row r="236" spans="1:7" x14ac:dyDescent="0.2">
      <c r="B236" s="19">
        <v>11</v>
      </c>
      <c r="C236" s="7">
        <f t="shared" si="84"/>
        <v>36193.035048672144</v>
      </c>
      <c r="D236" s="7">
        <f t="shared" si="80"/>
        <v>168.28730446300787</v>
      </c>
      <c r="E236" s="7">
        <f t="shared" si="81"/>
        <v>135.72388143252053</v>
      </c>
      <c r="F236" s="7">
        <f t="shared" si="82"/>
        <v>304.0111858955284</v>
      </c>
      <c r="G236" s="7">
        <f t="shared" si="83"/>
        <v>36024.747744209133</v>
      </c>
    </row>
    <row r="237" spans="1:7" x14ac:dyDescent="0.2">
      <c r="B237" s="19">
        <v>12</v>
      </c>
      <c r="C237" s="7">
        <f t="shared" si="84"/>
        <v>36024.747744209133</v>
      </c>
      <c r="D237" s="7">
        <f t="shared" si="80"/>
        <v>168.91838185474415</v>
      </c>
      <c r="E237" s="7">
        <f t="shared" si="81"/>
        <v>135.09280404078424</v>
      </c>
      <c r="F237" s="7">
        <f t="shared" si="82"/>
        <v>304.0111858955284</v>
      </c>
      <c r="G237" s="8">
        <f t="shared" si="83"/>
        <v>35855.829362354387</v>
      </c>
    </row>
    <row r="238" spans="1:7" x14ac:dyDescent="0.2">
      <c r="B238" s="9" t="s">
        <v>43</v>
      </c>
      <c r="C238" s="9"/>
      <c r="D238" s="8">
        <f>SUM(D226:D237)</f>
        <v>1985.8838339707559</v>
      </c>
      <c r="E238" s="8">
        <f>SUM(E226:E237)</f>
        <v>1662.2503967755852</v>
      </c>
      <c r="F238" s="7"/>
      <c r="G238" s="7"/>
    </row>
    <row r="239" spans="1:7" x14ac:dyDescent="0.2">
      <c r="B239" s="6"/>
      <c r="C239" s="6"/>
      <c r="D239" s="7"/>
      <c r="E239" s="7"/>
      <c r="F239" s="7"/>
      <c r="G239" s="7"/>
    </row>
    <row r="240" spans="1:7" x14ac:dyDescent="0.2">
      <c r="A240" t="s">
        <v>74</v>
      </c>
      <c r="B240" s="19">
        <v>1</v>
      </c>
      <c r="C240" s="7">
        <f>+G237</f>
        <v>35855.829362354387</v>
      </c>
      <c r="D240" s="7">
        <f t="shared" ref="D240:D251" si="85">+F240-E240</f>
        <v>169.55182578669945</v>
      </c>
      <c r="E240" s="7">
        <f t="shared" ref="E240:E251" si="86">C240*$J$2</f>
        <v>134.45936010882895</v>
      </c>
      <c r="F240" s="7">
        <f t="shared" ref="F240:F251" si="87">-$J$8</f>
        <v>304.0111858955284</v>
      </c>
      <c r="G240" s="7">
        <f t="shared" ref="G240:G251" si="88">+C240-D240</f>
        <v>35686.277536567686</v>
      </c>
    </row>
    <row r="241" spans="1:7" x14ac:dyDescent="0.2">
      <c r="B241" s="19">
        <v>2</v>
      </c>
      <c r="C241" s="7">
        <f t="shared" ref="C241:C251" si="89">+G240</f>
        <v>35686.277536567686</v>
      </c>
      <c r="D241" s="7">
        <f t="shared" si="85"/>
        <v>170.18764513339957</v>
      </c>
      <c r="E241" s="7">
        <f t="shared" si="86"/>
        <v>133.82354076212883</v>
      </c>
      <c r="F241" s="7">
        <f t="shared" si="87"/>
        <v>304.0111858955284</v>
      </c>
      <c r="G241" s="7">
        <f t="shared" si="88"/>
        <v>35516.089891434283</v>
      </c>
    </row>
    <row r="242" spans="1:7" x14ac:dyDescent="0.2">
      <c r="B242" s="19">
        <v>3</v>
      </c>
      <c r="C242" s="7">
        <f t="shared" si="89"/>
        <v>35516.089891434283</v>
      </c>
      <c r="D242" s="7">
        <f t="shared" si="85"/>
        <v>170.82584880264983</v>
      </c>
      <c r="E242" s="7">
        <f t="shared" si="86"/>
        <v>133.18533709287857</v>
      </c>
      <c r="F242" s="7">
        <f t="shared" si="87"/>
        <v>304.0111858955284</v>
      </c>
      <c r="G242" s="7">
        <f t="shared" si="88"/>
        <v>35345.264042631636</v>
      </c>
    </row>
    <row r="243" spans="1:7" x14ac:dyDescent="0.2">
      <c r="B243" s="19">
        <v>4</v>
      </c>
      <c r="C243" s="7">
        <f t="shared" si="89"/>
        <v>35345.264042631636</v>
      </c>
      <c r="D243" s="7">
        <f t="shared" si="85"/>
        <v>171.46644573565976</v>
      </c>
      <c r="E243" s="7">
        <f t="shared" si="86"/>
        <v>132.54474015986864</v>
      </c>
      <c r="F243" s="7">
        <f t="shared" si="87"/>
        <v>304.0111858955284</v>
      </c>
      <c r="G243" s="7">
        <f t="shared" si="88"/>
        <v>35173.797596895973</v>
      </c>
    </row>
    <row r="244" spans="1:7" x14ac:dyDescent="0.2">
      <c r="B244" s="19">
        <v>5</v>
      </c>
      <c r="C244" s="7">
        <f t="shared" si="89"/>
        <v>35173.797596895973</v>
      </c>
      <c r="D244" s="7">
        <f t="shared" si="85"/>
        <v>172.10944490716849</v>
      </c>
      <c r="E244" s="7">
        <f t="shared" si="86"/>
        <v>131.9017409883599</v>
      </c>
      <c r="F244" s="7">
        <f t="shared" si="87"/>
        <v>304.0111858955284</v>
      </c>
      <c r="G244" s="7">
        <f t="shared" si="88"/>
        <v>35001.688151988805</v>
      </c>
    </row>
    <row r="245" spans="1:7" x14ac:dyDescent="0.2">
      <c r="B245" s="19">
        <v>6</v>
      </c>
      <c r="C245" s="7">
        <f t="shared" si="89"/>
        <v>35001.688151988805</v>
      </c>
      <c r="D245" s="7">
        <f t="shared" si="85"/>
        <v>172.75485532557039</v>
      </c>
      <c r="E245" s="7">
        <f t="shared" si="86"/>
        <v>131.25633056995801</v>
      </c>
      <c r="F245" s="7">
        <f t="shared" si="87"/>
        <v>304.0111858955284</v>
      </c>
      <c r="G245" s="7">
        <f t="shared" si="88"/>
        <v>34828.933296663236</v>
      </c>
    </row>
    <row r="246" spans="1:7" x14ac:dyDescent="0.2">
      <c r="B246" s="19">
        <v>7</v>
      </c>
      <c r="C246" s="7">
        <f t="shared" si="89"/>
        <v>34828.933296663236</v>
      </c>
      <c r="D246" s="7">
        <f t="shared" si="85"/>
        <v>173.40268603304128</v>
      </c>
      <c r="E246" s="7">
        <f t="shared" si="86"/>
        <v>130.60849986248712</v>
      </c>
      <c r="F246" s="7">
        <f t="shared" si="87"/>
        <v>304.0111858955284</v>
      </c>
      <c r="G246" s="7">
        <f t="shared" si="88"/>
        <v>34655.530610630194</v>
      </c>
    </row>
    <row r="247" spans="1:7" x14ac:dyDescent="0.2">
      <c r="B247" s="19">
        <v>8</v>
      </c>
      <c r="C247" s="7">
        <f t="shared" si="89"/>
        <v>34655.530610630194</v>
      </c>
      <c r="D247" s="7">
        <f t="shared" si="85"/>
        <v>174.05294610566517</v>
      </c>
      <c r="E247" s="7">
        <f t="shared" si="86"/>
        <v>129.95823978986323</v>
      </c>
      <c r="F247" s="7">
        <f t="shared" si="87"/>
        <v>304.0111858955284</v>
      </c>
      <c r="G247" s="7">
        <f t="shared" si="88"/>
        <v>34481.477664524529</v>
      </c>
    </row>
    <row r="248" spans="1:7" x14ac:dyDescent="0.2">
      <c r="B248" s="19">
        <v>9</v>
      </c>
      <c r="C248" s="7">
        <f t="shared" si="89"/>
        <v>34481.477664524529</v>
      </c>
      <c r="D248" s="7">
        <f t="shared" si="85"/>
        <v>174.70564465356142</v>
      </c>
      <c r="E248" s="7">
        <f t="shared" si="86"/>
        <v>129.30554124196698</v>
      </c>
      <c r="F248" s="7">
        <f t="shared" si="87"/>
        <v>304.0111858955284</v>
      </c>
      <c r="G248" s="7">
        <f t="shared" si="88"/>
        <v>34306.772019870965</v>
      </c>
    </row>
    <row r="249" spans="1:7" x14ac:dyDescent="0.2">
      <c r="B249" s="19">
        <v>10</v>
      </c>
      <c r="C249" s="7">
        <f t="shared" si="89"/>
        <v>34306.772019870965</v>
      </c>
      <c r="D249" s="7">
        <f t="shared" si="85"/>
        <v>175.36079082101227</v>
      </c>
      <c r="E249" s="7">
        <f t="shared" si="86"/>
        <v>128.65039507451613</v>
      </c>
      <c r="F249" s="7">
        <f t="shared" si="87"/>
        <v>304.0111858955284</v>
      </c>
      <c r="G249" s="7">
        <f t="shared" si="88"/>
        <v>34131.411229049954</v>
      </c>
    </row>
    <row r="250" spans="1:7" x14ac:dyDescent="0.2">
      <c r="B250" s="19">
        <v>11</v>
      </c>
      <c r="C250" s="7">
        <f t="shared" si="89"/>
        <v>34131.411229049954</v>
      </c>
      <c r="D250" s="7">
        <f t="shared" si="85"/>
        <v>176.01839378659108</v>
      </c>
      <c r="E250" s="7">
        <f t="shared" si="86"/>
        <v>127.99279210893732</v>
      </c>
      <c r="F250" s="7">
        <f t="shared" si="87"/>
        <v>304.0111858955284</v>
      </c>
      <c r="G250" s="7">
        <f t="shared" si="88"/>
        <v>33955.392835263367</v>
      </c>
    </row>
    <row r="251" spans="1:7" x14ac:dyDescent="0.2">
      <c r="B251" s="19">
        <v>12</v>
      </c>
      <c r="C251" s="7">
        <f t="shared" si="89"/>
        <v>33955.392835263367</v>
      </c>
      <c r="D251" s="7">
        <f t="shared" si="85"/>
        <v>176.67846276329078</v>
      </c>
      <c r="E251" s="7">
        <f t="shared" si="86"/>
        <v>127.33272313223762</v>
      </c>
      <c r="F251" s="7">
        <f t="shared" si="87"/>
        <v>304.0111858955284</v>
      </c>
      <c r="G251" s="8">
        <f t="shared" si="88"/>
        <v>33778.714372500079</v>
      </c>
    </row>
    <row r="252" spans="1:7" x14ac:dyDescent="0.2">
      <c r="B252" s="9" t="s">
        <v>43</v>
      </c>
      <c r="C252" s="9"/>
      <c r="D252" s="8">
        <f>SUM(D240:D251)</f>
        <v>2077.1149898543099</v>
      </c>
      <c r="E252" s="8">
        <f>SUM(E240:E251)</f>
        <v>1571.0192408920311</v>
      </c>
      <c r="F252" s="7"/>
      <c r="G252" s="7"/>
    </row>
    <row r="253" spans="1:7" x14ac:dyDescent="0.2">
      <c r="B253" s="6"/>
      <c r="C253" s="6"/>
      <c r="D253" s="7"/>
      <c r="E253" s="7"/>
      <c r="F253" s="7"/>
      <c r="G253" s="7"/>
    </row>
    <row r="254" spans="1:7" x14ac:dyDescent="0.2">
      <c r="A254" t="s">
        <v>75</v>
      </c>
      <c r="B254" s="19">
        <v>1</v>
      </c>
      <c r="C254" s="7">
        <f>+G251</f>
        <v>33778.714372500079</v>
      </c>
      <c r="D254" s="7">
        <f t="shared" ref="D254:D265" si="90">+F254-E254</f>
        <v>177.34100699865311</v>
      </c>
      <c r="E254" s="7">
        <f t="shared" ref="E254:E265" si="91">C254*$J$2</f>
        <v>126.67017889687529</v>
      </c>
      <c r="F254" s="7">
        <f t="shared" ref="F254:F265" si="92">-$J$8</f>
        <v>304.0111858955284</v>
      </c>
      <c r="G254" s="7">
        <f t="shared" ref="G254:G265" si="93">+C254-D254</f>
        <v>33601.373365501422</v>
      </c>
    </row>
    <row r="255" spans="1:7" x14ac:dyDescent="0.2">
      <c r="B255" s="19">
        <v>2</v>
      </c>
      <c r="C255" s="7">
        <f t="shared" ref="C255:C265" si="94">+G254</f>
        <v>33601.373365501422</v>
      </c>
      <c r="D255" s="7">
        <f t="shared" si="90"/>
        <v>178.00603577489807</v>
      </c>
      <c r="E255" s="7">
        <f t="shared" si="91"/>
        <v>126.00515012063033</v>
      </c>
      <c r="F255" s="7">
        <f t="shared" si="92"/>
        <v>304.0111858955284</v>
      </c>
      <c r="G255" s="7">
        <f t="shared" si="93"/>
        <v>33423.367329726527</v>
      </c>
    </row>
    <row r="256" spans="1:7" x14ac:dyDescent="0.2">
      <c r="B256" s="19">
        <v>3</v>
      </c>
      <c r="C256" s="7">
        <f t="shared" si="94"/>
        <v>33423.367329726527</v>
      </c>
      <c r="D256" s="7">
        <f t="shared" si="90"/>
        <v>178.67355840905392</v>
      </c>
      <c r="E256" s="7">
        <f t="shared" si="91"/>
        <v>125.33762748647447</v>
      </c>
      <c r="F256" s="7">
        <f t="shared" si="92"/>
        <v>304.0111858955284</v>
      </c>
      <c r="G256" s="7">
        <f t="shared" si="93"/>
        <v>33244.69377131747</v>
      </c>
    </row>
    <row r="257" spans="1:7" x14ac:dyDescent="0.2">
      <c r="B257" s="19">
        <v>4</v>
      </c>
      <c r="C257" s="7">
        <f t="shared" si="94"/>
        <v>33244.69377131747</v>
      </c>
      <c r="D257" s="7">
        <f t="shared" si="90"/>
        <v>179.3435842530879</v>
      </c>
      <c r="E257" s="7">
        <f t="shared" si="91"/>
        <v>124.6676016424405</v>
      </c>
      <c r="F257" s="7">
        <f t="shared" si="92"/>
        <v>304.0111858955284</v>
      </c>
      <c r="G257" s="7">
        <f t="shared" si="93"/>
        <v>33065.350187064381</v>
      </c>
    </row>
    <row r="258" spans="1:7" x14ac:dyDescent="0.2">
      <c r="B258" s="19">
        <v>5</v>
      </c>
      <c r="C258" s="7">
        <f t="shared" si="94"/>
        <v>33065.350187064381</v>
      </c>
      <c r="D258" s="7">
        <f t="shared" si="90"/>
        <v>180.01612269403699</v>
      </c>
      <c r="E258" s="7">
        <f t="shared" si="91"/>
        <v>123.99506320149142</v>
      </c>
      <c r="F258" s="7">
        <f t="shared" si="92"/>
        <v>304.0111858955284</v>
      </c>
      <c r="G258" s="7">
        <f t="shared" si="93"/>
        <v>32885.334064370341</v>
      </c>
    </row>
    <row r="259" spans="1:7" x14ac:dyDescent="0.2">
      <c r="B259" s="19">
        <v>6</v>
      </c>
      <c r="C259" s="7">
        <f t="shared" si="94"/>
        <v>32885.334064370341</v>
      </c>
      <c r="D259" s="7">
        <f t="shared" si="90"/>
        <v>180.69118315413962</v>
      </c>
      <c r="E259" s="7">
        <f t="shared" si="91"/>
        <v>123.32000274138878</v>
      </c>
      <c r="F259" s="7">
        <f t="shared" si="92"/>
        <v>304.0111858955284</v>
      </c>
      <c r="G259" s="7">
        <f t="shared" si="93"/>
        <v>32704.642881216201</v>
      </c>
    </row>
    <row r="260" spans="1:7" x14ac:dyDescent="0.2">
      <c r="B260" s="19">
        <v>7</v>
      </c>
      <c r="C260" s="7">
        <f t="shared" si="94"/>
        <v>32704.642881216201</v>
      </c>
      <c r="D260" s="7">
        <f t="shared" si="90"/>
        <v>181.36877509096763</v>
      </c>
      <c r="E260" s="7">
        <f t="shared" si="91"/>
        <v>122.64241080456075</v>
      </c>
      <c r="F260" s="7">
        <f t="shared" si="92"/>
        <v>304.0111858955284</v>
      </c>
      <c r="G260" s="7">
        <f t="shared" si="93"/>
        <v>32523.274106125235</v>
      </c>
    </row>
    <row r="261" spans="1:7" x14ac:dyDescent="0.2">
      <c r="B261" s="19">
        <v>8</v>
      </c>
      <c r="C261" s="7">
        <f t="shared" si="94"/>
        <v>32523.274106125235</v>
      </c>
      <c r="D261" s="7">
        <f t="shared" si="90"/>
        <v>182.04890799755879</v>
      </c>
      <c r="E261" s="7">
        <f t="shared" si="91"/>
        <v>121.96227789796963</v>
      </c>
      <c r="F261" s="7">
        <f t="shared" si="92"/>
        <v>304.0111858955284</v>
      </c>
      <c r="G261" s="7">
        <f t="shared" si="93"/>
        <v>32341.225198127675</v>
      </c>
    </row>
    <row r="262" spans="1:7" x14ac:dyDescent="0.2">
      <c r="B262" s="19">
        <v>9</v>
      </c>
      <c r="C262" s="7">
        <f t="shared" si="94"/>
        <v>32341.225198127675</v>
      </c>
      <c r="D262" s="7">
        <f t="shared" si="90"/>
        <v>182.73159140254961</v>
      </c>
      <c r="E262" s="7">
        <f t="shared" si="91"/>
        <v>121.27959449297877</v>
      </c>
      <c r="F262" s="7">
        <f t="shared" si="92"/>
        <v>304.0111858955284</v>
      </c>
      <c r="G262" s="7">
        <f t="shared" si="93"/>
        <v>32158.493606725126</v>
      </c>
    </row>
    <row r="263" spans="1:7" x14ac:dyDescent="0.2">
      <c r="B263" s="19">
        <v>10</v>
      </c>
      <c r="C263" s="7">
        <f t="shared" si="94"/>
        <v>32158.493606725126</v>
      </c>
      <c r="D263" s="7">
        <f t="shared" si="90"/>
        <v>183.41683487030917</v>
      </c>
      <c r="E263" s="7">
        <f t="shared" si="91"/>
        <v>120.59435102521921</v>
      </c>
      <c r="F263" s="7">
        <f t="shared" si="92"/>
        <v>304.0111858955284</v>
      </c>
      <c r="G263" s="7">
        <f t="shared" si="93"/>
        <v>31975.076771854816</v>
      </c>
    </row>
    <row r="264" spans="1:7" x14ac:dyDescent="0.2">
      <c r="B264" s="19">
        <v>11</v>
      </c>
      <c r="C264" s="7">
        <f t="shared" si="94"/>
        <v>31975.076771854816</v>
      </c>
      <c r="D264" s="7">
        <f t="shared" si="90"/>
        <v>184.10464800107286</v>
      </c>
      <c r="E264" s="7">
        <f t="shared" si="91"/>
        <v>119.90653789445555</v>
      </c>
      <c r="F264" s="7">
        <f t="shared" si="92"/>
        <v>304.0111858955284</v>
      </c>
      <c r="G264" s="7">
        <f t="shared" si="93"/>
        <v>31790.972123853742</v>
      </c>
    </row>
    <row r="265" spans="1:7" x14ac:dyDescent="0.2">
      <c r="B265" s="19">
        <v>12</v>
      </c>
      <c r="C265" s="7">
        <f t="shared" si="94"/>
        <v>31790.972123853742</v>
      </c>
      <c r="D265" s="7">
        <f t="shared" si="90"/>
        <v>184.79504043107687</v>
      </c>
      <c r="E265" s="7">
        <f t="shared" si="91"/>
        <v>119.21614546445153</v>
      </c>
      <c r="F265" s="7">
        <f t="shared" si="92"/>
        <v>304.0111858955284</v>
      </c>
      <c r="G265" s="8">
        <f t="shared" si="93"/>
        <v>31606.177083422666</v>
      </c>
    </row>
    <row r="266" spans="1:7" x14ac:dyDescent="0.2">
      <c r="B266" s="9" t="s">
        <v>43</v>
      </c>
      <c r="C266" s="10"/>
      <c r="D266" s="8">
        <f>SUM(D254:D265)</f>
        <v>2172.5372890774047</v>
      </c>
      <c r="E266" s="8">
        <f>SUM(E254:E265)</f>
        <v>1475.5969416689363</v>
      </c>
    </row>
    <row r="268" spans="1:7" x14ac:dyDescent="0.2">
      <c r="A268" t="s">
        <v>76</v>
      </c>
      <c r="B268" s="19">
        <v>1</v>
      </c>
      <c r="C268" s="7">
        <f>+G265</f>
        <v>31606.177083422666</v>
      </c>
      <c r="D268" s="7">
        <f t="shared" ref="D268:D279" si="95">+F268-E268</f>
        <v>185.48802183269339</v>
      </c>
      <c r="E268" s="7">
        <f t="shared" ref="E268:E279" si="96">C268*$J$2</f>
        <v>118.52316406283499</v>
      </c>
      <c r="F268" s="7">
        <f t="shared" ref="F268:F279" si="97">-$J$8</f>
        <v>304.0111858955284</v>
      </c>
      <c r="G268" s="7">
        <f t="shared" ref="G268:G279" si="98">+C268-D268</f>
        <v>31420.689061589972</v>
      </c>
    </row>
    <row r="269" spans="1:7" x14ac:dyDescent="0.2">
      <c r="B269" s="19">
        <v>2</v>
      </c>
      <c r="C269" s="7">
        <f t="shared" ref="C269:C279" si="99">+G268</f>
        <v>31420.689061589972</v>
      </c>
      <c r="D269" s="7">
        <f t="shared" si="95"/>
        <v>186.183601914566</v>
      </c>
      <c r="E269" s="7">
        <f t="shared" si="96"/>
        <v>117.82758398096239</v>
      </c>
      <c r="F269" s="7">
        <f t="shared" si="97"/>
        <v>304.0111858955284</v>
      </c>
      <c r="G269" s="7">
        <f t="shared" si="98"/>
        <v>31234.505459675405</v>
      </c>
    </row>
    <row r="270" spans="1:7" x14ac:dyDescent="0.2">
      <c r="B270" s="19">
        <v>3</v>
      </c>
      <c r="C270" s="7">
        <f t="shared" si="99"/>
        <v>31234.505459675405</v>
      </c>
      <c r="D270" s="7">
        <f t="shared" si="95"/>
        <v>186.88179042174562</v>
      </c>
      <c r="E270" s="7">
        <f t="shared" si="96"/>
        <v>117.12939547378276</v>
      </c>
      <c r="F270" s="7">
        <f t="shared" si="97"/>
        <v>304.0111858955284</v>
      </c>
      <c r="G270" s="7">
        <f t="shared" si="98"/>
        <v>31047.623669253659</v>
      </c>
    </row>
    <row r="271" spans="1:7" x14ac:dyDescent="0.2">
      <c r="B271" s="19">
        <v>4</v>
      </c>
      <c r="C271" s="7">
        <f t="shared" si="99"/>
        <v>31047.623669253659</v>
      </c>
      <c r="D271" s="7">
        <f t="shared" si="95"/>
        <v>187.5825971358272</v>
      </c>
      <c r="E271" s="7">
        <f t="shared" si="96"/>
        <v>116.42858875970121</v>
      </c>
      <c r="F271" s="7">
        <f t="shared" si="97"/>
        <v>304.0111858955284</v>
      </c>
      <c r="G271" s="7">
        <f t="shared" si="98"/>
        <v>30860.04107211783</v>
      </c>
    </row>
    <row r="272" spans="1:7" x14ac:dyDescent="0.2">
      <c r="B272" s="19">
        <v>5</v>
      </c>
      <c r="C272" s="7">
        <f t="shared" si="99"/>
        <v>30860.04107211783</v>
      </c>
      <c r="D272" s="7">
        <f t="shared" si="95"/>
        <v>188.28603187508654</v>
      </c>
      <c r="E272" s="7">
        <f t="shared" si="96"/>
        <v>115.72515402044186</v>
      </c>
      <c r="F272" s="7">
        <f t="shared" si="97"/>
        <v>304.0111858955284</v>
      </c>
      <c r="G272" s="7">
        <f t="shared" si="98"/>
        <v>30671.755040242744</v>
      </c>
    </row>
    <row r="273" spans="1:7" x14ac:dyDescent="0.2">
      <c r="B273" s="19">
        <v>6</v>
      </c>
      <c r="C273" s="7">
        <f t="shared" si="99"/>
        <v>30671.755040242744</v>
      </c>
      <c r="D273" s="7">
        <f t="shared" si="95"/>
        <v>188.9921044946181</v>
      </c>
      <c r="E273" s="7">
        <f t="shared" si="96"/>
        <v>115.01908140091028</v>
      </c>
      <c r="F273" s="7">
        <f t="shared" si="97"/>
        <v>304.0111858955284</v>
      </c>
      <c r="G273" s="7">
        <f t="shared" si="98"/>
        <v>30482.762935748127</v>
      </c>
    </row>
    <row r="274" spans="1:7" x14ac:dyDescent="0.2">
      <c r="B274" s="19">
        <v>7</v>
      </c>
      <c r="C274" s="7">
        <f t="shared" si="99"/>
        <v>30482.762935748127</v>
      </c>
      <c r="D274" s="7">
        <f t="shared" si="95"/>
        <v>189.70082488647293</v>
      </c>
      <c r="E274" s="7">
        <f t="shared" si="96"/>
        <v>114.31036100905547</v>
      </c>
      <c r="F274" s="7">
        <f t="shared" si="97"/>
        <v>304.0111858955284</v>
      </c>
      <c r="G274" s="7">
        <f t="shared" si="98"/>
        <v>30293.062110861654</v>
      </c>
    </row>
    <row r="275" spans="1:7" x14ac:dyDescent="0.2">
      <c r="B275" s="19">
        <v>8</v>
      </c>
      <c r="C275" s="7">
        <f t="shared" si="99"/>
        <v>30293.062110861654</v>
      </c>
      <c r="D275" s="7">
        <f t="shared" si="95"/>
        <v>190.4122029797972</v>
      </c>
      <c r="E275" s="7">
        <f t="shared" si="96"/>
        <v>113.5989829157312</v>
      </c>
      <c r="F275" s="7">
        <f t="shared" si="97"/>
        <v>304.0111858955284</v>
      </c>
      <c r="G275" s="7">
        <f t="shared" si="98"/>
        <v>30102.649907881856</v>
      </c>
    </row>
    <row r="276" spans="1:7" x14ac:dyDescent="0.2">
      <c r="B276" s="19">
        <v>9</v>
      </c>
      <c r="C276" s="7">
        <f t="shared" si="99"/>
        <v>30102.649907881856</v>
      </c>
      <c r="D276" s="7">
        <f t="shared" si="95"/>
        <v>191.12624874097145</v>
      </c>
      <c r="E276" s="7">
        <f t="shared" si="96"/>
        <v>112.88493715455695</v>
      </c>
      <c r="F276" s="7">
        <f t="shared" si="97"/>
        <v>304.0111858955284</v>
      </c>
      <c r="G276" s="7">
        <f t="shared" si="98"/>
        <v>29911.523659140883</v>
      </c>
    </row>
    <row r="277" spans="1:7" x14ac:dyDescent="0.2">
      <c r="B277" s="19">
        <v>10</v>
      </c>
      <c r="C277" s="7">
        <f t="shared" si="99"/>
        <v>29911.523659140883</v>
      </c>
      <c r="D277" s="7">
        <f t="shared" si="95"/>
        <v>191.8429721737501</v>
      </c>
      <c r="E277" s="7">
        <f t="shared" si="96"/>
        <v>112.1682137217783</v>
      </c>
      <c r="F277" s="7">
        <f t="shared" si="97"/>
        <v>304.0111858955284</v>
      </c>
      <c r="G277" s="7">
        <f t="shared" si="98"/>
        <v>29719.680686967135</v>
      </c>
    </row>
    <row r="278" spans="1:7" x14ac:dyDescent="0.2">
      <c r="B278" s="19">
        <v>11</v>
      </c>
      <c r="C278" s="7">
        <f t="shared" si="99"/>
        <v>29719.680686967135</v>
      </c>
      <c r="D278" s="7">
        <f t="shared" si="95"/>
        <v>192.56238331940165</v>
      </c>
      <c r="E278" s="7">
        <f t="shared" si="96"/>
        <v>111.44880257612675</v>
      </c>
      <c r="F278" s="7">
        <f t="shared" si="97"/>
        <v>304.0111858955284</v>
      </c>
      <c r="G278" s="7">
        <f t="shared" si="98"/>
        <v>29527.118303647734</v>
      </c>
    </row>
    <row r="279" spans="1:7" x14ac:dyDescent="0.2">
      <c r="B279" s="19">
        <v>12</v>
      </c>
      <c r="C279" s="7">
        <f t="shared" si="99"/>
        <v>29527.118303647734</v>
      </c>
      <c r="D279" s="7">
        <f t="shared" si="95"/>
        <v>193.2844922568494</v>
      </c>
      <c r="E279" s="7">
        <f t="shared" si="96"/>
        <v>110.726693638679</v>
      </c>
      <c r="F279" s="7">
        <f t="shared" si="97"/>
        <v>304.0111858955284</v>
      </c>
      <c r="G279" s="8">
        <f t="shared" si="98"/>
        <v>29333.833811390883</v>
      </c>
    </row>
    <row r="280" spans="1:7" x14ac:dyDescent="0.2">
      <c r="B280" s="9" t="s">
        <v>43</v>
      </c>
      <c r="C280" s="10"/>
      <c r="D280" s="8">
        <f>SUM(D268:D279)</f>
        <v>2272.3432720317796</v>
      </c>
      <c r="E280" s="8">
        <f>SUM(E268:E279)</f>
        <v>1375.7909587145614</v>
      </c>
    </row>
    <row r="281" spans="1:7" x14ac:dyDescent="0.2">
      <c r="B281" s="9"/>
      <c r="C281" s="9"/>
      <c r="D281" s="8"/>
      <c r="E281" s="8"/>
      <c r="F281" s="7"/>
      <c r="G281" s="7"/>
    </row>
    <row r="282" spans="1:7" x14ac:dyDescent="0.2">
      <c r="A282" t="s">
        <v>77</v>
      </c>
      <c r="B282" s="19">
        <v>1</v>
      </c>
      <c r="C282" s="7">
        <f>+G279</f>
        <v>29333.833811390883</v>
      </c>
      <c r="D282" s="7">
        <f t="shared" ref="D282:D293" si="100">+F282-E282</f>
        <v>194.00930910281261</v>
      </c>
      <c r="E282" s="7">
        <f t="shared" ref="E282:E293" si="101">C282*$J$2</f>
        <v>110.00187679271581</v>
      </c>
      <c r="F282" s="7">
        <f t="shared" ref="F282:F293" si="102">-$J$8</f>
        <v>304.0111858955284</v>
      </c>
      <c r="G282" s="7">
        <f t="shared" ref="G282:G293" si="103">+C282-D282</f>
        <v>29139.824502288069</v>
      </c>
    </row>
    <row r="283" spans="1:7" x14ac:dyDescent="0.2">
      <c r="B283" s="19">
        <v>2</v>
      </c>
      <c r="C283" s="7">
        <f t="shared" ref="C283:C293" si="104">+G282</f>
        <v>29139.824502288069</v>
      </c>
      <c r="D283" s="7">
        <f t="shared" si="100"/>
        <v>194.73684401194816</v>
      </c>
      <c r="E283" s="7">
        <f t="shared" si="101"/>
        <v>109.27434188358025</v>
      </c>
      <c r="F283" s="7">
        <f t="shared" si="102"/>
        <v>304.0111858955284</v>
      </c>
      <c r="G283" s="7">
        <f t="shared" si="103"/>
        <v>28945.087658276119</v>
      </c>
    </row>
    <row r="284" spans="1:7" x14ac:dyDescent="0.2">
      <c r="B284" s="19">
        <v>3</v>
      </c>
      <c r="C284" s="7">
        <f t="shared" si="104"/>
        <v>28945.087658276119</v>
      </c>
      <c r="D284" s="7">
        <f t="shared" si="100"/>
        <v>195.46710717699295</v>
      </c>
      <c r="E284" s="7">
        <f t="shared" si="101"/>
        <v>108.54407871853545</v>
      </c>
      <c r="F284" s="7">
        <f t="shared" si="102"/>
        <v>304.0111858955284</v>
      </c>
      <c r="G284" s="7">
        <f t="shared" si="103"/>
        <v>28749.620551099128</v>
      </c>
    </row>
    <row r="285" spans="1:7" x14ac:dyDescent="0.2">
      <c r="B285" s="19">
        <v>4</v>
      </c>
      <c r="C285" s="7">
        <f t="shared" si="104"/>
        <v>28749.620551099128</v>
      </c>
      <c r="D285" s="7">
        <f t="shared" si="100"/>
        <v>196.20010882890668</v>
      </c>
      <c r="E285" s="7">
        <f t="shared" si="101"/>
        <v>107.81107706662172</v>
      </c>
      <c r="F285" s="7">
        <f t="shared" si="102"/>
        <v>304.0111858955284</v>
      </c>
      <c r="G285" s="7">
        <f t="shared" si="103"/>
        <v>28553.420442270221</v>
      </c>
    </row>
    <row r="286" spans="1:7" x14ac:dyDescent="0.2">
      <c r="B286" s="19">
        <v>5</v>
      </c>
      <c r="C286" s="7">
        <f t="shared" si="104"/>
        <v>28553.420442270221</v>
      </c>
      <c r="D286" s="7">
        <f t="shared" si="100"/>
        <v>196.93585923701508</v>
      </c>
      <c r="E286" s="7">
        <f t="shared" si="101"/>
        <v>107.07532665851332</v>
      </c>
      <c r="F286" s="7">
        <f t="shared" si="102"/>
        <v>304.0111858955284</v>
      </c>
      <c r="G286" s="7">
        <f t="shared" si="103"/>
        <v>28356.484583033205</v>
      </c>
    </row>
    <row r="287" spans="1:7" x14ac:dyDescent="0.2">
      <c r="B287" s="19">
        <v>6</v>
      </c>
      <c r="C287" s="7">
        <f t="shared" si="104"/>
        <v>28356.484583033205</v>
      </c>
      <c r="D287" s="7">
        <f t="shared" si="100"/>
        <v>197.6743687091539</v>
      </c>
      <c r="E287" s="7">
        <f t="shared" si="101"/>
        <v>106.33681718637452</v>
      </c>
      <c r="F287" s="7">
        <f t="shared" si="102"/>
        <v>304.0111858955284</v>
      </c>
      <c r="G287" s="7">
        <f t="shared" si="103"/>
        <v>28158.81021432405</v>
      </c>
    </row>
    <row r="288" spans="1:7" x14ac:dyDescent="0.2">
      <c r="B288" s="19">
        <v>7</v>
      </c>
      <c r="C288" s="7">
        <f t="shared" si="104"/>
        <v>28158.81021432405</v>
      </c>
      <c r="D288" s="7">
        <f t="shared" si="100"/>
        <v>198.41564759181321</v>
      </c>
      <c r="E288" s="7">
        <f t="shared" si="101"/>
        <v>105.59553830371519</v>
      </c>
      <c r="F288" s="7">
        <f t="shared" si="102"/>
        <v>304.0111858955284</v>
      </c>
      <c r="G288" s="7">
        <f t="shared" si="103"/>
        <v>27960.394566732237</v>
      </c>
    </row>
    <row r="289" spans="1:7" x14ac:dyDescent="0.2">
      <c r="B289" s="19">
        <v>8</v>
      </c>
      <c r="C289" s="7">
        <f t="shared" si="104"/>
        <v>27960.394566732237</v>
      </c>
      <c r="D289" s="7">
        <f t="shared" si="100"/>
        <v>199.15970627028253</v>
      </c>
      <c r="E289" s="7">
        <f t="shared" si="101"/>
        <v>104.85147962524589</v>
      </c>
      <c r="F289" s="7">
        <f t="shared" si="102"/>
        <v>304.0111858955284</v>
      </c>
      <c r="G289" s="7">
        <f t="shared" si="103"/>
        <v>27761.234860461955</v>
      </c>
    </row>
    <row r="290" spans="1:7" x14ac:dyDescent="0.2">
      <c r="B290" s="19">
        <v>9</v>
      </c>
      <c r="C290" s="7">
        <f t="shared" si="104"/>
        <v>27761.234860461955</v>
      </c>
      <c r="D290" s="7">
        <f t="shared" si="100"/>
        <v>199.90655516879607</v>
      </c>
      <c r="E290" s="7">
        <f t="shared" si="101"/>
        <v>104.10463072673232</v>
      </c>
      <c r="F290" s="7">
        <f t="shared" si="102"/>
        <v>304.0111858955284</v>
      </c>
      <c r="G290" s="7">
        <f t="shared" si="103"/>
        <v>27561.328305293158</v>
      </c>
    </row>
    <row r="291" spans="1:7" x14ac:dyDescent="0.2">
      <c r="B291" s="19">
        <v>10</v>
      </c>
      <c r="C291" s="7">
        <f t="shared" si="104"/>
        <v>27561.328305293158</v>
      </c>
      <c r="D291" s="7">
        <f t="shared" si="100"/>
        <v>200.65620475067908</v>
      </c>
      <c r="E291" s="7">
        <f t="shared" si="101"/>
        <v>103.35498114484933</v>
      </c>
      <c r="F291" s="7">
        <f t="shared" si="102"/>
        <v>304.0111858955284</v>
      </c>
      <c r="G291" s="7">
        <f t="shared" si="103"/>
        <v>27360.672100542481</v>
      </c>
    </row>
    <row r="292" spans="1:7" x14ac:dyDescent="0.2">
      <c r="B292" s="19">
        <v>11</v>
      </c>
      <c r="C292" s="7">
        <f t="shared" si="104"/>
        <v>27360.672100542481</v>
      </c>
      <c r="D292" s="7">
        <f t="shared" si="100"/>
        <v>201.4086655184941</v>
      </c>
      <c r="E292" s="7">
        <f t="shared" si="101"/>
        <v>102.6025203770343</v>
      </c>
      <c r="F292" s="7">
        <f t="shared" si="102"/>
        <v>304.0111858955284</v>
      </c>
      <c r="G292" s="7">
        <f t="shared" si="103"/>
        <v>27159.263435023986</v>
      </c>
    </row>
    <row r="293" spans="1:7" x14ac:dyDescent="0.2">
      <c r="B293" s="19">
        <v>12</v>
      </c>
      <c r="C293" s="7">
        <f t="shared" si="104"/>
        <v>27159.263435023986</v>
      </c>
      <c r="D293" s="7">
        <f t="shared" si="100"/>
        <v>202.16394801418846</v>
      </c>
      <c r="E293" s="7">
        <f t="shared" si="101"/>
        <v>101.84723788133995</v>
      </c>
      <c r="F293" s="7">
        <f t="shared" si="102"/>
        <v>304.0111858955284</v>
      </c>
      <c r="G293" s="8">
        <f t="shared" si="103"/>
        <v>26957.099487009797</v>
      </c>
    </row>
    <row r="294" spans="1:7" x14ac:dyDescent="0.2">
      <c r="B294" s="9" t="s">
        <v>43</v>
      </c>
      <c r="C294" s="10"/>
      <c r="D294" s="8">
        <f>SUM(D282:D293)</f>
        <v>2376.7343243810828</v>
      </c>
      <c r="E294" s="8">
        <f>SUM(E282:E293)</f>
        <v>1271.3999063652582</v>
      </c>
    </row>
    <row r="295" spans="1:7" x14ac:dyDescent="0.2">
      <c r="B295" s="9"/>
      <c r="C295" s="9"/>
      <c r="D295" s="8"/>
      <c r="E295" s="8"/>
      <c r="F295" s="7"/>
      <c r="G295" s="7"/>
    </row>
    <row r="296" spans="1:7" x14ac:dyDescent="0.2">
      <c r="A296" t="s">
        <v>78</v>
      </c>
      <c r="B296" s="19">
        <v>1</v>
      </c>
      <c r="C296" s="7">
        <f>+G293</f>
        <v>26957.099487009797</v>
      </c>
      <c r="D296" s="7">
        <f t="shared" ref="D296:D307" si="105">+F296-E296</f>
        <v>202.92206281924166</v>
      </c>
      <c r="E296" s="7">
        <f t="shared" ref="E296:E307" si="106">C296*$J$2</f>
        <v>101.08912307628674</v>
      </c>
      <c r="F296" s="7">
        <f t="shared" ref="F296:F307" si="107">-$J$8</f>
        <v>304.0111858955284</v>
      </c>
      <c r="G296" s="7">
        <f t="shared" ref="G296:G307" si="108">+C296-D296</f>
        <v>26754.177424190555</v>
      </c>
    </row>
    <row r="297" spans="1:7" x14ac:dyDescent="0.2">
      <c r="B297" s="19">
        <v>2</v>
      </c>
      <c r="C297" s="7">
        <f t="shared" ref="C297:C307" si="109">+G296</f>
        <v>26754.177424190555</v>
      </c>
      <c r="D297" s="7">
        <f t="shared" si="105"/>
        <v>203.68302055481382</v>
      </c>
      <c r="E297" s="7">
        <f t="shared" si="106"/>
        <v>100.32816534071458</v>
      </c>
      <c r="F297" s="7">
        <f t="shared" si="107"/>
        <v>304.0111858955284</v>
      </c>
      <c r="G297" s="7">
        <f t="shared" si="108"/>
        <v>26550.494403635741</v>
      </c>
    </row>
    <row r="298" spans="1:7" x14ac:dyDescent="0.2">
      <c r="B298" s="19">
        <v>3</v>
      </c>
      <c r="C298" s="7">
        <f t="shared" si="109"/>
        <v>26550.494403635741</v>
      </c>
      <c r="D298" s="7">
        <f t="shared" si="105"/>
        <v>204.44683188189435</v>
      </c>
      <c r="E298" s="7">
        <f t="shared" si="106"/>
        <v>99.564354013634031</v>
      </c>
      <c r="F298" s="7">
        <f t="shared" si="107"/>
        <v>304.0111858955284</v>
      </c>
      <c r="G298" s="7">
        <f t="shared" si="108"/>
        <v>26346.047571753847</v>
      </c>
    </row>
    <row r="299" spans="1:7" x14ac:dyDescent="0.2">
      <c r="B299" s="19">
        <v>4</v>
      </c>
      <c r="C299" s="7">
        <f t="shared" si="109"/>
        <v>26346.047571753847</v>
      </c>
      <c r="D299" s="7">
        <f t="shared" si="105"/>
        <v>205.21350750145149</v>
      </c>
      <c r="E299" s="7">
        <f t="shared" si="106"/>
        <v>98.797678394076925</v>
      </c>
      <c r="F299" s="7">
        <f t="shared" si="107"/>
        <v>304.0111858955284</v>
      </c>
      <c r="G299" s="7">
        <f t="shared" si="108"/>
        <v>26140.834064252394</v>
      </c>
    </row>
    <row r="300" spans="1:7" x14ac:dyDescent="0.2">
      <c r="B300" s="19">
        <v>5</v>
      </c>
      <c r="C300" s="7">
        <f t="shared" si="109"/>
        <v>26140.834064252394</v>
      </c>
      <c r="D300" s="7">
        <f t="shared" si="105"/>
        <v>205.98305815458193</v>
      </c>
      <c r="E300" s="7">
        <f t="shared" si="106"/>
        <v>98.028127740946474</v>
      </c>
      <c r="F300" s="7">
        <f t="shared" si="107"/>
        <v>304.0111858955284</v>
      </c>
      <c r="G300" s="7">
        <f t="shared" si="108"/>
        <v>25934.851006097811</v>
      </c>
    </row>
    <row r="301" spans="1:7" x14ac:dyDescent="0.2">
      <c r="B301" s="19">
        <v>6</v>
      </c>
      <c r="C301" s="7">
        <f t="shared" si="109"/>
        <v>25934.851006097811</v>
      </c>
      <c r="D301" s="7">
        <f t="shared" si="105"/>
        <v>206.75549462266162</v>
      </c>
      <c r="E301" s="7">
        <f t="shared" si="106"/>
        <v>97.255691272866784</v>
      </c>
      <c r="F301" s="7">
        <f t="shared" si="107"/>
        <v>304.0111858955284</v>
      </c>
      <c r="G301" s="7">
        <f t="shared" si="108"/>
        <v>25728.095511475149</v>
      </c>
    </row>
    <row r="302" spans="1:7" x14ac:dyDescent="0.2">
      <c r="B302" s="19">
        <v>7</v>
      </c>
      <c r="C302" s="7">
        <f t="shared" si="109"/>
        <v>25728.095511475149</v>
      </c>
      <c r="D302" s="7">
        <f t="shared" si="105"/>
        <v>207.53082772749661</v>
      </c>
      <c r="E302" s="7">
        <f t="shared" si="106"/>
        <v>96.480358168031799</v>
      </c>
      <c r="F302" s="7">
        <f t="shared" si="107"/>
        <v>304.0111858955284</v>
      </c>
      <c r="G302" s="7">
        <f t="shared" si="108"/>
        <v>25520.564683747652</v>
      </c>
    </row>
    <row r="303" spans="1:7" x14ac:dyDescent="0.2">
      <c r="B303" s="19">
        <v>8</v>
      </c>
      <c r="C303" s="7">
        <f t="shared" si="109"/>
        <v>25520.564683747652</v>
      </c>
      <c r="D303" s="7">
        <f t="shared" si="105"/>
        <v>208.30906833147469</v>
      </c>
      <c r="E303" s="7">
        <f t="shared" si="106"/>
        <v>95.702117564053694</v>
      </c>
      <c r="F303" s="7">
        <f t="shared" si="107"/>
        <v>304.0111858955284</v>
      </c>
      <c r="G303" s="7">
        <f t="shared" si="108"/>
        <v>25312.255615416179</v>
      </c>
    </row>
    <row r="304" spans="1:7" x14ac:dyDescent="0.2">
      <c r="B304" s="19">
        <v>9</v>
      </c>
      <c r="C304" s="7">
        <f t="shared" si="109"/>
        <v>25312.255615416179</v>
      </c>
      <c r="D304" s="7">
        <f t="shared" si="105"/>
        <v>209.09022733771775</v>
      </c>
      <c r="E304" s="7">
        <f t="shared" si="106"/>
        <v>94.920958557810664</v>
      </c>
      <c r="F304" s="7">
        <f t="shared" si="107"/>
        <v>304.0111858955284</v>
      </c>
      <c r="G304" s="7">
        <f t="shared" si="108"/>
        <v>25103.165388078462</v>
      </c>
    </row>
    <row r="305" spans="1:7" x14ac:dyDescent="0.2">
      <c r="B305" s="19">
        <v>10</v>
      </c>
      <c r="C305" s="7">
        <f t="shared" si="109"/>
        <v>25103.165388078462</v>
      </c>
      <c r="D305" s="7">
        <f t="shared" si="105"/>
        <v>209.87431569023417</v>
      </c>
      <c r="E305" s="7">
        <f t="shared" si="106"/>
        <v>94.13687020529423</v>
      </c>
      <c r="F305" s="7">
        <f t="shared" si="107"/>
        <v>304.0111858955284</v>
      </c>
      <c r="G305" s="7">
        <f t="shared" si="108"/>
        <v>24893.291072388227</v>
      </c>
    </row>
    <row r="306" spans="1:7" x14ac:dyDescent="0.2">
      <c r="B306" s="19">
        <v>11</v>
      </c>
      <c r="C306" s="7">
        <f t="shared" si="109"/>
        <v>24893.291072388227</v>
      </c>
      <c r="D306" s="7">
        <f t="shared" si="105"/>
        <v>210.66134437407254</v>
      </c>
      <c r="E306" s="7">
        <f t="shared" si="106"/>
        <v>93.349841521455843</v>
      </c>
      <c r="F306" s="7">
        <f t="shared" si="107"/>
        <v>304.0111858955284</v>
      </c>
      <c r="G306" s="7">
        <f t="shared" si="108"/>
        <v>24682.629728014155</v>
      </c>
    </row>
    <row r="307" spans="1:7" x14ac:dyDescent="0.2">
      <c r="B307" s="19">
        <v>12</v>
      </c>
      <c r="C307" s="7">
        <f t="shared" si="109"/>
        <v>24682.629728014155</v>
      </c>
      <c r="D307" s="7">
        <f t="shared" si="105"/>
        <v>211.45132441547531</v>
      </c>
      <c r="E307" s="7">
        <f t="shared" si="106"/>
        <v>92.559861480053073</v>
      </c>
      <c r="F307" s="7">
        <f t="shared" si="107"/>
        <v>304.0111858955284</v>
      </c>
      <c r="G307" s="8">
        <f t="shared" si="108"/>
        <v>24471.178403598678</v>
      </c>
    </row>
    <row r="308" spans="1:7" x14ac:dyDescent="0.2">
      <c r="B308" s="9" t="s">
        <v>43</v>
      </c>
      <c r="C308" s="9"/>
      <c r="D308" s="8">
        <f>SUM(D296:D307)</f>
        <v>2485.9210834111159</v>
      </c>
      <c r="E308" s="8">
        <f>SUM(E296:E307)</f>
        <v>1162.2131473352249</v>
      </c>
      <c r="F308" s="7"/>
      <c r="G308" s="7"/>
    </row>
    <row r="309" spans="1:7" x14ac:dyDescent="0.2">
      <c r="B309" s="6"/>
      <c r="C309" s="6"/>
      <c r="D309" s="7"/>
      <c r="E309" s="7"/>
      <c r="F309" s="7"/>
      <c r="G309" s="7"/>
    </row>
    <row r="310" spans="1:7" x14ac:dyDescent="0.2">
      <c r="A310" t="s">
        <v>79</v>
      </c>
      <c r="B310" s="19">
        <v>1</v>
      </c>
      <c r="C310" s="7">
        <f>+G307</f>
        <v>24471.178403598678</v>
      </c>
      <c r="D310" s="7">
        <f t="shared" ref="D310:D321" si="110">+F310-E310</f>
        <v>212.24426688203334</v>
      </c>
      <c r="E310" s="7">
        <f t="shared" ref="E310:E321" si="111">C310*$J$2</f>
        <v>91.766919013495041</v>
      </c>
      <c r="F310" s="7">
        <f t="shared" ref="F310:F321" si="112">-$J$8</f>
        <v>304.0111858955284</v>
      </c>
      <c r="G310" s="7">
        <f t="shared" ref="G310:G321" si="113">+C310-D310</f>
        <v>24258.934136716645</v>
      </c>
    </row>
    <row r="311" spans="1:7" x14ac:dyDescent="0.2">
      <c r="B311" s="19">
        <v>2</v>
      </c>
      <c r="C311" s="7">
        <f t="shared" ref="C311:C321" si="114">+G310</f>
        <v>24258.934136716645</v>
      </c>
      <c r="D311" s="7">
        <f t="shared" si="110"/>
        <v>213.04018288284098</v>
      </c>
      <c r="E311" s="7">
        <f t="shared" si="111"/>
        <v>90.971003012687419</v>
      </c>
      <c r="F311" s="7">
        <f t="shared" si="112"/>
        <v>304.0111858955284</v>
      </c>
      <c r="G311" s="7">
        <f t="shared" si="113"/>
        <v>24045.893953833805</v>
      </c>
    </row>
    <row r="312" spans="1:7" x14ac:dyDescent="0.2">
      <c r="B312" s="19">
        <v>3</v>
      </c>
      <c r="C312" s="7">
        <f t="shared" si="114"/>
        <v>24045.893953833805</v>
      </c>
      <c r="D312" s="7">
        <f t="shared" si="110"/>
        <v>213.83908356865163</v>
      </c>
      <c r="E312" s="7">
        <f t="shared" si="111"/>
        <v>90.172102326876768</v>
      </c>
      <c r="F312" s="7">
        <f t="shared" si="112"/>
        <v>304.0111858955284</v>
      </c>
      <c r="G312" s="7">
        <f t="shared" si="113"/>
        <v>23832.054870265154</v>
      </c>
    </row>
    <row r="313" spans="1:7" x14ac:dyDescent="0.2">
      <c r="B313" s="19">
        <v>4</v>
      </c>
      <c r="C313" s="7">
        <f t="shared" si="114"/>
        <v>23832.054870265154</v>
      </c>
      <c r="D313" s="7">
        <f t="shared" si="110"/>
        <v>214.64098013203409</v>
      </c>
      <c r="E313" s="7">
        <f t="shared" si="111"/>
        <v>89.370205763494326</v>
      </c>
      <c r="F313" s="7">
        <f t="shared" si="112"/>
        <v>304.0111858955284</v>
      </c>
      <c r="G313" s="7">
        <f t="shared" si="113"/>
        <v>23617.413890133121</v>
      </c>
    </row>
    <row r="314" spans="1:7" x14ac:dyDescent="0.2">
      <c r="B314" s="19">
        <v>5</v>
      </c>
      <c r="C314" s="7">
        <f t="shared" si="114"/>
        <v>23617.413890133121</v>
      </c>
      <c r="D314" s="7">
        <f t="shared" si="110"/>
        <v>215.44588380752919</v>
      </c>
      <c r="E314" s="7">
        <f t="shared" si="111"/>
        <v>88.5653020879992</v>
      </c>
      <c r="F314" s="7">
        <f t="shared" si="112"/>
        <v>304.0111858955284</v>
      </c>
      <c r="G314" s="7">
        <f t="shared" si="113"/>
        <v>23401.968006325591</v>
      </c>
    </row>
    <row r="315" spans="1:7" x14ac:dyDescent="0.2">
      <c r="B315" s="19">
        <v>6</v>
      </c>
      <c r="C315" s="7">
        <f t="shared" si="114"/>
        <v>23401.968006325591</v>
      </c>
      <c r="D315" s="7">
        <f t="shared" si="110"/>
        <v>216.25380587180743</v>
      </c>
      <c r="E315" s="7">
        <f t="shared" si="111"/>
        <v>87.75738002372097</v>
      </c>
      <c r="F315" s="7">
        <f t="shared" si="112"/>
        <v>304.0111858955284</v>
      </c>
      <c r="G315" s="7">
        <f t="shared" si="113"/>
        <v>23185.714200453782</v>
      </c>
    </row>
    <row r="316" spans="1:7" x14ac:dyDescent="0.2">
      <c r="B316" s="19">
        <v>7</v>
      </c>
      <c r="C316" s="7">
        <f t="shared" si="114"/>
        <v>23185.714200453782</v>
      </c>
      <c r="D316" s="7">
        <f t="shared" si="110"/>
        <v>217.06475764382674</v>
      </c>
      <c r="E316" s="7">
        <f t="shared" si="111"/>
        <v>86.946428251701676</v>
      </c>
      <c r="F316" s="7">
        <f t="shared" si="112"/>
        <v>304.0111858955284</v>
      </c>
      <c r="G316" s="7">
        <f t="shared" si="113"/>
        <v>22968.649442809954</v>
      </c>
    </row>
    <row r="317" spans="1:7" x14ac:dyDescent="0.2">
      <c r="B317" s="19">
        <v>8</v>
      </c>
      <c r="C317" s="7">
        <f t="shared" si="114"/>
        <v>22968.649442809954</v>
      </c>
      <c r="D317" s="7">
        <f t="shared" si="110"/>
        <v>217.87875048499109</v>
      </c>
      <c r="E317" s="7">
        <f t="shared" si="111"/>
        <v>86.132435410537326</v>
      </c>
      <c r="F317" s="7">
        <f t="shared" si="112"/>
        <v>304.0111858955284</v>
      </c>
      <c r="G317" s="7">
        <f t="shared" si="113"/>
        <v>22750.770692324964</v>
      </c>
    </row>
    <row r="318" spans="1:7" x14ac:dyDescent="0.2">
      <c r="B318" s="19">
        <v>9</v>
      </c>
      <c r="C318" s="7">
        <f t="shared" si="114"/>
        <v>22750.770692324964</v>
      </c>
      <c r="D318" s="7">
        <f t="shared" si="110"/>
        <v>218.69579579930979</v>
      </c>
      <c r="E318" s="7">
        <f t="shared" si="111"/>
        <v>85.315390096218607</v>
      </c>
      <c r="F318" s="7">
        <f t="shared" si="112"/>
        <v>304.0111858955284</v>
      </c>
      <c r="G318" s="7">
        <f t="shared" si="113"/>
        <v>22532.074896525653</v>
      </c>
    </row>
    <row r="319" spans="1:7" x14ac:dyDescent="0.2">
      <c r="B319" s="19">
        <v>10</v>
      </c>
      <c r="C319" s="7">
        <f t="shared" si="114"/>
        <v>22532.074896525653</v>
      </c>
      <c r="D319" s="7">
        <f t="shared" si="110"/>
        <v>219.5159050335572</v>
      </c>
      <c r="E319" s="7">
        <f t="shared" si="111"/>
        <v>84.495280861971196</v>
      </c>
      <c r="F319" s="7">
        <f t="shared" si="112"/>
        <v>304.0111858955284</v>
      </c>
      <c r="G319" s="7">
        <f t="shared" si="113"/>
        <v>22312.558991492097</v>
      </c>
    </row>
    <row r="320" spans="1:7" x14ac:dyDescent="0.2">
      <c r="B320" s="19">
        <v>11</v>
      </c>
      <c r="C320" s="7">
        <f t="shared" si="114"/>
        <v>22312.558991492097</v>
      </c>
      <c r="D320" s="7">
        <f t="shared" si="110"/>
        <v>220.33908967743304</v>
      </c>
      <c r="E320" s="7">
        <f t="shared" si="111"/>
        <v>83.672096218095362</v>
      </c>
      <c r="F320" s="7">
        <f t="shared" si="112"/>
        <v>304.0111858955284</v>
      </c>
      <c r="G320" s="7">
        <f t="shared" si="113"/>
        <v>22092.219901814664</v>
      </c>
    </row>
    <row r="321" spans="1:7" x14ac:dyDescent="0.2">
      <c r="B321" s="19">
        <v>12</v>
      </c>
      <c r="C321" s="7">
        <f t="shared" si="114"/>
        <v>22092.219901814664</v>
      </c>
      <c r="D321" s="7">
        <f t="shared" si="110"/>
        <v>221.16536126372341</v>
      </c>
      <c r="E321" s="7">
        <f t="shared" si="111"/>
        <v>82.845824631804987</v>
      </c>
      <c r="F321" s="7">
        <f t="shared" si="112"/>
        <v>304.0111858955284</v>
      </c>
      <c r="G321" s="8">
        <f t="shared" si="113"/>
        <v>21871.05454055094</v>
      </c>
    </row>
    <row r="322" spans="1:7" x14ac:dyDescent="0.2">
      <c r="B322" s="9" t="s">
        <v>43</v>
      </c>
      <c r="C322" s="9"/>
      <c r="D322" s="8">
        <f>SUM(D310:D321)</f>
        <v>2600.1238630477378</v>
      </c>
      <c r="E322" s="8">
        <f>SUM(E310:E321)</f>
        <v>1048.010367698603</v>
      </c>
      <c r="F322" s="7"/>
      <c r="G322" s="7"/>
    </row>
    <row r="323" spans="1:7" x14ac:dyDescent="0.2">
      <c r="B323" s="6"/>
      <c r="C323" s="6"/>
      <c r="D323" s="7"/>
      <c r="E323" s="7"/>
      <c r="F323" s="7"/>
      <c r="G323" s="7"/>
    </row>
    <row r="324" spans="1:7" x14ac:dyDescent="0.2">
      <c r="A324" t="s">
        <v>80</v>
      </c>
      <c r="B324" s="19">
        <v>1</v>
      </c>
      <c r="C324" s="7">
        <f>+G321</f>
        <v>21871.05454055094</v>
      </c>
      <c r="D324" s="7">
        <f t="shared" ref="D324:D335" si="115">+F324-E324</f>
        <v>221.9947313684624</v>
      </c>
      <c r="E324" s="7">
        <f t="shared" ref="E324:E335" si="116">C324*$J$2</f>
        <v>82.016454527066017</v>
      </c>
      <c r="F324" s="7">
        <f t="shared" ref="F324:F335" si="117">-$J$8</f>
        <v>304.0111858955284</v>
      </c>
      <c r="G324" s="7">
        <f t="shared" ref="G324:G335" si="118">+C324-D324</f>
        <v>21649.05980918248</v>
      </c>
    </row>
    <row r="325" spans="1:7" x14ac:dyDescent="0.2">
      <c r="B325" s="19">
        <v>2</v>
      </c>
      <c r="C325" s="7">
        <f t="shared" ref="C325:C335" si="119">+G324</f>
        <v>21649.05980918248</v>
      </c>
      <c r="D325" s="7">
        <f t="shared" si="115"/>
        <v>222.8272116110941</v>
      </c>
      <c r="E325" s="7">
        <f t="shared" si="116"/>
        <v>81.183974284434299</v>
      </c>
      <c r="F325" s="7">
        <f t="shared" si="117"/>
        <v>304.0111858955284</v>
      </c>
      <c r="G325" s="7">
        <f t="shared" si="118"/>
        <v>21426.232597571387</v>
      </c>
    </row>
    <row r="326" spans="1:7" x14ac:dyDescent="0.2">
      <c r="B326" s="19">
        <v>3</v>
      </c>
      <c r="C326" s="7">
        <f t="shared" si="119"/>
        <v>21426.232597571387</v>
      </c>
      <c r="D326" s="7">
        <f t="shared" si="115"/>
        <v>223.6628136546357</v>
      </c>
      <c r="E326" s="7">
        <f t="shared" si="116"/>
        <v>80.348372240892701</v>
      </c>
      <c r="F326" s="7">
        <f t="shared" si="117"/>
        <v>304.0111858955284</v>
      </c>
      <c r="G326" s="7">
        <f t="shared" si="118"/>
        <v>21202.569783916751</v>
      </c>
    </row>
    <row r="327" spans="1:7" x14ac:dyDescent="0.2">
      <c r="B327" s="19">
        <v>4</v>
      </c>
      <c r="C327" s="7">
        <f t="shared" si="119"/>
        <v>21202.569783916751</v>
      </c>
      <c r="D327" s="7">
        <f t="shared" si="115"/>
        <v>224.5015492058406</v>
      </c>
      <c r="E327" s="7">
        <f t="shared" si="116"/>
        <v>79.50963668968781</v>
      </c>
      <c r="F327" s="7">
        <f t="shared" si="117"/>
        <v>304.0111858955284</v>
      </c>
      <c r="G327" s="7">
        <f t="shared" si="118"/>
        <v>20978.06823471091</v>
      </c>
    </row>
    <row r="328" spans="1:7" x14ac:dyDescent="0.2">
      <c r="B328" s="19">
        <v>5</v>
      </c>
      <c r="C328" s="7">
        <f t="shared" si="119"/>
        <v>20978.06823471091</v>
      </c>
      <c r="D328" s="7">
        <f t="shared" si="115"/>
        <v>225.34343001536249</v>
      </c>
      <c r="E328" s="7">
        <f t="shared" si="116"/>
        <v>78.667755880165913</v>
      </c>
      <c r="F328" s="7">
        <f t="shared" si="117"/>
        <v>304.0111858955284</v>
      </c>
      <c r="G328" s="7">
        <f t="shared" si="118"/>
        <v>20752.724804695546</v>
      </c>
    </row>
    <row r="329" spans="1:7" x14ac:dyDescent="0.2">
      <c r="B329" s="19">
        <v>6</v>
      </c>
      <c r="C329" s="7">
        <f t="shared" si="119"/>
        <v>20752.724804695546</v>
      </c>
      <c r="D329" s="7">
        <f t="shared" si="115"/>
        <v>226.18846787792012</v>
      </c>
      <c r="E329" s="7">
        <f t="shared" si="116"/>
        <v>77.822718017608295</v>
      </c>
      <c r="F329" s="7">
        <f t="shared" si="117"/>
        <v>304.0111858955284</v>
      </c>
      <c r="G329" s="7">
        <f t="shared" si="118"/>
        <v>20526.536336817626</v>
      </c>
    </row>
    <row r="330" spans="1:7" x14ac:dyDescent="0.2">
      <c r="B330" s="19">
        <v>7</v>
      </c>
      <c r="C330" s="7">
        <f t="shared" si="119"/>
        <v>20526.536336817626</v>
      </c>
      <c r="D330" s="7">
        <f t="shared" si="115"/>
        <v>227.03667463246231</v>
      </c>
      <c r="E330" s="7">
        <f t="shared" si="116"/>
        <v>76.974511263066091</v>
      </c>
      <c r="F330" s="7">
        <f t="shared" si="117"/>
        <v>304.0111858955284</v>
      </c>
      <c r="G330" s="7">
        <f t="shared" si="118"/>
        <v>20299.499662185164</v>
      </c>
    </row>
    <row r="331" spans="1:7" x14ac:dyDescent="0.2">
      <c r="B331" s="19">
        <v>8</v>
      </c>
      <c r="C331" s="7">
        <f t="shared" si="119"/>
        <v>20299.499662185164</v>
      </c>
      <c r="D331" s="7">
        <f t="shared" si="115"/>
        <v>227.88806216233405</v>
      </c>
      <c r="E331" s="7">
        <f t="shared" si="116"/>
        <v>76.123123733194362</v>
      </c>
      <c r="F331" s="7">
        <f t="shared" si="117"/>
        <v>304.0111858955284</v>
      </c>
      <c r="G331" s="7">
        <f t="shared" si="118"/>
        <v>20071.611600022828</v>
      </c>
    </row>
    <row r="332" spans="1:7" x14ac:dyDescent="0.2">
      <c r="B332" s="19">
        <v>9</v>
      </c>
      <c r="C332" s="7">
        <f t="shared" si="119"/>
        <v>20071.611600022828</v>
      </c>
      <c r="D332" s="7">
        <f t="shared" si="115"/>
        <v>228.7426423954428</v>
      </c>
      <c r="E332" s="7">
        <f t="shared" si="116"/>
        <v>75.268543500085599</v>
      </c>
      <c r="F332" s="7">
        <f t="shared" si="117"/>
        <v>304.0111858955284</v>
      </c>
      <c r="G332" s="7">
        <f t="shared" si="118"/>
        <v>19842.868957627386</v>
      </c>
    </row>
    <row r="333" spans="1:7" x14ac:dyDescent="0.2">
      <c r="B333" s="19">
        <v>10</v>
      </c>
      <c r="C333" s="7">
        <f t="shared" si="119"/>
        <v>19842.868957627386</v>
      </c>
      <c r="D333" s="7">
        <f t="shared" si="115"/>
        <v>229.60042730442569</v>
      </c>
      <c r="E333" s="7">
        <f t="shared" si="116"/>
        <v>74.410758591102692</v>
      </c>
      <c r="F333" s="7">
        <f t="shared" si="117"/>
        <v>304.0111858955284</v>
      </c>
      <c r="G333" s="7">
        <f t="shared" si="118"/>
        <v>19613.268530322959</v>
      </c>
    </row>
    <row r="334" spans="1:7" x14ac:dyDescent="0.2">
      <c r="B334" s="19">
        <v>11</v>
      </c>
      <c r="C334" s="7">
        <f t="shared" si="119"/>
        <v>19613.268530322959</v>
      </c>
      <c r="D334" s="7">
        <f t="shared" si="115"/>
        <v>230.4614289068173</v>
      </c>
      <c r="E334" s="7">
        <f t="shared" si="116"/>
        <v>73.549756988711096</v>
      </c>
      <c r="F334" s="7">
        <f t="shared" si="117"/>
        <v>304.0111858955284</v>
      </c>
      <c r="G334" s="7">
        <f t="shared" si="118"/>
        <v>19382.807101416143</v>
      </c>
    </row>
    <row r="335" spans="1:7" x14ac:dyDescent="0.2">
      <c r="B335" s="19">
        <v>12</v>
      </c>
      <c r="C335" s="7">
        <f t="shared" si="119"/>
        <v>19382.807101416143</v>
      </c>
      <c r="D335" s="7">
        <f t="shared" si="115"/>
        <v>231.32565926521787</v>
      </c>
      <c r="E335" s="7">
        <f t="shared" si="116"/>
        <v>72.685526630310534</v>
      </c>
      <c r="F335" s="7">
        <f t="shared" si="117"/>
        <v>304.0111858955284</v>
      </c>
      <c r="G335" s="8">
        <f t="shared" si="118"/>
        <v>19151.481442150925</v>
      </c>
    </row>
    <row r="336" spans="1:7" x14ac:dyDescent="0.2">
      <c r="B336" s="9" t="s">
        <v>43</v>
      </c>
      <c r="C336" s="10"/>
      <c r="D336" s="8">
        <f>SUM(D324:D335)</f>
        <v>2719.5730984000152</v>
      </c>
      <c r="E336" s="8">
        <f>SUM(E324:E335)</f>
        <v>928.56113234632539</v>
      </c>
    </row>
    <row r="338" spans="1:7" x14ac:dyDescent="0.2">
      <c r="A338" t="s">
        <v>81</v>
      </c>
      <c r="B338" s="19">
        <v>1</v>
      </c>
      <c r="C338" s="7">
        <f>+G335</f>
        <v>19151.481442150925</v>
      </c>
      <c r="D338" s="7">
        <f t="shared" ref="D338:D349" si="120">+F338-E338</f>
        <v>232.19313048746244</v>
      </c>
      <c r="E338" s="7">
        <f t="shared" ref="E338:E349" si="121">C338*$J$2</f>
        <v>71.818055408065973</v>
      </c>
      <c r="F338" s="7">
        <f t="shared" ref="F338:F349" si="122">-$J$8</f>
        <v>304.0111858955284</v>
      </c>
      <c r="G338" s="7">
        <f t="shared" ref="G338:G349" si="123">+C338-D338</f>
        <v>18919.288311663462</v>
      </c>
    </row>
    <row r="339" spans="1:7" x14ac:dyDescent="0.2">
      <c r="B339" s="19">
        <v>2</v>
      </c>
      <c r="C339" s="7">
        <f t="shared" ref="C339:C349" si="124">+G338</f>
        <v>18919.288311663462</v>
      </c>
      <c r="D339" s="7">
        <f t="shared" si="120"/>
        <v>233.06385472679042</v>
      </c>
      <c r="E339" s="7">
        <f t="shared" si="121"/>
        <v>70.947331168737975</v>
      </c>
      <c r="F339" s="7">
        <f t="shared" si="122"/>
        <v>304.0111858955284</v>
      </c>
      <c r="G339" s="7">
        <f t="shared" si="123"/>
        <v>18686.22445693667</v>
      </c>
    </row>
    <row r="340" spans="1:7" x14ac:dyDescent="0.2">
      <c r="B340" s="19">
        <v>3</v>
      </c>
      <c r="C340" s="7">
        <f t="shared" si="124"/>
        <v>18686.22445693667</v>
      </c>
      <c r="D340" s="7">
        <f t="shared" si="120"/>
        <v>233.93784418201591</v>
      </c>
      <c r="E340" s="7">
        <f t="shared" si="121"/>
        <v>70.073341713512505</v>
      </c>
      <c r="F340" s="7">
        <f t="shared" si="122"/>
        <v>304.0111858955284</v>
      </c>
      <c r="G340" s="7">
        <f t="shared" si="123"/>
        <v>18452.286612754655</v>
      </c>
    </row>
    <row r="341" spans="1:7" x14ac:dyDescent="0.2">
      <c r="B341" s="19">
        <v>4</v>
      </c>
      <c r="C341" s="7">
        <f t="shared" si="124"/>
        <v>18452.286612754655</v>
      </c>
      <c r="D341" s="7">
        <f t="shared" si="120"/>
        <v>234.81511109769843</v>
      </c>
      <c r="E341" s="7">
        <f t="shared" si="121"/>
        <v>69.196074797829951</v>
      </c>
      <c r="F341" s="7">
        <f t="shared" si="122"/>
        <v>304.0111858955284</v>
      </c>
      <c r="G341" s="7">
        <f t="shared" si="123"/>
        <v>18217.471501656957</v>
      </c>
    </row>
    <row r="342" spans="1:7" x14ac:dyDescent="0.2">
      <c r="B342" s="19">
        <v>5</v>
      </c>
      <c r="C342" s="7">
        <f t="shared" si="124"/>
        <v>18217.471501656957</v>
      </c>
      <c r="D342" s="7">
        <f t="shared" si="120"/>
        <v>235.69566776431481</v>
      </c>
      <c r="E342" s="7">
        <f t="shared" si="121"/>
        <v>68.315518131213594</v>
      </c>
      <c r="F342" s="7">
        <f t="shared" si="122"/>
        <v>304.0111858955284</v>
      </c>
      <c r="G342" s="7">
        <f t="shared" si="123"/>
        <v>17981.775833892643</v>
      </c>
    </row>
    <row r="343" spans="1:7" x14ac:dyDescent="0.2">
      <c r="B343" s="19">
        <v>6</v>
      </c>
      <c r="C343" s="7">
        <f t="shared" si="124"/>
        <v>17981.775833892643</v>
      </c>
      <c r="D343" s="7">
        <f t="shared" si="120"/>
        <v>236.57952651843101</v>
      </c>
      <c r="E343" s="7">
        <f t="shared" si="121"/>
        <v>67.431659377097404</v>
      </c>
      <c r="F343" s="7">
        <f t="shared" si="122"/>
        <v>304.0111858955284</v>
      </c>
      <c r="G343" s="7">
        <f t="shared" si="123"/>
        <v>17745.196307374212</v>
      </c>
    </row>
    <row r="344" spans="1:7" x14ac:dyDescent="0.2">
      <c r="B344" s="19">
        <v>7</v>
      </c>
      <c r="C344" s="7">
        <f t="shared" si="124"/>
        <v>17745.196307374212</v>
      </c>
      <c r="D344" s="7">
        <f t="shared" si="120"/>
        <v>237.46669974287511</v>
      </c>
      <c r="E344" s="7">
        <f t="shared" si="121"/>
        <v>66.544486152653292</v>
      </c>
      <c r="F344" s="7">
        <f t="shared" si="122"/>
        <v>304.0111858955284</v>
      </c>
      <c r="G344" s="7">
        <f t="shared" si="123"/>
        <v>17507.729607631336</v>
      </c>
    </row>
    <row r="345" spans="1:7" x14ac:dyDescent="0.2">
      <c r="B345" s="19">
        <v>8</v>
      </c>
      <c r="C345" s="7">
        <f t="shared" si="124"/>
        <v>17507.729607631336</v>
      </c>
      <c r="D345" s="7">
        <f t="shared" si="120"/>
        <v>238.35719986691089</v>
      </c>
      <c r="E345" s="7">
        <f t="shared" si="121"/>
        <v>65.65398602861751</v>
      </c>
      <c r="F345" s="7">
        <f t="shared" si="122"/>
        <v>304.0111858955284</v>
      </c>
      <c r="G345" s="7">
        <f t="shared" si="123"/>
        <v>17269.372407764426</v>
      </c>
    </row>
    <row r="346" spans="1:7" x14ac:dyDescent="0.2">
      <c r="B346" s="19">
        <v>9</v>
      </c>
      <c r="C346" s="7">
        <f t="shared" si="124"/>
        <v>17269.372407764426</v>
      </c>
      <c r="D346" s="7">
        <f t="shared" si="120"/>
        <v>239.25103936641182</v>
      </c>
      <c r="E346" s="7">
        <f t="shared" si="121"/>
        <v>64.760146529116597</v>
      </c>
      <c r="F346" s="7">
        <f t="shared" si="122"/>
        <v>304.0111858955284</v>
      </c>
      <c r="G346" s="7">
        <f t="shared" si="123"/>
        <v>17030.121368398013</v>
      </c>
    </row>
    <row r="347" spans="1:7" x14ac:dyDescent="0.2">
      <c r="B347" s="19">
        <v>10</v>
      </c>
      <c r="C347" s="7">
        <f t="shared" si="124"/>
        <v>17030.121368398013</v>
      </c>
      <c r="D347" s="7">
        <f t="shared" si="120"/>
        <v>240.14823076403584</v>
      </c>
      <c r="E347" s="7">
        <f t="shared" si="121"/>
        <v>63.862955131492548</v>
      </c>
      <c r="F347" s="7">
        <f t="shared" si="122"/>
        <v>304.0111858955284</v>
      </c>
      <c r="G347" s="7">
        <f t="shared" si="123"/>
        <v>16789.973137633977</v>
      </c>
    </row>
    <row r="348" spans="1:7" x14ac:dyDescent="0.2">
      <c r="B348" s="19">
        <v>11</v>
      </c>
      <c r="C348" s="7">
        <f t="shared" si="124"/>
        <v>16789.973137633977</v>
      </c>
      <c r="D348" s="7">
        <f t="shared" si="120"/>
        <v>241.04878662940098</v>
      </c>
      <c r="E348" s="7">
        <f t="shared" si="121"/>
        <v>62.962399266127413</v>
      </c>
      <c r="F348" s="7">
        <f t="shared" si="122"/>
        <v>304.0111858955284</v>
      </c>
      <c r="G348" s="7">
        <f t="shared" si="123"/>
        <v>16548.924351004574</v>
      </c>
    </row>
    <row r="349" spans="1:7" x14ac:dyDescent="0.2">
      <c r="B349" s="19">
        <v>12</v>
      </c>
      <c r="C349" s="7">
        <f t="shared" si="124"/>
        <v>16548.924351004574</v>
      </c>
      <c r="D349" s="7">
        <f t="shared" si="120"/>
        <v>241.95271957926124</v>
      </c>
      <c r="E349" s="7">
        <f t="shared" si="121"/>
        <v>62.05846631626715</v>
      </c>
      <c r="F349" s="7">
        <f t="shared" si="122"/>
        <v>304.0111858955284</v>
      </c>
      <c r="G349" s="8">
        <f t="shared" si="123"/>
        <v>16306.971631425313</v>
      </c>
    </row>
    <row r="350" spans="1:7" x14ac:dyDescent="0.2">
      <c r="B350" s="9" t="s">
        <v>43</v>
      </c>
      <c r="C350" s="10"/>
      <c r="D350" s="8">
        <f>SUM(D338:D349)</f>
        <v>2844.509810725609</v>
      </c>
      <c r="E350" s="8">
        <f>SUM(E338:E349)</f>
        <v>803.62442002073192</v>
      </c>
    </row>
    <row r="351" spans="1:7" x14ac:dyDescent="0.2">
      <c r="B351" s="9"/>
      <c r="C351" s="9"/>
      <c r="D351" s="8"/>
      <c r="E351" s="8"/>
      <c r="F351" s="7"/>
      <c r="G351" s="7"/>
    </row>
    <row r="352" spans="1:7" x14ac:dyDescent="0.2">
      <c r="A352" t="s">
        <v>82</v>
      </c>
      <c r="B352" s="19">
        <v>1</v>
      </c>
      <c r="C352" s="7">
        <f>+G349</f>
        <v>16306.971631425313</v>
      </c>
      <c r="D352" s="7">
        <f t="shared" ref="D352:D363" si="125">+F352-E352</f>
        <v>242.86004227768348</v>
      </c>
      <c r="E352" s="7">
        <f t="shared" ref="E352:E363" si="126">C352*$J$2</f>
        <v>61.151143617844923</v>
      </c>
      <c r="F352" s="7">
        <f t="shared" ref="F352:F363" si="127">-$J$8</f>
        <v>304.0111858955284</v>
      </c>
      <c r="G352" s="7">
        <f t="shared" ref="G352:G363" si="128">+C352-D352</f>
        <v>16064.111589147629</v>
      </c>
    </row>
    <row r="353" spans="1:7" x14ac:dyDescent="0.2">
      <c r="B353" s="19">
        <v>2</v>
      </c>
      <c r="C353" s="7">
        <f t="shared" ref="C353:C363" si="129">+G352</f>
        <v>16064.111589147629</v>
      </c>
      <c r="D353" s="7">
        <f t="shared" si="125"/>
        <v>243.77076743622479</v>
      </c>
      <c r="E353" s="7">
        <f t="shared" si="126"/>
        <v>60.240418459303605</v>
      </c>
      <c r="F353" s="7">
        <f t="shared" si="127"/>
        <v>304.0111858955284</v>
      </c>
      <c r="G353" s="7">
        <f t="shared" si="128"/>
        <v>15820.340821711405</v>
      </c>
    </row>
    <row r="354" spans="1:7" x14ac:dyDescent="0.2">
      <c r="B354" s="19">
        <v>3</v>
      </c>
      <c r="C354" s="7">
        <f t="shared" si="129"/>
        <v>15820.340821711405</v>
      </c>
      <c r="D354" s="7">
        <f t="shared" si="125"/>
        <v>244.68490781411063</v>
      </c>
      <c r="E354" s="7">
        <f t="shared" si="126"/>
        <v>59.326278081417769</v>
      </c>
      <c r="F354" s="7">
        <f t="shared" si="127"/>
        <v>304.0111858955284</v>
      </c>
      <c r="G354" s="7">
        <f t="shared" si="128"/>
        <v>15575.655913897293</v>
      </c>
    </row>
    <row r="355" spans="1:7" x14ac:dyDescent="0.2">
      <c r="B355" s="19">
        <v>4</v>
      </c>
      <c r="C355" s="7">
        <f t="shared" si="129"/>
        <v>15575.655913897293</v>
      </c>
      <c r="D355" s="7">
        <f t="shared" si="125"/>
        <v>245.60247621841356</v>
      </c>
      <c r="E355" s="7">
        <f t="shared" si="126"/>
        <v>58.40870967711485</v>
      </c>
      <c r="F355" s="7">
        <f t="shared" si="127"/>
        <v>304.0111858955284</v>
      </c>
      <c r="G355" s="7">
        <f t="shared" si="128"/>
        <v>15330.05343767888</v>
      </c>
    </row>
    <row r="356" spans="1:7" x14ac:dyDescent="0.2">
      <c r="B356" s="19">
        <v>5</v>
      </c>
      <c r="C356" s="7">
        <f t="shared" si="129"/>
        <v>15330.05343767888</v>
      </c>
      <c r="D356" s="7">
        <f t="shared" si="125"/>
        <v>246.52348550423261</v>
      </c>
      <c r="E356" s="7">
        <f t="shared" si="126"/>
        <v>57.487700391295796</v>
      </c>
      <c r="F356" s="7">
        <f t="shared" si="127"/>
        <v>304.0111858955284</v>
      </c>
      <c r="G356" s="7">
        <f t="shared" si="128"/>
        <v>15083.529952174647</v>
      </c>
    </row>
    <row r="357" spans="1:7" x14ac:dyDescent="0.2">
      <c r="B357" s="19">
        <v>6</v>
      </c>
      <c r="C357" s="7">
        <f t="shared" si="129"/>
        <v>15083.529952174647</v>
      </c>
      <c r="D357" s="7">
        <f t="shared" si="125"/>
        <v>247.44794857487346</v>
      </c>
      <c r="E357" s="7">
        <f t="shared" si="126"/>
        <v>56.563237320654927</v>
      </c>
      <c r="F357" s="7">
        <f t="shared" si="127"/>
        <v>304.0111858955284</v>
      </c>
      <c r="G357" s="7">
        <f t="shared" si="128"/>
        <v>14836.082003599773</v>
      </c>
    </row>
    <row r="358" spans="1:7" x14ac:dyDescent="0.2">
      <c r="B358" s="19">
        <v>7</v>
      </c>
      <c r="C358" s="7">
        <f t="shared" si="129"/>
        <v>14836.082003599773</v>
      </c>
      <c r="D358" s="7">
        <f t="shared" si="125"/>
        <v>248.37587838202924</v>
      </c>
      <c r="E358" s="7">
        <f t="shared" si="126"/>
        <v>55.63530751349915</v>
      </c>
      <c r="F358" s="7">
        <f t="shared" si="127"/>
        <v>304.0111858955284</v>
      </c>
      <c r="G358" s="7">
        <f t="shared" si="128"/>
        <v>14587.706125217745</v>
      </c>
    </row>
    <row r="359" spans="1:7" x14ac:dyDescent="0.2">
      <c r="B359" s="19">
        <v>8</v>
      </c>
      <c r="C359" s="7">
        <f t="shared" si="129"/>
        <v>14587.706125217745</v>
      </c>
      <c r="D359" s="7">
        <f t="shared" si="125"/>
        <v>249.30728792596187</v>
      </c>
      <c r="E359" s="7">
        <f t="shared" si="126"/>
        <v>54.70389796956654</v>
      </c>
      <c r="F359" s="7">
        <f t="shared" si="127"/>
        <v>304.0111858955284</v>
      </c>
      <c r="G359" s="7">
        <f t="shared" si="128"/>
        <v>14338.398837291783</v>
      </c>
    </row>
    <row r="360" spans="1:7" x14ac:dyDescent="0.2">
      <c r="B360" s="19">
        <v>9</v>
      </c>
      <c r="C360" s="7">
        <f t="shared" si="129"/>
        <v>14338.398837291783</v>
      </c>
      <c r="D360" s="7">
        <f t="shared" si="125"/>
        <v>250.24219025568422</v>
      </c>
      <c r="E360" s="7">
        <f t="shared" si="126"/>
        <v>53.768995639844185</v>
      </c>
      <c r="F360" s="7">
        <f t="shared" si="127"/>
        <v>304.0111858955284</v>
      </c>
      <c r="G360" s="7">
        <f t="shared" si="128"/>
        <v>14088.156647036099</v>
      </c>
    </row>
    <row r="361" spans="1:7" x14ac:dyDescent="0.2">
      <c r="B361" s="19">
        <v>10</v>
      </c>
      <c r="C361" s="7">
        <f t="shared" si="129"/>
        <v>14088.156647036099</v>
      </c>
      <c r="D361" s="7">
        <f t="shared" si="125"/>
        <v>251.18059846914304</v>
      </c>
      <c r="E361" s="7">
        <f t="shared" si="126"/>
        <v>52.830587426385371</v>
      </c>
      <c r="F361" s="7">
        <f t="shared" si="127"/>
        <v>304.0111858955284</v>
      </c>
      <c r="G361" s="7">
        <f t="shared" si="128"/>
        <v>13836.976048566956</v>
      </c>
    </row>
    <row r="362" spans="1:7" x14ac:dyDescent="0.2">
      <c r="B362" s="19">
        <v>11</v>
      </c>
      <c r="C362" s="7">
        <f t="shared" si="129"/>
        <v>13836.976048566956</v>
      </c>
      <c r="D362" s="7">
        <f t="shared" si="125"/>
        <v>252.12252571340233</v>
      </c>
      <c r="E362" s="7">
        <f t="shared" si="126"/>
        <v>51.888660182126081</v>
      </c>
      <c r="F362" s="7">
        <f t="shared" si="127"/>
        <v>304.0111858955284</v>
      </c>
      <c r="G362" s="7">
        <f t="shared" si="128"/>
        <v>13584.853522853553</v>
      </c>
    </row>
    <row r="363" spans="1:7" x14ac:dyDescent="0.2">
      <c r="B363" s="19">
        <v>12</v>
      </c>
      <c r="C363" s="7">
        <f t="shared" si="129"/>
        <v>13584.853522853553</v>
      </c>
      <c r="D363" s="7">
        <f t="shared" si="125"/>
        <v>253.06798518482759</v>
      </c>
      <c r="E363" s="7">
        <f t="shared" si="126"/>
        <v>50.943200710700822</v>
      </c>
      <c r="F363" s="7">
        <f t="shared" si="127"/>
        <v>304.0111858955284</v>
      </c>
      <c r="G363" s="8">
        <f t="shared" si="128"/>
        <v>13331.785537668726</v>
      </c>
    </row>
    <row r="364" spans="1:7" x14ac:dyDescent="0.2">
      <c r="B364" s="9" t="s">
        <v>43</v>
      </c>
      <c r="C364" s="10"/>
      <c r="D364" s="8">
        <f>SUM(D352:D363)</f>
        <v>2975.1860937565871</v>
      </c>
      <c r="E364" s="8">
        <f>SUM(E352:E363)</f>
        <v>672.94813698975395</v>
      </c>
    </row>
    <row r="365" spans="1:7" x14ac:dyDescent="0.2">
      <c r="B365" s="9"/>
      <c r="C365" s="9"/>
      <c r="D365" s="8"/>
      <c r="E365" s="8"/>
      <c r="F365" s="7"/>
      <c r="G365" s="7"/>
    </row>
    <row r="366" spans="1:7" x14ac:dyDescent="0.2">
      <c r="A366" t="s">
        <v>83</v>
      </c>
      <c r="B366" s="19">
        <v>1</v>
      </c>
      <c r="C366" s="7">
        <f>+G363</f>
        <v>13331.785537668726</v>
      </c>
      <c r="D366" s="7">
        <f t="shared" ref="D366:D377" si="130">+F366-E366</f>
        <v>254.01699012927068</v>
      </c>
      <c r="E366" s="7">
        <f t="shared" ref="E366:E377" si="131">C366*$J$2</f>
        <v>49.994195766257718</v>
      </c>
      <c r="F366" s="7">
        <f t="shared" ref="F366:F377" si="132">-$J$8</f>
        <v>304.0111858955284</v>
      </c>
      <c r="G366" s="7">
        <f t="shared" ref="G366:G377" si="133">+C366-D366</f>
        <v>13077.768547539456</v>
      </c>
    </row>
    <row r="367" spans="1:7" x14ac:dyDescent="0.2">
      <c r="B367" s="19">
        <v>2</v>
      </c>
      <c r="C367" s="7">
        <f t="shared" ref="C367:C377" si="134">+G366</f>
        <v>13077.768547539456</v>
      </c>
      <c r="D367" s="7">
        <f t="shared" si="130"/>
        <v>254.96955384225544</v>
      </c>
      <c r="E367" s="7">
        <f t="shared" si="131"/>
        <v>49.041632053272956</v>
      </c>
      <c r="F367" s="7">
        <f t="shared" si="132"/>
        <v>304.0111858955284</v>
      </c>
      <c r="G367" s="7">
        <f t="shared" si="133"/>
        <v>12822.798993697201</v>
      </c>
    </row>
    <row r="368" spans="1:7" x14ac:dyDescent="0.2">
      <c r="B368" s="19">
        <v>3</v>
      </c>
      <c r="C368" s="7">
        <f t="shared" si="134"/>
        <v>12822.798993697201</v>
      </c>
      <c r="D368" s="7">
        <f t="shared" si="130"/>
        <v>255.92568966916389</v>
      </c>
      <c r="E368" s="7">
        <f t="shared" si="131"/>
        <v>48.085496226364498</v>
      </c>
      <c r="F368" s="7">
        <f t="shared" si="132"/>
        <v>304.0111858955284</v>
      </c>
      <c r="G368" s="7">
        <f t="shared" si="133"/>
        <v>12566.873304028037</v>
      </c>
    </row>
    <row r="369" spans="1:7" x14ac:dyDescent="0.2">
      <c r="B369" s="19">
        <v>4</v>
      </c>
      <c r="C369" s="7">
        <f t="shared" si="134"/>
        <v>12566.873304028037</v>
      </c>
      <c r="D369" s="7">
        <f t="shared" si="130"/>
        <v>256.88541100542329</v>
      </c>
      <c r="E369" s="7">
        <f t="shared" si="131"/>
        <v>47.125774890105134</v>
      </c>
      <c r="F369" s="7">
        <f t="shared" si="132"/>
        <v>304.0111858955284</v>
      </c>
      <c r="G369" s="7">
        <f t="shared" si="133"/>
        <v>12309.987893022613</v>
      </c>
    </row>
    <row r="370" spans="1:7" x14ac:dyDescent="0.2">
      <c r="B370" s="19">
        <v>5</v>
      </c>
      <c r="C370" s="7">
        <f t="shared" si="134"/>
        <v>12309.987893022613</v>
      </c>
      <c r="D370" s="7">
        <f t="shared" si="130"/>
        <v>257.84873129669359</v>
      </c>
      <c r="E370" s="7">
        <f t="shared" si="131"/>
        <v>46.162454598834799</v>
      </c>
      <c r="F370" s="7">
        <f t="shared" si="132"/>
        <v>304.0111858955284</v>
      </c>
      <c r="G370" s="7">
        <f t="shared" si="133"/>
        <v>12052.13916172592</v>
      </c>
    </row>
    <row r="371" spans="1:7" x14ac:dyDescent="0.2">
      <c r="B371" s="19">
        <v>6</v>
      </c>
      <c r="C371" s="7">
        <f t="shared" si="134"/>
        <v>12052.13916172592</v>
      </c>
      <c r="D371" s="7">
        <f t="shared" si="130"/>
        <v>258.81566403905617</v>
      </c>
      <c r="E371" s="7">
        <f t="shared" si="131"/>
        <v>45.195521856472197</v>
      </c>
      <c r="F371" s="7">
        <f t="shared" si="132"/>
        <v>304.0111858955284</v>
      </c>
      <c r="G371" s="7">
        <f t="shared" si="133"/>
        <v>11793.323497686863</v>
      </c>
    </row>
    <row r="372" spans="1:7" x14ac:dyDescent="0.2">
      <c r="B372" s="19">
        <v>7</v>
      </c>
      <c r="C372" s="7">
        <f t="shared" si="134"/>
        <v>11793.323497686863</v>
      </c>
      <c r="D372" s="7">
        <f t="shared" si="130"/>
        <v>259.78622277920266</v>
      </c>
      <c r="E372" s="7">
        <f t="shared" si="131"/>
        <v>44.224963116325732</v>
      </c>
      <c r="F372" s="7">
        <f t="shared" si="132"/>
        <v>304.0111858955284</v>
      </c>
      <c r="G372" s="7">
        <f t="shared" si="133"/>
        <v>11533.53727490766</v>
      </c>
    </row>
    <row r="373" spans="1:7" x14ac:dyDescent="0.2">
      <c r="B373" s="19">
        <v>8</v>
      </c>
      <c r="C373" s="7">
        <f t="shared" si="134"/>
        <v>11533.53727490766</v>
      </c>
      <c r="D373" s="7">
        <f t="shared" si="130"/>
        <v>260.76042111462471</v>
      </c>
      <c r="E373" s="7">
        <f t="shared" si="131"/>
        <v>43.250764780903722</v>
      </c>
      <c r="F373" s="7">
        <f t="shared" si="132"/>
        <v>304.0111858955284</v>
      </c>
      <c r="G373" s="7">
        <f t="shared" si="133"/>
        <v>11272.776853793035</v>
      </c>
    </row>
    <row r="374" spans="1:7" x14ac:dyDescent="0.2">
      <c r="B374" s="19">
        <v>9</v>
      </c>
      <c r="C374" s="7">
        <f t="shared" si="134"/>
        <v>11272.776853793035</v>
      </c>
      <c r="D374" s="7">
        <f t="shared" si="130"/>
        <v>261.7382726938045</v>
      </c>
      <c r="E374" s="7">
        <f t="shared" si="131"/>
        <v>42.272913201723881</v>
      </c>
      <c r="F374" s="7">
        <f t="shared" si="132"/>
        <v>304.0111858955284</v>
      </c>
      <c r="G374" s="7">
        <f t="shared" si="133"/>
        <v>11011.03858109923</v>
      </c>
    </row>
    <row r="375" spans="1:7" x14ac:dyDescent="0.2">
      <c r="B375" s="19">
        <v>10</v>
      </c>
      <c r="C375" s="7">
        <f t="shared" si="134"/>
        <v>11011.03858109923</v>
      </c>
      <c r="D375" s="7">
        <f t="shared" si="130"/>
        <v>262.71979121640629</v>
      </c>
      <c r="E375" s="7">
        <f t="shared" si="131"/>
        <v>41.291394679122114</v>
      </c>
      <c r="F375" s="7">
        <f t="shared" si="132"/>
        <v>304.0111858955284</v>
      </c>
      <c r="G375" s="7">
        <f t="shared" si="133"/>
        <v>10748.318789882824</v>
      </c>
    </row>
    <row r="376" spans="1:7" x14ac:dyDescent="0.2">
      <c r="B376" s="19">
        <v>11</v>
      </c>
      <c r="C376" s="7">
        <f t="shared" si="134"/>
        <v>10748.318789882824</v>
      </c>
      <c r="D376" s="7">
        <f t="shared" si="130"/>
        <v>263.7049904334678</v>
      </c>
      <c r="E376" s="7">
        <f t="shared" si="131"/>
        <v>40.306195462060586</v>
      </c>
      <c r="F376" s="7">
        <f t="shared" si="132"/>
        <v>304.0111858955284</v>
      </c>
      <c r="G376" s="7">
        <f t="shared" si="133"/>
        <v>10484.613799449357</v>
      </c>
    </row>
    <row r="377" spans="1:7" x14ac:dyDescent="0.2">
      <c r="B377" s="19">
        <v>12</v>
      </c>
      <c r="C377" s="7">
        <f t="shared" si="134"/>
        <v>10484.613799449357</v>
      </c>
      <c r="D377" s="7">
        <f t="shared" si="130"/>
        <v>264.69388414759334</v>
      </c>
      <c r="E377" s="7">
        <f t="shared" si="131"/>
        <v>39.317301747935083</v>
      </c>
      <c r="F377" s="7">
        <f t="shared" si="132"/>
        <v>304.0111858955284</v>
      </c>
      <c r="G377" s="8">
        <f t="shared" si="133"/>
        <v>10219.919915301763</v>
      </c>
    </row>
    <row r="378" spans="1:7" x14ac:dyDescent="0.2">
      <c r="B378" s="9" t="s">
        <v>43</v>
      </c>
      <c r="C378" s="9"/>
      <c r="D378" s="8">
        <f>SUM(D366:D377)</f>
        <v>3111.8656223669623</v>
      </c>
      <c r="E378" s="8">
        <f>SUM(E366:E377)</f>
        <v>536.26860837937852</v>
      </c>
      <c r="F378" s="7"/>
      <c r="G378" s="7"/>
    </row>
    <row r="379" spans="1:7" x14ac:dyDescent="0.2">
      <c r="B379" s="6"/>
      <c r="C379" s="6"/>
      <c r="D379" s="7"/>
      <c r="E379" s="7"/>
      <c r="F379" s="7"/>
      <c r="G379" s="7"/>
    </row>
    <row r="380" spans="1:7" x14ac:dyDescent="0.2">
      <c r="A380" t="s">
        <v>84</v>
      </c>
      <c r="B380" s="19">
        <v>1</v>
      </c>
      <c r="C380" s="7">
        <f>+G377</f>
        <v>10219.919915301763</v>
      </c>
      <c r="D380" s="7">
        <f t="shared" ref="D380:D391" si="135">+F380-E380</f>
        <v>265.68648621314679</v>
      </c>
      <c r="E380" s="7">
        <f t="shared" ref="E380:E391" si="136">C380*$J$2</f>
        <v>38.324699682381613</v>
      </c>
      <c r="F380" s="7">
        <f t="shared" ref="F380:F391" si="137">-$J$8</f>
        <v>304.0111858955284</v>
      </c>
      <c r="G380" s="7">
        <f t="shared" ref="G380:G391" si="138">+C380-D380</f>
        <v>9954.2334290886174</v>
      </c>
    </row>
    <row r="381" spans="1:7" x14ac:dyDescent="0.2">
      <c r="B381" s="19">
        <v>2</v>
      </c>
      <c r="C381" s="7">
        <f t="shared" ref="C381:C391" si="139">+G380</f>
        <v>9954.2334290886174</v>
      </c>
      <c r="D381" s="7">
        <f t="shared" si="135"/>
        <v>266.68281053644608</v>
      </c>
      <c r="E381" s="7">
        <f t="shared" si="136"/>
        <v>37.328375359082315</v>
      </c>
      <c r="F381" s="7">
        <f t="shared" si="137"/>
        <v>304.0111858955284</v>
      </c>
      <c r="G381" s="7">
        <f t="shared" si="138"/>
        <v>9687.5506185521717</v>
      </c>
    </row>
    <row r="382" spans="1:7" x14ac:dyDescent="0.2">
      <c r="B382" s="19">
        <v>3</v>
      </c>
      <c r="C382" s="7">
        <f t="shared" si="139"/>
        <v>9687.5506185521717</v>
      </c>
      <c r="D382" s="7">
        <f t="shared" si="135"/>
        <v>267.68287107595773</v>
      </c>
      <c r="E382" s="7">
        <f t="shared" si="136"/>
        <v>36.328314819570643</v>
      </c>
      <c r="F382" s="7">
        <f t="shared" si="137"/>
        <v>304.0111858955284</v>
      </c>
      <c r="G382" s="7">
        <f t="shared" si="138"/>
        <v>9419.8677474762135</v>
      </c>
    </row>
    <row r="383" spans="1:7" x14ac:dyDescent="0.2">
      <c r="B383" s="19">
        <v>4</v>
      </c>
      <c r="C383" s="7">
        <f t="shared" si="139"/>
        <v>9419.8677474762135</v>
      </c>
      <c r="D383" s="7">
        <f t="shared" si="135"/>
        <v>268.68668184249259</v>
      </c>
      <c r="E383" s="7">
        <f t="shared" si="136"/>
        <v>35.324504053035803</v>
      </c>
      <c r="F383" s="7">
        <f t="shared" si="137"/>
        <v>304.0111858955284</v>
      </c>
      <c r="G383" s="7">
        <f t="shared" si="138"/>
        <v>9151.1810656337202</v>
      </c>
    </row>
    <row r="384" spans="1:7" x14ac:dyDescent="0.2">
      <c r="B384" s="19">
        <v>5</v>
      </c>
      <c r="C384" s="7">
        <f t="shared" si="139"/>
        <v>9151.1810656337202</v>
      </c>
      <c r="D384" s="7">
        <f t="shared" si="135"/>
        <v>269.69425689940192</v>
      </c>
      <c r="E384" s="7">
        <f t="shared" si="136"/>
        <v>34.31692899612645</v>
      </c>
      <c r="F384" s="7">
        <f t="shared" si="137"/>
        <v>304.0111858955284</v>
      </c>
      <c r="G384" s="7">
        <f t="shared" si="138"/>
        <v>8881.4868087343184</v>
      </c>
    </row>
    <row r="385" spans="1:7" x14ac:dyDescent="0.2">
      <c r="B385" s="19">
        <v>6</v>
      </c>
      <c r="C385" s="7">
        <f t="shared" si="139"/>
        <v>8881.4868087343184</v>
      </c>
      <c r="D385" s="7">
        <f t="shared" si="135"/>
        <v>270.70561036277468</v>
      </c>
      <c r="E385" s="7">
        <f t="shared" si="136"/>
        <v>33.305575532753693</v>
      </c>
      <c r="F385" s="7">
        <f t="shared" si="137"/>
        <v>304.0111858955284</v>
      </c>
      <c r="G385" s="7">
        <f t="shared" si="138"/>
        <v>8610.7811983715437</v>
      </c>
    </row>
    <row r="386" spans="1:7" x14ac:dyDescent="0.2">
      <c r="B386" s="19">
        <v>7</v>
      </c>
      <c r="C386" s="7">
        <f t="shared" si="139"/>
        <v>8610.7811983715437</v>
      </c>
      <c r="D386" s="7">
        <f t="shared" si="135"/>
        <v>271.72075640163513</v>
      </c>
      <c r="E386" s="7">
        <f t="shared" si="136"/>
        <v>32.290429493893285</v>
      </c>
      <c r="F386" s="7">
        <f t="shared" si="137"/>
        <v>304.0111858955284</v>
      </c>
      <c r="G386" s="7">
        <f t="shared" si="138"/>
        <v>8339.0604419699084</v>
      </c>
    </row>
    <row r="387" spans="1:7" x14ac:dyDescent="0.2">
      <c r="B387" s="19">
        <v>8</v>
      </c>
      <c r="C387" s="7">
        <f t="shared" si="139"/>
        <v>8339.0604419699084</v>
      </c>
      <c r="D387" s="7">
        <f t="shared" si="135"/>
        <v>272.73970923814124</v>
      </c>
      <c r="E387" s="7">
        <f t="shared" si="136"/>
        <v>31.271476657387154</v>
      </c>
      <c r="F387" s="7">
        <f t="shared" si="137"/>
        <v>304.0111858955284</v>
      </c>
      <c r="G387" s="7">
        <f t="shared" si="138"/>
        <v>8066.3207327317668</v>
      </c>
    </row>
    <row r="388" spans="1:7" x14ac:dyDescent="0.2">
      <c r="B388" s="19">
        <v>9</v>
      </c>
      <c r="C388" s="7">
        <f t="shared" si="139"/>
        <v>8066.3207327317668</v>
      </c>
      <c r="D388" s="7">
        <f t="shared" si="135"/>
        <v>273.76248314778428</v>
      </c>
      <c r="E388" s="7">
        <f t="shared" si="136"/>
        <v>30.248702747744126</v>
      </c>
      <c r="F388" s="7">
        <f t="shared" si="137"/>
        <v>304.0111858955284</v>
      </c>
      <c r="G388" s="7">
        <f t="shared" si="138"/>
        <v>7792.5582495839826</v>
      </c>
    </row>
    <row r="389" spans="1:7" x14ac:dyDescent="0.2">
      <c r="B389" s="19">
        <v>10</v>
      </c>
      <c r="C389" s="7">
        <f t="shared" si="139"/>
        <v>7792.5582495839826</v>
      </c>
      <c r="D389" s="7">
        <f t="shared" si="135"/>
        <v>274.78909245958846</v>
      </c>
      <c r="E389" s="7">
        <f t="shared" si="136"/>
        <v>29.222093435939932</v>
      </c>
      <c r="F389" s="7">
        <f t="shared" si="137"/>
        <v>304.0111858955284</v>
      </c>
      <c r="G389" s="7">
        <f t="shared" si="138"/>
        <v>7517.769157124394</v>
      </c>
    </row>
    <row r="390" spans="1:7" x14ac:dyDescent="0.2">
      <c r="B390" s="19">
        <v>11</v>
      </c>
      <c r="C390" s="7">
        <f t="shared" si="139"/>
        <v>7517.769157124394</v>
      </c>
      <c r="D390" s="7">
        <f t="shared" si="135"/>
        <v>275.81955155631192</v>
      </c>
      <c r="E390" s="7">
        <f t="shared" si="136"/>
        <v>28.191634339216478</v>
      </c>
      <c r="F390" s="7">
        <f t="shared" si="137"/>
        <v>304.0111858955284</v>
      </c>
      <c r="G390" s="7">
        <f t="shared" si="138"/>
        <v>7241.949605568082</v>
      </c>
    </row>
    <row r="391" spans="1:7" x14ac:dyDescent="0.2">
      <c r="B391" s="19">
        <v>12</v>
      </c>
      <c r="C391" s="7">
        <f t="shared" si="139"/>
        <v>7241.949605568082</v>
      </c>
      <c r="D391" s="7">
        <f t="shared" si="135"/>
        <v>276.85387487464811</v>
      </c>
      <c r="E391" s="7">
        <f t="shared" si="136"/>
        <v>27.157311020880307</v>
      </c>
      <c r="F391" s="7">
        <f t="shared" si="137"/>
        <v>304.0111858955284</v>
      </c>
      <c r="G391" s="8">
        <f t="shared" si="138"/>
        <v>6965.0957306934342</v>
      </c>
    </row>
    <row r="392" spans="1:7" x14ac:dyDescent="0.2">
      <c r="B392" s="9" t="s">
        <v>43</v>
      </c>
      <c r="C392" s="9"/>
      <c r="D392" s="8">
        <f>SUM(D380:D391)</f>
        <v>3254.8241846083292</v>
      </c>
      <c r="E392" s="8">
        <f>SUM(E380:E391)</f>
        <v>393.31004613801178</v>
      </c>
      <c r="F392" s="7"/>
      <c r="G392" s="7"/>
    </row>
    <row r="393" spans="1:7" x14ac:dyDescent="0.2">
      <c r="B393" s="6"/>
      <c r="C393" s="6"/>
      <c r="D393" s="7"/>
      <c r="E393" s="7"/>
      <c r="F393" s="7"/>
      <c r="G393" s="7"/>
    </row>
    <row r="394" spans="1:7" x14ac:dyDescent="0.2">
      <c r="A394" t="s">
        <v>85</v>
      </c>
      <c r="B394" s="19">
        <v>1</v>
      </c>
      <c r="C394" s="7">
        <f>+G391</f>
        <v>6965.0957306934342</v>
      </c>
      <c r="D394" s="7">
        <f t="shared" ref="D394:D405" si="140">+F394-E394</f>
        <v>277.89207690542804</v>
      </c>
      <c r="E394" s="7">
        <f t="shared" ref="E394:E405" si="141">C394*$J$2</f>
        <v>26.119108990100376</v>
      </c>
      <c r="F394" s="7">
        <f t="shared" ref="F394:F405" si="142">-$J$8</f>
        <v>304.0111858955284</v>
      </c>
      <c r="G394" s="7">
        <f t="shared" ref="G394:G405" si="143">+C394-D394</f>
        <v>6687.2036537880058</v>
      </c>
    </row>
    <row r="395" spans="1:7" x14ac:dyDescent="0.2">
      <c r="B395" s="19">
        <v>2</v>
      </c>
      <c r="C395" s="7">
        <f t="shared" ref="C395:C405" si="144">+G394</f>
        <v>6687.2036537880058</v>
      </c>
      <c r="D395" s="7">
        <f t="shared" si="140"/>
        <v>278.93417219382337</v>
      </c>
      <c r="E395" s="7">
        <f t="shared" si="141"/>
        <v>25.07701370170502</v>
      </c>
      <c r="F395" s="7">
        <f t="shared" si="142"/>
        <v>304.0111858955284</v>
      </c>
      <c r="G395" s="7">
        <f t="shared" si="143"/>
        <v>6408.2694815941823</v>
      </c>
    </row>
    <row r="396" spans="1:7" x14ac:dyDescent="0.2">
      <c r="B396" s="19">
        <v>3</v>
      </c>
      <c r="C396" s="7">
        <f t="shared" si="144"/>
        <v>6408.2694815941823</v>
      </c>
      <c r="D396" s="7">
        <f t="shared" si="140"/>
        <v>279.98017533955021</v>
      </c>
      <c r="E396" s="7">
        <f t="shared" si="141"/>
        <v>24.031010555978181</v>
      </c>
      <c r="F396" s="7">
        <f t="shared" si="142"/>
        <v>304.0111858955284</v>
      </c>
      <c r="G396" s="7">
        <f t="shared" si="143"/>
        <v>6128.2893062546318</v>
      </c>
    </row>
    <row r="397" spans="1:7" x14ac:dyDescent="0.2">
      <c r="B397" s="19">
        <v>4</v>
      </c>
      <c r="C397" s="7">
        <f t="shared" si="144"/>
        <v>6128.2893062546318</v>
      </c>
      <c r="D397" s="7">
        <f t="shared" si="140"/>
        <v>281.03010099707353</v>
      </c>
      <c r="E397" s="7">
        <f t="shared" si="141"/>
        <v>22.981084898454867</v>
      </c>
      <c r="F397" s="7">
        <f t="shared" si="142"/>
        <v>304.0111858955284</v>
      </c>
      <c r="G397" s="7">
        <f t="shared" si="143"/>
        <v>5847.2592052575583</v>
      </c>
    </row>
    <row r="398" spans="1:7" x14ac:dyDescent="0.2">
      <c r="B398" s="19">
        <v>5</v>
      </c>
      <c r="C398" s="7">
        <f t="shared" si="144"/>
        <v>5847.2592052575583</v>
      </c>
      <c r="D398" s="7">
        <f t="shared" si="140"/>
        <v>282.08396387581257</v>
      </c>
      <c r="E398" s="7">
        <f t="shared" si="141"/>
        <v>21.927222019715842</v>
      </c>
      <c r="F398" s="7">
        <f t="shared" si="142"/>
        <v>304.0111858955284</v>
      </c>
      <c r="G398" s="7">
        <f t="shared" si="143"/>
        <v>5565.1752413817458</v>
      </c>
    </row>
    <row r="399" spans="1:7" x14ac:dyDescent="0.2">
      <c r="B399" s="19">
        <v>6</v>
      </c>
      <c r="C399" s="7">
        <f t="shared" si="144"/>
        <v>5565.1752413817458</v>
      </c>
      <c r="D399" s="7">
        <f t="shared" si="140"/>
        <v>283.14177874034687</v>
      </c>
      <c r="E399" s="7">
        <f t="shared" si="141"/>
        <v>20.869407155181545</v>
      </c>
      <c r="F399" s="7">
        <f t="shared" si="142"/>
        <v>304.0111858955284</v>
      </c>
      <c r="G399" s="7">
        <f t="shared" si="143"/>
        <v>5282.0334626413987</v>
      </c>
    </row>
    <row r="400" spans="1:7" x14ac:dyDescent="0.2">
      <c r="B400" s="19">
        <v>7</v>
      </c>
      <c r="C400" s="7">
        <f t="shared" si="144"/>
        <v>5282.0334626413987</v>
      </c>
      <c r="D400" s="7">
        <f t="shared" si="140"/>
        <v>284.20356041062314</v>
      </c>
      <c r="E400" s="7">
        <f t="shared" si="141"/>
        <v>19.807625484905245</v>
      </c>
      <c r="F400" s="7">
        <f t="shared" si="142"/>
        <v>304.0111858955284</v>
      </c>
      <c r="G400" s="7">
        <f t="shared" si="143"/>
        <v>4997.8299022307756</v>
      </c>
    </row>
    <row r="401" spans="1:7" x14ac:dyDescent="0.2">
      <c r="B401" s="19">
        <v>8</v>
      </c>
      <c r="C401" s="7">
        <f t="shared" si="144"/>
        <v>4997.8299022307756</v>
      </c>
      <c r="D401" s="7">
        <f t="shared" si="140"/>
        <v>285.26932376216297</v>
      </c>
      <c r="E401" s="7">
        <f t="shared" si="141"/>
        <v>18.741862133365409</v>
      </c>
      <c r="F401" s="7">
        <f t="shared" si="142"/>
        <v>304.0111858955284</v>
      </c>
      <c r="G401" s="7">
        <f t="shared" si="143"/>
        <v>4712.5605784686122</v>
      </c>
    </row>
    <row r="402" spans="1:7" x14ac:dyDescent="0.2">
      <c r="B402" s="19">
        <v>9</v>
      </c>
      <c r="C402" s="7">
        <f t="shared" si="144"/>
        <v>4712.5605784686122</v>
      </c>
      <c r="D402" s="7">
        <f t="shared" si="140"/>
        <v>286.3390837262711</v>
      </c>
      <c r="E402" s="7">
        <f t="shared" si="141"/>
        <v>17.672102169257297</v>
      </c>
      <c r="F402" s="7">
        <f t="shared" si="142"/>
        <v>304.0111858955284</v>
      </c>
      <c r="G402" s="7">
        <f t="shared" si="143"/>
        <v>4426.2214947423408</v>
      </c>
    </row>
    <row r="403" spans="1:7" x14ac:dyDescent="0.2">
      <c r="B403" s="19">
        <v>10</v>
      </c>
      <c r="C403" s="7">
        <f t="shared" si="144"/>
        <v>4426.2214947423408</v>
      </c>
      <c r="D403" s="7">
        <f t="shared" si="140"/>
        <v>287.41285529024464</v>
      </c>
      <c r="E403" s="7">
        <f t="shared" si="141"/>
        <v>16.598330605283778</v>
      </c>
      <c r="F403" s="7">
        <f t="shared" si="142"/>
        <v>304.0111858955284</v>
      </c>
      <c r="G403" s="7">
        <f t="shared" si="143"/>
        <v>4138.808639452096</v>
      </c>
    </row>
    <row r="404" spans="1:7" x14ac:dyDescent="0.2">
      <c r="B404" s="19">
        <v>11</v>
      </c>
      <c r="C404" s="7">
        <f t="shared" si="144"/>
        <v>4138.808639452096</v>
      </c>
      <c r="D404" s="7">
        <f t="shared" si="140"/>
        <v>288.49065349758303</v>
      </c>
      <c r="E404" s="7">
        <f t="shared" si="141"/>
        <v>15.52053239794536</v>
      </c>
      <c r="F404" s="7">
        <f t="shared" si="142"/>
        <v>304.0111858955284</v>
      </c>
      <c r="G404" s="7">
        <f t="shared" si="143"/>
        <v>3850.317985954513</v>
      </c>
    </row>
    <row r="405" spans="1:7" x14ac:dyDescent="0.2">
      <c r="B405" s="19">
        <v>12</v>
      </c>
      <c r="C405" s="7">
        <f t="shared" si="144"/>
        <v>3850.317985954513</v>
      </c>
      <c r="D405" s="7">
        <f t="shared" si="140"/>
        <v>289.572493448199</v>
      </c>
      <c r="E405" s="7">
        <f t="shared" si="141"/>
        <v>14.438692447329423</v>
      </c>
      <c r="F405" s="7">
        <f t="shared" si="142"/>
        <v>304.0111858955284</v>
      </c>
      <c r="G405" s="8">
        <f t="shared" si="143"/>
        <v>3560.7454925063139</v>
      </c>
    </row>
    <row r="406" spans="1:7" x14ac:dyDescent="0.2">
      <c r="B406" s="9" t="s">
        <v>43</v>
      </c>
      <c r="C406" s="10"/>
      <c r="D406" s="8">
        <f>SUM(D394:D405)</f>
        <v>3404.3502381871185</v>
      </c>
      <c r="E406" s="8">
        <f>SUM(E394:E405)</f>
        <v>243.78399255922236</v>
      </c>
    </row>
    <row r="408" spans="1:7" x14ac:dyDescent="0.2">
      <c r="A408" t="s">
        <v>86</v>
      </c>
      <c r="B408" s="19">
        <v>1</v>
      </c>
      <c r="C408" s="7">
        <f>+G405</f>
        <v>3560.7454925063139</v>
      </c>
      <c r="D408" s="7">
        <f t="shared" ref="D408:D419" si="145">+F408-E408</f>
        <v>290.65839029862974</v>
      </c>
      <c r="E408" s="7">
        <f t="shared" ref="E408:E419" si="146">C408*$J$2</f>
        <v>13.352795596898677</v>
      </c>
      <c r="F408" s="7">
        <f t="shared" ref="F408:F419" si="147">-$J$8</f>
        <v>304.0111858955284</v>
      </c>
      <c r="G408" s="7">
        <f t="shared" ref="G408:G419" si="148">+C408-D408</f>
        <v>3270.087102207684</v>
      </c>
    </row>
    <row r="409" spans="1:7" x14ac:dyDescent="0.2">
      <c r="B409" s="19">
        <v>2</v>
      </c>
      <c r="C409" s="7">
        <f t="shared" ref="C409:C419" si="149">+G408</f>
        <v>3270.087102207684</v>
      </c>
      <c r="D409" s="7">
        <f t="shared" si="145"/>
        <v>291.74835926224961</v>
      </c>
      <c r="E409" s="7">
        <f t="shared" si="146"/>
        <v>12.262826633278815</v>
      </c>
      <c r="F409" s="7">
        <f t="shared" si="147"/>
        <v>304.0111858955284</v>
      </c>
      <c r="G409" s="7">
        <f t="shared" si="148"/>
        <v>2978.3387429454342</v>
      </c>
    </row>
    <row r="410" spans="1:7" x14ac:dyDescent="0.2">
      <c r="B410" s="19">
        <v>3</v>
      </c>
      <c r="C410" s="7">
        <f t="shared" si="149"/>
        <v>2978.3387429454342</v>
      </c>
      <c r="D410" s="7">
        <f t="shared" si="145"/>
        <v>292.842415609483</v>
      </c>
      <c r="E410" s="7">
        <f t="shared" si="146"/>
        <v>11.168770286045378</v>
      </c>
      <c r="F410" s="7">
        <f t="shared" si="147"/>
        <v>304.0111858955284</v>
      </c>
      <c r="G410" s="7">
        <f t="shared" si="148"/>
        <v>2685.4963273359513</v>
      </c>
    </row>
    <row r="411" spans="1:7" x14ac:dyDescent="0.2">
      <c r="B411" s="19">
        <v>4</v>
      </c>
      <c r="C411" s="7">
        <f t="shared" si="149"/>
        <v>2685.4963273359513</v>
      </c>
      <c r="D411" s="7">
        <f t="shared" si="145"/>
        <v>293.9405746680186</v>
      </c>
      <c r="E411" s="7">
        <f t="shared" si="146"/>
        <v>10.070611227509817</v>
      </c>
      <c r="F411" s="7">
        <f t="shared" si="147"/>
        <v>304.0111858955284</v>
      </c>
      <c r="G411" s="7">
        <f t="shared" si="148"/>
        <v>2391.5557526679327</v>
      </c>
    </row>
    <row r="412" spans="1:7" x14ac:dyDescent="0.2">
      <c r="B412" s="19">
        <v>5</v>
      </c>
      <c r="C412" s="7">
        <f t="shared" si="149"/>
        <v>2391.5557526679327</v>
      </c>
      <c r="D412" s="7">
        <f t="shared" si="145"/>
        <v>295.04285182302363</v>
      </c>
      <c r="E412" s="7">
        <f t="shared" si="146"/>
        <v>8.9683340725047476</v>
      </c>
      <c r="F412" s="7">
        <f t="shared" si="147"/>
        <v>304.0111858955284</v>
      </c>
      <c r="G412" s="7">
        <f t="shared" si="148"/>
        <v>2096.5129008449089</v>
      </c>
    </row>
    <row r="413" spans="1:7" x14ac:dyDescent="0.2">
      <c r="B413" s="19">
        <v>6</v>
      </c>
      <c r="C413" s="7">
        <f t="shared" si="149"/>
        <v>2096.5129008449089</v>
      </c>
      <c r="D413" s="7">
        <f t="shared" si="145"/>
        <v>296.14926251736</v>
      </c>
      <c r="E413" s="7">
        <f t="shared" si="146"/>
        <v>7.8619233781684086</v>
      </c>
      <c r="F413" s="7">
        <f t="shared" si="147"/>
        <v>304.0111858955284</v>
      </c>
      <c r="G413" s="7">
        <f t="shared" si="148"/>
        <v>1800.3636383275489</v>
      </c>
    </row>
    <row r="414" spans="1:7" x14ac:dyDescent="0.2">
      <c r="B414" s="19">
        <v>7</v>
      </c>
      <c r="C414" s="7">
        <f t="shared" si="149"/>
        <v>1800.3636383275489</v>
      </c>
      <c r="D414" s="7">
        <f t="shared" si="145"/>
        <v>297.25982225180007</v>
      </c>
      <c r="E414" s="7">
        <f t="shared" si="146"/>
        <v>6.7513636437283084</v>
      </c>
      <c r="F414" s="7">
        <f t="shared" si="147"/>
        <v>304.0111858955284</v>
      </c>
      <c r="G414" s="7">
        <f t="shared" si="148"/>
        <v>1503.1038160757489</v>
      </c>
    </row>
    <row r="415" spans="1:7" x14ac:dyDescent="0.2">
      <c r="B415" s="19">
        <v>8</v>
      </c>
      <c r="C415" s="7">
        <f t="shared" si="149"/>
        <v>1503.1038160757489</v>
      </c>
      <c r="D415" s="7">
        <f t="shared" si="145"/>
        <v>298.37454658524433</v>
      </c>
      <c r="E415" s="7">
        <f t="shared" si="146"/>
        <v>5.6366393102840586</v>
      </c>
      <c r="F415" s="7">
        <f t="shared" si="147"/>
        <v>304.0111858955284</v>
      </c>
      <c r="G415" s="7">
        <f t="shared" si="148"/>
        <v>1204.7292694905045</v>
      </c>
    </row>
    <row r="416" spans="1:7" x14ac:dyDescent="0.2">
      <c r="B416" s="19">
        <v>9</v>
      </c>
      <c r="C416" s="7">
        <f t="shared" si="149"/>
        <v>1204.7292694905045</v>
      </c>
      <c r="D416" s="7">
        <f t="shared" si="145"/>
        <v>299.49345113493899</v>
      </c>
      <c r="E416" s="7">
        <f t="shared" si="146"/>
        <v>4.5177347605893914</v>
      </c>
      <c r="F416" s="7">
        <f t="shared" si="147"/>
        <v>304.0111858955284</v>
      </c>
      <c r="G416" s="7">
        <f t="shared" si="148"/>
        <v>905.23581835556547</v>
      </c>
    </row>
    <row r="417" spans="2:7" x14ac:dyDescent="0.2">
      <c r="B417" s="19">
        <v>10</v>
      </c>
      <c r="C417" s="7">
        <f t="shared" si="149"/>
        <v>905.23581835556547</v>
      </c>
      <c r="D417" s="7">
        <f t="shared" si="145"/>
        <v>300.61655157669503</v>
      </c>
      <c r="E417" s="7">
        <f t="shared" si="146"/>
        <v>3.3946343188333703</v>
      </c>
      <c r="F417" s="7">
        <f t="shared" si="147"/>
        <v>304.0111858955284</v>
      </c>
      <c r="G417" s="7">
        <f t="shared" si="148"/>
        <v>604.6192667788705</v>
      </c>
    </row>
    <row r="418" spans="2:7" x14ac:dyDescent="0.2">
      <c r="B418" s="19">
        <v>11</v>
      </c>
      <c r="C418" s="7">
        <f t="shared" si="149"/>
        <v>604.6192667788705</v>
      </c>
      <c r="D418" s="7">
        <f t="shared" si="145"/>
        <v>301.74386364510764</v>
      </c>
      <c r="E418" s="7">
        <f t="shared" si="146"/>
        <v>2.2673222504207642</v>
      </c>
      <c r="F418" s="7">
        <f t="shared" si="147"/>
        <v>304.0111858955284</v>
      </c>
      <c r="G418" s="7">
        <f t="shared" si="148"/>
        <v>302.87540313376286</v>
      </c>
    </row>
    <row r="419" spans="2:7" x14ac:dyDescent="0.2">
      <c r="B419" s="19">
        <v>12</v>
      </c>
      <c r="C419" s="7">
        <f t="shared" si="149"/>
        <v>302.87540313376286</v>
      </c>
      <c r="D419" s="7">
        <f t="shared" si="145"/>
        <v>302.87540313377679</v>
      </c>
      <c r="E419" s="7">
        <f t="shared" si="146"/>
        <v>1.1357827617516107</v>
      </c>
      <c r="F419" s="7">
        <f t="shared" si="147"/>
        <v>304.0111858955284</v>
      </c>
      <c r="G419" s="8">
        <f t="shared" si="148"/>
        <v>-1.3926637620897964E-11</v>
      </c>
    </row>
    <row r="420" spans="2:7" x14ac:dyDescent="0.2">
      <c r="B420" s="9" t="s">
        <v>43</v>
      </c>
      <c r="C420" s="10"/>
      <c r="D420" s="8">
        <f>SUM(D408:D419)</f>
        <v>3560.7454925063271</v>
      </c>
      <c r="E420" s="8">
        <f>SUM(E408:E419)</f>
        <v>87.388738240013339</v>
      </c>
    </row>
    <row r="421" spans="2:7" x14ac:dyDescent="0.2">
      <c r="B421" s="9"/>
      <c r="C421" s="9"/>
      <c r="D421" s="8"/>
      <c r="E421" s="8"/>
      <c r="F421" s="7"/>
      <c r="G421" s="7"/>
    </row>
    <row r="422" spans="2:7" x14ac:dyDescent="0.2">
      <c r="B422" s="19">
        <v>1</v>
      </c>
      <c r="C422" s="7">
        <f>+G419</f>
        <v>-1.3926637620897964E-11</v>
      </c>
      <c r="D422" s="7">
        <f t="shared" ref="D422:D433" si="150">+F422-E422</f>
        <v>304.01118589552846</v>
      </c>
      <c r="E422" s="7">
        <f t="shared" ref="E422:E433" si="151">C422*$J$2</f>
        <v>-5.2224891078367361E-14</v>
      </c>
      <c r="F422" s="7">
        <f t="shared" ref="F422:F433" si="152">-$J$8</f>
        <v>304.0111858955284</v>
      </c>
      <c r="G422" s="7">
        <f t="shared" ref="G422:G433" si="153">+C422-D422</f>
        <v>-304.01118589554238</v>
      </c>
    </row>
    <row r="423" spans="2:7" x14ac:dyDescent="0.2">
      <c r="B423" s="19">
        <v>2</v>
      </c>
      <c r="C423" s="7">
        <f t="shared" ref="C423:C433" si="154">+G422</f>
        <v>-304.01118589554238</v>
      </c>
      <c r="D423" s="7">
        <f t="shared" si="150"/>
        <v>305.15122784263667</v>
      </c>
      <c r="E423" s="7">
        <f t="shared" si="151"/>
        <v>-1.1400419471082839</v>
      </c>
      <c r="F423" s="7">
        <f t="shared" si="152"/>
        <v>304.0111858955284</v>
      </c>
      <c r="G423" s="7">
        <f t="shared" si="153"/>
        <v>-609.16241373817911</v>
      </c>
    </row>
    <row r="424" spans="2:7" x14ac:dyDescent="0.2">
      <c r="B424" s="19">
        <v>3</v>
      </c>
      <c r="C424" s="7">
        <f t="shared" si="154"/>
        <v>-609.16241373817911</v>
      </c>
      <c r="D424" s="7">
        <f t="shared" si="150"/>
        <v>306.29554494704655</v>
      </c>
      <c r="E424" s="7">
        <f t="shared" si="151"/>
        <v>-2.2843590515181718</v>
      </c>
      <c r="F424" s="7">
        <f t="shared" si="152"/>
        <v>304.0111858955284</v>
      </c>
      <c r="G424" s="7">
        <f t="shared" si="153"/>
        <v>-915.45795868522566</v>
      </c>
    </row>
    <row r="425" spans="2:7" x14ac:dyDescent="0.2">
      <c r="B425" s="19">
        <v>4</v>
      </c>
      <c r="C425" s="7">
        <f t="shared" si="154"/>
        <v>-915.45795868522566</v>
      </c>
      <c r="D425" s="7">
        <f t="shared" si="150"/>
        <v>307.44415324059798</v>
      </c>
      <c r="E425" s="7">
        <f t="shared" si="151"/>
        <v>-3.4329673450695961</v>
      </c>
      <c r="F425" s="7">
        <f t="shared" si="152"/>
        <v>304.0111858955284</v>
      </c>
      <c r="G425" s="7">
        <f t="shared" si="153"/>
        <v>-1222.9021119258236</v>
      </c>
    </row>
    <row r="426" spans="2:7" x14ac:dyDescent="0.2">
      <c r="B426" s="19">
        <v>5</v>
      </c>
      <c r="C426" s="7">
        <f t="shared" si="154"/>
        <v>-1222.9021119258236</v>
      </c>
      <c r="D426" s="7">
        <f t="shared" si="150"/>
        <v>308.59706881525022</v>
      </c>
      <c r="E426" s="7">
        <f t="shared" si="151"/>
        <v>-4.5858829197218389</v>
      </c>
      <c r="F426" s="7">
        <f t="shared" si="152"/>
        <v>304.0111858955284</v>
      </c>
      <c r="G426" s="7">
        <f t="shared" si="153"/>
        <v>-1531.4991807410738</v>
      </c>
    </row>
    <row r="427" spans="2:7" x14ac:dyDescent="0.2">
      <c r="B427" s="19">
        <v>6</v>
      </c>
      <c r="C427" s="7">
        <f t="shared" si="154"/>
        <v>-1531.4991807410738</v>
      </c>
      <c r="D427" s="7">
        <f t="shared" si="150"/>
        <v>309.75430782330744</v>
      </c>
      <c r="E427" s="7">
        <f t="shared" si="151"/>
        <v>-5.7431219277790264</v>
      </c>
      <c r="F427" s="7">
        <f t="shared" si="152"/>
        <v>304.0111858955284</v>
      </c>
      <c r="G427" s="7">
        <f t="shared" si="153"/>
        <v>-1841.2534885643813</v>
      </c>
    </row>
    <row r="428" spans="2:7" x14ac:dyDescent="0.2">
      <c r="B428" s="19">
        <v>7</v>
      </c>
      <c r="C428" s="7">
        <f t="shared" si="154"/>
        <v>-1841.2534885643813</v>
      </c>
      <c r="D428" s="7">
        <f t="shared" si="150"/>
        <v>310.91588647764485</v>
      </c>
      <c r="E428" s="7">
        <f t="shared" si="151"/>
        <v>-6.9047005821164298</v>
      </c>
      <c r="F428" s="7">
        <f t="shared" si="152"/>
        <v>304.0111858955284</v>
      </c>
      <c r="G428" s="7">
        <f t="shared" si="153"/>
        <v>-2152.1693750420263</v>
      </c>
    </row>
    <row r="429" spans="2:7" x14ac:dyDescent="0.2">
      <c r="B429" s="19">
        <v>8</v>
      </c>
      <c r="C429" s="7">
        <f t="shared" si="154"/>
        <v>-2152.1693750420263</v>
      </c>
      <c r="D429" s="7">
        <f t="shared" si="150"/>
        <v>312.081821051936</v>
      </c>
      <c r="E429" s="7">
        <f t="shared" si="151"/>
        <v>-8.0706351564075991</v>
      </c>
      <c r="F429" s="7">
        <f t="shared" si="152"/>
        <v>304.0111858955284</v>
      </c>
      <c r="G429" s="7">
        <f t="shared" si="153"/>
        <v>-2464.2511960939623</v>
      </c>
    </row>
    <row r="430" spans="2:7" x14ac:dyDescent="0.2">
      <c r="B430" s="19">
        <v>9</v>
      </c>
      <c r="C430" s="7">
        <f t="shared" si="154"/>
        <v>-2464.2511960939623</v>
      </c>
      <c r="D430" s="7">
        <f t="shared" si="150"/>
        <v>313.25212788088078</v>
      </c>
      <c r="E430" s="7">
        <f t="shared" si="151"/>
        <v>-9.2409419853523591</v>
      </c>
      <c r="F430" s="7">
        <f t="shared" si="152"/>
        <v>304.0111858955284</v>
      </c>
      <c r="G430" s="7">
        <f t="shared" si="153"/>
        <v>-2777.5033239748432</v>
      </c>
    </row>
    <row r="431" spans="2:7" x14ac:dyDescent="0.2">
      <c r="B431" s="19">
        <v>10</v>
      </c>
      <c r="C431" s="7">
        <f t="shared" si="154"/>
        <v>-2777.5033239748432</v>
      </c>
      <c r="D431" s="7">
        <f t="shared" si="150"/>
        <v>314.42682336043407</v>
      </c>
      <c r="E431" s="7">
        <f t="shared" si="151"/>
        <v>-10.415637464905661</v>
      </c>
      <c r="F431" s="7">
        <f t="shared" si="152"/>
        <v>304.0111858955284</v>
      </c>
      <c r="G431" s="7">
        <f t="shared" si="153"/>
        <v>-3091.9301473352771</v>
      </c>
    </row>
    <row r="432" spans="2:7" x14ac:dyDescent="0.2">
      <c r="B432" s="19">
        <v>11</v>
      </c>
      <c r="C432" s="7">
        <f t="shared" si="154"/>
        <v>-3091.9301473352771</v>
      </c>
      <c r="D432" s="7">
        <f t="shared" si="150"/>
        <v>315.6059239480357</v>
      </c>
      <c r="E432" s="7">
        <f t="shared" si="151"/>
        <v>-11.594738052507289</v>
      </c>
      <c r="F432" s="7">
        <f t="shared" si="152"/>
        <v>304.0111858955284</v>
      </c>
      <c r="G432" s="7">
        <f t="shared" si="153"/>
        <v>-3407.5360712833126</v>
      </c>
    </row>
    <row r="433" spans="2:7" x14ac:dyDescent="0.2">
      <c r="B433" s="19">
        <v>12</v>
      </c>
      <c r="C433" s="7">
        <f t="shared" si="154"/>
        <v>-3407.5360712833126</v>
      </c>
      <c r="D433" s="7">
        <f t="shared" si="150"/>
        <v>316.78944616284082</v>
      </c>
      <c r="E433" s="7">
        <f t="shared" si="151"/>
        <v>-12.778260267312422</v>
      </c>
      <c r="F433" s="7">
        <f t="shared" si="152"/>
        <v>304.0111858955284</v>
      </c>
      <c r="G433" s="8">
        <f t="shared" si="153"/>
        <v>-3724.3255174461533</v>
      </c>
    </row>
    <row r="434" spans="2:7" x14ac:dyDescent="0.2">
      <c r="B434" s="9" t="s">
        <v>43</v>
      </c>
      <c r="C434" s="10"/>
      <c r="D434" s="8">
        <f>SUM(D422:D433)</f>
        <v>3724.3255174461392</v>
      </c>
      <c r="E434" s="8">
        <f>SUM(E422:E433)</f>
        <v>-76.191286699798724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"/>
  <sheetViews>
    <sheetView topLeftCell="A46" zoomScale="55" zoomScaleNormal="55" workbookViewId="0">
      <selection activeCell="E49" sqref="E49"/>
    </sheetView>
  </sheetViews>
  <sheetFormatPr defaultColWidth="9.42578125" defaultRowHeight="15" x14ac:dyDescent="0.25"/>
  <cols>
    <col min="1" max="1" width="4.85546875" style="1" customWidth="1"/>
    <col min="2" max="2" width="40.85546875" style="1" bestFit="1" customWidth="1"/>
    <col min="3" max="3" width="10" style="1" bestFit="1" customWidth="1"/>
    <col min="4" max="4" width="12.28515625" style="1" bestFit="1" customWidth="1"/>
    <col min="5" max="10" width="11.5703125" style="1" bestFit="1" customWidth="1"/>
    <col min="11" max="13" width="11.5703125" style="1" customWidth="1"/>
    <col min="14" max="17" width="11.5703125" style="1" bestFit="1" customWidth="1"/>
    <col min="18" max="18" width="14.7109375" style="1" bestFit="1" customWidth="1"/>
    <col min="19" max="19" width="12.5703125" style="1" bestFit="1" customWidth="1"/>
    <col min="20" max="20" width="8.7109375" style="1" bestFit="1" customWidth="1"/>
    <col min="21" max="21" width="10" style="1" bestFit="1" customWidth="1"/>
    <col min="22" max="22" width="14.28515625" style="1" bestFit="1" customWidth="1"/>
    <col min="23" max="23" width="9.42578125" style="1"/>
    <col min="24" max="24" width="14.28515625" style="1" bestFit="1" customWidth="1"/>
    <col min="25" max="16384" width="9.42578125" style="1"/>
  </cols>
  <sheetData>
    <row r="1" spans="1:17" s="3" customFormat="1" x14ac:dyDescent="0.25">
      <c r="A1" s="2" t="s">
        <v>45</v>
      </c>
    </row>
    <row r="2" spans="1:17" x14ac:dyDescent="0.25">
      <c r="A2" s="4" t="s">
        <v>0</v>
      </c>
    </row>
    <row r="3" spans="1:17" x14ac:dyDescent="0.25">
      <c r="A3" s="4"/>
      <c r="B3" s="1" t="s">
        <v>46</v>
      </c>
      <c r="C3" s="12">
        <v>0.05</v>
      </c>
      <c r="D3" s="13">
        <f>D11*Q3</f>
        <v>3077.8859999999995</v>
      </c>
      <c r="E3" s="66">
        <f>D3+(D3*$C$3)</f>
        <v>3231.7802999999994</v>
      </c>
      <c r="F3" s="13">
        <f t="shared" ref="F3:G3" si="0">E3+(E3*$C$3)</f>
        <v>3393.3693149999995</v>
      </c>
      <c r="G3" s="13">
        <f t="shared" si="0"/>
        <v>3563.0377807499995</v>
      </c>
      <c r="H3" s="13"/>
      <c r="I3" s="13"/>
      <c r="J3" s="13"/>
      <c r="K3" s="13"/>
      <c r="L3" s="13"/>
      <c r="M3" s="13"/>
      <c r="N3" s="13"/>
      <c r="O3" s="13"/>
      <c r="P3" s="13"/>
      <c r="Q3" s="12">
        <v>0.42</v>
      </c>
    </row>
    <row r="4" spans="1:17" x14ac:dyDescent="0.25">
      <c r="A4" s="4"/>
      <c r="B4" s="1" t="s">
        <v>63</v>
      </c>
      <c r="C4" s="12">
        <v>0.01</v>
      </c>
      <c r="D4" s="13">
        <f>D3</f>
        <v>3077.8859999999995</v>
      </c>
      <c r="E4" s="13">
        <f>D4*(1+$C$4)</f>
        <v>3108.6648599999994</v>
      </c>
      <c r="F4" s="13">
        <f t="shared" ref="F4:G4" si="1">E4*(1+$C$4)</f>
        <v>3139.7515085999994</v>
      </c>
      <c r="G4" s="13">
        <f t="shared" si="1"/>
        <v>3171.1490236859995</v>
      </c>
      <c r="H4" s="13"/>
      <c r="I4" s="13"/>
      <c r="J4" s="13"/>
      <c r="K4" s="13"/>
      <c r="L4" s="13"/>
      <c r="M4" s="13"/>
      <c r="N4" s="13"/>
      <c r="O4" s="13"/>
      <c r="P4" s="13"/>
    </row>
    <row r="5" spans="1:17" x14ac:dyDescent="0.25">
      <c r="A5" s="4"/>
      <c r="B5" s="1" t="s">
        <v>47</v>
      </c>
      <c r="C5" s="12">
        <v>0.05</v>
      </c>
      <c r="D5" s="14">
        <v>15</v>
      </c>
      <c r="E5" s="14">
        <f>D5+(D5*$C$5)</f>
        <v>15.75</v>
      </c>
      <c r="F5" s="14">
        <f t="shared" ref="F5:G5" si="2">E5+(E5*$C$5)</f>
        <v>16.537500000000001</v>
      </c>
      <c r="G5" s="14">
        <f t="shared" si="2"/>
        <v>17.364375000000003</v>
      </c>
      <c r="H5" s="14"/>
      <c r="I5" s="14"/>
      <c r="J5" s="14"/>
      <c r="K5" s="14"/>
      <c r="L5" s="14"/>
      <c r="M5" s="14"/>
      <c r="N5" s="14"/>
      <c r="O5" s="14"/>
      <c r="P5" s="14"/>
    </row>
    <row r="6" spans="1:17" x14ac:dyDescent="0.25">
      <c r="A6" s="4"/>
      <c r="B6" s="1" t="s">
        <v>48</v>
      </c>
      <c r="C6" s="12">
        <v>0.03</v>
      </c>
      <c r="D6" s="37">
        <v>25</v>
      </c>
      <c r="E6" s="37">
        <f>D6+(D6*$C$6)</f>
        <v>25.75</v>
      </c>
      <c r="F6" s="37">
        <f t="shared" ref="F6:G6" si="3">E6+(E6*$C$6)</f>
        <v>26.522500000000001</v>
      </c>
      <c r="G6" s="37">
        <f t="shared" si="3"/>
        <v>27.318175</v>
      </c>
      <c r="H6" s="37"/>
      <c r="I6" s="37"/>
      <c r="J6" s="37"/>
      <c r="K6" s="37"/>
      <c r="L6" s="37"/>
      <c r="M6" s="37"/>
      <c r="N6" s="37"/>
      <c r="O6" s="37"/>
      <c r="P6" s="37"/>
    </row>
    <row r="7" spans="1:17" x14ac:dyDescent="0.25">
      <c r="A7" s="4"/>
      <c r="B7" s="1" t="s">
        <v>30</v>
      </c>
      <c r="C7" s="12"/>
      <c r="D7" s="1">
        <v>15</v>
      </c>
      <c r="E7" s="17">
        <f>D7-(D7*$C$7)</f>
        <v>15</v>
      </c>
      <c r="F7" s="17">
        <f t="shared" ref="F7:G7" si="4">E7-(E7*$C$7)</f>
        <v>15</v>
      </c>
      <c r="G7" s="17">
        <f t="shared" si="4"/>
        <v>15</v>
      </c>
      <c r="H7" s="17"/>
      <c r="I7" s="17"/>
      <c r="J7" s="17"/>
      <c r="K7" s="17"/>
      <c r="L7" s="17"/>
      <c r="M7" s="17"/>
      <c r="N7" s="17"/>
      <c r="O7" s="17"/>
      <c r="P7" s="17"/>
    </row>
    <row r="8" spans="1:17" x14ac:dyDescent="0.25">
      <c r="A8" s="4"/>
      <c r="B8" s="1" t="s">
        <v>49</v>
      </c>
      <c r="C8" s="12"/>
      <c r="D8" s="1">
        <v>30</v>
      </c>
      <c r="E8" s="17">
        <f>D8+(D8*$C$8)</f>
        <v>30</v>
      </c>
      <c r="F8" s="17">
        <f t="shared" ref="F8:G8" si="5">E8+(E8*$C$8)</f>
        <v>30</v>
      </c>
      <c r="G8" s="17">
        <f t="shared" si="5"/>
        <v>30</v>
      </c>
      <c r="H8" s="17"/>
      <c r="I8" s="17"/>
      <c r="J8" s="17"/>
      <c r="K8" s="17"/>
      <c r="L8" s="17"/>
      <c r="M8" s="17"/>
      <c r="N8" s="17"/>
      <c r="O8" s="17"/>
      <c r="P8" s="17"/>
    </row>
    <row r="9" spans="1:17" x14ac:dyDescent="0.25">
      <c r="A9" s="4"/>
      <c r="B9" s="1" t="s">
        <v>31</v>
      </c>
      <c r="C9" s="12"/>
      <c r="D9" s="1">
        <v>30</v>
      </c>
      <c r="E9" s="1">
        <v>30</v>
      </c>
      <c r="F9" s="1">
        <v>30</v>
      </c>
      <c r="G9" s="1">
        <v>30</v>
      </c>
    </row>
    <row r="10" spans="1:17" x14ac:dyDescent="0.25">
      <c r="A10" s="4"/>
      <c r="B10" s="1" t="s">
        <v>61</v>
      </c>
      <c r="C10" s="16">
        <v>0.01</v>
      </c>
      <c r="D10" s="22">
        <v>10469</v>
      </c>
      <c r="E10" s="15">
        <f>D10+(D10*$C$10)</f>
        <v>10573.69</v>
      </c>
      <c r="F10" s="15">
        <f t="shared" ref="F10:G10" si="6">E10+(E10*$C$10)</f>
        <v>10679.4269</v>
      </c>
      <c r="G10" s="15">
        <f t="shared" si="6"/>
        <v>10786.221169</v>
      </c>
      <c r="H10" s="15"/>
      <c r="I10" s="15"/>
      <c r="J10" s="15"/>
      <c r="K10" s="15"/>
      <c r="L10" s="15"/>
      <c r="M10" s="15"/>
      <c r="N10" s="15"/>
      <c r="O10" s="15"/>
      <c r="P10" s="15"/>
    </row>
    <row r="11" spans="1:17" x14ac:dyDescent="0.25">
      <c r="A11" s="4"/>
      <c r="B11" s="1" t="s">
        <v>60</v>
      </c>
      <c r="C11" s="16">
        <v>0.7</v>
      </c>
      <c r="D11" s="15">
        <f>D10*$C$11</f>
        <v>7328.2999999999993</v>
      </c>
      <c r="E11" s="15">
        <f t="shared" ref="E11:G11" si="7">E10*$C$11</f>
        <v>7401.5829999999996</v>
      </c>
      <c r="F11" s="15">
        <f t="shared" si="7"/>
        <v>7475.5988299999999</v>
      </c>
      <c r="G11" s="15">
        <f t="shared" si="7"/>
        <v>7550.3548182999994</v>
      </c>
      <c r="H11" s="15"/>
      <c r="I11" s="15"/>
      <c r="J11" s="15"/>
      <c r="K11" s="15"/>
      <c r="L11" s="15"/>
      <c r="M11" s="15"/>
      <c r="N11" s="15"/>
      <c r="O11" s="15"/>
      <c r="P11" s="15"/>
    </row>
    <row r="12" spans="1:17" x14ac:dyDescent="0.25">
      <c r="A12" s="4"/>
      <c r="B12" s="1" t="s">
        <v>62</v>
      </c>
      <c r="C12" s="16"/>
      <c r="D12" s="15">
        <v>1</v>
      </c>
      <c r="E12" s="15">
        <v>1</v>
      </c>
      <c r="F12" s="15">
        <v>1</v>
      </c>
      <c r="G12" s="15">
        <v>1</v>
      </c>
      <c r="H12" s="15"/>
      <c r="I12" s="15"/>
      <c r="J12" s="15"/>
      <c r="K12" s="15"/>
      <c r="L12" s="15"/>
      <c r="M12" s="15"/>
      <c r="N12" s="15"/>
      <c r="O12" s="15"/>
      <c r="P12" s="15"/>
    </row>
    <row r="13" spans="1:17" x14ac:dyDescent="0.25">
      <c r="A13" s="4"/>
      <c r="B13" s="1" t="s">
        <v>64</v>
      </c>
      <c r="C13" s="16"/>
      <c r="D13" s="15">
        <v>1</v>
      </c>
      <c r="E13" s="15">
        <v>1</v>
      </c>
      <c r="F13" s="15">
        <v>1</v>
      </c>
      <c r="G13" s="15">
        <v>1</v>
      </c>
      <c r="H13" s="15"/>
      <c r="I13" s="15"/>
      <c r="J13" s="15"/>
      <c r="K13" s="15"/>
      <c r="L13" s="15"/>
      <c r="M13" s="15"/>
      <c r="N13" s="15"/>
      <c r="O13" s="15"/>
      <c r="P13" s="15"/>
    </row>
    <row r="14" spans="1:17" x14ac:dyDescent="0.25">
      <c r="A14" s="4"/>
      <c r="B14" s="1" t="s">
        <v>87</v>
      </c>
      <c r="C14" s="16"/>
      <c r="D14" s="37">
        <f>0.85*SUM(D18:D19)</f>
        <v>104648.12399999998</v>
      </c>
      <c r="E14" s="37">
        <f t="shared" ref="E14:G14" si="8">0.85*SUM(E18:E19)</f>
        <v>111306.36088949998</v>
      </c>
      <c r="F14" s="37">
        <f t="shared" si="8"/>
        <v>118483.11876860756</v>
      </c>
      <c r="G14" s="37">
        <f t="shared" si="8"/>
        <v>126224.93892260746</v>
      </c>
      <c r="H14" s="37"/>
      <c r="I14" s="37"/>
      <c r="J14" s="37"/>
      <c r="K14" s="37"/>
      <c r="L14" s="37"/>
      <c r="M14" s="37"/>
      <c r="N14" s="37"/>
      <c r="O14" s="37"/>
      <c r="P14" s="37"/>
    </row>
    <row r="15" spans="1:17" ht="15.75" thickBot="1" x14ac:dyDescent="0.3">
      <c r="A15" s="4"/>
    </row>
    <row r="16" spans="1:17" ht="15.75" thickBot="1" x14ac:dyDescent="0.3">
      <c r="A16" s="56" t="s">
        <v>116</v>
      </c>
      <c r="B16" s="51"/>
      <c r="C16" s="51"/>
      <c r="D16" s="52" t="s">
        <v>26</v>
      </c>
      <c r="E16" s="52" t="s">
        <v>27</v>
      </c>
      <c r="F16" s="52" t="s">
        <v>28</v>
      </c>
      <c r="G16" s="52" t="s">
        <v>29</v>
      </c>
      <c r="H16" s="52"/>
      <c r="I16" s="52"/>
      <c r="J16" s="52"/>
      <c r="K16" s="52"/>
      <c r="L16" s="52"/>
      <c r="M16" s="52"/>
      <c r="N16" s="52"/>
      <c r="O16" s="52"/>
      <c r="P16" s="52"/>
    </row>
    <row r="17" spans="1:26" x14ac:dyDescent="0.25">
      <c r="A17" s="41" t="s">
        <v>1</v>
      </c>
      <c r="B17" s="42"/>
      <c r="C17" s="42"/>
      <c r="D17" s="42"/>
      <c r="E17" s="42"/>
      <c r="F17" s="42"/>
      <c r="G17" s="42"/>
      <c r="H17" s="24"/>
      <c r="I17" s="24"/>
      <c r="J17" s="24"/>
      <c r="K17" s="24"/>
      <c r="L17" s="24"/>
      <c r="M17" s="24"/>
      <c r="N17" s="24"/>
      <c r="O17" s="24"/>
      <c r="P17" s="24"/>
    </row>
    <row r="18" spans="1:26" x14ac:dyDescent="0.25">
      <c r="A18" s="43" t="s">
        <v>56</v>
      </c>
      <c r="B18" s="44"/>
      <c r="C18" s="44"/>
      <c r="D18" s="54">
        <f>D3*D5</f>
        <v>46168.289999999994</v>
      </c>
      <c r="E18" s="54">
        <f t="shared" ref="E18:G18" si="9">E3*E5</f>
        <v>50900.539724999988</v>
      </c>
      <c r="F18" s="54">
        <f t="shared" si="9"/>
        <v>56117.845046812494</v>
      </c>
      <c r="G18" s="54">
        <f t="shared" si="9"/>
        <v>61869.92416411078</v>
      </c>
      <c r="H18" s="54"/>
      <c r="I18" s="54"/>
      <c r="J18" s="54"/>
      <c r="K18" s="54"/>
      <c r="L18" s="54"/>
      <c r="M18" s="54"/>
      <c r="N18" s="54"/>
      <c r="O18" s="54"/>
      <c r="P18" s="54"/>
    </row>
    <row r="19" spans="1:26" x14ac:dyDescent="0.25">
      <c r="A19" s="43" t="s">
        <v>57</v>
      </c>
      <c r="B19" s="44"/>
      <c r="C19" s="44"/>
      <c r="D19" s="54">
        <f t="shared" ref="D19:G19" si="10">D4*D6</f>
        <v>76947.149999999994</v>
      </c>
      <c r="E19" s="54">
        <f t="shared" si="10"/>
        <v>80048.120144999979</v>
      </c>
      <c r="F19" s="54">
        <f t="shared" si="10"/>
        <v>83274.059386843481</v>
      </c>
      <c r="G19" s="54">
        <f t="shared" si="10"/>
        <v>86630.003980133275</v>
      </c>
      <c r="H19" s="54"/>
      <c r="I19" s="54"/>
      <c r="J19" s="54"/>
      <c r="K19" s="54"/>
      <c r="L19" s="54"/>
      <c r="M19" s="54"/>
      <c r="N19" s="54"/>
      <c r="O19" s="54"/>
      <c r="P19" s="54"/>
    </row>
    <row r="20" spans="1:26" x14ac:dyDescent="0.25">
      <c r="A20" s="43"/>
      <c r="B20" s="44"/>
      <c r="C20" s="4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26" x14ac:dyDescent="0.25">
      <c r="A21" s="45" t="s">
        <v>58</v>
      </c>
      <c r="B21" s="44"/>
      <c r="C21" s="44"/>
      <c r="D21" s="54">
        <f>$Q$21*D18</f>
        <v>18467.315999999999</v>
      </c>
      <c r="E21" s="54">
        <f>$Q$21*E18</f>
        <v>20360.215889999996</v>
      </c>
      <c r="F21" s="54">
        <f>$Q$21*F18</f>
        <v>22447.138018725</v>
      </c>
      <c r="G21" s="54">
        <f>$Q$21*G18</f>
        <v>24747.969665644312</v>
      </c>
      <c r="H21" s="54"/>
      <c r="I21" s="54"/>
      <c r="J21" s="54"/>
      <c r="K21" s="54"/>
      <c r="L21" s="54"/>
      <c r="M21" s="54"/>
      <c r="N21" s="54"/>
      <c r="O21" s="54"/>
      <c r="P21" s="54"/>
      <c r="Q21" s="12">
        <v>0.4</v>
      </c>
    </row>
    <row r="22" spans="1:26" x14ac:dyDescent="0.25">
      <c r="A22" s="45" t="s">
        <v>59</v>
      </c>
      <c r="B22" s="44"/>
      <c r="C22" s="44"/>
      <c r="D22" s="54">
        <f>$Q$22*D19</f>
        <v>23084.144999999997</v>
      </c>
      <c r="E22" s="54">
        <f>$Q$22*E19</f>
        <v>24014.436043499994</v>
      </c>
      <c r="F22" s="54">
        <f>$Q$22*F19</f>
        <v>24982.217816053042</v>
      </c>
      <c r="G22" s="54">
        <f>$Q$22*G19</f>
        <v>25989.001194039982</v>
      </c>
      <c r="H22" s="54"/>
      <c r="I22" s="54"/>
      <c r="J22" s="54"/>
      <c r="K22" s="54"/>
      <c r="L22" s="54"/>
      <c r="M22" s="54"/>
      <c r="N22" s="54"/>
      <c r="O22" s="54"/>
      <c r="P22" s="54"/>
      <c r="Q22" s="12">
        <v>0.3</v>
      </c>
    </row>
    <row r="23" spans="1:26" x14ac:dyDescent="0.25">
      <c r="A23" s="43"/>
      <c r="B23" s="44"/>
      <c r="C23" s="4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</row>
    <row r="24" spans="1:26" x14ac:dyDescent="0.25">
      <c r="A24" s="45" t="s">
        <v>2</v>
      </c>
      <c r="B24" s="44"/>
      <c r="C24" s="4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1" t="s">
        <v>134</v>
      </c>
      <c r="R24" s="1" t="s">
        <v>135</v>
      </c>
    </row>
    <row r="25" spans="1:26" x14ac:dyDescent="0.25">
      <c r="A25" s="45"/>
      <c r="B25" s="44" t="s">
        <v>122</v>
      </c>
      <c r="C25" s="44"/>
      <c r="D25" s="54">
        <f>Q25*R25</f>
        <v>3400.0000000000005</v>
      </c>
      <c r="E25" s="54">
        <f>D25*(1+$S$25)</f>
        <v>3434.0000000000005</v>
      </c>
      <c r="F25" s="54">
        <f>E25*(1+$S$25)</f>
        <v>3468.3400000000006</v>
      </c>
      <c r="G25" s="54">
        <f>F25*(1+$S$25)</f>
        <v>3503.0234000000005</v>
      </c>
      <c r="H25" s="54"/>
      <c r="I25" s="54"/>
      <c r="J25" s="54"/>
      <c r="K25" s="54"/>
      <c r="L25" s="54"/>
      <c r="M25" s="54"/>
      <c r="N25" s="54"/>
      <c r="O25" s="54"/>
      <c r="P25" s="54"/>
      <c r="Q25" s="1">
        <v>1.36</v>
      </c>
      <c r="R25" s="1">
        <v>2500</v>
      </c>
      <c r="S25" s="1">
        <v>0.01</v>
      </c>
      <c r="T25" s="1" t="s">
        <v>129</v>
      </c>
      <c r="U25" s="1" t="s">
        <v>130</v>
      </c>
      <c r="V25" s="1" t="s">
        <v>131</v>
      </c>
      <c r="W25" s="1" t="s">
        <v>132</v>
      </c>
      <c r="X25" s="1" t="s">
        <v>133</v>
      </c>
      <c r="Y25" s="1" t="s">
        <v>128</v>
      </c>
      <c r="Z25" s="1" t="s">
        <v>124</v>
      </c>
    </row>
    <row r="26" spans="1:26" x14ac:dyDescent="0.25">
      <c r="A26" s="45"/>
      <c r="B26" s="44" t="s">
        <v>123</v>
      </c>
      <c r="C26" s="44"/>
      <c r="D26" s="54">
        <f>X26*Z26</f>
        <v>62400</v>
      </c>
      <c r="E26" s="54">
        <f>D26*(1+$Y$26)</f>
        <v>64272</v>
      </c>
      <c r="F26" s="54">
        <f>E26*(1+$Y$26)</f>
        <v>66200.160000000003</v>
      </c>
      <c r="G26" s="54">
        <f>F26*(1+$Y$26)</f>
        <v>68186.164799999999</v>
      </c>
      <c r="H26" s="54"/>
      <c r="I26" s="54"/>
      <c r="J26" s="54"/>
      <c r="K26" s="54"/>
      <c r="L26" s="54"/>
      <c r="M26" s="54"/>
      <c r="N26" s="54"/>
      <c r="O26" s="54"/>
      <c r="P26" s="54"/>
      <c r="T26" s="1">
        <v>40</v>
      </c>
      <c r="U26" s="1">
        <v>52</v>
      </c>
      <c r="V26" s="1">
        <f>T26*U26</f>
        <v>2080</v>
      </c>
      <c r="W26" s="14">
        <v>10</v>
      </c>
      <c r="X26" s="14">
        <f>V26*W26</f>
        <v>20800</v>
      </c>
      <c r="Y26" s="16">
        <v>0.03</v>
      </c>
      <c r="Z26" s="1">
        <v>3</v>
      </c>
    </row>
    <row r="27" spans="1:26" x14ac:dyDescent="0.25">
      <c r="A27" s="45"/>
      <c r="B27" s="44" t="s">
        <v>16</v>
      </c>
      <c r="C27" s="44"/>
      <c r="D27" s="54">
        <f>SUM(D18:D19)*$Q$27</f>
        <v>24623.088</v>
      </c>
      <c r="E27" s="54">
        <f>SUM(E18:E19)*$Q$27</f>
        <v>26189.731973999995</v>
      </c>
      <c r="F27" s="54">
        <f>SUM(F18:F19)*$Q$27</f>
        <v>27878.380886731193</v>
      </c>
      <c r="G27" s="54">
        <f>SUM(G18:G19)*$Q$27</f>
        <v>29699.985628848815</v>
      </c>
      <c r="H27" s="54"/>
      <c r="I27" s="54"/>
      <c r="J27" s="54"/>
      <c r="K27" s="54"/>
      <c r="L27" s="54"/>
      <c r="M27" s="54"/>
      <c r="N27" s="54"/>
      <c r="O27" s="54"/>
      <c r="P27" s="54"/>
      <c r="Q27" s="16">
        <v>0.2</v>
      </c>
    </row>
    <row r="28" spans="1:26" x14ac:dyDescent="0.25">
      <c r="A28" s="45"/>
      <c r="B28" s="44"/>
      <c r="C28" s="4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</row>
    <row r="29" spans="1:26" x14ac:dyDescent="0.25">
      <c r="A29" s="45" t="s">
        <v>3</v>
      </c>
      <c r="B29" s="44"/>
      <c r="C29" s="44"/>
      <c r="D29" s="54">
        <f>$D$45*$Q$29</f>
        <v>2500</v>
      </c>
      <c r="E29" s="54">
        <f>$D$45*$Q$29</f>
        <v>2500</v>
      </c>
      <c r="F29" s="54">
        <f>$D$45*$Q$29</f>
        <v>2500</v>
      </c>
      <c r="G29" s="54">
        <f>$D$45*$Q$29</f>
        <v>2500</v>
      </c>
      <c r="H29" s="54"/>
      <c r="I29" s="54"/>
      <c r="J29" s="54"/>
      <c r="K29" s="54"/>
      <c r="L29" s="54"/>
      <c r="M29" s="54"/>
      <c r="N29" s="54"/>
      <c r="O29" s="54"/>
      <c r="P29" s="54"/>
      <c r="Q29" s="16">
        <f>1/30</f>
        <v>3.3333333333333333E-2</v>
      </c>
    </row>
    <row r="30" spans="1:26" x14ac:dyDescent="0.25">
      <c r="A30" s="45" t="s">
        <v>4</v>
      </c>
      <c r="B30" s="44"/>
      <c r="C30" s="44"/>
      <c r="D30" s="54">
        <f>Mortgage!E14</f>
        <v>2680.1982157356338</v>
      </c>
      <c r="E30" s="54">
        <f>Mortgage!E28</f>
        <v>2635.7314045555554</v>
      </c>
      <c r="F30" s="54">
        <f>Mortgage!E42</f>
        <v>2589.2217958497513</v>
      </c>
      <c r="G30" s="54">
        <f>Mortgage!E56</f>
        <v>2540.5755438572965</v>
      </c>
      <c r="H30" s="54"/>
      <c r="I30" s="54"/>
      <c r="J30" s="54"/>
      <c r="K30" s="54"/>
      <c r="L30" s="54"/>
      <c r="M30" s="54"/>
      <c r="N30" s="54"/>
      <c r="O30" s="54"/>
      <c r="P30" s="54"/>
    </row>
    <row r="31" spans="1:26" x14ac:dyDescent="0.25">
      <c r="A31" s="45" t="s">
        <v>17</v>
      </c>
      <c r="B31" s="44"/>
      <c r="C31" s="44"/>
      <c r="D31" s="54">
        <f>D59*$Q$31</f>
        <v>2334</v>
      </c>
      <c r="E31" s="54">
        <f>E59*$Q$31</f>
        <v>3872.2983121908155</v>
      </c>
      <c r="F31" s="54">
        <f>F59*$Q$31</f>
        <v>5393.1443927149176</v>
      </c>
      <c r="G31" s="54">
        <f>G59*$Q$31</f>
        <v>6870.5</v>
      </c>
      <c r="H31" s="54"/>
      <c r="I31" s="54"/>
      <c r="J31" s="54"/>
      <c r="K31" s="54"/>
      <c r="L31" s="54"/>
      <c r="M31" s="54"/>
      <c r="N31" s="54"/>
      <c r="O31" s="54"/>
      <c r="P31" s="54"/>
      <c r="Q31" s="16">
        <v>0.1</v>
      </c>
    </row>
    <row r="32" spans="1:26" x14ac:dyDescent="0.25">
      <c r="A32" s="45"/>
      <c r="B32" s="44"/>
      <c r="C32" s="4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</row>
    <row r="33" spans="1:23" x14ac:dyDescent="0.25">
      <c r="A33" s="45" t="s">
        <v>5</v>
      </c>
      <c r="B33" s="44"/>
      <c r="C33" s="44"/>
      <c r="D33" s="54">
        <f t="shared" ref="D33:G33" si="11">SUM(D18:D19)-SUM(D21:D31)</f>
        <v>-16373.307215735651</v>
      </c>
      <c r="E33" s="54">
        <f t="shared" si="11"/>
        <v>-16329.753754246369</v>
      </c>
      <c r="F33" s="54">
        <f t="shared" si="11"/>
        <v>-16066.69847641798</v>
      </c>
      <c r="G33" s="54">
        <f t="shared" si="11"/>
        <v>-15537.292088146321</v>
      </c>
      <c r="H33" s="54"/>
      <c r="I33" s="54"/>
      <c r="J33" s="54"/>
      <c r="K33" s="54"/>
      <c r="L33" s="54"/>
      <c r="M33" s="54"/>
      <c r="N33" s="54"/>
      <c r="O33" s="54"/>
      <c r="P33" s="54"/>
    </row>
    <row r="34" spans="1:23" x14ac:dyDescent="0.25">
      <c r="A34" s="45" t="s">
        <v>6</v>
      </c>
      <c r="B34" s="44"/>
      <c r="C34" s="44"/>
      <c r="D34" s="54">
        <f>IF(D33&lt;0, 0, D33*$Q$34)</f>
        <v>0</v>
      </c>
      <c r="E34" s="54">
        <f>IF(E33&lt;0, 0, E33*$Q$34)</f>
        <v>0</v>
      </c>
      <c r="F34" s="54">
        <f>IF(F33&lt;0, 0, F33*$Q$34)</f>
        <v>0</v>
      </c>
      <c r="G34" s="54">
        <f>IF(G33&lt;0, 0, G33*$Q$34)</f>
        <v>0</v>
      </c>
      <c r="H34" s="54"/>
      <c r="I34" s="54"/>
      <c r="J34" s="54"/>
      <c r="K34" s="54"/>
      <c r="L34" s="54"/>
      <c r="M34" s="54"/>
      <c r="N34" s="54"/>
      <c r="O34" s="54"/>
      <c r="P34" s="54"/>
      <c r="Q34" s="16">
        <v>0.3</v>
      </c>
    </row>
    <row r="35" spans="1:23" x14ac:dyDescent="0.25">
      <c r="A35" s="46" t="s">
        <v>18</v>
      </c>
      <c r="B35" s="44"/>
      <c r="C35" s="44"/>
      <c r="D35" s="54">
        <f>D33-D34</f>
        <v>-16373.307215735651</v>
      </c>
      <c r="E35" s="54">
        <f t="shared" ref="E35:G35" si="12">E33-E34</f>
        <v>-16329.753754246369</v>
      </c>
      <c r="F35" s="54">
        <f t="shared" si="12"/>
        <v>-16066.69847641798</v>
      </c>
      <c r="G35" s="54">
        <f t="shared" si="12"/>
        <v>-15537.292088146321</v>
      </c>
      <c r="H35" s="54"/>
      <c r="I35" s="54"/>
      <c r="J35" s="54"/>
      <c r="K35" s="54"/>
      <c r="L35" s="54"/>
      <c r="M35" s="54"/>
      <c r="N35" s="54"/>
      <c r="O35" s="54"/>
      <c r="P35" s="54"/>
    </row>
    <row r="36" spans="1:23" x14ac:dyDescent="0.25">
      <c r="A36" s="45"/>
      <c r="B36" s="44"/>
      <c r="C36" s="44"/>
      <c r="D36" s="54"/>
      <c r="E36" s="54"/>
      <c r="F36" s="54"/>
      <c r="G36" s="54"/>
      <c r="H36" s="54"/>
      <c r="N36" s="54"/>
      <c r="O36" s="54"/>
      <c r="P36" s="54"/>
    </row>
    <row r="37" spans="1:23" ht="15.75" thickBot="1" x14ac:dyDescent="0.3">
      <c r="A37" s="46" t="s">
        <v>7</v>
      </c>
      <c r="B37" s="44"/>
      <c r="C37" s="4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</row>
    <row r="38" spans="1:23" x14ac:dyDescent="0.25">
      <c r="A38" s="46" t="s">
        <v>8</v>
      </c>
      <c r="B38" s="44"/>
      <c r="C38" s="44"/>
      <c r="D38" s="54"/>
      <c r="E38" s="54"/>
      <c r="F38" s="54"/>
      <c r="G38" s="54"/>
      <c r="H38" s="82"/>
      <c r="I38" s="83" t="s">
        <v>136</v>
      </c>
      <c r="J38" s="84" t="s">
        <v>137</v>
      </c>
      <c r="K38" s="77"/>
      <c r="L38" s="77"/>
      <c r="M38" s="77"/>
      <c r="N38" s="54"/>
      <c r="O38" s="54"/>
      <c r="P38" s="54"/>
    </row>
    <row r="39" spans="1:23" x14ac:dyDescent="0.25">
      <c r="A39" s="45" t="s">
        <v>19</v>
      </c>
      <c r="B39" s="44"/>
      <c r="C39" s="44"/>
      <c r="D39" s="77">
        <f>(D18+D19)*$R$39</f>
        <v>4198.2365039999995</v>
      </c>
      <c r="E39" s="77">
        <f>(E18+E19)*$R$39</f>
        <v>4465.3493015669992</v>
      </c>
      <c r="F39" s="77">
        <f>(F18+F19)*$R$39</f>
        <v>4753.263941187668</v>
      </c>
      <c r="G39" s="77">
        <f>(G18+G19)*$R$39</f>
        <v>5063.8475497187228</v>
      </c>
      <c r="H39" s="85">
        <v>1</v>
      </c>
      <c r="I39" s="77"/>
      <c r="J39" s="86">
        <f>G39*H39</f>
        <v>5063.8475497187228</v>
      </c>
      <c r="K39" s="81"/>
      <c r="L39" s="81"/>
      <c r="M39" s="81"/>
      <c r="N39" s="77"/>
      <c r="O39" s="77"/>
      <c r="P39" s="77"/>
      <c r="Q39" s="76"/>
      <c r="R39" s="68">
        <v>3.4099999999999998E-2</v>
      </c>
    </row>
    <row r="40" spans="1:23" x14ac:dyDescent="0.25">
      <c r="A40" s="45" t="s">
        <v>20</v>
      </c>
      <c r="B40" s="44"/>
      <c r="C40" s="44"/>
      <c r="D40" s="54"/>
      <c r="E40" s="54"/>
      <c r="F40" s="54"/>
      <c r="G40" s="54"/>
      <c r="H40" s="85"/>
      <c r="I40" s="77"/>
      <c r="J40" s="86"/>
      <c r="K40" s="81"/>
      <c r="L40" s="81"/>
      <c r="M40" s="81"/>
      <c r="N40" s="54"/>
      <c r="O40" s="54"/>
      <c r="P40" s="54"/>
    </row>
    <row r="41" spans="1:23" x14ac:dyDescent="0.25">
      <c r="A41" s="45" t="s">
        <v>9</v>
      </c>
      <c r="B41" s="44"/>
      <c r="C41" s="44"/>
      <c r="D41" s="70">
        <f t="shared" ref="D41:G41" si="13">D7*(D14/365)</f>
        <v>4300.6078356164371</v>
      </c>
      <c r="E41" s="54">
        <f t="shared" si="13"/>
        <v>4574.2340091575334</v>
      </c>
      <c r="F41" s="54">
        <f t="shared" si="13"/>
        <v>4869.169264463324</v>
      </c>
      <c r="G41" s="54">
        <f t="shared" si="13"/>
        <v>5187.3262570934567</v>
      </c>
      <c r="H41" s="85">
        <v>0.5</v>
      </c>
      <c r="I41" s="77"/>
      <c r="J41" s="86">
        <f t="shared" ref="J41:J42" si="14">G41*H41</f>
        <v>2593.6631285467283</v>
      </c>
      <c r="K41" s="81"/>
      <c r="L41" s="81"/>
      <c r="M41" s="81"/>
      <c r="N41" s="54"/>
      <c r="O41" s="54"/>
      <c r="P41" s="54"/>
      <c r="Q41" s="26"/>
      <c r="R41" s="26"/>
      <c r="S41" s="26"/>
      <c r="T41" s="26"/>
      <c r="U41" s="26"/>
      <c r="V41" s="26"/>
      <c r="W41" s="26"/>
    </row>
    <row r="42" spans="1:23" x14ac:dyDescent="0.25">
      <c r="A42" s="45" t="s">
        <v>24</v>
      </c>
      <c r="B42" s="44"/>
      <c r="C42" s="44"/>
      <c r="D42" s="70">
        <f t="shared" ref="D42:G42" si="15">(D8*(D21/365))+(D8*(D22/365))</f>
        <v>3415.1885753424649</v>
      </c>
      <c r="E42" s="54">
        <f t="shared" si="15"/>
        <v>3647.2316657671226</v>
      </c>
      <c r="F42" s="54">
        <f t="shared" si="15"/>
        <v>3898.3032192968253</v>
      </c>
      <c r="G42" s="54">
        <f t="shared" si="15"/>
        <v>4170.1619884672018</v>
      </c>
      <c r="H42" s="85">
        <v>0.3</v>
      </c>
      <c r="I42" s="77"/>
      <c r="J42" s="86">
        <f t="shared" si="14"/>
        <v>1251.0485965401606</v>
      </c>
      <c r="K42" s="81"/>
      <c r="L42" s="81"/>
      <c r="M42" s="81"/>
      <c r="N42" s="54"/>
      <c r="O42" s="54"/>
      <c r="P42" s="54"/>
      <c r="Q42" s="26"/>
      <c r="R42" s="26"/>
      <c r="S42" s="26"/>
      <c r="T42" s="26"/>
      <c r="U42" s="26"/>
      <c r="V42" s="26"/>
      <c r="W42" s="26"/>
    </row>
    <row r="43" spans="1:23" x14ac:dyDescent="0.25">
      <c r="A43" s="45"/>
      <c r="B43" s="44"/>
      <c r="C43" s="44"/>
      <c r="D43" s="54"/>
      <c r="E43" s="54"/>
      <c r="F43" s="54"/>
      <c r="G43" s="54"/>
      <c r="H43" s="85"/>
      <c r="I43" s="77"/>
      <c r="J43" s="80"/>
      <c r="K43" s="77"/>
      <c r="L43" s="77"/>
      <c r="M43" s="77"/>
      <c r="N43" s="54"/>
      <c r="O43" s="54"/>
      <c r="P43" s="54"/>
      <c r="Q43" s="26"/>
      <c r="R43" s="26" t="s">
        <v>119</v>
      </c>
      <c r="S43" s="26" t="s">
        <v>120</v>
      </c>
      <c r="T43" s="26"/>
      <c r="U43" s="26"/>
      <c r="V43" s="26"/>
      <c r="W43" s="26"/>
    </row>
    <row r="44" spans="1:23" x14ac:dyDescent="0.25">
      <c r="A44" s="45" t="s">
        <v>118</v>
      </c>
      <c r="B44" s="44"/>
      <c r="C44" s="44"/>
      <c r="D44" s="54">
        <f>R44*S44</f>
        <v>25000</v>
      </c>
      <c r="E44" s="54">
        <f>D44</f>
        <v>25000</v>
      </c>
      <c r="F44" s="54">
        <f t="shared" ref="F44:G45" si="16">E44</f>
        <v>25000</v>
      </c>
      <c r="G44" s="54">
        <f t="shared" si="16"/>
        <v>25000</v>
      </c>
      <c r="H44" s="85">
        <v>1</v>
      </c>
      <c r="I44" s="77">
        <f>G44*H44</f>
        <v>25000</v>
      </c>
      <c r="J44" s="80"/>
      <c r="K44" s="77"/>
      <c r="L44" s="77"/>
      <c r="M44" s="77"/>
      <c r="N44" s="54"/>
      <c r="O44" s="54"/>
      <c r="P44" s="54"/>
      <c r="Q44" s="26"/>
      <c r="R44" s="26">
        <v>0.25</v>
      </c>
      <c r="S44" s="109">
        <v>100000</v>
      </c>
      <c r="T44" s="26" t="s">
        <v>125</v>
      </c>
      <c r="U44" s="26" t="s">
        <v>126</v>
      </c>
      <c r="V44" s="26" t="s">
        <v>127</v>
      </c>
      <c r="W44" s="26"/>
    </row>
    <row r="45" spans="1:23" x14ac:dyDescent="0.25">
      <c r="A45" s="45" t="s">
        <v>117</v>
      </c>
      <c r="B45" s="44"/>
      <c r="C45" s="44"/>
      <c r="D45" s="54">
        <f>$V$45</f>
        <v>75000</v>
      </c>
      <c r="E45" s="54">
        <f>D45</f>
        <v>75000</v>
      </c>
      <c r="F45" s="54">
        <f t="shared" si="16"/>
        <v>75000</v>
      </c>
      <c r="G45" s="54">
        <f t="shared" si="16"/>
        <v>75000</v>
      </c>
      <c r="H45" s="85">
        <v>0.8</v>
      </c>
      <c r="I45" s="77">
        <f>G45*H45</f>
        <v>60000</v>
      </c>
      <c r="J45" s="80"/>
      <c r="K45" s="77"/>
      <c r="L45" s="77"/>
      <c r="M45" s="77"/>
      <c r="N45" s="54"/>
      <c r="O45" s="54"/>
      <c r="P45" s="54"/>
      <c r="Q45" s="26"/>
      <c r="R45" s="26"/>
      <c r="S45" s="26"/>
      <c r="T45" s="26">
        <v>2500</v>
      </c>
      <c r="U45" s="26">
        <v>30</v>
      </c>
      <c r="V45" s="26">
        <f>T45*U45</f>
        <v>75000</v>
      </c>
      <c r="W45" s="26"/>
    </row>
    <row r="46" spans="1:23" x14ac:dyDescent="0.25">
      <c r="A46" s="45" t="s">
        <v>10</v>
      </c>
      <c r="B46" s="44"/>
      <c r="C46" s="44"/>
      <c r="D46" s="54">
        <f>C46+D29</f>
        <v>2500</v>
      </c>
      <c r="E46" s="54">
        <f t="shared" ref="E46:G46" si="17">D46+E29</f>
        <v>5000</v>
      </c>
      <c r="F46" s="54">
        <f t="shared" si="17"/>
        <v>7500</v>
      </c>
      <c r="G46" s="54">
        <f t="shared" si="17"/>
        <v>10000</v>
      </c>
      <c r="H46" s="85"/>
      <c r="I46" s="77"/>
      <c r="J46" s="80"/>
      <c r="K46" s="77"/>
      <c r="L46" s="77"/>
      <c r="M46" s="77"/>
      <c r="N46" s="54"/>
      <c r="O46" s="54"/>
      <c r="P46" s="54"/>
      <c r="Q46" s="26"/>
      <c r="R46" s="26"/>
      <c r="S46" s="26"/>
      <c r="T46" s="26"/>
      <c r="U46" s="26"/>
      <c r="V46" s="26"/>
      <c r="W46" s="26"/>
    </row>
    <row r="47" spans="1:23" x14ac:dyDescent="0.25">
      <c r="A47" s="45"/>
      <c r="B47" s="44"/>
      <c r="C47" s="44"/>
      <c r="D47" s="54"/>
      <c r="E47" s="54"/>
      <c r="F47" s="54"/>
      <c r="G47" s="54"/>
      <c r="H47" s="85"/>
      <c r="I47" s="77"/>
      <c r="J47" s="80"/>
      <c r="K47" s="77"/>
      <c r="L47" s="77"/>
      <c r="M47" s="77"/>
      <c r="N47" s="54"/>
      <c r="O47" s="54"/>
      <c r="P47" s="77"/>
      <c r="Q47" s="44"/>
      <c r="R47" s="44"/>
      <c r="S47" s="99"/>
      <c r="T47" s="44"/>
      <c r="U47" s="44"/>
      <c r="V47" s="44"/>
      <c r="W47" s="26"/>
    </row>
    <row r="48" spans="1:23" x14ac:dyDescent="0.25">
      <c r="A48" s="46" t="s">
        <v>11</v>
      </c>
      <c r="B48" s="44"/>
      <c r="C48" s="44"/>
      <c r="D48" s="54">
        <f>SUM(D39:D45)-D46</f>
        <v>109414.03291495889</v>
      </c>
      <c r="E48" s="54">
        <f t="shared" ref="E48:G48" si="18">SUM(E39:E45)-E46</f>
        <v>107686.81497649166</v>
      </c>
      <c r="F48" s="54">
        <f t="shared" si="18"/>
        <v>106020.73642494783</v>
      </c>
      <c r="G48" s="54">
        <f t="shared" si="18"/>
        <v>104421.33579527939</v>
      </c>
      <c r="H48" s="85"/>
      <c r="I48" s="77"/>
      <c r="J48" s="80"/>
      <c r="K48" s="77"/>
      <c r="L48" s="77"/>
      <c r="M48" s="77"/>
      <c r="N48" s="54"/>
      <c r="O48" s="54"/>
      <c r="P48" s="77"/>
      <c r="Q48" s="44"/>
      <c r="R48" s="44"/>
      <c r="S48" s="99"/>
      <c r="T48" s="44"/>
      <c r="U48" s="44"/>
      <c r="V48" s="44"/>
      <c r="W48" s="26"/>
    </row>
    <row r="49" spans="1:22" x14ac:dyDescent="0.25">
      <c r="A49" s="45"/>
      <c r="B49" s="44"/>
      <c r="C49" s="44"/>
      <c r="D49" s="54"/>
      <c r="E49" s="54"/>
      <c r="F49" s="54"/>
      <c r="G49" s="54"/>
      <c r="H49" s="85"/>
      <c r="I49" s="77"/>
      <c r="J49" s="80"/>
      <c r="K49" s="77"/>
      <c r="L49" s="77"/>
      <c r="M49" s="77"/>
      <c r="N49" s="54"/>
      <c r="O49" s="54"/>
      <c r="P49" s="77"/>
      <c r="Q49" s="44"/>
      <c r="R49" s="44"/>
      <c r="S49" s="102"/>
      <c r="T49" s="44"/>
      <c r="U49" s="44"/>
      <c r="V49" s="44"/>
    </row>
    <row r="50" spans="1:22" x14ac:dyDescent="0.25">
      <c r="A50" s="46" t="s">
        <v>12</v>
      </c>
      <c r="B50" s="44"/>
      <c r="C50" s="44"/>
      <c r="D50" s="54"/>
      <c r="E50" s="54"/>
      <c r="F50" s="54"/>
      <c r="G50" s="54"/>
      <c r="H50" s="85"/>
      <c r="I50" s="77"/>
      <c r="J50" s="80"/>
      <c r="K50" s="77"/>
      <c r="L50" s="77"/>
      <c r="M50" s="77"/>
      <c r="N50" s="54"/>
      <c r="O50" s="54"/>
      <c r="P50" s="77"/>
      <c r="Q50" s="44"/>
      <c r="R50" s="44"/>
      <c r="S50" s="103"/>
      <c r="T50" s="44"/>
      <c r="U50" s="44"/>
      <c r="V50" s="44"/>
    </row>
    <row r="51" spans="1:22" x14ac:dyDescent="0.25">
      <c r="A51" s="57" t="s">
        <v>25</v>
      </c>
      <c r="B51" s="44"/>
      <c r="C51" s="44"/>
      <c r="D51" s="54">
        <f t="shared" ref="D51:G51" si="19">SUM(D21:D22)/365*D9</f>
        <v>3415.1885753424654</v>
      </c>
      <c r="E51" s="54">
        <f t="shared" si="19"/>
        <v>3647.2316657671226</v>
      </c>
      <c r="F51" s="54">
        <f t="shared" si="19"/>
        <v>3898.3032192968258</v>
      </c>
      <c r="G51" s="54">
        <f t="shared" si="19"/>
        <v>4170.1619884672027</v>
      </c>
      <c r="H51" s="85">
        <v>-1</v>
      </c>
      <c r="I51" s="77"/>
      <c r="J51" s="86">
        <f>G51*H51</f>
        <v>-4170.1619884672027</v>
      </c>
      <c r="K51" s="81"/>
      <c r="L51" s="81"/>
      <c r="M51" s="81"/>
      <c r="N51" s="54"/>
      <c r="O51" s="54"/>
      <c r="P51" s="77"/>
      <c r="Q51" s="44"/>
      <c r="R51" s="44"/>
      <c r="S51" s="44"/>
      <c r="T51" s="44"/>
      <c r="U51" s="44"/>
      <c r="V51" s="44"/>
    </row>
    <row r="52" spans="1:22" x14ac:dyDescent="0.25">
      <c r="A52" s="45" t="s">
        <v>13</v>
      </c>
      <c r="B52" s="44"/>
      <c r="C52" s="44"/>
      <c r="D52" s="54">
        <f>D34</f>
        <v>0</v>
      </c>
      <c r="E52" s="54">
        <f t="shared" ref="E52:G52" si="20">E34</f>
        <v>0</v>
      </c>
      <c r="F52" s="54">
        <f t="shared" si="20"/>
        <v>0</v>
      </c>
      <c r="G52" s="54">
        <f t="shared" si="20"/>
        <v>0</v>
      </c>
      <c r="H52" s="85" t="s">
        <v>138</v>
      </c>
      <c r="I52" s="77">
        <f>SUM(I39:I51)</f>
        <v>85000</v>
      </c>
      <c r="J52" s="80">
        <f>SUM(J39:J51)</f>
        <v>4738.3972863384088</v>
      </c>
      <c r="K52" s="77"/>
      <c r="L52" s="77"/>
      <c r="M52" s="77"/>
      <c r="N52" s="54"/>
      <c r="O52" s="54"/>
      <c r="P52" s="77"/>
      <c r="Q52" s="44"/>
      <c r="R52" s="44"/>
      <c r="S52" s="44"/>
      <c r="T52" s="44"/>
      <c r="U52" s="44"/>
      <c r="V52" s="44"/>
    </row>
    <row r="53" spans="1:22" x14ac:dyDescent="0.25">
      <c r="A53" s="45"/>
      <c r="B53" s="44"/>
      <c r="C53" s="44"/>
      <c r="D53" s="54"/>
      <c r="E53" s="54"/>
      <c r="F53" s="54"/>
      <c r="G53" s="54"/>
      <c r="H53" s="72" t="s">
        <v>154</v>
      </c>
      <c r="I53" s="54"/>
      <c r="J53" s="55">
        <f>I52-G58</f>
        <v>29146.809962987129</v>
      </c>
      <c r="K53" s="54"/>
      <c r="L53" s="54"/>
      <c r="M53" s="54"/>
      <c r="N53" s="54"/>
      <c r="O53" s="54"/>
      <c r="P53" s="77"/>
      <c r="Q53" s="44"/>
      <c r="R53" s="44"/>
      <c r="S53" s="44"/>
      <c r="T53" s="44"/>
      <c r="U53" s="44"/>
      <c r="V53" s="44"/>
    </row>
    <row r="54" spans="1:22" x14ac:dyDescent="0.25">
      <c r="A54" s="45"/>
      <c r="B54" s="44"/>
      <c r="C54" s="44"/>
      <c r="D54" s="54"/>
      <c r="E54" s="54"/>
      <c r="F54" s="54"/>
      <c r="G54" s="54"/>
      <c r="H54" s="88" t="s">
        <v>155</v>
      </c>
      <c r="I54" s="54"/>
      <c r="J54" s="55">
        <v>5000</v>
      </c>
      <c r="K54" s="54"/>
      <c r="L54" s="54"/>
      <c r="M54" s="54"/>
      <c r="N54" s="54"/>
      <c r="O54" s="54"/>
      <c r="P54" s="77"/>
      <c r="Q54" s="44"/>
      <c r="R54" s="44"/>
      <c r="S54" s="44"/>
      <c r="T54" s="44"/>
      <c r="U54" s="44"/>
      <c r="V54" s="44"/>
    </row>
    <row r="55" spans="1:22" ht="15.75" thickBot="1" x14ac:dyDescent="0.3">
      <c r="A55" s="45"/>
      <c r="B55" s="44"/>
      <c r="C55" s="44"/>
      <c r="D55" s="54"/>
      <c r="E55" s="54"/>
      <c r="F55" s="54"/>
      <c r="G55" s="54"/>
      <c r="H55" s="89" t="s">
        <v>138</v>
      </c>
      <c r="I55" s="90"/>
      <c r="J55" s="91">
        <f>J53-J54+J52</f>
        <v>28885.207249325536</v>
      </c>
      <c r="K55" s="54"/>
      <c r="L55" s="54"/>
      <c r="M55" s="54"/>
      <c r="N55" s="54"/>
      <c r="O55" s="54"/>
      <c r="P55" s="77"/>
      <c r="Q55" s="44"/>
      <c r="R55" s="44"/>
      <c r="S55" s="44"/>
      <c r="T55" s="44"/>
      <c r="U55" s="44"/>
      <c r="V55" s="44"/>
    </row>
    <row r="56" spans="1:22" ht="15.75" thickBot="1" x14ac:dyDescent="0.3">
      <c r="A56" s="45"/>
      <c r="B56" s="44"/>
      <c r="C56" s="44"/>
      <c r="D56" s="54"/>
      <c r="E56" s="54"/>
      <c r="F56" s="54"/>
      <c r="G56" s="54"/>
      <c r="H56" s="16"/>
      <c r="I56" s="54"/>
      <c r="J56" s="54"/>
      <c r="K56" s="54"/>
      <c r="L56" s="54"/>
      <c r="M56" s="54"/>
      <c r="N56" s="54"/>
      <c r="O56" s="54"/>
      <c r="P56" s="77"/>
      <c r="Q56" s="44"/>
      <c r="R56" s="44"/>
      <c r="S56" s="44"/>
      <c r="T56" s="44"/>
      <c r="U56" s="44"/>
      <c r="V56" s="44"/>
    </row>
    <row r="57" spans="1:22" ht="15.75" thickBot="1" x14ac:dyDescent="0.3">
      <c r="A57" s="45"/>
      <c r="B57" s="44"/>
      <c r="C57" s="67">
        <v>0.6</v>
      </c>
      <c r="D57" s="54"/>
      <c r="E57" s="54"/>
      <c r="F57" s="54"/>
      <c r="G57" s="54"/>
      <c r="H57" s="54"/>
      <c r="I57" s="110" t="s">
        <v>139</v>
      </c>
      <c r="J57" s="111" t="s">
        <v>140</v>
      </c>
      <c r="K57" s="111" t="s">
        <v>141</v>
      </c>
      <c r="L57" s="111" t="s">
        <v>142</v>
      </c>
      <c r="M57" s="111" t="s">
        <v>143</v>
      </c>
      <c r="N57" s="112" t="s">
        <v>144</v>
      </c>
      <c r="O57" s="54"/>
      <c r="P57" s="77"/>
      <c r="Q57" s="44"/>
      <c r="R57" s="44"/>
      <c r="S57" s="44"/>
      <c r="T57" s="44"/>
      <c r="U57" s="44"/>
      <c r="V57" s="44"/>
    </row>
    <row r="58" spans="1:22" x14ac:dyDescent="0.25">
      <c r="A58" s="45" t="s">
        <v>22</v>
      </c>
      <c r="B58" s="44"/>
      <c r="D58" s="54">
        <f>Mortgage!G13</f>
        <v>59032.063984989283</v>
      </c>
      <c r="E58" s="54">
        <f>Mortgage!G27</f>
        <v>58019.661158798495</v>
      </c>
      <c r="F58" s="54">
        <f>Mortgage!G41</f>
        <v>56960.74872390191</v>
      </c>
      <c r="G58" s="54">
        <f>Mortgage!G55</f>
        <v>55853.190037012871</v>
      </c>
      <c r="I58" s="92">
        <f>G58</f>
        <v>55853.190037012871</v>
      </c>
      <c r="J58" s="54">
        <f>IF((G58-I58)&lt;0,0,G58-I58)</f>
        <v>0</v>
      </c>
      <c r="K58" s="87">
        <f>J58/J60</f>
        <v>0</v>
      </c>
      <c r="L58" s="54">
        <f>K58*$J$55</f>
        <v>0</v>
      </c>
      <c r="M58" s="54">
        <f>IF(J58=0,G58,I58+L58)</f>
        <v>55853.190037012871</v>
      </c>
      <c r="N58" s="93">
        <f>M58/G58</f>
        <v>1</v>
      </c>
      <c r="O58" s="54"/>
      <c r="P58" s="77"/>
      <c r="Q58" s="95"/>
      <c r="R58" s="103"/>
      <c r="S58" s="99"/>
      <c r="T58" s="104"/>
      <c r="U58" s="99"/>
      <c r="V58" s="44"/>
    </row>
    <row r="59" spans="1:22" x14ac:dyDescent="0.25">
      <c r="A59" s="45" t="s">
        <v>21</v>
      </c>
      <c r="B59" s="44"/>
      <c r="C59" s="44"/>
      <c r="D59" s="54">
        <v>23340</v>
      </c>
      <c r="E59" s="54">
        <v>38722.983121908153</v>
      </c>
      <c r="F59" s="54">
        <v>53931.443927149172</v>
      </c>
      <c r="G59" s="54">
        <v>68705</v>
      </c>
      <c r="H59" s="54"/>
      <c r="I59" s="92"/>
      <c r="J59" s="54">
        <f>G59</f>
        <v>68705</v>
      </c>
      <c r="K59" s="87">
        <f>J59/J60</f>
        <v>1</v>
      </c>
      <c r="L59" s="54">
        <f>K59*$J$55</f>
        <v>28885.207249325536</v>
      </c>
      <c r="M59" s="54">
        <f>I59+L59</f>
        <v>28885.207249325536</v>
      </c>
      <c r="N59" s="93">
        <f>M59/G59</f>
        <v>0.42042365547377247</v>
      </c>
      <c r="O59" s="54"/>
      <c r="P59" s="77"/>
      <c r="Q59" s="95"/>
      <c r="R59" s="103"/>
      <c r="S59" s="67"/>
      <c r="T59" s="104"/>
      <c r="U59" s="99"/>
      <c r="V59" s="44"/>
    </row>
    <row r="60" spans="1:22" ht="15.75" thickBot="1" x14ac:dyDescent="0.3">
      <c r="A60" s="45"/>
      <c r="B60" s="44"/>
      <c r="C60" s="44"/>
      <c r="D60" s="54"/>
      <c r="E60" s="54"/>
      <c r="F60" s="54"/>
      <c r="G60" s="54"/>
      <c r="H60" s="54"/>
      <c r="I60" s="94"/>
      <c r="J60" s="90">
        <f>SUM(J58:J59)</f>
        <v>68705</v>
      </c>
      <c r="K60" s="90"/>
      <c r="L60" s="90"/>
      <c r="M60" s="90"/>
      <c r="N60" s="91"/>
      <c r="O60" s="54"/>
      <c r="P60" s="77"/>
      <c r="Q60" s="44"/>
      <c r="R60" s="44"/>
      <c r="S60" s="44"/>
      <c r="T60" s="44"/>
      <c r="U60" s="44"/>
      <c r="V60" s="44"/>
    </row>
    <row r="61" spans="1:22" x14ac:dyDescent="0.25">
      <c r="A61" s="45" t="s">
        <v>23</v>
      </c>
      <c r="B61" s="44"/>
      <c r="C61" s="44"/>
      <c r="D61" s="54">
        <f>(D44+D45)-Mortgage!J6</f>
        <v>40000</v>
      </c>
      <c r="E61" s="54">
        <f>D61</f>
        <v>40000</v>
      </c>
      <c r="F61" s="54">
        <f t="shared" ref="F61:G61" si="21">E61</f>
        <v>40000</v>
      </c>
      <c r="G61" s="54">
        <f t="shared" si="21"/>
        <v>40000</v>
      </c>
      <c r="H61" s="54"/>
      <c r="I61" s="54"/>
      <c r="J61" s="54"/>
      <c r="K61" s="54"/>
      <c r="L61" s="54"/>
      <c r="M61" s="54"/>
      <c r="N61" s="54"/>
      <c r="O61" s="54"/>
      <c r="P61" s="77"/>
      <c r="Q61" s="95"/>
      <c r="R61" s="103"/>
      <c r="S61" s="99"/>
      <c r="T61" s="99"/>
      <c r="U61" s="99"/>
      <c r="V61" s="44"/>
    </row>
    <row r="62" spans="1:22" x14ac:dyDescent="0.25">
      <c r="A62" s="45" t="s">
        <v>14</v>
      </c>
      <c r="B62" s="44"/>
      <c r="C62" s="5"/>
      <c r="D62" s="54">
        <f>C62+D35</f>
        <v>-16373.307215735651</v>
      </c>
      <c r="E62" s="54">
        <f>D62+E35</f>
        <v>-32703.06096998202</v>
      </c>
      <c r="F62" s="54">
        <f>E62+F35</f>
        <v>-48769.759446399999</v>
      </c>
      <c r="G62" s="54">
        <f>F62+G35</f>
        <v>-64307.051534546321</v>
      </c>
      <c r="H62" s="54"/>
      <c r="I62" s="54"/>
      <c r="J62" s="54"/>
      <c r="K62" s="54"/>
      <c r="L62" s="54"/>
      <c r="M62" s="54"/>
      <c r="N62" s="54"/>
      <c r="O62" s="54"/>
      <c r="P62" s="77"/>
      <c r="Q62" s="95"/>
      <c r="R62" s="44"/>
      <c r="S62" s="44"/>
      <c r="T62" s="105"/>
      <c r="U62" s="98"/>
      <c r="V62" s="44"/>
    </row>
    <row r="63" spans="1:22" x14ac:dyDescent="0.25">
      <c r="A63" s="45"/>
      <c r="B63" s="44"/>
      <c r="C63" s="4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77"/>
      <c r="Q63" s="106"/>
      <c r="R63" s="44"/>
      <c r="S63" s="44"/>
      <c r="T63" s="44"/>
      <c r="U63" s="44"/>
      <c r="V63" s="44"/>
    </row>
    <row r="64" spans="1:22" x14ac:dyDescent="0.25">
      <c r="A64" s="46" t="s">
        <v>15</v>
      </c>
      <c r="B64" s="44"/>
      <c r="C64" s="44"/>
      <c r="D64" s="54">
        <f>SUM(D51:D62)</f>
        <v>109413.9453445961</v>
      </c>
      <c r="E64" s="54">
        <f>SUM(E51:E62)</f>
        <v>107686.81497649175</v>
      </c>
      <c r="F64" s="54">
        <f>SUM(F51:F62)</f>
        <v>106020.73642394789</v>
      </c>
      <c r="G64" s="54">
        <f>SUM(G51:G62)</f>
        <v>104421.30049093375</v>
      </c>
      <c r="H64" s="54"/>
      <c r="I64" s="54"/>
      <c r="J64" s="54"/>
      <c r="K64" s="54"/>
      <c r="L64" s="54"/>
      <c r="M64" s="54"/>
      <c r="N64" s="54"/>
      <c r="O64" s="54"/>
      <c r="P64" s="77"/>
      <c r="Q64" s="44"/>
      <c r="R64" s="44"/>
      <c r="S64" s="44"/>
      <c r="T64" s="44"/>
      <c r="U64" s="44"/>
      <c r="V64" s="44"/>
    </row>
    <row r="65" spans="1:16" x14ac:dyDescent="0.25">
      <c r="A65" s="46"/>
      <c r="B65" s="44"/>
      <c r="C65" s="4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25">
      <c r="A66" s="46"/>
      <c r="B66" s="44" t="s">
        <v>44</v>
      </c>
      <c r="C66" s="44"/>
      <c r="D66" s="54">
        <f>D48-D64</f>
        <v>8.757036279712338E-2</v>
      </c>
      <c r="E66" s="54">
        <f>E48-E64</f>
        <v>0</v>
      </c>
      <c r="F66" s="54">
        <f>F48-F64</f>
        <v>9.9993485491722822E-7</v>
      </c>
      <c r="G66" s="54">
        <f>G48-G64</f>
        <v>3.5304345641634427E-2</v>
      </c>
      <c r="H66" s="54"/>
      <c r="I66" s="54"/>
      <c r="J66" s="54"/>
      <c r="K66" s="54"/>
      <c r="L66" s="54"/>
      <c r="M66" s="54"/>
      <c r="N66" s="54"/>
      <c r="O66" s="54"/>
      <c r="P66" s="54"/>
    </row>
    <row r="67" spans="1:16" s="11" customFormat="1" ht="15.75" thickBot="1" x14ac:dyDescent="0.3">
      <c r="A67" s="47"/>
      <c r="B67" s="48"/>
      <c r="C67" s="48"/>
      <c r="D67" s="48"/>
      <c r="E67" s="48"/>
      <c r="F67" s="48"/>
      <c r="G67" s="48"/>
      <c r="H67" s="49"/>
      <c r="I67" s="49"/>
      <c r="J67" s="49"/>
      <c r="K67" s="49"/>
      <c r="L67" s="49"/>
      <c r="M67" s="49"/>
      <c r="N67" s="49"/>
      <c r="O67" s="49"/>
      <c r="P67" s="49"/>
    </row>
    <row r="68" spans="1:16" ht="19.5" thickBot="1" x14ac:dyDescent="0.35">
      <c r="A68" s="63"/>
      <c r="B68" s="6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</row>
    <row r="69" spans="1:16" ht="18.75" x14ac:dyDescent="0.3">
      <c r="A69" s="71" t="s">
        <v>145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1:16" ht="15.75" x14ac:dyDescent="0.25">
      <c r="A70" s="107"/>
      <c r="B70" s="107" t="s">
        <v>146</v>
      </c>
      <c r="C70" s="39">
        <f>C58-D58</f>
        <v>-59032.063984989283</v>
      </c>
      <c r="D70" s="39">
        <f t="shared" ref="D70:F70" si="22">D58-E58</f>
        <v>1012.4028261907879</v>
      </c>
      <c r="E70" s="39">
        <f t="shared" si="22"/>
        <v>1058.9124348965852</v>
      </c>
      <c r="F70" s="39">
        <f t="shared" si="22"/>
        <v>1107.5586868890387</v>
      </c>
      <c r="G70" s="39"/>
      <c r="H70" s="54"/>
      <c r="I70" s="54"/>
      <c r="J70" s="54"/>
      <c r="K70" s="54"/>
      <c r="L70" s="54"/>
      <c r="M70" s="54"/>
      <c r="N70" s="54"/>
      <c r="O70" s="54"/>
      <c r="P70" s="54"/>
    </row>
    <row r="71" spans="1:16" ht="15.75" x14ac:dyDescent="0.25">
      <c r="A71" s="107"/>
      <c r="B71" s="107" t="s">
        <v>147</v>
      </c>
      <c r="C71" s="26"/>
      <c r="D71" s="54"/>
      <c r="E71" s="54"/>
      <c r="F71" s="54"/>
      <c r="G71" s="54">
        <f>M58</f>
        <v>55853.190037012871</v>
      </c>
      <c r="H71" s="54"/>
      <c r="I71" s="54"/>
      <c r="J71" s="54"/>
      <c r="K71" s="54"/>
      <c r="L71" s="54"/>
      <c r="M71" s="54"/>
      <c r="N71" s="54"/>
      <c r="O71" s="54"/>
      <c r="P71" s="54"/>
    </row>
    <row r="72" spans="1:16" ht="15.75" x14ac:dyDescent="0.25">
      <c r="A72" s="107"/>
      <c r="B72" s="107" t="s">
        <v>148</v>
      </c>
      <c r="C72" s="26"/>
      <c r="D72" s="54">
        <f>D30</f>
        <v>2680.1982157356338</v>
      </c>
      <c r="E72" s="54">
        <f>E30</f>
        <v>2635.7314045555554</v>
      </c>
      <c r="F72" s="54">
        <f>F30</f>
        <v>2589.2217958497513</v>
      </c>
      <c r="G72" s="54">
        <f>G30</f>
        <v>2540.5755438572965</v>
      </c>
      <c r="H72" s="54"/>
      <c r="I72" s="54"/>
      <c r="J72" s="54"/>
      <c r="K72" s="54"/>
      <c r="L72" s="54"/>
      <c r="M72" s="54"/>
      <c r="N72" s="54"/>
      <c r="O72" s="54"/>
      <c r="P72" s="54"/>
    </row>
    <row r="73" spans="1:16" ht="15.75" x14ac:dyDescent="0.25">
      <c r="A73" s="107" t="s">
        <v>108</v>
      </c>
      <c r="B73" s="107"/>
      <c r="C73" s="39">
        <f>SUM(C70:C72)</f>
        <v>-59032.063984989283</v>
      </c>
      <c r="D73" s="39">
        <f t="shared" ref="D73:G73" si="23">SUM(D70:D72)</f>
        <v>3692.6010419264217</v>
      </c>
      <c r="E73" s="39">
        <f t="shared" si="23"/>
        <v>3694.6438394521406</v>
      </c>
      <c r="F73" s="39">
        <f t="shared" si="23"/>
        <v>3696.7804827387899</v>
      </c>
      <c r="G73" s="39">
        <f t="shared" si="23"/>
        <v>58393.765580870167</v>
      </c>
      <c r="H73" s="54" t="s">
        <v>152</v>
      </c>
      <c r="I73" s="54"/>
      <c r="J73" s="54"/>
      <c r="K73" s="54"/>
      <c r="L73" s="54"/>
      <c r="M73" s="54"/>
      <c r="N73" s="54"/>
      <c r="O73" s="54"/>
      <c r="P73" s="54"/>
    </row>
    <row r="74" spans="1:16" ht="15.75" x14ac:dyDescent="0.25">
      <c r="A74" s="107"/>
      <c r="B74" s="107" t="s">
        <v>149</v>
      </c>
      <c r="C74" s="27">
        <f>IRR(C73:G73)</f>
        <v>4.5441191513400314E-2</v>
      </c>
      <c r="D74" s="54"/>
      <c r="E74" s="54"/>
      <c r="F74" s="54"/>
      <c r="G74" s="54"/>
      <c r="H74" s="87">
        <v>0.1</v>
      </c>
      <c r="I74" s="54"/>
      <c r="J74" s="54"/>
      <c r="K74" s="54"/>
      <c r="L74" s="54"/>
      <c r="M74" s="54"/>
      <c r="N74" s="54"/>
      <c r="O74" s="54"/>
      <c r="P74" s="54"/>
    </row>
    <row r="75" spans="1:16" ht="15.75" x14ac:dyDescent="0.25">
      <c r="A75" s="107"/>
      <c r="B75" s="107" t="s">
        <v>150</v>
      </c>
      <c r="C75" s="27">
        <f>Mortgage!J1</f>
        <v>4.4999999999999998E-2</v>
      </c>
      <c r="D75" s="26"/>
      <c r="E75" s="26"/>
      <c r="F75" s="26"/>
      <c r="G75" s="26"/>
      <c r="H75" s="69">
        <v>0.9</v>
      </c>
      <c r="I75" s="26"/>
      <c r="J75" s="26"/>
      <c r="K75" s="26"/>
      <c r="L75" s="26"/>
      <c r="M75" s="26"/>
      <c r="N75" s="26"/>
      <c r="O75" s="26"/>
      <c r="P75" s="26"/>
    </row>
    <row r="76" spans="1:16" ht="15.75" x14ac:dyDescent="0.25">
      <c r="A76" s="107" t="s">
        <v>151</v>
      </c>
      <c r="B76" s="107"/>
      <c r="C76" s="30">
        <f>C74*H74+C75*H75</f>
        <v>4.5044119151340031E-2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1:16" ht="15.75" x14ac:dyDescent="0.25">
      <c r="A77" s="108"/>
      <c r="B77" s="107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</row>
    <row r="78" spans="1:16" ht="15.75" x14ac:dyDescent="0.25">
      <c r="A78" s="108" t="s">
        <v>153</v>
      </c>
      <c r="B78" s="107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</row>
    <row r="79" spans="1:16" ht="15.75" x14ac:dyDescent="0.25">
      <c r="A79" s="107"/>
      <c r="B79" s="107" t="s">
        <v>146</v>
      </c>
      <c r="C79" s="39">
        <f>C59-D59</f>
        <v>-23340</v>
      </c>
      <c r="D79" s="39">
        <f t="shared" ref="D79:F79" si="24">D59-E59</f>
        <v>-15382.983121908153</v>
      </c>
      <c r="E79" s="39">
        <f t="shared" si="24"/>
        <v>-15208.460805241019</v>
      </c>
      <c r="F79" s="39">
        <f t="shared" si="24"/>
        <v>-14773.556072850828</v>
      </c>
      <c r="G79" s="39"/>
      <c r="H79" s="39"/>
      <c r="I79" s="39"/>
      <c r="J79" s="39"/>
      <c r="K79" s="39"/>
      <c r="L79" s="39"/>
      <c r="M79" s="39"/>
      <c r="N79" s="39"/>
      <c r="O79" s="39"/>
      <c r="P79" s="39"/>
    </row>
    <row r="80" spans="1:16" ht="15.75" x14ac:dyDescent="0.25">
      <c r="A80" s="107"/>
      <c r="B80" s="107" t="s">
        <v>147</v>
      </c>
      <c r="C80" s="39"/>
      <c r="D80" s="39"/>
      <c r="E80" s="39"/>
      <c r="F80" s="39"/>
      <c r="G80" s="39">
        <f>M59</f>
        <v>28885.207249325536</v>
      </c>
      <c r="H80" s="39"/>
      <c r="I80" s="39"/>
      <c r="J80" s="39"/>
      <c r="K80" s="39"/>
      <c r="L80" s="39"/>
      <c r="M80" s="39"/>
      <c r="N80" s="39"/>
      <c r="O80" s="39"/>
      <c r="P80" s="39"/>
    </row>
    <row r="81" spans="1:19" ht="15.75" x14ac:dyDescent="0.25">
      <c r="A81" s="107"/>
      <c r="B81" s="107" t="s">
        <v>148</v>
      </c>
      <c r="C81" s="39"/>
      <c r="D81" s="39">
        <f>D31</f>
        <v>2334</v>
      </c>
      <c r="E81" s="39">
        <f>E31</f>
        <v>3872.2983121908155</v>
      </c>
      <c r="F81" s="39">
        <f>F31</f>
        <v>5393.1443927149176</v>
      </c>
      <c r="G81" s="39">
        <f>G31</f>
        <v>6870.5</v>
      </c>
      <c r="H81" s="39"/>
      <c r="I81" s="39"/>
      <c r="J81" s="39"/>
      <c r="K81" s="39"/>
      <c r="L81" s="39"/>
      <c r="M81" s="39"/>
      <c r="N81" s="39"/>
      <c r="O81" s="39"/>
      <c r="P81" s="39"/>
      <c r="Q81" s="23"/>
      <c r="R81" s="23"/>
      <c r="S81" s="23"/>
    </row>
    <row r="82" spans="1:19" ht="15.75" x14ac:dyDescent="0.25">
      <c r="A82" s="107" t="s">
        <v>108</v>
      </c>
      <c r="B82" s="107"/>
      <c r="C82" s="39">
        <f>SUM(C79:C81)</f>
        <v>-23340</v>
      </c>
      <c r="D82" s="39">
        <f t="shared" ref="D82:G82" si="25">SUM(D79:D81)</f>
        <v>-13048.983121908153</v>
      </c>
      <c r="E82" s="39">
        <f t="shared" si="25"/>
        <v>-11336.162493050204</v>
      </c>
      <c r="F82" s="39">
        <f t="shared" si="25"/>
        <v>-9380.4116801359105</v>
      </c>
      <c r="G82" s="39">
        <f t="shared" si="25"/>
        <v>35755.70724932554</v>
      </c>
      <c r="H82" s="39"/>
      <c r="I82" s="39"/>
      <c r="J82" s="39"/>
      <c r="K82" s="39"/>
      <c r="L82" s="39"/>
      <c r="M82" s="39"/>
      <c r="N82" s="39"/>
      <c r="O82" s="39"/>
      <c r="P82" s="39"/>
      <c r="Q82" s="12"/>
    </row>
    <row r="83" spans="1:19" ht="15.75" x14ac:dyDescent="0.25">
      <c r="A83" s="107"/>
      <c r="B83" s="107" t="s">
        <v>149</v>
      </c>
      <c r="C83" s="16">
        <f>IRR(C82:G82)</f>
        <v>-0.15533372541268708</v>
      </c>
      <c r="D83" s="39"/>
      <c r="E83" s="39"/>
      <c r="F83" s="39"/>
      <c r="G83" s="39"/>
      <c r="H83" s="16">
        <f>H74</f>
        <v>0.1</v>
      </c>
      <c r="I83" s="39"/>
      <c r="J83" s="39"/>
      <c r="K83" s="39"/>
      <c r="L83" s="39"/>
      <c r="M83" s="39"/>
      <c r="N83" s="39"/>
      <c r="O83" s="39"/>
      <c r="P83" s="39"/>
    </row>
    <row r="84" spans="1:19" ht="15.75" x14ac:dyDescent="0.25">
      <c r="A84" s="107"/>
      <c r="B84" s="107" t="s">
        <v>150</v>
      </c>
      <c r="C84" s="69">
        <f>Q31</f>
        <v>0.1</v>
      </c>
      <c r="D84" s="26"/>
      <c r="E84" s="26"/>
      <c r="F84" s="26"/>
      <c r="G84" s="26"/>
      <c r="H84" s="16">
        <f>H75</f>
        <v>0.9</v>
      </c>
      <c r="I84" s="26"/>
      <c r="J84" s="26"/>
      <c r="K84" s="26"/>
      <c r="L84" s="26"/>
      <c r="M84" s="26"/>
      <c r="N84" s="26"/>
      <c r="O84" s="26"/>
      <c r="P84" s="26"/>
    </row>
    <row r="85" spans="1:19" ht="15.75" x14ac:dyDescent="0.25">
      <c r="A85" s="107" t="s">
        <v>151</v>
      </c>
      <c r="B85" s="107"/>
      <c r="C85" s="68">
        <f>C83*H83+C84*H84</f>
        <v>7.4466627458731297E-2</v>
      </c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23"/>
      <c r="R85" s="23"/>
      <c r="S85" s="23"/>
    </row>
    <row r="86" spans="1:19" x14ac:dyDescent="0.25">
      <c r="A86" s="72"/>
      <c r="B86" s="26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16"/>
    </row>
    <row r="87" spans="1:19" x14ac:dyDescent="0.25">
      <c r="A87" s="72"/>
      <c r="B87" s="26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</row>
    <row r="88" spans="1:19" x14ac:dyDescent="0.25">
      <c r="A88" s="72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</row>
    <row r="89" spans="1:19" x14ac:dyDescent="0.25">
      <c r="A89" s="72"/>
      <c r="B89" s="26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</row>
    <row r="90" spans="1:19" x14ac:dyDescent="0.25">
      <c r="A90" s="44"/>
      <c r="B90" s="44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44"/>
    </row>
    <row r="91" spans="1:19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</row>
    <row r="92" spans="1:19" ht="18.75" x14ac:dyDescent="0.3">
      <c r="A92" s="96"/>
      <c r="B92" s="44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44"/>
    </row>
    <row r="93" spans="1:19" ht="18.75" x14ac:dyDescent="0.3">
      <c r="A93" s="44"/>
      <c r="B93" s="96"/>
      <c r="C93" s="98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</row>
    <row r="94" spans="1:19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</row>
    <row r="95" spans="1:19" ht="18.75" x14ac:dyDescent="0.3">
      <c r="A95" s="96"/>
      <c r="B95" s="44"/>
      <c r="C95" s="98"/>
      <c r="D95" s="99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</row>
    <row r="96" spans="1:19" ht="18.75" x14ac:dyDescent="0.3">
      <c r="A96" s="96"/>
      <c r="B96" s="44"/>
      <c r="C96" s="100"/>
      <c r="D96" s="101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</row>
    <row r="97" spans="1:17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</row>
  </sheetData>
  <sheetProtection selectLockedCells="1" selectUnlockedCells="1"/>
  <pageMargins left="0.7" right="0.7" top="0.75" bottom="0.75" header="0.51180555555555596" footer="0.51180555555555596"/>
  <pageSetup scale="38" firstPageNumber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tabSelected="1" topLeftCell="A51" zoomScale="70" zoomScaleNormal="70" workbookViewId="0">
      <selection activeCell="E57" sqref="E57"/>
    </sheetView>
  </sheetViews>
  <sheetFormatPr defaultRowHeight="14.25" x14ac:dyDescent="0.2"/>
  <cols>
    <col min="1" max="1" width="7.5703125" style="125" customWidth="1"/>
    <col min="2" max="2" width="25.28515625" bestFit="1" customWidth="1"/>
    <col min="3" max="3" width="18.140625" customWidth="1"/>
    <col min="4" max="4" width="14" bestFit="1" customWidth="1"/>
    <col min="5" max="5" width="18.28515625" bestFit="1" customWidth="1"/>
    <col min="6" max="6" width="13.5703125" bestFit="1" customWidth="1"/>
    <col min="7" max="7" width="13.42578125" customWidth="1"/>
    <col min="8" max="8" width="11" bestFit="1" customWidth="1"/>
    <col min="9" max="12" width="9.28515625" bestFit="1" customWidth="1"/>
    <col min="13" max="13" width="10.28515625" bestFit="1" customWidth="1"/>
    <col min="14" max="15" width="12" bestFit="1" customWidth="1"/>
    <col min="16" max="16" width="11" bestFit="1" customWidth="1"/>
  </cols>
  <sheetData>
    <row r="1" spans="1:13" x14ac:dyDescent="0.2">
      <c r="B1" s="123"/>
      <c r="C1" t="s">
        <v>172</v>
      </c>
    </row>
    <row r="2" spans="1:13" x14ac:dyDescent="0.2">
      <c r="B2" s="123"/>
      <c r="D2" s="18"/>
    </row>
    <row r="3" spans="1:13" x14ac:dyDescent="0.2">
      <c r="B3" s="123"/>
    </row>
    <row r="4" spans="1:13" x14ac:dyDescent="0.2">
      <c r="B4" s="123"/>
    </row>
    <row r="5" spans="1:13" x14ac:dyDescent="0.2">
      <c r="A5" s="127" t="s">
        <v>156</v>
      </c>
      <c r="B5" s="124"/>
      <c r="C5" t="s">
        <v>169</v>
      </c>
    </row>
    <row r="6" spans="1:13" ht="15" x14ac:dyDescent="0.25">
      <c r="A6" s="144" t="s">
        <v>103</v>
      </c>
      <c r="B6" s="126"/>
      <c r="D6" t="str">
        <f>Forecast!D16</f>
        <v>Year 1</v>
      </c>
      <c r="E6" t="str">
        <f>Forecast!E16</f>
        <v xml:space="preserve"> Year 2</v>
      </c>
      <c r="F6" t="str">
        <f>Forecast!F16</f>
        <v>Year 3</v>
      </c>
      <c r="G6" t="str">
        <f>Forecast!G16</f>
        <v>Year 4</v>
      </c>
      <c r="H6" t="str">
        <f>Forecast!H16</f>
        <v>Year 5</v>
      </c>
      <c r="I6" t="str">
        <f>Forecast!I16</f>
        <v>Year 6</v>
      </c>
      <c r="J6" t="str">
        <f>Forecast!J16</f>
        <v>Year 7</v>
      </c>
      <c r="K6" t="str">
        <f>Forecast!K16</f>
        <v>Year 8</v>
      </c>
      <c r="L6" t="str">
        <f>Forecast!L16</f>
        <v>Year 9</v>
      </c>
      <c r="M6" t="str">
        <f>Forecast!M16</f>
        <v>Year 10</v>
      </c>
    </row>
    <row r="7" spans="1:13" ht="15" x14ac:dyDescent="0.25">
      <c r="A7" s="144" t="s">
        <v>104</v>
      </c>
      <c r="B7" s="126"/>
    </row>
    <row r="8" spans="1:13" ht="15" x14ac:dyDescent="0.25">
      <c r="A8" s="126"/>
      <c r="B8" s="126" t="s">
        <v>102</v>
      </c>
      <c r="C8" s="37"/>
      <c r="D8" s="37">
        <v>11630.890999999992</v>
      </c>
      <c r="E8" s="37">
        <v>13740.075962499996</v>
      </c>
      <c r="F8" s="37">
        <v>16066.217712146754</v>
      </c>
      <c r="G8" s="37">
        <v>18630.539915710939</v>
      </c>
      <c r="H8" s="37">
        <v>21456.370762039165</v>
      </c>
      <c r="I8" s="37">
        <v>24569.354930787122</v>
      </c>
      <c r="J8" s="37">
        <v>27997.687110546169</v>
      </c>
      <c r="K8" s="37">
        <v>31772.36926723332</v>
      </c>
      <c r="L8" s="37">
        <v>35927.494088860265</v>
      </c>
      <c r="M8" s="37">
        <v>40500.557281115201</v>
      </c>
    </row>
    <row r="9" spans="1:13" ht="15" x14ac:dyDescent="0.25">
      <c r="A9" s="126"/>
      <c r="B9" s="12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ht="15" x14ac:dyDescent="0.25">
      <c r="A10" s="144" t="s">
        <v>105</v>
      </c>
      <c r="B10" s="126"/>
      <c r="C10" s="37">
        <v>-108227.96719945205</v>
      </c>
      <c r="D10" s="37">
        <v>152.96589242050686</v>
      </c>
      <c r="E10" s="37">
        <v>178.22806827968498</v>
      </c>
      <c r="F10" s="37">
        <v>215.38824689498688</v>
      </c>
      <c r="G10" s="37">
        <v>256.65340262609152</v>
      </c>
      <c r="H10" s="37">
        <v>302.44277490664535</v>
      </c>
      <c r="I10" s="37">
        <v>353.21811288610115</v>
      </c>
      <c r="J10" s="37">
        <v>409.48800192054205</v>
      </c>
      <c r="K10" s="37">
        <v>471.8126319194962</v>
      </c>
      <c r="L10" s="37">
        <v>540.80905276265912</v>
      </c>
      <c r="M10" s="37">
        <v>87284.194160562649</v>
      </c>
    </row>
    <row r="11" spans="1:13" ht="15" x14ac:dyDescent="0.25">
      <c r="A11" s="144" t="s">
        <v>108</v>
      </c>
      <c r="B11" s="126"/>
      <c r="C11" s="37">
        <f>C8+C10</f>
        <v>-108227.96719945205</v>
      </c>
      <c r="D11" s="37">
        <f t="shared" ref="D11:M11" si="0">D8+D10</f>
        <v>11783.856892420499</v>
      </c>
      <c r="E11" s="37">
        <f t="shared" si="0"/>
        <v>13918.30403077968</v>
      </c>
      <c r="F11" s="37">
        <f t="shared" si="0"/>
        <v>16281.605959041741</v>
      </c>
      <c r="G11" s="37">
        <f t="shared" si="0"/>
        <v>18887.193318337031</v>
      </c>
      <c r="H11" s="37">
        <f t="shared" si="0"/>
        <v>21758.81353694581</v>
      </c>
      <c r="I11" s="37">
        <f t="shared" si="0"/>
        <v>24922.573043673223</v>
      </c>
      <c r="J11" s="37">
        <f t="shared" si="0"/>
        <v>28407.17511246671</v>
      </c>
      <c r="K11" s="37">
        <f t="shared" si="0"/>
        <v>32244.181899152816</v>
      </c>
      <c r="L11" s="37">
        <f t="shared" si="0"/>
        <v>36468.303141622921</v>
      </c>
      <c r="M11" s="37">
        <f t="shared" si="0"/>
        <v>127784.75144167786</v>
      </c>
    </row>
    <row r="12" spans="1:13" ht="18.75" x14ac:dyDescent="0.3">
      <c r="A12" s="126"/>
      <c r="B12" s="145" t="s">
        <v>109</v>
      </c>
      <c r="C12" s="68">
        <f>IRR(C11:M11)</f>
        <v>0.1805116511103908</v>
      </c>
    </row>
    <row r="13" spans="1:13" ht="15" x14ac:dyDescent="0.25">
      <c r="A13" s="126"/>
      <c r="B13" s="126"/>
    </row>
    <row r="14" spans="1:13" ht="15" x14ac:dyDescent="0.25">
      <c r="A14" s="144" t="s">
        <v>110</v>
      </c>
      <c r="B14" s="126"/>
      <c r="C14" s="68">
        <f>Forecast!C91</f>
        <v>6.8559957506364039E-2</v>
      </c>
      <c r="D14" s="68"/>
    </row>
    <row r="15" spans="1:13" ht="15" x14ac:dyDescent="0.25">
      <c r="A15" s="144" t="s">
        <v>111</v>
      </c>
      <c r="B15" s="126"/>
      <c r="C15" s="113">
        <f>NPV(C14,D11:M11)+C11</f>
        <v>97926.954585617088</v>
      </c>
      <c r="D15" s="37"/>
    </row>
    <row r="16" spans="1:13" x14ac:dyDescent="0.2">
      <c r="A16" s="127"/>
      <c r="B16" s="124"/>
    </row>
    <row r="17" spans="1:13" x14ac:dyDescent="0.2">
      <c r="A17" s="127" t="s">
        <v>157</v>
      </c>
      <c r="B17" s="124"/>
      <c r="C17" t="s">
        <v>170</v>
      </c>
    </row>
    <row r="18" spans="1:13" ht="15" x14ac:dyDescent="0.25">
      <c r="A18" s="144" t="s">
        <v>103</v>
      </c>
      <c r="B18" s="126"/>
    </row>
    <row r="19" spans="1:13" ht="15" x14ac:dyDescent="0.25">
      <c r="A19" s="144" t="s">
        <v>104</v>
      </c>
      <c r="B19" s="126"/>
    </row>
    <row r="20" spans="1:13" ht="15" x14ac:dyDescent="0.25">
      <c r="A20" s="126"/>
      <c r="B20" s="126" t="s">
        <v>102</v>
      </c>
      <c r="C20" s="37"/>
      <c r="D20" s="37">
        <f>Forecast!D70</f>
        <v>1986.7749999999796</v>
      </c>
      <c r="E20" s="37">
        <f>Forecast!E70</f>
        <v>3676.0299687500024</v>
      </c>
      <c r="F20" s="37">
        <f>Forecast!F70</f>
        <v>5385.5230934556284</v>
      </c>
      <c r="G20" s="37">
        <f>Forecast!G70</f>
        <v>7286.7113064257983</v>
      </c>
      <c r="H20" s="37">
        <f>Forecast!H70</f>
        <v>9398.8319075993368</v>
      </c>
      <c r="I20" s="37">
        <f>Forecast!I70</f>
        <v>11743.046528212271</v>
      </c>
      <c r="J20" s="37">
        <f>Forecast!J70</f>
        <v>14342.635546985635</v>
      </c>
      <c r="K20" s="37">
        <f>Forecast!K70</f>
        <v>17223.212292732289</v>
      </c>
      <c r="L20" s="37">
        <f>Forecast!L70</f>
        <v>20412.959054982577</v>
      </c>
      <c r="M20" s="37">
        <f>Forecast!M70</f>
        <v>23942.887131154312</v>
      </c>
    </row>
    <row r="21" spans="1:13" ht="15" x14ac:dyDescent="0.25">
      <c r="A21" s="126"/>
      <c r="B21" s="12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3" ht="15" x14ac:dyDescent="0.25">
      <c r="A22" s="144" t="s">
        <v>105</v>
      </c>
      <c r="B22" s="126"/>
      <c r="C22" s="37">
        <f>Forecast!C87</f>
        <v>-110117.67183287672</v>
      </c>
      <c r="D22" s="37">
        <f>Forecast!D87</f>
        <v>-139.724026616782</v>
      </c>
      <c r="E22" s="37">
        <f>Forecast!E87</f>
        <v>38.770988056624333</v>
      </c>
      <c r="F22" s="37">
        <f>Forecast!F87</f>
        <v>66.294232747711931</v>
      </c>
      <c r="G22" s="37">
        <f>Forecast!G87</f>
        <v>97.126813547276015</v>
      </c>
      <c r="H22" s="37">
        <f>Forecast!H87</f>
        <v>131.61436458795288</v>
      </c>
      <c r="I22" s="37">
        <f>Forecast!I87</f>
        <v>170.1378148686249</v>
      </c>
      <c r="J22" s="37">
        <f>Forecast!J87</f>
        <v>213.11698894127767</v>
      </c>
      <c r="K22" s="37">
        <f>Forecast!K87</f>
        <v>261.0145756318143</v>
      </c>
      <c r="L22" s="37">
        <f>Forecast!L87</f>
        <v>314.34050246551669</v>
      </c>
      <c r="M22" s="37">
        <f>Forecast!M87</f>
        <v>90089.979578646686</v>
      </c>
    </row>
    <row r="23" spans="1:13" ht="15" x14ac:dyDescent="0.25">
      <c r="A23" s="144" t="s">
        <v>108</v>
      </c>
      <c r="B23" s="126"/>
      <c r="C23" s="37">
        <f>C20+C22</f>
        <v>-110117.67183287672</v>
      </c>
      <c r="D23" s="37">
        <f t="shared" ref="D23:M23" si="1">D20+D22</f>
        <v>1847.0509733831977</v>
      </c>
      <c r="E23" s="37">
        <f t="shared" si="1"/>
        <v>3714.8009568066268</v>
      </c>
      <c r="F23" s="37">
        <f t="shared" si="1"/>
        <v>5451.8173262033406</v>
      </c>
      <c r="G23" s="37">
        <f t="shared" si="1"/>
        <v>7383.8381199730738</v>
      </c>
      <c r="H23" s="37">
        <f t="shared" si="1"/>
        <v>9530.4462721872897</v>
      </c>
      <c r="I23" s="37">
        <f t="shared" si="1"/>
        <v>11913.184343080897</v>
      </c>
      <c r="J23" s="37">
        <f t="shared" si="1"/>
        <v>14555.752535926913</v>
      </c>
      <c r="K23" s="37">
        <f t="shared" si="1"/>
        <v>17484.226868364101</v>
      </c>
      <c r="L23" s="37">
        <f t="shared" si="1"/>
        <v>20727.299557448096</v>
      </c>
      <c r="M23" s="37">
        <f t="shared" si="1"/>
        <v>114032.86670980099</v>
      </c>
    </row>
    <row r="24" spans="1:13" ht="18.75" x14ac:dyDescent="0.3">
      <c r="A24" s="126"/>
      <c r="B24" s="145" t="s">
        <v>109</v>
      </c>
      <c r="C24" s="68">
        <f>IRR(C23:M23)</f>
        <v>7.9574110431750444E-2</v>
      </c>
      <c r="D24" s="68"/>
    </row>
    <row r="25" spans="1:13" ht="15" x14ac:dyDescent="0.25">
      <c r="A25" s="126"/>
      <c r="B25" s="126"/>
      <c r="C25" s="68"/>
      <c r="D25" s="68"/>
    </row>
    <row r="26" spans="1:13" ht="15" x14ac:dyDescent="0.25">
      <c r="A26" s="144" t="s">
        <v>110</v>
      </c>
      <c r="B26" s="126"/>
      <c r="C26" s="68">
        <f>Forecast!C91</f>
        <v>6.8559957506364039E-2</v>
      </c>
      <c r="D26" s="68"/>
    </row>
    <row r="27" spans="1:13" ht="15" x14ac:dyDescent="0.25">
      <c r="A27" s="144" t="s">
        <v>111</v>
      </c>
      <c r="B27" s="126"/>
      <c r="C27" s="113">
        <f>NPV(C26,D23:M23)+C23</f>
        <v>9442.6772651890496</v>
      </c>
      <c r="D27" s="37"/>
    </row>
    <row r="28" spans="1:13" ht="15" x14ac:dyDescent="0.25">
      <c r="A28" s="144"/>
      <c r="B28" s="126"/>
      <c r="C28" s="37"/>
      <c r="D28" s="37"/>
    </row>
    <row r="29" spans="1:13" x14ac:dyDescent="0.2">
      <c r="A29" s="127" t="s">
        <v>158</v>
      </c>
      <c r="B29" s="124"/>
      <c r="C29" t="s">
        <v>171</v>
      </c>
    </row>
    <row r="30" spans="1:13" ht="15" x14ac:dyDescent="0.25">
      <c r="A30" s="144" t="s">
        <v>103</v>
      </c>
      <c r="B30" s="126"/>
    </row>
    <row r="31" spans="1:13" ht="15" x14ac:dyDescent="0.25">
      <c r="A31" s="144" t="s">
        <v>104</v>
      </c>
      <c r="B31" s="126"/>
    </row>
    <row r="32" spans="1:13" ht="15" x14ac:dyDescent="0.25">
      <c r="A32" s="126"/>
      <c r="B32" s="126" t="s">
        <v>102</v>
      </c>
      <c r="C32" s="37"/>
      <c r="D32" s="37">
        <v>-8859.1090000000113</v>
      </c>
      <c r="E32" s="37">
        <v>-7321.724037500011</v>
      </c>
      <c r="F32" s="37">
        <v>-5584.3322878532854</v>
      </c>
      <c r="G32" s="37">
        <v>-3626.2165442890473</v>
      </c>
      <c r="H32" s="37"/>
      <c r="I32" s="37"/>
      <c r="J32" s="37"/>
      <c r="K32" s="37"/>
      <c r="L32" s="37"/>
      <c r="M32" s="37"/>
    </row>
    <row r="33" spans="1:13" ht="15" x14ac:dyDescent="0.25">
      <c r="A33" s="126"/>
      <c r="B33" s="12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</row>
    <row r="34" spans="1:13" ht="15" x14ac:dyDescent="0.25">
      <c r="A34" s="144" t="s">
        <v>105</v>
      </c>
      <c r="B34" s="126"/>
      <c r="C34" s="37">
        <v>-108498.84433961642</v>
      </c>
      <c r="D34" s="37">
        <v>-540.73897110809639</v>
      </c>
      <c r="E34" s="37">
        <v>-582.849894926459</v>
      </c>
      <c r="F34" s="37">
        <v>-628.74060116118699</v>
      </c>
      <c r="G34" s="37">
        <v>-678.77689304276191</v>
      </c>
      <c r="H34" s="37"/>
      <c r="I34" s="37"/>
      <c r="J34" s="37"/>
      <c r="K34" s="37"/>
      <c r="L34" s="37"/>
      <c r="M34" s="37"/>
    </row>
    <row r="35" spans="1:13" ht="15" x14ac:dyDescent="0.25">
      <c r="A35" s="144" t="s">
        <v>108</v>
      </c>
      <c r="B35" s="126"/>
      <c r="C35" s="37">
        <f>C32+C34</f>
        <v>-108498.84433961642</v>
      </c>
      <c r="D35" s="37">
        <f t="shared" ref="D35:G35" si="2">D32+D34</f>
        <v>-9399.8479711081072</v>
      </c>
      <c r="E35" s="37">
        <f t="shared" si="2"/>
        <v>-7904.5739324264705</v>
      </c>
      <c r="F35" s="37">
        <f t="shared" si="2"/>
        <v>-6213.0728890144728</v>
      </c>
      <c r="G35" s="37">
        <f t="shared" si="2"/>
        <v>-4304.9934373318092</v>
      </c>
      <c r="H35" s="37"/>
      <c r="I35" s="37"/>
      <c r="J35" s="37"/>
      <c r="K35" s="37"/>
      <c r="L35" s="37"/>
      <c r="M35" s="37"/>
    </row>
    <row r="36" spans="1:13" ht="18.75" x14ac:dyDescent="0.3">
      <c r="A36" s="126"/>
      <c r="B36" s="145" t="s">
        <v>109</v>
      </c>
      <c r="C36" s="68" t="s">
        <v>183</v>
      </c>
    </row>
    <row r="37" spans="1:13" ht="15" x14ac:dyDescent="0.25">
      <c r="A37" s="126"/>
      <c r="B37" s="126"/>
    </row>
    <row r="38" spans="1:13" ht="15" x14ac:dyDescent="0.25">
      <c r="A38" s="144" t="s">
        <v>110</v>
      </c>
      <c r="B38" s="126"/>
      <c r="C38" s="68">
        <f>Forecast!C91</f>
        <v>6.8559957506364039E-2</v>
      </c>
      <c r="D38" s="68"/>
    </row>
    <row r="39" spans="1:13" ht="15" x14ac:dyDescent="0.25">
      <c r="A39" s="144" t="s">
        <v>111</v>
      </c>
      <c r="B39" s="126"/>
      <c r="C39" s="113">
        <f>NPV(C38,D35:M35)+C35</f>
        <v>-132612.61956282472</v>
      </c>
      <c r="D39" s="37"/>
    </row>
    <row r="40" spans="1:13" x14ac:dyDescent="0.2">
      <c r="A40" s="127"/>
      <c r="B40" s="124"/>
    </row>
    <row r="41" spans="1:13" ht="15" thickBot="1" x14ac:dyDescent="0.25">
      <c r="A41" s="127"/>
      <c r="B41" s="124"/>
    </row>
    <row r="42" spans="1:13" ht="15.75" thickBot="1" x14ac:dyDescent="0.3">
      <c r="A42" s="127"/>
      <c r="B42" s="124"/>
      <c r="C42" s="128" t="s">
        <v>166</v>
      </c>
      <c r="D42" s="129" t="s">
        <v>164</v>
      </c>
      <c r="E42" s="129" t="s">
        <v>152</v>
      </c>
      <c r="F42" s="130" t="s">
        <v>96</v>
      </c>
    </row>
    <row r="43" spans="1:13" ht="15.75" thickBot="1" x14ac:dyDescent="0.3">
      <c r="A43" s="127"/>
      <c r="B43" s="124"/>
      <c r="C43" s="131" t="s">
        <v>161</v>
      </c>
      <c r="D43" s="132">
        <f>C15</f>
        <v>97926.954585617088</v>
      </c>
      <c r="E43" s="133">
        <v>0.25</v>
      </c>
      <c r="F43" s="134">
        <f>D43*E43</f>
        <v>24481.738646404272</v>
      </c>
    </row>
    <row r="44" spans="1:13" ht="15.75" thickBot="1" x14ac:dyDescent="0.3">
      <c r="A44" s="127"/>
      <c r="B44" s="124"/>
      <c r="C44" s="131" t="s">
        <v>162</v>
      </c>
      <c r="D44" s="132">
        <f>C27</f>
        <v>9442.6772651890496</v>
      </c>
      <c r="E44" s="133">
        <v>0.5</v>
      </c>
      <c r="F44" s="134">
        <f t="shared" ref="F44:F45" si="3">D44*E44</f>
        <v>4721.3386325945248</v>
      </c>
    </row>
    <row r="45" spans="1:13" ht="15.75" thickBot="1" x14ac:dyDescent="0.3">
      <c r="A45" s="127"/>
      <c r="B45" s="124"/>
      <c r="C45" s="135" t="s">
        <v>163</v>
      </c>
      <c r="D45" s="136">
        <f>C39</f>
        <v>-132612.61956282472</v>
      </c>
      <c r="E45" s="137">
        <v>0.25</v>
      </c>
      <c r="F45" s="138">
        <f t="shared" si="3"/>
        <v>-33153.154890706181</v>
      </c>
    </row>
    <row r="46" spans="1:13" ht="15.75" thickBot="1" x14ac:dyDescent="0.3">
      <c r="A46" s="127"/>
      <c r="B46" s="124"/>
      <c r="C46" s="139"/>
      <c r="D46" s="139"/>
      <c r="E46" s="140" t="s">
        <v>165</v>
      </c>
      <c r="F46" s="141">
        <f>SUM(F43:F45)</f>
        <v>-3950.0776117073838</v>
      </c>
      <c r="G46" t="s">
        <v>184</v>
      </c>
    </row>
    <row r="47" spans="1:13" x14ac:dyDescent="0.2">
      <c r="A47" s="127"/>
      <c r="B47" s="124"/>
    </row>
    <row r="48" spans="1:13" x14ac:dyDescent="0.2">
      <c r="A48" s="127"/>
      <c r="B48" s="124"/>
    </row>
    <row r="49" spans="1:13" x14ac:dyDescent="0.2">
      <c r="A49" s="127" t="s">
        <v>167</v>
      </c>
      <c r="B49" s="124"/>
      <c r="C49" t="s">
        <v>169</v>
      </c>
    </row>
    <row r="50" spans="1:13" ht="15" x14ac:dyDescent="0.25">
      <c r="A50" s="144" t="s">
        <v>103</v>
      </c>
      <c r="B50" s="126"/>
      <c r="D50" t="str">
        <f>D6</f>
        <v>Year 1</v>
      </c>
      <c r="E50" t="str">
        <f t="shared" ref="E50:M50" si="4">E6</f>
        <v xml:space="preserve"> Year 2</v>
      </c>
      <c r="F50" t="str">
        <f t="shared" si="4"/>
        <v>Year 3</v>
      </c>
      <c r="G50" t="str">
        <f t="shared" si="4"/>
        <v>Year 4</v>
      </c>
      <c r="H50" t="str">
        <f t="shared" si="4"/>
        <v>Year 5</v>
      </c>
      <c r="I50" t="str">
        <f t="shared" si="4"/>
        <v>Year 6</v>
      </c>
      <c r="J50" t="str">
        <f t="shared" si="4"/>
        <v>Year 7</v>
      </c>
      <c r="K50" t="str">
        <f t="shared" si="4"/>
        <v>Year 8</v>
      </c>
      <c r="L50" t="str">
        <f t="shared" si="4"/>
        <v>Year 9</v>
      </c>
      <c r="M50" t="str">
        <f t="shared" si="4"/>
        <v>Year 10</v>
      </c>
    </row>
    <row r="51" spans="1:13" ht="15" x14ac:dyDescent="0.25">
      <c r="A51" s="144" t="s">
        <v>104</v>
      </c>
      <c r="B51" s="126"/>
    </row>
    <row r="52" spans="1:13" ht="15" x14ac:dyDescent="0.25">
      <c r="A52" s="126"/>
      <c r="B52" s="126" t="s">
        <v>102</v>
      </c>
      <c r="C52" s="37"/>
      <c r="D52" s="37">
        <v>11630.890999999992</v>
      </c>
      <c r="E52" s="37">
        <v>13740.075962499996</v>
      </c>
      <c r="F52" s="37">
        <v>16066.217712146754</v>
      </c>
      <c r="G52" s="37">
        <v>18630.539915710939</v>
      </c>
      <c r="H52" s="37">
        <v>21456.370762039165</v>
      </c>
      <c r="I52" s="37">
        <v>24569.354930787122</v>
      </c>
      <c r="J52" s="37">
        <v>27997.687110546169</v>
      </c>
      <c r="K52" s="37">
        <v>31772.36926723332</v>
      </c>
      <c r="L52" s="37">
        <v>35927.494088860265</v>
      </c>
      <c r="M52" s="37">
        <v>40500.55728111518</v>
      </c>
    </row>
    <row r="53" spans="1:13" ht="15" x14ac:dyDescent="0.25">
      <c r="A53" s="126"/>
      <c r="B53" s="126" t="s">
        <v>168</v>
      </c>
      <c r="C53" s="37"/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f>D52*1.2</f>
        <v>13957.069199999991</v>
      </c>
      <c r="J53" s="37">
        <f t="shared" ref="J53:M53" si="5">E52*1.2</f>
        <v>16488.091154999995</v>
      </c>
      <c r="K53" s="37">
        <f t="shared" si="5"/>
        <v>19279.461254576105</v>
      </c>
      <c r="L53" s="37">
        <f t="shared" si="5"/>
        <v>22356.647898853127</v>
      </c>
      <c r="M53" s="37">
        <f t="shared" si="5"/>
        <v>25747.644914446999</v>
      </c>
    </row>
    <row r="54" spans="1:13" ht="15" x14ac:dyDescent="0.25">
      <c r="A54" s="144" t="s">
        <v>105</v>
      </c>
      <c r="B54" s="126"/>
      <c r="C54" s="37">
        <v>-108227.96719945205</v>
      </c>
      <c r="D54" s="37">
        <v>152.96589242050686</v>
      </c>
      <c r="E54" s="37">
        <v>178.22806827968498</v>
      </c>
      <c r="F54" s="37">
        <v>215.38824689498688</v>
      </c>
      <c r="G54" s="37">
        <v>256.65340262609152</v>
      </c>
      <c r="H54" s="37">
        <v>302.44277490664535</v>
      </c>
      <c r="I54" s="37">
        <v>353.21811288610115</v>
      </c>
      <c r="J54" s="37">
        <v>409.48800192054205</v>
      </c>
      <c r="K54" s="37">
        <v>471.8126319194962</v>
      </c>
      <c r="L54" s="37">
        <v>540.80905276265912</v>
      </c>
      <c r="M54" s="37">
        <v>87284.194160562649</v>
      </c>
    </row>
    <row r="55" spans="1:13" ht="15" x14ac:dyDescent="0.25">
      <c r="A55" s="144"/>
      <c r="B55" s="126"/>
      <c r="C55" s="37"/>
      <c r="D55" s="37"/>
      <c r="E55" s="37"/>
      <c r="F55" s="37"/>
      <c r="G55" s="37"/>
      <c r="H55" s="37">
        <v>-100000</v>
      </c>
      <c r="I55" s="37">
        <f>D54*1.2</f>
        <v>183.55907090460823</v>
      </c>
      <c r="J55" s="37">
        <f t="shared" ref="J55:L55" si="6">E54*1.2</f>
        <v>213.87368193562196</v>
      </c>
      <c r="K55" s="37">
        <f t="shared" si="6"/>
        <v>258.46589627398424</v>
      </c>
      <c r="L55" s="37">
        <f t="shared" si="6"/>
        <v>307.98408315130979</v>
      </c>
      <c r="M55" s="37">
        <f>M54</f>
        <v>87284.194160562649</v>
      </c>
    </row>
    <row r="56" spans="1:13" ht="15" x14ac:dyDescent="0.25">
      <c r="A56" s="144" t="s">
        <v>108</v>
      </c>
      <c r="B56" s="126"/>
      <c r="C56" s="37">
        <f>SUM(C52:C55)</f>
        <v>-108227.96719945205</v>
      </c>
      <c r="D56" s="37">
        <f t="shared" ref="D56:M56" si="7">SUM(D52:D55)</f>
        <v>11783.856892420499</v>
      </c>
      <c r="E56" s="37">
        <f t="shared" si="7"/>
        <v>13918.30403077968</v>
      </c>
      <c r="F56" s="37">
        <f t="shared" si="7"/>
        <v>16281.605959041741</v>
      </c>
      <c r="G56" s="37">
        <f t="shared" si="7"/>
        <v>18887.193318337031</v>
      </c>
      <c r="H56" s="37">
        <f t="shared" si="7"/>
        <v>-78241.186463054182</v>
      </c>
      <c r="I56" s="37">
        <f t="shared" si="7"/>
        <v>39063.201314577818</v>
      </c>
      <c r="J56" s="37">
        <f t="shared" si="7"/>
        <v>45109.139949402328</v>
      </c>
      <c r="K56" s="37">
        <f t="shared" si="7"/>
        <v>51782.109050002902</v>
      </c>
      <c r="L56" s="37">
        <f t="shared" si="7"/>
        <v>59132.935123627358</v>
      </c>
      <c r="M56" s="37">
        <f t="shared" si="7"/>
        <v>240816.59051668749</v>
      </c>
    </row>
    <row r="57" spans="1:13" ht="18.75" x14ac:dyDescent="0.3">
      <c r="A57" s="126"/>
      <c r="B57" s="145" t="s">
        <v>109</v>
      </c>
      <c r="C57" s="68">
        <f>IRR(C56:M56)</f>
        <v>0.17847766780552754</v>
      </c>
    </row>
    <row r="58" spans="1:13" ht="15" x14ac:dyDescent="0.25">
      <c r="A58" s="126"/>
      <c r="B58" s="126"/>
    </row>
    <row r="59" spans="1:13" ht="15" x14ac:dyDescent="0.25">
      <c r="A59" s="144" t="s">
        <v>110</v>
      </c>
      <c r="B59" s="126"/>
      <c r="C59" s="68">
        <f>C38</f>
        <v>6.8559957506364039E-2</v>
      </c>
      <c r="D59" s="68"/>
    </row>
    <row r="60" spans="1:13" ht="15" x14ac:dyDescent="0.25">
      <c r="A60" s="144" t="s">
        <v>111</v>
      </c>
      <c r="B60" s="126"/>
      <c r="C60" s="113">
        <f>NPV(C59,D56:M56)+C56</f>
        <v>128356.75890931979</v>
      </c>
      <c r="D60" s="37"/>
    </row>
    <row r="61" spans="1:13" x14ac:dyDescent="0.2">
      <c r="A61" s="127"/>
      <c r="B61" s="124"/>
    </row>
    <row r="62" spans="1:13" x14ac:dyDescent="0.2">
      <c r="A62" s="127"/>
      <c r="B62" s="124"/>
    </row>
    <row r="63" spans="1:13" x14ac:dyDescent="0.2">
      <c r="A63" s="127"/>
      <c r="B63" s="124"/>
    </row>
    <row r="64" spans="1:13" x14ac:dyDescent="0.2">
      <c r="A64" s="127" t="s">
        <v>158</v>
      </c>
      <c r="B64" s="124"/>
      <c r="C64" t="s">
        <v>171</v>
      </c>
    </row>
    <row r="65" spans="1:13" ht="15" x14ac:dyDescent="0.25">
      <c r="A65" s="144" t="s">
        <v>103</v>
      </c>
      <c r="B65" s="126"/>
    </row>
    <row r="66" spans="1:13" ht="15" x14ac:dyDescent="0.25">
      <c r="A66" s="144" t="s">
        <v>104</v>
      </c>
      <c r="B66" s="126"/>
    </row>
    <row r="67" spans="1:13" ht="15" x14ac:dyDescent="0.25">
      <c r="A67" s="126"/>
      <c r="B67" s="126" t="s">
        <v>102</v>
      </c>
      <c r="C67" s="37"/>
      <c r="D67" s="37">
        <v>-8859.1090000000113</v>
      </c>
      <c r="E67" s="37">
        <v>-7321.724037500011</v>
      </c>
      <c r="F67" s="37">
        <v>-5584.3322878532854</v>
      </c>
      <c r="G67" s="37">
        <v>-3626.2165442890473</v>
      </c>
      <c r="H67" s="37"/>
      <c r="I67" s="37"/>
      <c r="J67" s="37"/>
      <c r="K67" s="37"/>
      <c r="L67" s="37"/>
      <c r="M67" s="37"/>
    </row>
    <row r="68" spans="1:13" ht="15" x14ac:dyDescent="0.25">
      <c r="A68" s="126"/>
      <c r="B68" s="126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</row>
    <row r="69" spans="1:13" ht="15" x14ac:dyDescent="0.25">
      <c r="A69" s="144" t="s">
        <v>105</v>
      </c>
      <c r="B69" s="126"/>
      <c r="C69" s="37">
        <v>-108498.84433961642</v>
      </c>
      <c r="D69" s="37">
        <v>-540.73897110809639</v>
      </c>
      <c r="E69" s="37">
        <v>-582.849894926459</v>
      </c>
      <c r="F69" s="37">
        <v>-628.74060116118699</v>
      </c>
      <c r="G69" s="37">
        <v>-678.77689304276191</v>
      </c>
      <c r="H69" s="37"/>
      <c r="I69" s="37"/>
      <c r="J69" s="37"/>
      <c r="K69" s="37"/>
      <c r="L69" s="37"/>
      <c r="M69" s="37"/>
    </row>
    <row r="70" spans="1:13" ht="15" x14ac:dyDescent="0.25">
      <c r="A70" s="144" t="s">
        <v>108</v>
      </c>
      <c r="B70" s="126"/>
      <c r="C70" s="37">
        <f>C67+C69</f>
        <v>-108498.84433961642</v>
      </c>
      <c r="D70" s="37">
        <f t="shared" ref="D70" si="8">D67+D69</f>
        <v>-9399.8479711081072</v>
      </c>
      <c r="E70" s="37">
        <f t="shared" ref="E70" si="9">E67+E69</f>
        <v>-7904.5739324264705</v>
      </c>
      <c r="F70" s="37">
        <f t="shared" ref="F70" si="10">F67+F69</f>
        <v>-6213.0728890144728</v>
      </c>
      <c r="G70" s="37">
        <f t="shared" ref="G70" si="11">G67+G69</f>
        <v>-4304.9934373318092</v>
      </c>
      <c r="H70" s="37"/>
      <c r="I70" s="37"/>
      <c r="J70" s="37"/>
      <c r="K70" s="37"/>
      <c r="L70" s="37"/>
      <c r="M70" s="37"/>
    </row>
    <row r="71" spans="1:13" ht="18.75" x14ac:dyDescent="0.3">
      <c r="A71" s="126"/>
      <c r="B71" s="145" t="s">
        <v>109</v>
      </c>
      <c r="C71" s="68" t="s">
        <v>183</v>
      </c>
    </row>
    <row r="72" spans="1:13" ht="15" x14ac:dyDescent="0.25">
      <c r="A72" s="126"/>
      <c r="B72" s="126"/>
    </row>
    <row r="73" spans="1:13" ht="15" x14ac:dyDescent="0.25">
      <c r="A73" s="144" t="s">
        <v>110</v>
      </c>
      <c r="B73" s="126"/>
      <c r="C73" s="68">
        <f>C59</f>
        <v>6.8559957506364039E-2</v>
      </c>
      <c r="D73" s="68"/>
    </row>
    <row r="74" spans="1:13" ht="15" x14ac:dyDescent="0.25">
      <c r="A74" s="144" t="s">
        <v>111</v>
      </c>
      <c r="B74" s="126"/>
      <c r="C74" s="113">
        <f>NPV(C73,D70:G70)+C70</f>
        <v>-132612.61956282472</v>
      </c>
      <c r="D74" s="37"/>
    </row>
    <row r="75" spans="1:13" ht="15" thickBot="1" x14ac:dyDescent="0.25">
      <c r="A75" s="127"/>
      <c r="B75" s="124"/>
    </row>
    <row r="76" spans="1:13" ht="15.75" thickBot="1" x14ac:dyDescent="0.3">
      <c r="A76" s="127"/>
      <c r="B76" s="122"/>
      <c r="C76" s="128" t="s">
        <v>166</v>
      </c>
      <c r="D76" s="129" t="s">
        <v>164</v>
      </c>
      <c r="E76" s="129" t="s">
        <v>152</v>
      </c>
      <c r="F76" s="130" t="s">
        <v>96</v>
      </c>
    </row>
    <row r="77" spans="1:13" ht="15.75" thickBot="1" x14ac:dyDescent="0.3">
      <c r="C77" s="142" t="s">
        <v>161</v>
      </c>
      <c r="D77" s="132">
        <f>C60</f>
        <v>128356.75890931979</v>
      </c>
      <c r="E77" s="133">
        <v>0.25</v>
      </c>
      <c r="F77" s="134">
        <f>D77*E77</f>
        <v>32089.189727329947</v>
      </c>
    </row>
    <row r="78" spans="1:13" ht="15.75" thickBot="1" x14ac:dyDescent="0.3">
      <c r="C78" s="142" t="s">
        <v>162</v>
      </c>
      <c r="D78" s="132">
        <f>C27</f>
        <v>9442.6772651890496</v>
      </c>
      <c r="E78" s="133">
        <v>0.5</v>
      </c>
      <c r="F78" s="134">
        <f t="shared" ref="F78:F79" si="12">D78*E78</f>
        <v>4721.3386325945248</v>
      </c>
    </row>
    <row r="79" spans="1:13" ht="15.75" thickBot="1" x14ac:dyDescent="0.3">
      <c r="C79" s="143" t="s">
        <v>163</v>
      </c>
      <c r="D79" s="136">
        <f>C74</f>
        <v>-132612.61956282472</v>
      </c>
      <c r="E79" s="137">
        <v>0.25</v>
      </c>
      <c r="F79" s="138">
        <f t="shared" si="12"/>
        <v>-33153.154890706181</v>
      </c>
    </row>
    <row r="80" spans="1:13" ht="15.75" thickBot="1" x14ac:dyDescent="0.3">
      <c r="C80" s="139"/>
      <c r="D80" s="139"/>
      <c r="E80" s="140" t="s">
        <v>165</v>
      </c>
      <c r="F80" s="141">
        <f>SUM(F77:F79)</f>
        <v>3657.3734692182916</v>
      </c>
      <c r="G80" t="s">
        <v>185</v>
      </c>
    </row>
  </sheetData>
  <pageMargins left="0.7" right="0.7" top="0.75" bottom="0.75" header="0.3" footer="0.3"/>
  <pageSetup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>
      <selection activeCell="K18" sqref="K18"/>
    </sheetView>
  </sheetViews>
  <sheetFormatPr defaultRowHeight="12.75" x14ac:dyDescent="0.2"/>
  <cols>
    <col min="2" max="2" width="11.28515625" bestFit="1" customWidth="1"/>
    <col min="3" max="3" width="12.28515625" bestFit="1" customWidth="1"/>
    <col min="4" max="4" width="9.85546875" bestFit="1" customWidth="1"/>
    <col min="7" max="7" width="11.28515625" bestFit="1" customWidth="1"/>
    <col min="8" max="8" width="12.28515625" bestFit="1" customWidth="1"/>
    <col min="10" max="10" width="11" customWidth="1"/>
    <col min="12" max="12" width="11.28515625" bestFit="1" customWidth="1"/>
  </cols>
  <sheetData>
    <row r="1" spans="1:12" x14ac:dyDescent="0.2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</row>
    <row r="2" spans="1:12" ht="15" x14ac:dyDescent="0.25">
      <c r="A2" t="s">
        <v>161</v>
      </c>
      <c r="B2" s="37">
        <v>-108227.96719945205</v>
      </c>
      <c r="C2" s="37">
        <v>152.96589242050686</v>
      </c>
      <c r="D2" s="37">
        <v>178.22806827968498</v>
      </c>
      <c r="E2" s="37">
        <v>215.38824689498688</v>
      </c>
      <c r="F2" s="37">
        <v>256.65340262609152</v>
      </c>
      <c r="G2" s="37">
        <v>302.44277490664535</v>
      </c>
      <c r="H2" s="37">
        <v>353.21811288610115</v>
      </c>
      <c r="I2" s="37">
        <v>409.48800192054205</v>
      </c>
      <c r="J2" s="37">
        <v>471.8126319194962</v>
      </c>
      <c r="K2" s="37">
        <v>540.80905276265912</v>
      </c>
      <c r="L2" s="37">
        <v>87284.194160562649</v>
      </c>
    </row>
    <row r="3" spans="1:12" ht="15" x14ac:dyDescent="0.25">
      <c r="B3" s="37"/>
      <c r="C3" s="37"/>
      <c r="D3" s="37"/>
      <c r="E3" s="37"/>
      <c r="F3" s="37"/>
      <c r="G3" s="37">
        <v>-100000</v>
      </c>
      <c r="H3" s="37">
        <f>C2*1.2</f>
        <v>183.55907090460823</v>
      </c>
      <c r="I3" s="37">
        <f t="shared" ref="I3:K3" si="0">D2*1.2</f>
        <v>213.87368193562196</v>
      </c>
      <c r="J3" s="37">
        <f t="shared" si="0"/>
        <v>258.46589627398424</v>
      </c>
      <c r="K3" s="37">
        <f t="shared" si="0"/>
        <v>307.98408315130979</v>
      </c>
      <c r="L3" s="37">
        <f>L2</f>
        <v>87284.194160562649</v>
      </c>
    </row>
    <row r="4" spans="1:12" x14ac:dyDescent="0.2">
      <c r="A4" t="s">
        <v>173</v>
      </c>
    </row>
    <row r="5" spans="1:12" x14ac:dyDescent="0.2">
      <c r="A5" t="s">
        <v>174</v>
      </c>
    </row>
    <row r="6" spans="1:12" x14ac:dyDescent="0.2">
      <c r="A6" t="s">
        <v>164</v>
      </c>
    </row>
    <row r="9" spans="1:12" x14ac:dyDescent="0.2">
      <c r="A9" t="s">
        <v>175</v>
      </c>
      <c r="G9" s="116" t="s">
        <v>176</v>
      </c>
      <c r="H9" s="116" t="s">
        <v>177</v>
      </c>
      <c r="I9" s="116" t="s">
        <v>180</v>
      </c>
      <c r="J9" s="116" t="s">
        <v>181</v>
      </c>
      <c r="K9" s="116" t="s">
        <v>178</v>
      </c>
      <c r="L9" s="117" t="s">
        <v>182</v>
      </c>
    </row>
    <row r="10" spans="1:12" ht="15" x14ac:dyDescent="0.25">
      <c r="A10" t="s">
        <v>109</v>
      </c>
      <c r="G10" s="118">
        <f>C14</f>
        <v>60745</v>
      </c>
      <c r="H10" s="118">
        <f>D14</f>
        <v>100000</v>
      </c>
      <c r="I10" s="116">
        <f>G14</f>
        <v>5</v>
      </c>
      <c r="J10" s="119">
        <f>F14</f>
        <v>0.2</v>
      </c>
      <c r="K10" s="120">
        <f>E14</f>
        <v>7.9574110431750444E-2</v>
      </c>
      <c r="L10" s="121">
        <f>(G10*(NORMSDIST((LN(G10/PV(K10,I10,,-H10))+(K10+((J10^2)/2)*I10))/(J10*SQRT(I10)))))-((NORMSDIST(((LN(G10/PV(K10,I10,,-H10))+(K10+((J10^2)/2)*I10))/(J10*SQRT(I10)))-(J10*SQRT(I10))))*PV(K10,I10,,-H10))</f>
        <v>7880.1603601182687</v>
      </c>
    </row>
    <row r="13" spans="1:12" x14ac:dyDescent="0.2">
      <c r="C13" t="s">
        <v>176</v>
      </c>
      <c r="D13" t="s">
        <v>177</v>
      </c>
      <c r="E13" t="s">
        <v>178</v>
      </c>
      <c r="F13" t="s">
        <v>179</v>
      </c>
      <c r="G13" t="s">
        <v>180</v>
      </c>
    </row>
    <row r="14" spans="1:12" x14ac:dyDescent="0.2">
      <c r="C14">
        <f>60745</f>
        <v>60745</v>
      </c>
      <c r="D14" s="115">
        <f>-G3</f>
        <v>100000</v>
      </c>
      <c r="E14" s="18">
        <f>Options!C24</f>
        <v>7.9574110431750444E-2</v>
      </c>
      <c r="F14" s="114">
        <v>0.2</v>
      </c>
      <c r="G14">
        <f>G1</f>
        <v>5</v>
      </c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Forecast</vt:lpstr>
      <vt:lpstr>Mortgage</vt:lpstr>
      <vt:lpstr>Bankruptcy</vt:lpstr>
      <vt:lpstr>Options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2019-08-22T21:13:26Z</dcterms:created>
  <dcterms:modified xsi:type="dcterms:W3CDTF">2019-08-22T21:14:07Z</dcterms:modified>
</cp:coreProperties>
</file>