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5600" windowHeight="7935"/>
  </bookViews>
  <sheets>
    <sheet name="Realistic Answer" sheetId="1" r:id="rId1"/>
    <sheet name="Mortgage" sheetId="2" r:id="rId2"/>
  </sheets>
  <calcPr calcId="152511" iterateDelta="1E-4"/>
</workbook>
</file>

<file path=xl/calcChain.xml><?xml version="1.0" encoding="utf-8"?>
<calcChain xmlns="http://schemas.openxmlformats.org/spreadsheetml/2006/main">
  <c r="M101" i="1" l="1"/>
  <c r="E92" i="1"/>
  <c r="F92" i="1"/>
  <c r="G92" i="1"/>
  <c r="H92" i="1"/>
  <c r="I92" i="1"/>
  <c r="J92" i="1"/>
  <c r="K92" i="1"/>
  <c r="L92" i="1"/>
  <c r="M92" i="1"/>
  <c r="D92" i="1"/>
  <c r="D89" i="1"/>
  <c r="D83" i="1"/>
  <c r="K160" i="1" l="1"/>
  <c r="K159" i="1"/>
  <c r="D42" i="1"/>
  <c r="D41" i="1"/>
  <c r="B3" i="2"/>
  <c r="B1" i="2"/>
  <c r="C6" i="2" s="1"/>
  <c r="B4" i="2" l="1"/>
  <c r="D131" i="2" s="1"/>
  <c r="E6" i="2"/>
  <c r="D37" i="2"/>
  <c r="D80" i="2"/>
  <c r="D66" i="2"/>
  <c r="D56" i="2"/>
  <c r="D36" i="2"/>
  <c r="D31" i="2"/>
  <c r="D6" i="2"/>
  <c r="D23" i="2"/>
  <c r="D10" i="2"/>
  <c r="D9" i="2"/>
  <c r="F6" i="2" l="1"/>
  <c r="G6" i="2" s="1"/>
  <c r="C7" i="2" s="1"/>
  <c r="D12" i="2"/>
  <c r="D7" i="2"/>
  <c r="D26" i="2"/>
  <c r="D53" i="2"/>
  <c r="D69" i="2"/>
  <c r="D13" i="2"/>
  <c r="D8" i="2"/>
  <c r="D30" i="2"/>
  <c r="D79" i="2"/>
  <c r="D70" i="2"/>
  <c r="D51" i="2"/>
  <c r="D57" i="2"/>
  <c r="D41" i="2"/>
  <c r="D111" i="2"/>
  <c r="D39" i="2"/>
  <c r="D97" i="2"/>
  <c r="D72" i="2"/>
  <c r="D15" i="2"/>
  <c r="D54" i="2"/>
  <c r="D25" i="2"/>
  <c r="D147" i="2"/>
  <c r="D22" i="2"/>
  <c r="D43" i="2"/>
  <c r="D40" i="2"/>
  <c r="D73" i="2"/>
  <c r="D20" i="2"/>
  <c r="D58" i="2"/>
  <c r="D42" i="2"/>
  <c r="D143" i="2"/>
  <c r="D21" i="2"/>
  <c r="D86" i="2"/>
  <c r="D118" i="2"/>
  <c r="D98" i="2"/>
  <c r="D124" i="2"/>
  <c r="D71" i="2"/>
  <c r="D148" i="2"/>
  <c r="D141" i="2"/>
  <c r="D48" i="2"/>
  <c r="D82" i="2"/>
  <c r="D44" i="2"/>
  <c r="D63" i="2"/>
  <c r="D74" i="2"/>
  <c r="D96" i="2"/>
  <c r="D24" i="2"/>
  <c r="D45" i="2"/>
  <c r="D64" i="2"/>
  <c r="D87" i="2"/>
  <c r="D29" i="2"/>
  <c r="D59" i="2"/>
  <c r="D104" i="2"/>
  <c r="D128" i="2"/>
  <c r="D129" i="2"/>
  <c r="D112" i="2"/>
  <c r="D99" i="2"/>
  <c r="D16" i="2"/>
  <c r="D14" i="2"/>
  <c r="D27" i="2"/>
  <c r="D17" i="2"/>
  <c r="D35" i="2"/>
  <c r="D52" i="2"/>
  <c r="D83" i="2"/>
  <c r="D49" i="2"/>
  <c r="D67" i="2"/>
  <c r="D78" i="2"/>
  <c r="D11" i="2"/>
  <c r="D28" i="2"/>
  <c r="D50" i="2"/>
  <c r="D68" i="2"/>
  <c r="D93" i="2"/>
  <c r="D38" i="2"/>
  <c r="D65" i="2"/>
  <c r="D110" i="2"/>
  <c r="D139" i="2"/>
  <c r="D144" i="2"/>
  <c r="D116" i="2"/>
  <c r="D117" i="2"/>
  <c r="D81" i="2"/>
  <c r="D123" i="2"/>
  <c r="D125" i="2"/>
  <c r="D94" i="2"/>
  <c r="D134" i="2"/>
  <c r="D95" i="2"/>
  <c r="D101" i="2"/>
  <c r="D34" i="2"/>
  <c r="D55" i="2"/>
  <c r="D100" i="2"/>
  <c r="D114" i="2"/>
  <c r="D132" i="2"/>
  <c r="D115" i="2"/>
  <c r="D133" i="2"/>
  <c r="D84" i="2"/>
  <c r="D102" i="2"/>
  <c r="D126" i="2"/>
  <c r="D145" i="2"/>
  <c r="D85" i="2"/>
  <c r="D103" i="2"/>
  <c r="D142" i="2"/>
  <c r="D119" i="2"/>
  <c r="D140" i="2"/>
  <c r="D88" i="2"/>
  <c r="D108" i="2"/>
  <c r="D130" i="2"/>
  <c r="D149" i="2"/>
  <c r="D89" i="2"/>
  <c r="D113" i="2"/>
  <c r="D109" i="2"/>
  <c r="D127" i="2"/>
  <c r="D146" i="2"/>
  <c r="D150" i="2"/>
  <c r="E7" i="2"/>
  <c r="F7" i="2" s="1"/>
  <c r="G7" i="2" s="1"/>
  <c r="C8" i="2" s="1"/>
  <c r="E8" i="2" l="1"/>
  <c r="E161" i="1"/>
  <c r="F161" i="1"/>
  <c r="G161" i="1"/>
  <c r="H161" i="1"/>
  <c r="E166" i="1"/>
  <c r="F166" i="1"/>
  <c r="G166" i="1"/>
  <c r="H166" i="1"/>
  <c r="E168" i="1"/>
  <c r="F168" i="1"/>
  <c r="G168" i="1"/>
  <c r="H168" i="1"/>
  <c r="E169" i="1"/>
  <c r="F169" i="1"/>
  <c r="G169" i="1"/>
  <c r="H169" i="1"/>
  <c r="E177" i="1"/>
  <c r="F177" i="1"/>
  <c r="G177" i="1"/>
  <c r="H177" i="1"/>
  <c r="E180" i="1"/>
  <c r="F180" i="1"/>
  <c r="G180" i="1"/>
  <c r="H180" i="1"/>
  <c r="D161" i="1"/>
  <c r="D166" i="1"/>
  <c r="D168" i="1"/>
  <c r="D169" i="1"/>
  <c r="D177" i="1"/>
  <c r="D180" i="1"/>
  <c r="J143" i="1"/>
  <c r="J137" i="1"/>
  <c r="K137" i="1" s="1"/>
  <c r="L137" i="1" s="1"/>
  <c r="M137" i="1" s="1"/>
  <c r="F8" i="2" l="1"/>
  <c r="G8" i="2" s="1"/>
  <c r="C9" i="2" s="1"/>
  <c r="D63" i="1"/>
  <c r="C99" i="1"/>
  <c r="O97" i="1"/>
  <c r="P97" i="1" s="1"/>
  <c r="C97" i="1"/>
  <c r="M80" i="1"/>
  <c r="L80" i="1"/>
  <c r="K80" i="1"/>
  <c r="J80" i="1"/>
  <c r="I80" i="1"/>
  <c r="H80" i="1"/>
  <c r="H178" i="1" s="1"/>
  <c r="G80" i="1"/>
  <c r="G178" i="1" s="1"/>
  <c r="F80" i="1"/>
  <c r="F178" i="1" s="1"/>
  <c r="E80" i="1"/>
  <c r="E178" i="1" s="1"/>
  <c r="D80" i="1"/>
  <c r="D178" i="1" s="1"/>
  <c r="R78" i="1"/>
  <c r="R77" i="1"/>
  <c r="Q73" i="1"/>
  <c r="M68" i="1"/>
  <c r="L68" i="1"/>
  <c r="K68" i="1"/>
  <c r="J68" i="1"/>
  <c r="I68" i="1"/>
  <c r="H68" i="1"/>
  <c r="H164" i="1" s="1"/>
  <c r="K164" i="1" s="1"/>
  <c r="G68" i="1"/>
  <c r="G164" i="1" s="1"/>
  <c r="F68" i="1"/>
  <c r="F164" i="1" s="1"/>
  <c r="E68" i="1"/>
  <c r="E164" i="1" s="1"/>
  <c r="D68" i="1"/>
  <c r="D164" i="1" s="1"/>
  <c r="M67" i="1"/>
  <c r="L67" i="1"/>
  <c r="K67" i="1"/>
  <c r="J67" i="1"/>
  <c r="I67" i="1"/>
  <c r="H67" i="1"/>
  <c r="H163" i="1" s="1"/>
  <c r="J163" i="1" s="1"/>
  <c r="G67" i="1"/>
  <c r="G163" i="1" s="1"/>
  <c r="F67" i="1"/>
  <c r="F163" i="1" s="1"/>
  <c r="E67" i="1"/>
  <c r="E163" i="1" s="1"/>
  <c r="D67" i="1"/>
  <c r="D163" i="1" s="1"/>
  <c r="M66" i="1"/>
  <c r="L66" i="1"/>
  <c r="K66" i="1"/>
  <c r="J66" i="1"/>
  <c r="I66" i="1"/>
  <c r="H66" i="1"/>
  <c r="H162" i="1" s="1"/>
  <c r="J162" i="1" s="1"/>
  <c r="G66" i="1"/>
  <c r="G162" i="1" s="1"/>
  <c r="F66" i="1"/>
  <c r="F162" i="1" s="1"/>
  <c r="E66" i="1"/>
  <c r="E162" i="1" s="1"/>
  <c r="D66" i="1"/>
  <c r="D162" i="1" s="1"/>
  <c r="M61" i="1"/>
  <c r="L61" i="1"/>
  <c r="K61" i="1"/>
  <c r="J61" i="1"/>
  <c r="I61" i="1"/>
  <c r="H61" i="1"/>
  <c r="H157" i="1" s="1"/>
  <c r="K157" i="1" s="1"/>
  <c r="G61" i="1"/>
  <c r="G157" i="1" s="1"/>
  <c r="F61" i="1"/>
  <c r="F157" i="1" s="1"/>
  <c r="E61" i="1"/>
  <c r="E157" i="1" s="1"/>
  <c r="D61" i="1"/>
  <c r="D157" i="1" s="1"/>
  <c r="M53" i="1"/>
  <c r="L53" i="1"/>
  <c r="K53" i="1"/>
  <c r="J53" i="1"/>
  <c r="I53" i="1"/>
  <c r="H53" i="1"/>
  <c r="G53" i="1"/>
  <c r="F53" i="1"/>
  <c r="E53" i="1"/>
  <c r="D53" i="1"/>
  <c r="M51" i="1"/>
  <c r="M90" i="1" s="1"/>
  <c r="L51" i="1"/>
  <c r="L90" i="1" s="1"/>
  <c r="K51" i="1"/>
  <c r="K90" i="1" s="1"/>
  <c r="J51" i="1"/>
  <c r="J90" i="1" s="1"/>
  <c r="I51" i="1"/>
  <c r="I90" i="1" s="1"/>
  <c r="H51" i="1"/>
  <c r="H90" i="1" s="1"/>
  <c r="G51" i="1"/>
  <c r="G90" i="1" s="1"/>
  <c r="F51" i="1"/>
  <c r="F90" i="1" s="1"/>
  <c r="E51" i="1"/>
  <c r="E90" i="1" s="1"/>
  <c r="D51" i="1"/>
  <c r="D69" i="1" s="1"/>
  <c r="D165" i="1" s="1"/>
  <c r="M48" i="1"/>
  <c r="L48" i="1"/>
  <c r="K48" i="1"/>
  <c r="J48" i="1"/>
  <c r="I48" i="1"/>
  <c r="H48" i="1"/>
  <c r="G48" i="1"/>
  <c r="F48" i="1"/>
  <c r="E48" i="1"/>
  <c r="D48" i="1"/>
  <c r="M47" i="1"/>
  <c r="L47" i="1"/>
  <c r="K47" i="1"/>
  <c r="J47" i="1"/>
  <c r="I47" i="1"/>
  <c r="H47" i="1"/>
  <c r="G47" i="1"/>
  <c r="F47" i="1"/>
  <c r="E47" i="1"/>
  <c r="D47" i="1"/>
  <c r="E41" i="1"/>
  <c r="C115" i="1" l="1"/>
  <c r="C127" i="1" s="1"/>
  <c r="C128" i="1" s="1"/>
  <c r="E9" i="2"/>
  <c r="D104" i="1"/>
  <c r="N97" i="1"/>
  <c r="M98" i="1"/>
  <c r="O80" i="1"/>
  <c r="D90" i="1"/>
  <c r="E42" i="1"/>
  <c r="E63" i="1" s="1"/>
  <c r="F41" i="1"/>
  <c r="D49" i="1"/>
  <c r="E69" i="1"/>
  <c r="E165" i="1" s="1"/>
  <c r="D44" i="1"/>
  <c r="C116" i="1" l="1"/>
  <c r="F9" i="2"/>
  <c r="G9" i="2" s="1"/>
  <c r="C10" i="2" s="1"/>
  <c r="E49" i="1"/>
  <c r="E104" i="1"/>
  <c r="G41" i="1"/>
  <c r="D64" i="1"/>
  <c r="D74" i="1"/>
  <c r="D170" i="1" s="1"/>
  <c r="F42" i="1"/>
  <c r="G42" i="1" s="1"/>
  <c r="H42" i="1" s="1"/>
  <c r="I42" i="1" s="1"/>
  <c r="J42" i="1" s="1"/>
  <c r="K42" i="1" s="1"/>
  <c r="L42" i="1" s="1"/>
  <c r="M42" i="1" s="1"/>
  <c r="E44" i="1"/>
  <c r="F69" i="1"/>
  <c r="F165" i="1" s="1"/>
  <c r="D91" i="1"/>
  <c r="D107" i="1" s="1"/>
  <c r="E10" i="2" l="1"/>
  <c r="G69" i="1"/>
  <c r="G165" i="1" s="1"/>
  <c r="D94" i="1"/>
  <c r="E64" i="1"/>
  <c r="E74" i="1"/>
  <c r="E170" i="1" s="1"/>
  <c r="E89" i="1"/>
  <c r="D105" i="1"/>
  <c r="D71" i="1"/>
  <c r="F49" i="1"/>
  <c r="G63" i="1"/>
  <c r="H41" i="1"/>
  <c r="G44" i="1"/>
  <c r="G49" i="1"/>
  <c r="F63" i="1"/>
  <c r="D106" i="1"/>
  <c r="E106" i="1" s="1"/>
  <c r="F44" i="1"/>
  <c r="D167" i="1" l="1"/>
  <c r="D85" i="1"/>
  <c r="F10" i="2"/>
  <c r="G10" i="2" s="1"/>
  <c r="C11" i="2" s="1"/>
  <c r="E105" i="1"/>
  <c r="G89" i="1"/>
  <c r="G91" i="1" s="1"/>
  <c r="F64" i="1"/>
  <c r="F71" i="1" s="1"/>
  <c r="F74" i="1"/>
  <c r="F170" i="1" s="1"/>
  <c r="F89" i="1"/>
  <c r="G74" i="1"/>
  <c r="G170" i="1" s="1"/>
  <c r="G64" i="1"/>
  <c r="E71" i="1"/>
  <c r="D115" i="1"/>
  <c r="D127" i="1" s="1"/>
  <c r="H63" i="1"/>
  <c r="H44" i="1"/>
  <c r="H49" i="1"/>
  <c r="I41" i="1"/>
  <c r="E91" i="1"/>
  <c r="E107" i="1" s="1"/>
  <c r="H69" i="1"/>
  <c r="H165" i="1" s="1"/>
  <c r="G104" i="1"/>
  <c r="F104" i="1"/>
  <c r="F167" i="1" l="1"/>
  <c r="F85" i="1"/>
  <c r="E167" i="1"/>
  <c r="E85" i="1"/>
  <c r="E11" i="2"/>
  <c r="F11" i="2" s="1"/>
  <c r="G11" i="2" s="1"/>
  <c r="C12" i="2" s="1"/>
  <c r="F106" i="1"/>
  <c r="G106" i="1" s="1"/>
  <c r="D128" i="1"/>
  <c r="J41" i="1"/>
  <c r="I63" i="1"/>
  <c r="I49" i="1"/>
  <c r="I44" i="1"/>
  <c r="H104" i="1"/>
  <c r="F91" i="1"/>
  <c r="F107" i="1" s="1"/>
  <c r="H64" i="1"/>
  <c r="H74" i="1"/>
  <c r="H170" i="1" s="1"/>
  <c r="K170" i="1" s="1"/>
  <c r="K171" i="1" s="1"/>
  <c r="G105" i="1"/>
  <c r="G94" i="1"/>
  <c r="D116" i="1"/>
  <c r="I69" i="1"/>
  <c r="E94" i="1"/>
  <c r="E115" i="1" s="1"/>
  <c r="E127" i="1" s="1"/>
  <c r="E128" i="1" s="1"/>
  <c r="G71" i="1"/>
  <c r="H89" i="1"/>
  <c r="F105" i="1"/>
  <c r="G167" i="1" l="1"/>
  <c r="G85" i="1"/>
  <c r="E12" i="2"/>
  <c r="F12" i="2" s="1"/>
  <c r="G12" i="2" s="1"/>
  <c r="C13" i="2" s="1"/>
  <c r="H106" i="1"/>
  <c r="H105" i="1"/>
  <c r="I104" i="1"/>
  <c r="H71" i="1"/>
  <c r="G107" i="1"/>
  <c r="G115" i="1" s="1"/>
  <c r="F94" i="1"/>
  <c r="F115" i="1" s="1"/>
  <c r="E116" i="1"/>
  <c r="I64" i="1"/>
  <c r="I105" i="1" s="1"/>
  <c r="I74" i="1"/>
  <c r="J63" i="1"/>
  <c r="J49" i="1"/>
  <c r="K41" i="1"/>
  <c r="J44" i="1"/>
  <c r="I89" i="1"/>
  <c r="H91" i="1"/>
  <c r="H107" i="1" s="1"/>
  <c r="J69" i="1"/>
  <c r="H167" i="1" l="1"/>
  <c r="H85" i="1"/>
  <c r="I106" i="1"/>
  <c r="E13" i="2"/>
  <c r="F13" i="2" s="1"/>
  <c r="G13" i="2" s="1"/>
  <c r="C14" i="2" s="1"/>
  <c r="I71" i="1"/>
  <c r="I85" i="1" s="1"/>
  <c r="G116" i="1"/>
  <c r="G127" i="1"/>
  <c r="G128" i="1" s="1"/>
  <c r="F116" i="1"/>
  <c r="F127" i="1"/>
  <c r="H94" i="1"/>
  <c r="H115" i="1" s="1"/>
  <c r="J64" i="1"/>
  <c r="J74" i="1"/>
  <c r="K69" i="1"/>
  <c r="I91" i="1"/>
  <c r="I107" i="1" s="1"/>
  <c r="J89" i="1"/>
  <c r="J104" i="1"/>
  <c r="K63" i="1"/>
  <c r="L41" i="1"/>
  <c r="K49" i="1"/>
  <c r="K44" i="1"/>
  <c r="E14" i="2" l="1"/>
  <c r="F14" i="2" s="1"/>
  <c r="G14" i="2" s="1"/>
  <c r="C15" i="2" s="1"/>
  <c r="J106" i="1"/>
  <c r="K104" i="1"/>
  <c r="H116" i="1"/>
  <c r="H127" i="1"/>
  <c r="H128" i="1" s="1"/>
  <c r="F128" i="1"/>
  <c r="K89" i="1"/>
  <c r="K91" i="1" s="1"/>
  <c r="L69" i="1"/>
  <c r="K74" i="1"/>
  <c r="K64" i="1"/>
  <c r="I94" i="1"/>
  <c r="I115" i="1" s="1"/>
  <c r="I127" i="1" s="1"/>
  <c r="I128" i="1" s="1"/>
  <c r="J91" i="1"/>
  <c r="J107" i="1" s="1"/>
  <c r="J105" i="1"/>
  <c r="L63" i="1"/>
  <c r="L44" i="1"/>
  <c r="L49" i="1"/>
  <c r="M41" i="1"/>
  <c r="M63" i="1" s="1"/>
  <c r="J71" i="1"/>
  <c r="J85" i="1" s="1"/>
  <c r="E15" i="2" l="1"/>
  <c r="F15" i="2" s="1"/>
  <c r="G15" i="2" s="1"/>
  <c r="C16" i="2" s="1"/>
  <c r="K105" i="1"/>
  <c r="J94" i="1"/>
  <c r="J115" i="1" s="1"/>
  <c r="K107" i="1"/>
  <c r="K94" i="1"/>
  <c r="M110" i="1"/>
  <c r="M49" i="1"/>
  <c r="M44" i="1"/>
  <c r="L89" i="1"/>
  <c r="K71" i="1"/>
  <c r="K85" i="1" s="1"/>
  <c r="K106" i="1"/>
  <c r="L104" i="1"/>
  <c r="L64" i="1"/>
  <c r="L74" i="1"/>
  <c r="I116" i="1"/>
  <c r="M69" i="1"/>
  <c r="E16" i="2" l="1"/>
  <c r="F16" i="2" s="1"/>
  <c r="G16" i="2" s="1"/>
  <c r="C17" i="2" s="1"/>
  <c r="L71" i="1"/>
  <c r="L85" i="1" s="1"/>
  <c r="J116" i="1"/>
  <c r="J127" i="1"/>
  <c r="L106" i="1"/>
  <c r="O99" i="1"/>
  <c r="P99" i="1" s="1"/>
  <c r="M104" i="1"/>
  <c r="L105" i="1"/>
  <c r="K115" i="1"/>
  <c r="L91" i="1"/>
  <c r="L107" i="1" s="1"/>
  <c r="M64" i="1"/>
  <c r="M74" i="1"/>
  <c r="J171" i="1" s="1"/>
  <c r="K175" i="1" s="1"/>
  <c r="M89" i="1"/>
  <c r="M106" i="1" l="1"/>
  <c r="E17" i="2"/>
  <c r="M111" i="1"/>
  <c r="K116" i="1"/>
  <c r="K127" i="1"/>
  <c r="K128" i="1" s="1"/>
  <c r="J128" i="1"/>
  <c r="M71" i="1"/>
  <c r="M85" i="1" s="1"/>
  <c r="M105" i="1"/>
  <c r="M112" i="1"/>
  <c r="L94" i="1"/>
  <c r="L115" i="1" s="1"/>
  <c r="N99" i="1"/>
  <c r="M100" i="1"/>
  <c r="M91" i="1"/>
  <c r="M94" i="1" s="1"/>
  <c r="F17" i="2" l="1"/>
  <c r="G17" i="2" s="1"/>
  <c r="E18" i="2"/>
  <c r="D52" i="1" s="1"/>
  <c r="L116" i="1"/>
  <c r="L127" i="1"/>
  <c r="L128" i="1" s="1"/>
  <c r="M113" i="1"/>
  <c r="M107" i="1"/>
  <c r="D152" i="1" l="1"/>
  <c r="D188" i="1" s="1"/>
  <c r="D55" i="1"/>
  <c r="C20" i="2"/>
  <c r="E20" i="2" s="1"/>
  <c r="D77" i="1"/>
  <c r="D175" i="1" s="1"/>
  <c r="D176" i="1" s="1"/>
  <c r="D153" i="1" s="1"/>
  <c r="D197" i="1" s="1"/>
  <c r="M115" i="1"/>
  <c r="M116" i="1" s="1"/>
  <c r="C119" i="1" s="1"/>
  <c r="D56" i="1" l="1"/>
  <c r="D75" i="1" s="1"/>
  <c r="D171" i="1" s="1"/>
  <c r="D57" i="1"/>
  <c r="D81" i="1" s="1"/>
  <c r="D179" i="1" s="1"/>
  <c r="C195" i="1"/>
  <c r="C199" i="1" s="1"/>
  <c r="F20" i="2"/>
  <c r="G20" i="2" s="1"/>
  <c r="C21" i="2" s="1"/>
  <c r="C120" i="1"/>
  <c r="M127" i="1"/>
  <c r="D181" i="1" l="1"/>
  <c r="C186" i="1"/>
  <c r="C190" i="1" s="1"/>
  <c r="E21" i="2"/>
  <c r="M128" i="1"/>
  <c r="C131" i="1" s="1"/>
  <c r="C145" i="1" s="1"/>
  <c r="C132" i="1"/>
  <c r="F21" i="2" l="1"/>
  <c r="G21" i="2" s="1"/>
  <c r="C22" i="2" s="1"/>
  <c r="E22" i="2" l="1"/>
  <c r="F22" i="2" l="1"/>
  <c r="G22" i="2" s="1"/>
  <c r="C23" i="2" s="1"/>
  <c r="E23" i="2" l="1"/>
  <c r="F23" i="2" l="1"/>
  <c r="G23" i="2" s="1"/>
  <c r="C24" i="2" s="1"/>
  <c r="E24" i="2" l="1"/>
  <c r="F24" i="2" l="1"/>
  <c r="G24" i="2" s="1"/>
  <c r="C25" i="2" s="1"/>
  <c r="E25" i="2" l="1"/>
  <c r="F25" i="2" s="1"/>
  <c r="G25" i="2" s="1"/>
  <c r="C26" i="2" s="1"/>
  <c r="E26" i="2" l="1"/>
  <c r="F26" i="2" s="1"/>
  <c r="G26" i="2" s="1"/>
  <c r="C27" i="2" s="1"/>
  <c r="E27" i="2" l="1"/>
  <c r="F27" i="2" s="1"/>
  <c r="G27" i="2" s="1"/>
  <c r="C28" i="2" s="1"/>
  <c r="E28" i="2" l="1"/>
  <c r="F28" i="2" s="1"/>
  <c r="G28" i="2" s="1"/>
  <c r="C29" i="2" s="1"/>
  <c r="E29" i="2" l="1"/>
  <c r="F29" i="2" s="1"/>
  <c r="G29" i="2" s="1"/>
  <c r="C30" i="2" s="1"/>
  <c r="E30" i="2" l="1"/>
  <c r="F30" i="2" s="1"/>
  <c r="G30" i="2" s="1"/>
  <c r="C31" i="2" s="1"/>
  <c r="E31" i="2" l="1"/>
  <c r="F31" i="2" l="1"/>
  <c r="G31" i="2" s="1"/>
  <c r="E32" i="2"/>
  <c r="E52" i="1" s="1"/>
  <c r="E152" i="1" l="1"/>
  <c r="E188" i="1" s="1"/>
  <c r="E55" i="1"/>
  <c r="C34" i="2"/>
  <c r="E34" i="2" s="1"/>
  <c r="E77" i="1"/>
  <c r="E175" i="1" s="1"/>
  <c r="E176" i="1" s="1"/>
  <c r="E153" i="1" s="1"/>
  <c r="E197" i="1" s="1"/>
  <c r="E56" i="1" l="1"/>
  <c r="E75" i="1" s="1"/>
  <c r="E171" i="1" s="1"/>
  <c r="D196" i="1"/>
  <c r="D199" i="1" s="1"/>
  <c r="F34" i="2"/>
  <c r="G34" i="2" s="1"/>
  <c r="C35" i="2" s="1"/>
  <c r="E57" i="1" l="1"/>
  <c r="E81" i="1" s="1"/>
  <c r="E179" i="1" s="1"/>
  <c r="E83" i="1"/>
  <c r="D187" i="1"/>
  <c r="D190" i="1" s="1"/>
  <c r="E35" i="2"/>
  <c r="E181" i="1" l="1"/>
  <c r="F35" i="2"/>
  <c r="G35" i="2" s="1"/>
  <c r="C36" i="2" s="1"/>
  <c r="E36" i="2" l="1"/>
  <c r="F36" i="2" l="1"/>
  <c r="G36" i="2" s="1"/>
  <c r="C37" i="2" s="1"/>
  <c r="E37" i="2" l="1"/>
  <c r="F37" i="2" l="1"/>
  <c r="G37" i="2" s="1"/>
  <c r="C38" i="2" s="1"/>
  <c r="E38" i="2" l="1"/>
  <c r="F38" i="2" l="1"/>
  <c r="G38" i="2" s="1"/>
  <c r="C39" i="2" s="1"/>
  <c r="E39" i="2" l="1"/>
  <c r="F39" i="2" s="1"/>
  <c r="G39" i="2" s="1"/>
  <c r="C40" i="2" s="1"/>
  <c r="E40" i="2" l="1"/>
  <c r="F40" i="2" s="1"/>
  <c r="G40" i="2" s="1"/>
  <c r="C41" i="2" s="1"/>
  <c r="E41" i="2" l="1"/>
  <c r="F41" i="2" s="1"/>
  <c r="G41" i="2" s="1"/>
  <c r="C42" i="2" s="1"/>
  <c r="E42" i="2" l="1"/>
  <c r="F42" i="2" s="1"/>
  <c r="G42" i="2" s="1"/>
  <c r="C43" i="2" s="1"/>
  <c r="E43" i="2" l="1"/>
  <c r="F43" i="2" s="1"/>
  <c r="G43" i="2" s="1"/>
  <c r="C44" i="2" s="1"/>
  <c r="E44" i="2" l="1"/>
  <c r="F44" i="2" s="1"/>
  <c r="G44" i="2" s="1"/>
  <c r="C45" i="2" s="1"/>
  <c r="E45" i="2" l="1"/>
  <c r="F45" i="2" l="1"/>
  <c r="G45" i="2" s="1"/>
  <c r="E46" i="2"/>
  <c r="F52" i="1" s="1"/>
  <c r="F152" i="1" l="1"/>
  <c r="F188" i="1" s="1"/>
  <c r="F55" i="1"/>
  <c r="C48" i="2"/>
  <c r="E48" i="2" s="1"/>
  <c r="F77" i="1"/>
  <c r="F175" i="1" s="1"/>
  <c r="F176" i="1" s="1"/>
  <c r="F153" i="1" s="1"/>
  <c r="F197" i="1" s="1"/>
  <c r="F56" i="1" l="1"/>
  <c r="F75" i="1" s="1"/>
  <c r="F171" i="1" s="1"/>
  <c r="E196" i="1"/>
  <c r="E199" i="1" s="1"/>
  <c r="F48" i="2"/>
  <c r="G48" i="2" s="1"/>
  <c r="C49" i="2" s="1"/>
  <c r="F57" i="1" l="1"/>
  <c r="F81" i="1" s="1"/>
  <c r="F83" i="1" s="1"/>
  <c r="F179" i="1"/>
  <c r="E187" i="1"/>
  <c r="E190" i="1" s="1"/>
  <c r="E49" i="2"/>
  <c r="F181" i="1" l="1"/>
  <c r="F49" i="2"/>
  <c r="G49" i="2" s="1"/>
  <c r="C50" i="2" s="1"/>
  <c r="E50" i="2" l="1"/>
  <c r="F50" i="2" l="1"/>
  <c r="G50" i="2" s="1"/>
  <c r="C51" i="2" s="1"/>
  <c r="E51" i="2" l="1"/>
  <c r="F51" i="2" l="1"/>
  <c r="G51" i="2" s="1"/>
  <c r="C52" i="2" s="1"/>
  <c r="E52" i="2" l="1"/>
  <c r="F52" i="2" l="1"/>
  <c r="G52" i="2" s="1"/>
  <c r="C53" i="2" s="1"/>
  <c r="E53" i="2" l="1"/>
  <c r="F53" i="2" s="1"/>
  <c r="G53" i="2" s="1"/>
  <c r="C54" i="2" s="1"/>
  <c r="E54" i="2" l="1"/>
  <c r="F54" i="2" s="1"/>
  <c r="G54" i="2" s="1"/>
  <c r="C55" i="2" s="1"/>
  <c r="E55" i="2" l="1"/>
  <c r="F55" i="2" s="1"/>
  <c r="G55" i="2" s="1"/>
  <c r="C56" i="2" s="1"/>
  <c r="E56" i="2" l="1"/>
  <c r="F56" i="2" s="1"/>
  <c r="G56" i="2" s="1"/>
  <c r="C57" i="2" s="1"/>
  <c r="E57" i="2" l="1"/>
  <c r="F57" i="2" s="1"/>
  <c r="G57" i="2" s="1"/>
  <c r="C58" i="2" s="1"/>
  <c r="E58" i="2" l="1"/>
  <c r="F58" i="2" s="1"/>
  <c r="G58" i="2" s="1"/>
  <c r="C59" i="2" s="1"/>
  <c r="E59" i="2" l="1"/>
  <c r="F59" i="2" l="1"/>
  <c r="G59" i="2" s="1"/>
  <c r="E60" i="2"/>
  <c r="G52" i="1" s="1"/>
  <c r="G152" i="1" l="1"/>
  <c r="G188" i="1" s="1"/>
  <c r="G55" i="1"/>
  <c r="C63" i="2"/>
  <c r="E63" i="2" s="1"/>
  <c r="G77" i="1"/>
  <c r="G175" i="1" s="1"/>
  <c r="G176" i="1" s="1"/>
  <c r="G153" i="1" s="1"/>
  <c r="G197" i="1" s="1"/>
  <c r="G56" i="1" l="1"/>
  <c r="G75" i="1" s="1"/>
  <c r="G171" i="1" s="1"/>
  <c r="F196" i="1"/>
  <c r="F199" i="1" s="1"/>
  <c r="F63" i="2"/>
  <c r="G63" i="2" s="1"/>
  <c r="C64" i="2" s="1"/>
  <c r="G57" i="1" l="1"/>
  <c r="G81" i="1" s="1"/>
  <c r="G83" i="1" s="1"/>
  <c r="G181" i="1"/>
  <c r="F187" i="1"/>
  <c r="F190" i="1" s="1"/>
  <c r="E64" i="2"/>
  <c r="G179" i="1" l="1"/>
  <c r="F64" i="2"/>
  <c r="G64" i="2" s="1"/>
  <c r="C65" i="2" s="1"/>
  <c r="E65" i="2" l="1"/>
  <c r="F65" i="2" l="1"/>
  <c r="G65" i="2" s="1"/>
  <c r="C66" i="2" s="1"/>
  <c r="E66" i="2" l="1"/>
  <c r="F66" i="2" l="1"/>
  <c r="G66" i="2" s="1"/>
  <c r="C67" i="2" s="1"/>
  <c r="E67" i="2" l="1"/>
  <c r="F67" i="2" l="1"/>
  <c r="G67" i="2" s="1"/>
  <c r="C68" i="2" s="1"/>
  <c r="E68" i="2" l="1"/>
  <c r="F68" i="2" s="1"/>
  <c r="G68" i="2" s="1"/>
  <c r="C69" i="2" s="1"/>
  <c r="E69" i="2" l="1"/>
  <c r="F69" i="2" s="1"/>
  <c r="G69" i="2" s="1"/>
  <c r="C70" i="2" s="1"/>
  <c r="E70" i="2" l="1"/>
  <c r="F70" i="2" s="1"/>
  <c r="G70" i="2" s="1"/>
  <c r="C71" i="2" s="1"/>
  <c r="E71" i="2" l="1"/>
  <c r="F71" i="2" s="1"/>
  <c r="G71" i="2" s="1"/>
  <c r="C72" i="2" s="1"/>
  <c r="E72" i="2" l="1"/>
  <c r="F72" i="2" s="1"/>
  <c r="G72" i="2" s="1"/>
  <c r="C73" i="2" s="1"/>
  <c r="E73" i="2" l="1"/>
  <c r="F73" i="2" s="1"/>
  <c r="G73" i="2" s="1"/>
  <c r="C74" i="2" s="1"/>
  <c r="E74" i="2" l="1"/>
  <c r="F74" i="2" l="1"/>
  <c r="G74" i="2" s="1"/>
  <c r="E75" i="2"/>
  <c r="H52" i="1" s="1"/>
  <c r="H152" i="1" l="1"/>
  <c r="H188" i="1" s="1"/>
  <c r="H55" i="1"/>
  <c r="C78" i="2"/>
  <c r="E78" i="2" s="1"/>
  <c r="H77" i="1"/>
  <c r="H175" i="1" s="1"/>
  <c r="H56" i="1" l="1"/>
  <c r="H75" i="1" s="1"/>
  <c r="H171" i="1" s="1"/>
  <c r="J175" i="1"/>
  <c r="H176" i="1"/>
  <c r="H153" i="1" s="1"/>
  <c r="F78" i="2"/>
  <c r="G78" i="2" s="1"/>
  <c r="C79" i="2" s="1"/>
  <c r="H57" i="1" l="1"/>
  <c r="H81" i="1" s="1"/>
  <c r="H83" i="1" s="1"/>
  <c r="J176" i="1"/>
  <c r="G196" i="1"/>
  <c r="G199" i="1" s="1"/>
  <c r="H181" i="1"/>
  <c r="G187" i="1"/>
  <c r="G190" i="1" s="1"/>
  <c r="E79" i="2"/>
  <c r="H179" i="1" l="1"/>
  <c r="L176" i="1"/>
  <c r="M176" i="1" s="1"/>
  <c r="N176" i="1" s="1"/>
  <c r="L175" i="1"/>
  <c r="M175" i="1" s="1"/>
  <c r="N175" i="1" s="1"/>
  <c r="F79" i="2"/>
  <c r="G79" i="2" s="1"/>
  <c r="C80" i="2" s="1"/>
  <c r="O176" i="1" l="1"/>
  <c r="H198" i="1"/>
  <c r="H199" i="1" s="1"/>
  <c r="C200" i="1" s="1"/>
  <c r="O175" i="1"/>
  <c r="H189" i="1"/>
  <c r="H190" i="1" s="1"/>
  <c r="C191" i="1" s="1"/>
  <c r="E80" i="2"/>
  <c r="F80" i="2" l="1"/>
  <c r="G80" i="2" s="1"/>
  <c r="C81" i="2" s="1"/>
  <c r="E81" i="2" l="1"/>
  <c r="F81" i="2" l="1"/>
  <c r="G81" i="2" s="1"/>
  <c r="C82" i="2" s="1"/>
  <c r="E82" i="2" l="1"/>
  <c r="F82" i="2" l="1"/>
  <c r="G82" i="2" s="1"/>
  <c r="C83" i="2" s="1"/>
  <c r="E83" i="2" l="1"/>
  <c r="F83" i="2" s="1"/>
  <c r="G83" i="2" s="1"/>
  <c r="C84" i="2" s="1"/>
  <c r="E84" i="2" l="1"/>
  <c r="F84" i="2" s="1"/>
  <c r="G84" i="2" s="1"/>
  <c r="C85" i="2" s="1"/>
  <c r="E85" i="2" l="1"/>
  <c r="F85" i="2" s="1"/>
  <c r="G85" i="2" s="1"/>
  <c r="C86" i="2" s="1"/>
  <c r="E86" i="2" l="1"/>
  <c r="F86" i="2" s="1"/>
  <c r="G86" i="2" s="1"/>
  <c r="C87" i="2" s="1"/>
  <c r="E87" i="2" l="1"/>
  <c r="F87" i="2" s="1"/>
  <c r="G87" i="2" s="1"/>
  <c r="C88" i="2" s="1"/>
  <c r="E88" i="2" l="1"/>
  <c r="F88" i="2" s="1"/>
  <c r="G88" i="2" s="1"/>
  <c r="C89" i="2" s="1"/>
  <c r="E89" i="2" l="1"/>
  <c r="F89" i="2" l="1"/>
  <c r="G89" i="2" s="1"/>
  <c r="E90" i="2"/>
  <c r="I52" i="1" s="1"/>
  <c r="I55" i="1" s="1"/>
  <c r="I56" i="1" l="1"/>
  <c r="I75" i="1" s="1"/>
  <c r="C93" i="2"/>
  <c r="E93" i="2" s="1"/>
  <c r="I77" i="1"/>
  <c r="I57" i="1" l="1"/>
  <c r="I81" i="1" s="1"/>
  <c r="I83" i="1" s="1"/>
  <c r="F93" i="2"/>
  <c r="G93" i="2" s="1"/>
  <c r="C94" i="2" s="1"/>
  <c r="E94" i="2" l="1"/>
  <c r="F94" i="2" l="1"/>
  <c r="G94" i="2" s="1"/>
  <c r="C95" i="2" s="1"/>
  <c r="E95" i="2" l="1"/>
  <c r="F95" i="2" l="1"/>
  <c r="G95" i="2" s="1"/>
  <c r="C96" i="2" s="1"/>
  <c r="E96" i="2" l="1"/>
  <c r="F96" i="2" l="1"/>
  <c r="G96" i="2" s="1"/>
  <c r="C97" i="2" s="1"/>
  <c r="E97" i="2" l="1"/>
  <c r="F97" i="2" l="1"/>
  <c r="G97" i="2" s="1"/>
  <c r="C98" i="2" s="1"/>
  <c r="E98" i="2" l="1"/>
  <c r="F98" i="2" s="1"/>
  <c r="G98" i="2" s="1"/>
  <c r="C99" i="2" s="1"/>
  <c r="E99" i="2" l="1"/>
  <c r="F99" i="2" s="1"/>
  <c r="G99" i="2" s="1"/>
  <c r="C100" i="2" s="1"/>
  <c r="E100" i="2" l="1"/>
  <c r="F100" i="2" s="1"/>
  <c r="G100" i="2" s="1"/>
  <c r="C101" i="2" s="1"/>
  <c r="E101" i="2" l="1"/>
  <c r="F101" i="2" s="1"/>
  <c r="G101" i="2" s="1"/>
  <c r="C102" i="2" s="1"/>
  <c r="E102" i="2" l="1"/>
  <c r="F102" i="2" s="1"/>
  <c r="G102" i="2" s="1"/>
  <c r="C103" i="2" s="1"/>
  <c r="E103" i="2" l="1"/>
  <c r="F103" i="2" s="1"/>
  <c r="G103" i="2" s="1"/>
  <c r="C104" i="2" s="1"/>
  <c r="E104" i="2" l="1"/>
  <c r="F104" i="2" l="1"/>
  <c r="G104" i="2" s="1"/>
  <c r="E105" i="2"/>
  <c r="J52" i="1" s="1"/>
  <c r="J55" i="1" s="1"/>
  <c r="J56" i="1" l="1"/>
  <c r="J75" i="1" s="1"/>
  <c r="C108" i="2"/>
  <c r="E108" i="2" s="1"/>
  <c r="J77" i="1"/>
  <c r="J57" i="1" l="1"/>
  <c r="J81" i="1" s="1"/>
  <c r="J83" i="1" s="1"/>
  <c r="F108" i="2"/>
  <c r="G108" i="2" s="1"/>
  <c r="C109" i="2" s="1"/>
  <c r="E109" i="2" l="1"/>
  <c r="F109" i="2" l="1"/>
  <c r="G109" i="2" s="1"/>
  <c r="C110" i="2" s="1"/>
  <c r="E110" i="2" l="1"/>
  <c r="F110" i="2" l="1"/>
  <c r="G110" i="2" s="1"/>
  <c r="C111" i="2" s="1"/>
  <c r="E111" i="2" l="1"/>
  <c r="F111" i="2" l="1"/>
  <c r="G111" i="2" s="1"/>
  <c r="C112" i="2" s="1"/>
  <c r="E112" i="2" l="1"/>
  <c r="F112" i="2" l="1"/>
  <c r="G112" i="2" s="1"/>
  <c r="C113" i="2" s="1"/>
  <c r="E113" i="2" l="1"/>
  <c r="F113" i="2" s="1"/>
  <c r="G113" i="2" s="1"/>
  <c r="C114" i="2" s="1"/>
  <c r="E114" i="2" l="1"/>
  <c r="F114" i="2" s="1"/>
  <c r="G114" i="2" s="1"/>
  <c r="C115" i="2" s="1"/>
  <c r="E115" i="2" l="1"/>
  <c r="F115" i="2" s="1"/>
  <c r="G115" i="2" s="1"/>
  <c r="C116" i="2" s="1"/>
  <c r="E116" i="2" l="1"/>
  <c r="F116" i="2" s="1"/>
  <c r="G116" i="2" s="1"/>
  <c r="C117" i="2" s="1"/>
  <c r="E117" i="2" l="1"/>
  <c r="F117" i="2" s="1"/>
  <c r="G117" i="2" s="1"/>
  <c r="C118" i="2" s="1"/>
  <c r="E118" i="2" l="1"/>
  <c r="F118" i="2" s="1"/>
  <c r="G118" i="2" s="1"/>
  <c r="C119" i="2" s="1"/>
  <c r="E119" i="2" l="1"/>
  <c r="F119" i="2" l="1"/>
  <c r="G119" i="2" s="1"/>
  <c r="E120" i="2"/>
  <c r="K52" i="1" s="1"/>
  <c r="K55" i="1" s="1"/>
  <c r="K56" i="1" l="1"/>
  <c r="K75" i="1" s="1"/>
  <c r="C123" i="2"/>
  <c r="E123" i="2" s="1"/>
  <c r="K77" i="1"/>
  <c r="K57" i="1" l="1"/>
  <c r="K81" i="1" s="1"/>
  <c r="K83" i="1" s="1"/>
  <c r="F123" i="2"/>
  <c r="G123" i="2" s="1"/>
  <c r="C124" i="2" s="1"/>
  <c r="E124" i="2" l="1"/>
  <c r="F124" i="2" l="1"/>
  <c r="G124" i="2" s="1"/>
  <c r="C125" i="2" s="1"/>
  <c r="E125" i="2" l="1"/>
  <c r="F125" i="2" l="1"/>
  <c r="G125" i="2" s="1"/>
  <c r="C126" i="2" s="1"/>
  <c r="E126" i="2" l="1"/>
  <c r="F126" i="2" l="1"/>
  <c r="G126" i="2" s="1"/>
  <c r="C127" i="2" s="1"/>
  <c r="E127" i="2" l="1"/>
  <c r="F127" i="2" l="1"/>
  <c r="G127" i="2" s="1"/>
  <c r="C128" i="2" s="1"/>
  <c r="E128" i="2" l="1"/>
  <c r="F128" i="2" s="1"/>
  <c r="G128" i="2" s="1"/>
  <c r="C129" i="2" s="1"/>
  <c r="E129" i="2" l="1"/>
  <c r="F129" i="2" s="1"/>
  <c r="G129" i="2" s="1"/>
  <c r="C130" i="2" s="1"/>
  <c r="E130" i="2" l="1"/>
  <c r="F130" i="2" s="1"/>
  <c r="G130" i="2" s="1"/>
  <c r="C131" i="2" s="1"/>
  <c r="E131" i="2" l="1"/>
  <c r="F131" i="2" s="1"/>
  <c r="G131" i="2" s="1"/>
  <c r="C132" i="2" s="1"/>
  <c r="E132" i="2" l="1"/>
  <c r="F132" i="2" s="1"/>
  <c r="G132" i="2" s="1"/>
  <c r="C133" i="2" s="1"/>
  <c r="E133" i="2" l="1"/>
  <c r="F133" i="2" s="1"/>
  <c r="G133" i="2" s="1"/>
  <c r="C134" i="2" s="1"/>
  <c r="E134" i="2" l="1"/>
  <c r="F134" i="2" l="1"/>
  <c r="G134" i="2" s="1"/>
  <c r="E135" i="2"/>
  <c r="L52" i="1" s="1"/>
  <c r="L55" i="1" s="1"/>
  <c r="L56" i="1" l="1"/>
  <c r="L75" i="1" s="1"/>
  <c r="C139" i="2"/>
  <c r="E139" i="2" s="1"/>
  <c r="L77" i="1"/>
  <c r="L57" i="1" l="1"/>
  <c r="L81" i="1" s="1"/>
  <c r="L83" i="1" s="1"/>
  <c r="F139" i="2"/>
  <c r="G139" i="2" s="1"/>
  <c r="C140" i="2" s="1"/>
  <c r="E140" i="2" l="1"/>
  <c r="F140" i="2" l="1"/>
  <c r="G140" i="2" s="1"/>
  <c r="C141" i="2" s="1"/>
  <c r="E141" i="2" l="1"/>
  <c r="F141" i="2" l="1"/>
  <c r="G141" i="2" s="1"/>
  <c r="C142" i="2" s="1"/>
  <c r="E142" i="2" l="1"/>
  <c r="F142" i="2" l="1"/>
  <c r="G142" i="2" s="1"/>
  <c r="C143" i="2" s="1"/>
  <c r="E143" i="2" l="1"/>
  <c r="F143" i="2" l="1"/>
  <c r="G143" i="2" s="1"/>
  <c r="C144" i="2" s="1"/>
  <c r="E144" i="2" l="1"/>
  <c r="F144" i="2" s="1"/>
  <c r="G144" i="2" s="1"/>
  <c r="C145" i="2" s="1"/>
  <c r="E145" i="2" l="1"/>
  <c r="F145" i="2" s="1"/>
  <c r="G145" i="2" s="1"/>
  <c r="C146" i="2" s="1"/>
  <c r="E146" i="2" l="1"/>
  <c r="F146" i="2" s="1"/>
  <c r="G146" i="2" s="1"/>
  <c r="C147" i="2" s="1"/>
  <c r="E147" i="2" l="1"/>
  <c r="F147" i="2" s="1"/>
  <c r="G147" i="2" s="1"/>
  <c r="C148" i="2" s="1"/>
  <c r="E148" i="2" l="1"/>
  <c r="F148" i="2" s="1"/>
  <c r="G148" i="2" s="1"/>
  <c r="C149" i="2" s="1"/>
  <c r="E149" i="2" l="1"/>
  <c r="F149" i="2" s="1"/>
  <c r="G149" i="2" s="1"/>
  <c r="C150" i="2" s="1"/>
  <c r="E150" i="2" l="1"/>
  <c r="F150" i="2" l="1"/>
  <c r="G150" i="2" s="1"/>
  <c r="M77" i="1" s="1"/>
  <c r="E151" i="2"/>
  <c r="M52" i="1" s="1"/>
  <c r="M55" i="1" s="1"/>
  <c r="M56" i="1" l="1"/>
  <c r="M75" i="1" s="1"/>
  <c r="O77" i="1"/>
  <c r="M57" i="1" l="1"/>
  <c r="M81" i="1" s="1"/>
  <c r="O81" i="1" s="1"/>
  <c r="O83" i="1" s="1"/>
  <c r="P77" i="1" s="1"/>
  <c r="M83" i="1" l="1"/>
  <c r="S77" i="1"/>
  <c r="P80" i="1"/>
  <c r="P81" i="1"/>
  <c r="P78" i="1"/>
  <c r="S78" i="1" s="1"/>
  <c r="U70" i="1" l="1"/>
  <c r="U73" i="1" s="1"/>
  <c r="Q81" i="1" l="1"/>
  <c r="R81" i="1" s="1"/>
  <c r="S81" i="1" s="1"/>
  <c r="Q80" i="1"/>
  <c r="R80" i="1" s="1"/>
  <c r="S80" i="1" s="1"/>
  <c r="S83" i="1" l="1"/>
  <c r="L139" i="1" s="1"/>
  <c r="M139" i="1" l="1"/>
  <c r="I139" i="1"/>
  <c r="J139" i="1"/>
  <c r="K139" i="1"/>
  <c r="I140" i="1" l="1"/>
  <c r="I143" i="1" s="1"/>
  <c r="N143" i="1" s="1"/>
  <c r="C147" i="1" s="1"/>
  <c r="C148" i="1" s="1"/>
</calcChain>
</file>

<file path=xl/sharedStrings.xml><?xml version="1.0" encoding="utf-8"?>
<sst xmlns="http://schemas.openxmlformats.org/spreadsheetml/2006/main" count="210" uniqueCount="150">
  <si>
    <t>Outside Numbers</t>
  </si>
  <si>
    <t>Population of Orlando</t>
  </si>
  <si>
    <t># of Pizza Store in Orlando</t>
  </si>
  <si>
    <t>Average pizza Consumption per year</t>
  </si>
  <si>
    <t>Pizza - Lunch</t>
  </si>
  <si>
    <t>Pizza - Dinner</t>
  </si>
  <si>
    <t>Sales Increase per year</t>
  </si>
  <si>
    <t>Cost of Good Sold</t>
  </si>
  <si>
    <t>of Revenue</t>
  </si>
  <si>
    <t xml:space="preserve">Building </t>
  </si>
  <si>
    <t>years</t>
  </si>
  <si>
    <t>Equipments</t>
  </si>
  <si>
    <t>Land</t>
  </si>
  <si>
    <t># of Servers</t>
  </si>
  <si>
    <t>Hourly wage of Server</t>
  </si>
  <si>
    <t># of Cook</t>
  </si>
  <si>
    <t>Hourly wage of Cook</t>
  </si>
  <si>
    <t>Open hours per day</t>
  </si>
  <si>
    <t>Open days per year</t>
  </si>
  <si>
    <t xml:space="preserve">General Admin </t>
  </si>
  <si>
    <t>Mortgage</t>
  </si>
  <si>
    <t>Mortgage Interest</t>
  </si>
  <si>
    <t>Tax Rate</t>
  </si>
  <si>
    <t xml:space="preserve">Minimum Cash </t>
  </si>
  <si>
    <t>A/R Days</t>
  </si>
  <si>
    <t>A/P Days</t>
  </si>
  <si>
    <t>Inventory Days</t>
  </si>
  <si>
    <t>Extra Bank Loan Interest</t>
  </si>
  <si>
    <t>Owner's Equity</t>
  </si>
  <si>
    <t>INCOME STATEMENT</t>
  </si>
  <si>
    <t>Revenue</t>
  </si>
  <si>
    <t>Lunch</t>
  </si>
  <si>
    <t>Dinner</t>
  </si>
  <si>
    <t>Cost of Goods Sold</t>
  </si>
  <si>
    <t>Operating Expenses</t>
  </si>
  <si>
    <t>Server</t>
  </si>
  <si>
    <t>Cook</t>
  </si>
  <si>
    <t>General and Admin</t>
  </si>
  <si>
    <t>Depreciation</t>
  </si>
  <si>
    <t>Mortgage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</si>
  <si>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</si>
  <si>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</si>
  <si>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</si>
  <si>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</si>
  <si>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</si>
  <si>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</si>
  <si>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</si>
  <si>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</si>
  <si>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</si>
  <si>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Buildings</t>
  </si>
  <si>
    <t>Equipment</t>
  </si>
  <si>
    <t>Accumulated Depreciation</t>
  </si>
  <si>
    <t>Return Equity Holders want (CAPM)</t>
  </si>
  <si>
    <t>Unlevered Beta</t>
  </si>
  <si>
    <t>Re-levered Beta</t>
  </si>
  <si>
    <t>Total Assets</t>
  </si>
  <si>
    <t>Tbill</t>
  </si>
  <si>
    <t>S&amp;P 500</t>
  </si>
  <si>
    <t>Liabilities and Owners Equity</t>
  </si>
  <si>
    <t>Equity Holders want:</t>
  </si>
  <si>
    <t>Accounts Payable</t>
  </si>
  <si>
    <t>Income Tax Payable</t>
  </si>
  <si>
    <t>Average</t>
  </si>
  <si>
    <t>Proportion</t>
  </si>
  <si>
    <t>Rate</t>
  </si>
  <si>
    <t>After Tax</t>
  </si>
  <si>
    <t>Weighted</t>
  </si>
  <si>
    <t>Mortgage Loan</t>
  </si>
  <si>
    <t>Extra Bank Loan</t>
  </si>
  <si>
    <t>Common Stock</t>
  </si>
  <si>
    <t>Retained Earnings</t>
  </si>
  <si>
    <t>Total Liabilities and Owners Equity</t>
  </si>
  <si>
    <t>WACC</t>
  </si>
  <si>
    <t>DFN</t>
  </si>
  <si>
    <t>Cash from Operations</t>
  </si>
  <si>
    <t>Operating Income</t>
  </si>
  <si>
    <t>Less : Depreciation</t>
  </si>
  <si>
    <t>Taxble Income</t>
  </si>
  <si>
    <t>Tax Expense</t>
  </si>
  <si>
    <t>Total Cash from Operations</t>
  </si>
  <si>
    <t>Cash in/out from Capital Expenditures</t>
  </si>
  <si>
    <t>Gain / Loss</t>
  </si>
  <si>
    <t>Net Book Value</t>
  </si>
  <si>
    <t>FMV</t>
  </si>
  <si>
    <t>Buy Land</t>
  </si>
  <si>
    <t>Sell Land</t>
  </si>
  <si>
    <t>Buy Building &amp; Equipments</t>
  </si>
  <si>
    <t>Sell Building &amp; Equipments</t>
  </si>
  <si>
    <t>Taxes on Sale of Building &amp; Equipments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</si>
  <si>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</si>
  <si>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</si>
  <si>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</si>
  <si>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</si>
  <si>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Coast of Capital</t>
  </si>
  <si>
    <t>NPV of Total Free Cash Flows</t>
  </si>
  <si>
    <t>IRR</t>
  </si>
  <si>
    <t>(2)</t>
  </si>
  <si>
    <t>Cash to buy and build</t>
  </si>
  <si>
    <t>Cash from Sale at end</t>
  </si>
  <si>
    <t>PV</t>
  </si>
  <si>
    <t>NPV</t>
  </si>
  <si>
    <t>Open another restaurant</t>
  </si>
  <si>
    <t>Option Price</t>
  </si>
  <si>
    <t>r</t>
  </si>
  <si>
    <t>STDEV(%)</t>
  </si>
  <si>
    <t>t</t>
  </si>
  <si>
    <t>X</t>
  </si>
  <si>
    <t>S</t>
  </si>
  <si>
    <t>Subtract: cost to add option</t>
  </si>
  <si>
    <t>Add: Expected NPV of option</t>
  </si>
  <si>
    <t>Expected npv whole project</t>
  </si>
  <si>
    <t>NPV of old restaurant</t>
  </si>
  <si>
    <t>(3)</t>
  </si>
  <si>
    <t>Secured</t>
  </si>
  <si>
    <t>Unsecured</t>
  </si>
  <si>
    <t>Have to pay</t>
  </si>
  <si>
    <t>Balance Changes</t>
  </si>
  <si>
    <t>Paid in Bankruptcy</t>
  </si>
  <si>
    <t>Interest Payments</t>
  </si>
  <si>
    <t>Total</t>
  </si>
  <si>
    <t>IRR In Bankruptcy</t>
  </si>
  <si>
    <t>N</t>
  </si>
  <si>
    <t>I</t>
  </si>
  <si>
    <t>PMT</t>
  </si>
  <si>
    <t xml:space="preserve">Loan </t>
  </si>
  <si>
    <t>INT</t>
  </si>
  <si>
    <t>Jan 2014</t>
  </si>
  <si>
    <t>Feb</t>
  </si>
  <si>
    <t>Mar</t>
  </si>
  <si>
    <t>April</t>
  </si>
  <si>
    <t>May</t>
  </si>
  <si>
    <t>June</t>
  </si>
  <si>
    <t>Jul</t>
  </si>
  <si>
    <t>Aug</t>
  </si>
  <si>
    <t>Sep</t>
  </si>
  <si>
    <t>Oct</t>
  </si>
  <si>
    <t>Nov</t>
  </si>
  <si>
    <t>Dec</t>
  </si>
  <si>
    <t>TOTALS</t>
  </si>
  <si>
    <t>Jan 2015</t>
  </si>
  <si>
    <t>Jan 2016</t>
  </si>
  <si>
    <t>Jan 2017</t>
  </si>
  <si>
    <t>Jan. 2018</t>
  </si>
  <si>
    <t>Jan. 2019</t>
  </si>
  <si>
    <t>Jan. 2020</t>
  </si>
  <si>
    <t>Jan. 2021</t>
  </si>
  <si>
    <t>Jan. 2022</t>
  </si>
  <si>
    <t>Jan. 2023</t>
  </si>
  <si>
    <t>Total paid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</si>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</sst>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\$* #,##0.00_);_(\$* \(#,##0.00\);_(\$* \-??_);_(@_)"/>
    <numFmt numFmtId="168" formatCode="_(\$* #,##0_);_(\$* \(#,##0\);_(\$* \-??_);_(@_)"/>
    <numFmt numFmtId="169" formatCode="_(* #,##0.00_);_(* \(#,##0.00\);_(* \-??_);_(@_)"/>
    <numFmt numFmtId="170" formatCode="_(* #,##0_);_(* \(#,##0\);_(* \-??_);_(@_)"/>
    <numFmt numFmtId="171" formatCode="0.0%"/>
    <numFmt numFmtId="172" formatCode="0.0000000000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8"/>
      <color indexed="8"/>
      <name val="Calibri"/>
      <family val="2"/>
    </font>
    <font>
      <sz val="11"/>
      <color rgb="FF00B0F0"/>
      <name val="Calibri"/>
      <family val="2"/>
      <scheme val="minor"/>
    </font>
    <font>
      <b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/>
    <xf numFmtId="169" fontId="4" fillId="0" borderId="0"/>
    <xf numFmtId="0" fontId="7" fillId="0" borderId="0"/>
    <xf numFmtId="0" fontId="8" fillId="0" borderId="0"/>
    <xf numFmtId="9" fontId="7" fillId="0" borderId="0"/>
  </cellStyleXfs>
  <cellXfs count="104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9" fontId="0" fillId="2" borderId="0" xfId="0" applyNumberFormat="1" applyFill="1"/>
    <xf numFmtId="44" fontId="0" fillId="2" borderId="0" xfId="2" applyFont="1" applyFill="1"/>
    <xf numFmtId="165" fontId="0" fillId="2" borderId="0" xfId="2" applyNumberFormat="1" applyFont="1" applyFill="1"/>
    <xf numFmtId="166" fontId="0" fillId="2" borderId="0" xfId="2" applyNumberFormat="1" applyFont="1" applyFill="1"/>
    <xf numFmtId="9" fontId="0" fillId="3" borderId="0" xfId="0" applyNumberFormat="1" applyFill="1"/>
    <xf numFmtId="9" fontId="0" fillId="0" borderId="0" xfId="0" applyNumberFormat="1"/>
    <xf numFmtId="0" fontId="0" fillId="0" borderId="0" xfId="0" applyFill="1"/>
    <xf numFmtId="0" fontId="4" fillId="4" borderId="0" xfId="4" applyFont="1" applyFill="1"/>
    <xf numFmtId="0" fontId="4" fillId="0" borderId="0" xfId="4" applyFont="1" applyFill="1"/>
    <xf numFmtId="0" fontId="0" fillId="5" borderId="0" xfId="0" applyFill="1"/>
    <xf numFmtId="168" fontId="4" fillId="4" borderId="0" xfId="5" applyNumberFormat="1" applyFont="1" applyFill="1"/>
    <xf numFmtId="164" fontId="4" fillId="4" borderId="0" xfId="5" applyNumberFormat="1" applyFont="1" applyFill="1"/>
    <xf numFmtId="164" fontId="4" fillId="0" borderId="0" xfId="5" applyNumberFormat="1" applyFont="1" applyFill="1"/>
    <xf numFmtId="170" fontId="4" fillId="5" borderId="0" xfId="6" applyNumberFormat="1" applyFill="1"/>
    <xf numFmtId="170" fontId="4" fillId="0" borderId="0" xfId="6" applyNumberFormat="1" applyFill="1"/>
    <xf numFmtId="164" fontId="4" fillId="5" borderId="0" xfId="6" applyNumberFormat="1" applyFill="1"/>
    <xf numFmtId="164" fontId="4" fillId="0" borderId="0" xfId="6" applyNumberFormat="1" applyFill="1"/>
    <xf numFmtId="170" fontId="0" fillId="5" borderId="0" xfId="0" applyNumberFormat="1" applyFill="1"/>
    <xf numFmtId="170" fontId="0" fillId="0" borderId="0" xfId="0" applyNumberFormat="1" applyFill="1"/>
    <xf numFmtId="168" fontId="4" fillId="4" borderId="1" xfId="5" applyNumberFormat="1" applyFont="1" applyFill="1" applyBorder="1"/>
    <xf numFmtId="168" fontId="4" fillId="0" borderId="1" xfId="5" applyNumberFormat="1" applyFont="1" applyFill="1" applyBorder="1"/>
    <xf numFmtId="168" fontId="4" fillId="0" borderId="0" xfId="5" applyNumberFormat="1" applyFont="1" applyFill="1"/>
    <xf numFmtId="170" fontId="4" fillId="0" borderId="0" xfId="6" applyNumberFormat="1" applyFill="1" applyBorder="1"/>
    <xf numFmtId="0" fontId="4" fillId="6" borderId="0" xfId="4" applyFill="1"/>
    <xf numFmtId="0" fontId="0" fillId="6" borderId="0" xfId="0" applyFill="1"/>
    <xf numFmtId="170" fontId="4" fillId="5" borderId="2" xfId="6" applyNumberFormat="1" applyFill="1" applyBorder="1"/>
    <xf numFmtId="9" fontId="4" fillId="6" borderId="0" xfId="4" applyNumberFormat="1" applyFill="1"/>
    <xf numFmtId="0" fontId="4" fillId="5" borderId="0" xfId="4" applyFill="1"/>
    <xf numFmtId="0" fontId="4" fillId="0" borderId="0" xfId="4" applyFill="1" applyBorder="1"/>
    <xf numFmtId="171" fontId="4" fillId="6" borderId="0" xfId="4" applyNumberFormat="1" applyFill="1"/>
    <xf numFmtId="164" fontId="4" fillId="0" borderId="0" xfId="6" applyNumberFormat="1" applyFill="1" applyBorder="1"/>
    <xf numFmtId="170" fontId="5" fillId="5" borderId="0" xfId="6" applyNumberFormat="1" applyFont="1" applyFill="1"/>
    <xf numFmtId="164" fontId="5" fillId="5" borderId="0" xfId="1" applyNumberFormat="1" applyFont="1" applyFill="1"/>
    <xf numFmtId="1" fontId="5" fillId="0" borderId="0" xfId="4" applyNumberFormat="1" applyFont="1" applyFill="1" applyBorder="1"/>
    <xf numFmtId="1" fontId="5" fillId="6" borderId="0" xfId="4" applyNumberFormat="1" applyFont="1" applyFill="1" applyBorder="1"/>
    <xf numFmtId="9" fontId="5" fillId="6" borderId="0" xfId="3" applyFont="1" applyFill="1" applyBorder="1"/>
    <xf numFmtId="9" fontId="0" fillId="6" borderId="0" xfId="0" applyNumberFormat="1" applyFill="1"/>
    <xf numFmtId="171" fontId="0" fillId="6" borderId="0" xfId="0" applyNumberFormat="1" applyFill="1"/>
    <xf numFmtId="9" fontId="4" fillId="6" borderId="0" xfId="3" applyFont="1" applyFill="1" applyBorder="1"/>
    <xf numFmtId="170" fontId="4" fillId="6" borderId="0" xfId="6" applyNumberFormat="1" applyFill="1" applyBorder="1"/>
    <xf numFmtId="171" fontId="4" fillId="6" borderId="0" xfId="3" applyNumberFormat="1" applyFont="1" applyFill="1" applyBorder="1"/>
    <xf numFmtId="168" fontId="4" fillId="0" borderId="0" xfId="5" applyNumberFormat="1" applyFont="1" applyFill="1" applyBorder="1"/>
    <xf numFmtId="168" fontId="4" fillId="6" borderId="0" xfId="5" applyNumberFormat="1" applyFont="1" applyFill="1" applyBorder="1"/>
    <xf numFmtId="0" fontId="0" fillId="7" borderId="0" xfId="0" applyFill="1"/>
    <xf numFmtId="10" fontId="0" fillId="7" borderId="0" xfId="0" applyNumberFormat="1" applyFill="1"/>
    <xf numFmtId="0" fontId="0" fillId="0" borderId="0" xfId="0" applyFill="1" applyBorder="1"/>
    <xf numFmtId="0" fontId="0" fillId="6" borderId="0" xfId="0" applyFill="1" applyBorder="1"/>
    <xf numFmtId="168" fontId="0" fillId="0" borderId="0" xfId="0" applyNumberFormat="1"/>
    <xf numFmtId="168" fontId="0" fillId="0" borderId="0" xfId="0" applyNumberFormat="1" applyFill="1" applyBorder="1"/>
    <xf numFmtId="0" fontId="0" fillId="5" borderId="3" xfId="0" applyFill="1" applyBorder="1"/>
    <xf numFmtId="0" fontId="6" fillId="4" borderId="0" xfId="4" applyFont="1" applyFill="1"/>
    <xf numFmtId="0" fontId="4" fillId="4" borderId="0" xfId="4" applyFill="1"/>
    <xf numFmtId="168" fontId="0" fillId="5" borderId="0" xfId="0" applyNumberFormat="1" applyFill="1"/>
    <xf numFmtId="164" fontId="0" fillId="5" borderId="0" xfId="1" applyNumberFormat="1" applyFont="1" applyFill="1"/>
    <xf numFmtId="165" fontId="0" fillId="5" borderId="0" xfId="0" applyNumberFormat="1" applyFill="1"/>
    <xf numFmtId="165" fontId="0" fillId="0" borderId="0" xfId="0" applyNumberFormat="1" applyFill="1"/>
    <xf numFmtId="9" fontId="0" fillId="0" borderId="0" xfId="0" applyNumberFormat="1" applyFill="1"/>
    <xf numFmtId="164" fontId="0" fillId="5" borderId="0" xfId="0" applyNumberFormat="1" applyFill="1"/>
    <xf numFmtId="165" fontId="0" fillId="5" borderId="0" xfId="2" applyNumberFormat="1" applyFont="1" applyFill="1"/>
    <xf numFmtId="9" fontId="0" fillId="5" borderId="0" xfId="0" applyNumberFormat="1" applyFill="1"/>
    <xf numFmtId="10" fontId="0" fillId="5" borderId="0" xfId="0" applyNumberFormat="1" applyFill="1"/>
    <xf numFmtId="172" fontId="0" fillId="0" borderId="0" xfId="0" applyNumberFormat="1"/>
    <xf numFmtId="0" fontId="6" fillId="0" borderId="0" xfId="4" applyFont="1" applyFill="1"/>
    <xf numFmtId="0" fontId="4" fillId="0" borderId="0" xfId="4" applyFill="1"/>
    <xf numFmtId="165" fontId="0" fillId="0" borderId="0" xfId="2" applyNumberFormat="1" applyFont="1" applyFill="1"/>
    <xf numFmtId="0" fontId="9" fillId="0" borderId="0" xfId="4" quotePrefix="1" applyFont="1" applyFill="1"/>
    <xf numFmtId="0" fontId="2" fillId="0" borderId="0" xfId="0" applyFont="1"/>
    <xf numFmtId="165" fontId="0" fillId="0" borderId="0" xfId="2" applyNumberFormat="1" applyFont="1"/>
    <xf numFmtId="44" fontId="10" fillId="0" borderId="4" xfId="2" applyFont="1" applyBorder="1"/>
    <xf numFmtId="9" fontId="0" fillId="0" borderId="4" xfId="3" applyNumberFormat="1" applyFont="1" applyBorder="1"/>
    <xf numFmtId="9" fontId="0" fillId="0" borderId="4" xfId="3" applyFont="1" applyBorder="1"/>
    <xf numFmtId="0" fontId="0" fillId="0" borderId="4" xfId="0" applyBorder="1"/>
    <xf numFmtId="0" fontId="0" fillId="0" borderId="4" xfId="0" applyFill="1" applyBorder="1"/>
    <xf numFmtId="165" fontId="0" fillId="0" borderId="4" xfId="2" applyNumberFormat="1" applyFont="1" applyBorder="1"/>
    <xf numFmtId="165" fontId="0" fillId="0" borderId="0" xfId="2" applyNumberFormat="1" applyFont="1" applyBorder="1"/>
    <xf numFmtId="165" fontId="0" fillId="0" borderId="1" xfId="2" applyNumberFormat="1" applyFont="1" applyBorder="1"/>
    <xf numFmtId="0" fontId="4" fillId="8" borderId="0" xfId="4" applyFont="1" applyFill="1"/>
    <xf numFmtId="0" fontId="0" fillId="9" borderId="0" xfId="0" applyFill="1"/>
    <xf numFmtId="168" fontId="0" fillId="9" borderId="0" xfId="0" applyNumberFormat="1" applyFill="1"/>
    <xf numFmtId="168" fontId="0" fillId="0" borderId="0" xfId="0" applyNumberFormat="1" applyFill="1"/>
    <xf numFmtId="0" fontId="4" fillId="3" borderId="0" xfId="4" applyFill="1"/>
    <xf numFmtId="0" fontId="0" fillId="3" borderId="0" xfId="0" applyFill="1"/>
    <xf numFmtId="168" fontId="0" fillId="3" borderId="0" xfId="0" applyNumberFormat="1" applyFill="1"/>
    <xf numFmtId="164" fontId="0" fillId="3" borderId="0" xfId="0" applyNumberFormat="1" applyFill="1"/>
    <xf numFmtId="10" fontId="0" fillId="3" borderId="0" xfId="0" applyNumberFormat="1" applyFill="1"/>
    <xf numFmtId="10" fontId="0" fillId="3" borderId="0" xfId="3" applyNumberFormat="1" applyFont="1" applyFill="1"/>
    <xf numFmtId="170" fontId="0" fillId="3" borderId="0" xfId="0" applyNumberFormat="1" applyFill="1"/>
    <xf numFmtId="0" fontId="7" fillId="0" borderId="0" xfId="7"/>
    <xf numFmtId="6" fontId="0" fillId="0" borderId="0" xfId="0" applyNumberFormat="1"/>
    <xf numFmtId="17" fontId="7" fillId="0" borderId="0" xfId="7" applyNumberFormat="1" applyFont="1" applyAlignment="1">
      <alignment wrapText="1"/>
    </xf>
    <xf numFmtId="0" fontId="7" fillId="0" borderId="0" xfId="7" applyFont="1" applyAlignment="1">
      <alignment wrapText="1"/>
    </xf>
    <xf numFmtId="8" fontId="0" fillId="0" borderId="0" xfId="0" applyNumberFormat="1"/>
    <xf numFmtId="0" fontId="8" fillId="0" borderId="0" xfId="8"/>
    <xf numFmtId="0" fontId="11" fillId="0" borderId="0" xfId="7" applyFont="1" applyAlignment="1">
      <alignment wrapText="1"/>
    </xf>
    <xf numFmtId="0" fontId="7" fillId="0" borderId="0" xfId="7" applyFill="1"/>
    <xf numFmtId="164" fontId="0" fillId="0" borderId="0" xfId="0" applyNumberFormat="1" applyFill="1"/>
    <xf numFmtId="168" fontId="0" fillId="9" borderId="3" xfId="0" applyNumberFormat="1" applyFill="1" applyBorder="1"/>
    <xf numFmtId="43" fontId="0" fillId="9" borderId="0" xfId="0" applyNumberFormat="1" applyFill="1"/>
    <xf numFmtId="165" fontId="0" fillId="9" borderId="0" xfId="2" applyNumberFormat="1" applyFont="1" applyFill="1"/>
    <xf numFmtId="44" fontId="0" fillId="9" borderId="0" xfId="2" applyFont="1" applyFill="1"/>
    <xf numFmtId="0" fontId="3" fillId="0" borderId="0" xfId="0" applyFont="1" applyAlignment="1">
      <alignment horizontal="center"/>
    </xf>
  </cellXfs>
  <cellStyles count="10">
    <cellStyle name="Comma" xfId="1" builtinId="3"/>
    <cellStyle name="Comma 2" xfId="6"/>
    <cellStyle name="Currency" xfId="2" builtinId="4"/>
    <cellStyle name="Currency 2" xfId="5"/>
    <cellStyle name="Excel Built-in Normal 1" xfId="4"/>
    <cellStyle name="Excel Built-in Normal 2" xfId="7"/>
    <cellStyle name="Normal" xfId="0" builtinId="0"/>
    <cellStyle name="Normal 2" xfId="8"/>
    <cellStyle name="Percent" xfId="3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5"/>
  <sheetViews>
    <sheetView tabSelected="1" topLeftCell="A91" zoomScale="80" zoomScaleNormal="80" workbookViewId="0">
      <selection activeCell="M98" sqref="M98"/>
    </sheetView>
  </sheetViews>
  <sheetFormatPr defaultRowHeight="15" x14ac:dyDescent="0.25"/>
  <cols>
    <col min="1" max="1" width="19.28515625" customWidth="1"/>
    <col min="2" max="2" width="24.7109375" customWidth="1"/>
    <col min="3" max="3" width="17.85546875" customWidth="1"/>
    <col min="4" max="7" width="15.28515625" bestFit="1" customWidth="1"/>
    <col min="8" max="8" width="15.85546875" bestFit="1" customWidth="1"/>
    <col min="9" max="12" width="14.42578125" bestFit="1" customWidth="1"/>
    <col min="13" max="13" width="15.140625" bestFit="1" customWidth="1"/>
    <col min="14" max="14" width="14.85546875" style="9" bestFit="1" customWidth="1"/>
    <col min="15" max="15" width="19.7109375" style="9" customWidth="1"/>
    <col min="16" max="16" width="13.140625" style="9" bestFit="1" customWidth="1"/>
    <col min="17" max="17" width="12.28515625" style="9" bestFit="1" customWidth="1"/>
    <col min="19" max="19" width="9.7109375" bestFit="1" customWidth="1"/>
  </cols>
  <sheetData>
    <row r="1" spans="1:5" ht="21" x14ac:dyDescent="0.35">
      <c r="A1" s="103" t="s">
        <v>0</v>
      </c>
      <c r="B1" s="103"/>
      <c r="C1" s="103"/>
      <c r="D1" s="103"/>
      <c r="E1" s="103"/>
    </row>
    <row r="2" spans="1:5" x14ac:dyDescent="0.25">
      <c r="A2" s="1" t="s">
        <v>1</v>
      </c>
      <c r="B2" s="1"/>
      <c r="C2" s="2">
        <v>243195</v>
      </c>
      <c r="D2" s="1"/>
      <c r="E2" s="1"/>
    </row>
    <row r="3" spans="1:5" x14ac:dyDescent="0.25">
      <c r="A3" s="1" t="s">
        <v>2</v>
      </c>
      <c r="B3" s="1"/>
      <c r="C3" s="1">
        <v>32</v>
      </c>
      <c r="D3" s="1"/>
      <c r="E3" s="1"/>
    </row>
    <row r="4" spans="1:5" x14ac:dyDescent="0.25">
      <c r="A4" s="1" t="s">
        <v>3</v>
      </c>
      <c r="B4" s="1"/>
      <c r="C4" s="1">
        <v>8</v>
      </c>
      <c r="D4" s="1"/>
      <c r="E4" s="1"/>
    </row>
    <row r="5" spans="1:5" x14ac:dyDescent="0.25">
      <c r="A5" s="1" t="s">
        <v>4</v>
      </c>
      <c r="B5" s="3">
        <v>0.6</v>
      </c>
      <c r="C5" s="4">
        <v>15</v>
      </c>
      <c r="D5" s="1"/>
      <c r="E5" s="1"/>
    </row>
    <row r="6" spans="1:5" x14ac:dyDescent="0.25">
      <c r="A6" s="1" t="s">
        <v>5</v>
      </c>
      <c r="B6" s="3">
        <v>0.4</v>
      </c>
      <c r="C6" s="4">
        <v>17</v>
      </c>
      <c r="D6" s="1"/>
      <c r="E6" s="1"/>
    </row>
    <row r="7" spans="1:5" x14ac:dyDescent="0.25">
      <c r="A7" s="1" t="s">
        <v>6</v>
      </c>
      <c r="B7" s="3">
        <v>0.05</v>
      </c>
      <c r="C7" s="4"/>
      <c r="D7" s="1"/>
      <c r="E7" s="1"/>
    </row>
    <row r="8" spans="1:5" x14ac:dyDescent="0.25">
      <c r="A8" s="1" t="s">
        <v>7</v>
      </c>
      <c r="B8" s="3">
        <v>0.35</v>
      </c>
      <c r="C8" s="1" t="s">
        <v>8</v>
      </c>
      <c r="D8" s="1"/>
      <c r="E8" s="1"/>
    </row>
    <row r="9" spans="1:5" x14ac:dyDescent="0.25">
      <c r="A9" s="1" t="s">
        <v>9</v>
      </c>
      <c r="B9" s="1"/>
      <c r="C9" s="5">
        <v>1500000</v>
      </c>
      <c r="D9" s="1">
        <v>30</v>
      </c>
      <c r="E9" s="1" t="s">
        <v>10</v>
      </c>
    </row>
    <row r="10" spans="1:5" x14ac:dyDescent="0.25">
      <c r="A10" s="1" t="s">
        <v>11</v>
      </c>
      <c r="B10" s="1"/>
      <c r="C10" s="5">
        <v>700000</v>
      </c>
      <c r="D10" s="1">
        <v>7</v>
      </c>
      <c r="E10" s="1" t="s">
        <v>10</v>
      </c>
    </row>
    <row r="11" spans="1:5" x14ac:dyDescent="0.25">
      <c r="A11" s="1" t="s">
        <v>12</v>
      </c>
      <c r="B11" s="1"/>
      <c r="C11" s="5">
        <v>1000000</v>
      </c>
      <c r="D11" s="1"/>
      <c r="E11" s="1"/>
    </row>
    <row r="12" spans="1:5" x14ac:dyDescent="0.25">
      <c r="A12" s="1" t="s">
        <v>13</v>
      </c>
      <c r="B12" s="1"/>
      <c r="C12" s="1">
        <v>3</v>
      </c>
      <c r="D12" s="1"/>
      <c r="E12" s="1"/>
    </row>
    <row r="13" spans="1:5" x14ac:dyDescent="0.25">
      <c r="A13" s="1" t="s">
        <v>14</v>
      </c>
      <c r="B13" s="1"/>
      <c r="C13" s="5">
        <v>8</v>
      </c>
      <c r="D13" s="1"/>
      <c r="E13" s="1"/>
    </row>
    <row r="14" spans="1:5" x14ac:dyDescent="0.25">
      <c r="A14" s="1" t="s">
        <v>15</v>
      </c>
      <c r="B14" s="1"/>
      <c r="C14" s="2">
        <v>4</v>
      </c>
      <c r="D14" s="1"/>
      <c r="E14" s="1"/>
    </row>
    <row r="15" spans="1:5" x14ac:dyDescent="0.25">
      <c r="A15" s="1" t="s">
        <v>16</v>
      </c>
      <c r="B15" s="1"/>
      <c r="C15" s="6">
        <v>10</v>
      </c>
      <c r="D15" s="1"/>
      <c r="E15" s="1"/>
    </row>
    <row r="16" spans="1:5" x14ac:dyDescent="0.25">
      <c r="A16" s="1" t="s">
        <v>17</v>
      </c>
      <c r="B16" s="1"/>
      <c r="C16" s="1">
        <v>13</v>
      </c>
      <c r="D16" s="1"/>
      <c r="E16" s="1"/>
    </row>
    <row r="17" spans="1:5" x14ac:dyDescent="0.25">
      <c r="A17" s="1" t="s">
        <v>18</v>
      </c>
      <c r="B17" s="1"/>
      <c r="C17" s="1">
        <v>355</v>
      </c>
      <c r="D17" s="1"/>
      <c r="E17" s="1"/>
    </row>
    <row r="18" spans="1:5" x14ac:dyDescent="0.25">
      <c r="A18" s="1" t="s">
        <v>19</v>
      </c>
      <c r="B18" s="1"/>
      <c r="C18" s="3">
        <v>8.5000000000000006E-2</v>
      </c>
      <c r="D18" s="1" t="s">
        <v>8</v>
      </c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20</v>
      </c>
      <c r="B20" s="1"/>
      <c r="C20" s="5">
        <v>800000</v>
      </c>
      <c r="D20" s="1"/>
      <c r="E20" s="1"/>
    </row>
    <row r="21" spans="1:5" x14ac:dyDescent="0.25">
      <c r="A21" s="1" t="s">
        <v>21</v>
      </c>
      <c r="B21" s="1"/>
      <c r="C21" s="7">
        <v>7.0000000000000007E-2</v>
      </c>
      <c r="D21" s="7">
        <v>0.08</v>
      </c>
      <c r="E21" s="1"/>
    </row>
    <row r="22" spans="1:5" x14ac:dyDescent="0.25">
      <c r="A22" s="1"/>
      <c r="B22" s="1"/>
      <c r="C22" s="1">
        <v>30</v>
      </c>
      <c r="D22" s="1" t="s">
        <v>10</v>
      </c>
      <c r="E22" s="1"/>
    </row>
    <row r="23" spans="1:5" x14ac:dyDescent="0.25">
      <c r="A23" s="1" t="s">
        <v>22</v>
      </c>
      <c r="B23" s="1"/>
      <c r="C23" s="3">
        <v>0.3</v>
      </c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 t="s">
        <v>23</v>
      </c>
      <c r="B25" s="1"/>
      <c r="C25" s="5">
        <v>3000</v>
      </c>
      <c r="D25" s="1"/>
      <c r="E25" s="1"/>
    </row>
    <row r="26" spans="1:5" x14ac:dyDescent="0.25">
      <c r="A26" s="1" t="s">
        <v>24</v>
      </c>
      <c r="B26" s="3"/>
      <c r="C26" s="1">
        <v>10</v>
      </c>
      <c r="D26" s="1"/>
      <c r="E26" s="1"/>
    </row>
    <row r="27" spans="1:5" x14ac:dyDescent="0.25">
      <c r="A27" s="1" t="s">
        <v>25</v>
      </c>
      <c r="B27" s="1"/>
      <c r="C27" s="1">
        <v>20</v>
      </c>
      <c r="D27" s="1"/>
      <c r="E27" s="1"/>
    </row>
    <row r="28" spans="1:5" x14ac:dyDescent="0.25">
      <c r="A28" s="1" t="s">
        <v>26</v>
      </c>
      <c r="B28" s="1"/>
      <c r="C28" s="1">
        <v>5</v>
      </c>
      <c r="D28" s="1"/>
      <c r="E28" s="1"/>
    </row>
    <row r="29" spans="1:5" x14ac:dyDescent="0.25">
      <c r="A29" s="1" t="s">
        <v>27</v>
      </c>
      <c r="B29" s="1"/>
      <c r="C29" s="3">
        <v>0.06</v>
      </c>
      <c r="D29" s="1"/>
      <c r="E29" s="1"/>
    </row>
    <row r="30" spans="1:5" x14ac:dyDescent="0.25">
      <c r="A30" s="1" t="s">
        <v>28</v>
      </c>
      <c r="B30" s="1"/>
      <c r="C30" s="5">
        <v>2500000</v>
      </c>
      <c r="D30" s="1"/>
      <c r="E30" s="1"/>
    </row>
    <row r="31" spans="1:5" x14ac:dyDescent="0.25">
      <c r="C31" s="8"/>
    </row>
    <row r="32" spans="1:5" x14ac:dyDescent="0.25">
      <c r="C32" s="8"/>
    </row>
    <row r="33" spans="1:17" x14ac:dyDescent="0.25">
      <c r="C33" s="8"/>
    </row>
    <row r="34" spans="1:17" x14ac:dyDescent="0.25">
      <c r="C34" s="8"/>
    </row>
    <row r="35" spans="1:17" x14ac:dyDescent="0.25">
      <c r="C35" s="8"/>
    </row>
    <row r="36" spans="1:17" x14ac:dyDescent="0.25">
      <c r="C36" s="8"/>
    </row>
    <row r="38" spans="1:17" x14ac:dyDescent="0.25">
      <c r="A38" s="10"/>
      <c r="B38" s="10"/>
      <c r="C38" s="10"/>
      <c r="D38" s="10">
        <v>2014</v>
      </c>
      <c r="E38" s="10">
        <v>2015</v>
      </c>
      <c r="F38" s="10">
        <v>2016</v>
      </c>
      <c r="G38" s="10">
        <v>2017</v>
      </c>
      <c r="H38" s="10">
        <v>2018</v>
      </c>
      <c r="I38" s="10">
        <v>2019</v>
      </c>
      <c r="J38" s="10">
        <v>2020</v>
      </c>
      <c r="K38" s="10">
        <v>2021</v>
      </c>
      <c r="L38" s="10">
        <v>2022</v>
      </c>
      <c r="M38" s="10">
        <v>2023</v>
      </c>
      <c r="N38" s="11"/>
    </row>
    <row r="39" spans="1:17" x14ac:dyDescent="0.25">
      <c r="A39" s="10" t="s">
        <v>29</v>
      </c>
      <c r="B39" s="10"/>
      <c r="C39" s="10"/>
      <c r="D39" s="10"/>
      <c r="E39" s="10"/>
      <c r="F39" s="10"/>
      <c r="G39" s="10"/>
      <c r="H39" s="12"/>
      <c r="I39" s="12"/>
      <c r="J39" s="12"/>
      <c r="K39" s="12"/>
      <c r="L39" s="12"/>
      <c r="M39" s="12"/>
    </row>
    <row r="40" spans="1:17" x14ac:dyDescent="0.25">
      <c r="A40" s="10" t="s">
        <v>30</v>
      </c>
      <c r="B40" s="10"/>
      <c r="C40" s="10"/>
      <c r="D40" s="10"/>
      <c r="E40" s="10"/>
      <c r="F40" s="10"/>
      <c r="G40" s="10"/>
      <c r="H40" s="12"/>
      <c r="I40" s="12"/>
      <c r="J40" s="12"/>
      <c r="K40" s="12"/>
      <c r="L40" s="12"/>
      <c r="M40" s="12"/>
    </row>
    <row r="41" spans="1:17" x14ac:dyDescent="0.25">
      <c r="A41" s="10"/>
      <c r="B41" s="10" t="s">
        <v>31</v>
      </c>
      <c r="C41" s="13"/>
      <c r="D41" s="13">
        <f>C2*C4*C5*B5/C3*0.65</f>
        <v>355672.6875</v>
      </c>
      <c r="E41" s="14">
        <f>D41*(1+$B$7)</f>
        <v>373456.32187500002</v>
      </c>
      <c r="F41" s="14">
        <f t="shared" ref="F41:M42" si="0">E41*(1+$B$7)</f>
        <v>392129.13796875003</v>
      </c>
      <c r="G41" s="14">
        <f t="shared" si="0"/>
        <v>411735.59486718755</v>
      </c>
      <c r="H41" s="14">
        <f t="shared" si="0"/>
        <v>432322.37461054698</v>
      </c>
      <c r="I41" s="14">
        <f t="shared" si="0"/>
        <v>453938.49334107433</v>
      </c>
      <c r="J41" s="14">
        <f t="shared" si="0"/>
        <v>476635.41800812806</v>
      </c>
      <c r="K41" s="14">
        <f t="shared" si="0"/>
        <v>500467.18890853447</v>
      </c>
      <c r="L41" s="14">
        <f t="shared" si="0"/>
        <v>525490.5483539612</v>
      </c>
      <c r="M41" s="14">
        <f t="shared" si="0"/>
        <v>551765.07577165926</v>
      </c>
      <c r="N41" s="15"/>
      <c r="O41" s="15"/>
      <c r="P41" s="15"/>
      <c r="Q41" s="15"/>
    </row>
    <row r="42" spans="1:17" x14ac:dyDescent="0.25">
      <c r="A42" s="10"/>
      <c r="B42" s="10" t="s">
        <v>32</v>
      </c>
      <c r="C42" s="13"/>
      <c r="D42" s="16">
        <f>C2*C4*C6*B6/C3*0.7</f>
        <v>289402.05</v>
      </c>
      <c r="E42" s="16">
        <f>D42*(1+$B$7)</f>
        <v>303872.15250000003</v>
      </c>
      <c r="F42" s="16">
        <f t="shared" si="0"/>
        <v>319065.76012500003</v>
      </c>
      <c r="G42" s="16">
        <f t="shared" si="0"/>
        <v>335019.04813125002</v>
      </c>
      <c r="H42" s="16">
        <f t="shared" si="0"/>
        <v>351770.00053781254</v>
      </c>
      <c r="I42" s="16">
        <f t="shared" si="0"/>
        <v>369358.50056470319</v>
      </c>
      <c r="J42" s="16">
        <f t="shared" si="0"/>
        <v>387826.42559293838</v>
      </c>
      <c r="K42" s="16">
        <f t="shared" si="0"/>
        <v>407217.74687258533</v>
      </c>
      <c r="L42" s="16">
        <f t="shared" si="0"/>
        <v>427578.63421621459</v>
      </c>
      <c r="M42" s="16">
        <f t="shared" si="0"/>
        <v>448957.56592702534</v>
      </c>
      <c r="N42" s="17"/>
      <c r="O42" s="17"/>
      <c r="P42" s="17"/>
      <c r="Q42" s="17"/>
    </row>
    <row r="43" spans="1:17" x14ac:dyDescent="0.25">
      <c r="A43" s="10"/>
      <c r="B43" s="10"/>
      <c r="C43" s="1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7"/>
      <c r="P43" s="17"/>
      <c r="Q43" s="17"/>
    </row>
    <row r="44" spans="1:17" x14ac:dyDescent="0.25">
      <c r="A44" s="10" t="s">
        <v>33</v>
      </c>
      <c r="B44" s="10"/>
      <c r="C44" s="13"/>
      <c r="D44" s="16">
        <f>(D41+D42)*$B$8</f>
        <v>225776.15812500002</v>
      </c>
      <c r="E44" s="16">
        <f t="shared" ref="E44:M44" si="1">(E41+E42)*$B$8</f>
        <v>237064.96603124999</v>
      </c>
      <c r="F44" s="16">
        <f t="shared" si="1"/>
        <v>248918.21433281249</v>
      </c>
      <c r="G44" s="16">
        <f t="shared" si="1"/>
        <v>261364.12504945314</v>
      </c>
      <c r="H44" s="16">
        <f t="shared" si="1"/>
        <v>274432.33130192582</v>
      </c>
      <c r="I44" s="16">
        <f t="shared" si="1"/>
        <v>288153.94786702213</v>
      </c>
      <c r="J44" s="16">
        <f t="shared" si="1"/>
        <v>302561.64526037319</v>
      </c>
      <c r="K44" s="16">
        <f t="shared" si="1"/>
        <v>317689.72752339195</v>
      </c>
      <c r="L44" s="16">
        <f t="shared" si="1"/>
        <v>333574.2138995615</v>
      </c>
      <c r="M44" s="16">
        <f t="shared" si="1"/>
        <v>350252.92459453957</v>
      </c>
      <c r="N44" s="17"/>
      <c r="O44" s="17"/>
      <c r="P44" s="17"/>
      <c r="Q44" s="17"/>
    </row>
    <row r="45" spans="1:17" x14ac:dyDescent="0.25">
      <c r="A45" s="10"/>
      <c r="B45" s="10"/>
      <c r="C45" s="1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  <c r="O45" s="17"/>
      <c r="P45" s="17"/>
      <c r="Q45" s="17"/>
    </row>
    <row r="46" spans="1:17" x14ac:dyDescent="0.25">
      <c r="A46" s="10" t="s">
        <v>34</v>
      </c>
      <c r="B46" s="10"/>
      <c r="C46" s="1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  <c r="O46" s="17"/>
      <c r="P46" s="17"/>
      <c r="Q46" s="17"/>
    </row>
    <row r="47" spans="1:17" x14ac:dyDescent="0.25">
      <c r="A47" s="10"/>
      <c r="B47" s="10" t="s">
        <v>35</v>
      </c>
      <c r="C47" s="13"/>
      <c r="D47" s="16">
        <f t="shared" ref="D47:M47" si="2">$C$12*$C$13*$C$16*$C$17</f>
        <v>110760</v>
      </c>
      <c r="E47" s="16">
        <f t="shared" si="2"/>
        <v>110760</v>
      </c>
      <c r="F47" s="16">
        <f t="shared" si="2"/>
        <v>110760</v>
      </c>
      <c r="G47" s="16">
        <f t="shared" si="2"/>
        <v>110760</v>
      </c>
      <c r="H47" s="16">
        <f t="shared" si="2"/>
        <v>110760</v>
      </c>
      <c r="I47" s="16">
        <f t="shared" si="2"/>
        <v>110760</v>
      </c>
      <c r="J47" s="16">
        <f t="shared" si="2"/>
        <v>110760</v>
      </c>
      <c r="K47" s="16">
        <f t="shared" si="2"/>
        <v>110760</v>
      </c>
      <c r="L47" s="16">
        <f t="shared" si="2"/>
        <v>110760</v>
      </c>
      <c r="M47" s="16">
        <f t="shared" si="2"/>
        <v>110760</v>
      </c>
      <c r="N47" s="17"/>
      <c r="O47" s="17"/>
      <c r="P47" s="17"/>
      <c r="Q47" s="17"/>
    </row>
    <row r="48" spans="1:17" x14ac:dyDescent="0.25">
      <c r="A48" s="10"/>
      <c r="B48" s="10" t="s">
        <v>36</v>
      </c>
      <c r="C48" s="13"/>
      <c r="D48" s="16">
        <f t="shared" ref="D48:M48" si="3">$C$14*$C$15*$C$16*$C$17</f>
        <v>184600</v>
      </c>
      <c r="E48" s="16">
        <f t="shared" si="3"/>
        <v>184600</v>
      </c>
      <c r="F48" s="16">
        <f t="shared" si="3"/>
        <v>184600</v>
      </c>
      <c r="G48" s="16">
        <f t="shared" si="3"/>
        <v>184600</v>
      </c>
      <c r="H48" s="16">
        <f t="shared" si="3"/>
        <v>184600</v>
      </c>
      <c r="I48" s="16">
        <f t="shared" si="3"/>
        <v>184600</v>
      </c>
      <c r="J48" s="16">
        <f t="shared" si="3"/>
        <v>184600</v>
      </c>
      <c r="K48" s="16">
        <f t="shared" si="3"/>
        <v>184600</v>
      </c>
      <c r="L48" s="16">
        <f t="shared" si="3"/>
        <v>184600</v>
      </c>
      <c r="M48" s="16">
        <f t="shared" si="3"/>
        <v>184600</v>
      </c>
      <c r="N48" s="17"/>
      <c r="O48" s="17"/>
      <c r="P48" s="17"/>
      <c r="Q48" s="17"/>
    </row>
    <row r="49" spans="1:17" x14ac:dyDescent="0.25">
      <c r="A49" s="10"/>
      <c r="B49" s="10" t="s">
        <v>37</v>
      </c>
      <c r="C49" s="13"/>
      <c r="D49" s="16">
        <f>(D41+D42)*$C$18</f>
        <v>54831.35268750001</v>
      </c>
      <c r="E49" s="16">
        <f t="shared" ref="E49:M49" si="4">(E41+E42)*$C$18</f>
        <v>57572.920321875004</v>
      </c>
      <c r="F49" s="16">
        <f t="shared" si="4"/>
        <v>60451.566337968754</v>
      </c>
      <c r="G49" s="16">
        <f t="shared" si="4"/>
        <v>63474.144654867203</v>
      </c>
      <c r="H49" s="16">
        <f t="shared" si="4"/>
        <v>66647.851887610552</v>
      </c>
      <c r="I49" s="16">
        <f t="shared" si="4"/>
        <v>69980.244481991103</v>
      </c>
      <c r="J49" s="16">
        <f t="shared" si="4"/>
        <v>73479.256706090644</v>
      </c>
      <c r="K49" s="16">
        <f t="shared" si="4"/>
        <v>77153.219541395199</v>
      </c>
      <c r="L49" s="16">
        <f t="shared" si="4"/>
        <v>81010.880518464939</v>
      </c>
      <c r="M49" s="16">
        <f t="shared" si="4"/>
        <v>85061.424544388195</v>
      </c>
      <c r="N49" s="17"/>
      <c r="O49" s="17"/>
      <c r="P49" s="17"/>
      <c r="Q49" s="17"/>
    </row>
    <row r="50" spans="1:17" x14ac:dyDescent="0.25">
      <c r="A50" s="10"/>
      <c r="B50" s="10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O50" s="17"/>
      <c r="P50" s="17"/>
      <c r="Q50" s="17"/>
    </row>
    <row r="51" spans="1:17" x14ac:dyDescent="0.25">
      <c r="A51" s="10" t="s">
        <v>38</v>
      </c>
      <c r="B51" s="10"/>
      <c r="C51" s="13"/>
      <c r="D51" s="16">
        <f t="shared" ref="D51:I51" si="5">$C$9/$D$9+$C$10/$D$10</f>
        <v>150000</v>
      </c>
      <c r="E51" s="16">
        <f t="shared" si="5"/>
        <v>150000</v>
      </c>
      <c r="F51" s="16">
        <f t="shared" si="5"/>
        <v>150000</v>
      </c>
      <c r="G51" s="16">
        <f t="shared" si="5"/>
        <v>150000</v>
      </c>
      <c r="H51" s="16">
        <f t="shared" si="5"/>
        <v>150000</v>
      </c>
      <c r="I51" s="16">
        <f t="shared" si="5"/>
        <v>150000</v>
      </c>
      <c r="J51" s="16">
        <f>$C$9/$D$9+$C$10/$D$10</f>
        <v>150000</v>
      </c>
      <c r="K51" s="16">
        <f>$C$9/$D$9</f>
        <v>50000</v>
      </c>
      <c r="L51" s="16">
        <f>$C$9/$D$9</f>
        <v>50000</v>
      </c>
      <c r="M51" s="16">
        <f>$C$9/$D$9</f>
        <v>50000</v>
      </c>
      <c r="N51" s="17"/>
      <c r="O51" s="17"/>
      <c r="P51" s="17"/>
      <c r="Q51" s="17"/>
    </row>
    <row r="52" spans="1:17" x14ac:dyDescent="0.25">
      <c r="A52" s="10" t="s">
        <v>39</v>
      </c>
      <c r="B52" s="10"/>
      <c r="C52" s="13"/>
      <c r="D52" s="18">
        <f>Mortgage!E18</f>
        <v>55742.560902841331</v>
      </c>
      <c r="E52" s="18">
        <f>Mortgage!E32</f>
        <v>55155.097105286965</v>
      </c>
      <c r="F52" s="18">
        <f>Mortgage!E46</f>
        <v>54525.165502307274</v>
      </c>
      <c r="G52" s="18">
        <f>Mortgage!E60</f>
        <v>53849.696092814265</v>
      </c>
      <c r="H52" s="18">
        <f>Mortgage!E75</f>
        <v>53125.396945093125</v>
      </c>
      <c r="I52" s="18">
        <f>Mortgage!E90</f>
        <v>52348.738153419101</v>
      </c>
      <c r="J52" s="18">
        <f>Mortgage!E105</f>
        <v>51515.934634897276</v>
      </c>
      <c r="K52" s="18">
        <f>Mortgage!E120</f>
        <v>50622.927682684152</v>
      </c>
      <c r="L52" s="18">
        <f>Mortgage!E135</f>
        <v>49665.365185690353</v>
      </c>
      <c r="M52" s="18">
        <f>Mortgage!E151</f>
        <v>48638.580418363978</v>
      </c>
      <c r="N52" s="19"/>
      <c r="O52" s="19"/>
      <c r="P52" s="19"/>
      <c r="Q52" s="19"/>
    </row>
    <row r="53" spans="1:17" x14ac:dyDescent="0.25">
      <c r="A53" s="10" t="s">
        <v>27</v>
      </c>
      <c r="B53" s="10"/>
      <c r="C53" s="13"/>
      <c r="D53" s="20">
        <f>D78*$C$29</f>
        <v>0</v>
      </c>
      <c r="E53" s="20">
        <f t="shared" ref="E53:M53" si="6">E78*$C$29</f>
        <v>0</v>
      </c>
      <c r="F53" s="20">
        <f t="shared" si="6"/>
        <v>0</v>
      </c>
      <c r="G53" s="20">
        <f t="shared" si="6"/>
        <v>0</v>
      </c>
      <c r="H53" s="20">
        <f t="shared" si="6"/>
        <v>0</v>
      </c>
      <c r="I53" s="20">
        <f t="shared" si="6"/>
        <v>0</v>
      </c>
      <c r="J53" s="20">
        <f t="shared" si="6"/>
        <v>0</v>
      </c>
      <c r="K53" s="20">
        <f t="shared" si="6"/>
        <v>0</v>
      </c>
      <c r="L53" s="20">
        <f t="shared" si="6"/>
        <v>0</v>
      </c>
      <c r="M53" s="20">
        <f t="shared" si="6"/>
        <v>0</v>
      </c>
      <c r="N53" s="21"/>
      <c r="O53" s="21"/>
      <c r="P53" s="21"/>
      <c r="Q53" s="21"/>
    </row>
    <row r="54" spans="1:17" x14ac:dyDescent="0.25">
      <c r="A54" s="10"/>
      <c r="B54" s="10"/>
      <c r="C54" s="1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7"/>
      <c r="P54" s="17"/>
      <c r="Q54" s="17"/>
    </row>
    <row r="55" spans="1:17" x14ac:dyDescent="0.25">
      <c r="A55" s="10" t="s">
        <v>40</v>
      </c>
      <c r="B55" s="10"/>
      <c r="C55" s="13"/>
      <c r="D55" s="16">
        <f>D41+D42-D44-D47-D48-D49-D51-D52-D53</f>
        <v>-136635.33421534131</v>
      </c>
      <c r="E55" s="16">
        <f t="shared" ref="E55:M55" si="7">E41+E42-E44-E47-E48-E49-E51-E52-E53</f>
        <v>-117824.50908341195</v>
      </c>
      <c r="F55" s="16">
        <f t="shared" si="7"/>
        <v>-98060.048079338478</v>
      </c>
      <c r="G55" s="16">
        <f t="shared" si="7"/>
        <v>-77293.322798696958</v>
      </c>
      <c r="H55" s="16">
        <f t="shared" si="7"/>
        <v>-55473.204986270059</v>
      </c>
      <c r="I55" s="16">
        <f t="shared" si="7"/>
        <v>-32545.936596654756</v>
      </c>
      <c r="J55" s="16">
        <f t="shared" si="7"/>
        <v>-8454.9930002946639</v>
      </c>
      <c r="K55" s="16">
        <f t="shared" si="7"/>
        <v>116859.06103364856</v>
      </c>
      <c r="L55" s="16">
        <f t="shared" si="7"/>
        <v>143458.722966459</v>
      </c>
      <c r="M55" s="16">
        <f t="shared" si="7"/>
        <v>171409.71214139281</v>
      </c>
      <c r="N55" s="17"/>
      <c r="O55" s="17"/>
      <c r="P55" s="17"/>
      <c r="Q55" s="17"/>
    </row>
    <row r="56" spans="1:17" x14ac:dyDescent="0.25">
      <c r="A56" s="10" t="s">
        <v>41</v>
      </c>
      <c r="B56" s="10"/>
      <c r="C56" s="13"/>
      <c r="D56" s="18">
        <f>IF(D55&lt;0,0,D55*$C$23)</f>
        <v>0</v>
      </c>
      <c r="E56" s="18">
        <f t="shared" ref="E56:M56" si="8">IF(E55&lt;0,0,E55*$C$23)</f>
        <v>0</v>
      </c>
      <c r="F56" s="18">
        <f t="shared" si="8"/>
        <v>0</v>
      </c>
      <c r="G56" s="18">
        <f t="shared" si="8"/>
        <v>0</v>
      </c>
      <c r="H56" s="18">
        <f t="shared" si="8"/>
        <v>0</v>
      </c>
      <c r="I56" s="18">
        <f t="shared" si="8"/>
        <v>0</v>
      </c>
      <c r="J56" s="18">
        <f t="shared" si="8"/>
        <v>0</v>
      </c>
      <c r="K56" s="18">
        <f t="shared" si="8"/>
        <v>35057.718310094562</v>
      </c>
      <c r="L56" s="18">
        <f t="shared" si="8"/>
        <v>43037.616889937701</v>
      </c>
      <c r="M56" s="18">
        <f t="shared" si="8"/>
        <v>51422.913642417843</v>
      </c>
      <c r="N56" s="19"/>
      <c r="O56" s="19"/>
      <c r="P56" s="19"/>
      <c r="Q56" s="19"/>
    </row>
    <row r="57" spans="1:17" ht="15.75" thickBot="1" x14ac:dyDescent="0.3">
      <c r="A57" s="10" t="s">
        <v>42</v>
      </c>
      <c r="B57" s="10"/>
      <c r="C57" s="13"/>
      <c r="D57" s="22">
        <f>D55-D56</f>
        <v>-136635.33421534131</v>
      </c>
      <c r="E57" s="22">
        <f t="shared" ref="E57:M57" si="9">E55-E56</f>
        <v>-117824.50908341195</v>
      </c>
      <c r="F57" s="22">
        <f t="shared" si="9"/>
        <v>-98060.048079338478</v>
      </c>
      <c r="G57" s="22">
        <f t="shared" si="9"/>
        <v>-77293.322798696958</v>
      </c>
      <c r="H57" s="22">
        <f t="shared" si="9"/>
        <v>-55473.204986270059</v>
      </c>
      <c r="I57" s="22">
        <f t="shared" si="9"/>
        <v>-32545.936596654756</v>
      </c>
      <c r="J57" s="22">
        <f t="shared" si="9"/>
        <v>-8454.9930002946639</v>
      </c>
      <c r="K57" s="22">
        <f t="shared" si="9"/>
        <v>81801.342723554</v>
      </c>
      <c r="L57" s="22">
        <f t="shared" si="9"/>
        <v>100421.1060765213</v>
      </c>
      <c r="M57" s="22">
        <f t="shared" si="9"/>
        <v>119986.79849897497</v>
      </c>
      <c r="N57" s="23"/>
      <c r="O57" s="23"/>
      <c r="P57" s="23"/>
      <c r="Q57" s="23"/>
    </row>
    <row r="58" spans="1:17" ht="15.75" thickTop="1" x14ac:dyDescent="0.25">
      <c r="A58" s="10"/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4"/>
      <c r="O58" s="24"/>
      <c r="P58" s="24"/>
      <c r="Q58" s="24"/>
    </row>
    <row r="59" spans="1:17" x14ac:dyDescent="0.25">
      <c r="A59" s="10" t="s">
        <v>43</v>
      </c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4"/>
      <c r="O59" s="24"/>
      <c r="P59" s="24"/>
      <c r="Q59" s="24"/>
    </row>
    <row r="60" spans="1:17" x14ac:dyDescent="0.25">
      <c r="A60" s="10" t="s">
        <v>44</v>
      </c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4"/>
      <c r="O60" s="24"/>
      <c r="P60" s="24"/>
      <c r="Q60" s="24"/>
    </row>
    <row r="61" spans="1:17" x14ac:dyDescent="0.25">
      <c r="A61" s="10" t="s">
        <v>45</v>
      </c>
      <c r="B61" s="10"/>
      <c r="C61" s="13"/>
      <c r="D61" s="13">
        <f>$C$25</f>
        <v>3000</v>
      </c>
      <c r="E61" s="13">
        <f>$C$25</f>
        <v>3000</v>
      </c>
      <c r="F61" s="13">
        <f>$C$25</f>
        <v>3000</v>
      </c>
      <c r="G61" s="13">
        <f>$C$25</f>
        <v>3000</v>
      </c>
      <c r="H61" s="13">
        <f t="shared" ref="H61:M61" si="10">$C$25</f>
        <v>3000</v>
      </c>
      <c r="I61" s="13">
        <f t="shared" si="10"/>
        <v>3000</v>
      </c>
      <c r="J61" s="13">
        <f t="shared" si="10"/>
        <v>3000</v>
      </c>
      <c r="K61" s="13">
        <f t="shared" si="10"/>
        <v>3000</v>
      </c>
      <c r="L61" s="13">
        <f t="shared" si="10"/>
        <v>3000</v>
      </c>
      <c r="M61" s="13">
        <f t="shared" si="10"/>
        <v>3000</v>
      </c>
      <c r="N61" s="24"/>
      <c r="O61" s="24"/>
      <c r="P61" s="24"/>
      <c r="Q61" s="24"/>
    </row>
    <row r="62" spans="1:17" x14ac:dyDescent="0.25">
      <c r="A62" s="10" t="s">
        <v>46</v>
      </c>
      <c r="B62" s="10"/>
      <c r="C62" s="13"/>
      <c r="D62" s="16">
        <v>93843</v>
      </c>
      <c r="E62" s="16">
        <v>116885</v>
      </c>
      <c r="F62" s="16">
        <v>159041</v>
      </c>
      <c r="G62" s="16">
        <v>221265</v>
      </c>
      <c r="H62" s="16">
        <v>304562</v>
      </c>
      <c r="I62" s="16">
        <v>409986</v>
      </c>
      <c r="J62" s="16">
        <v>538642</v>
      </c>
      <c r="K62" s="16">
        <v>691693</v>
      </c>
      <c r="L62" s="16">
        <v>835299</v>
      </c>
      <c r="M62" s="16">
        <v>997821</v>
      </c>
      <c r="N62" s="17"/>
      <c r="O62" s="17"/>
      <c r="P62" s="17"/>
      <c r="Q62" s="17"/>
    </row>
    <row r="63" spans="1:17" x14ac:dyDescent="0.25">
      <c r="A63" s="10" t="s">
        <v>47</v>
      </c>
      <c r="B63" s="10"/>
      <c r="C63" s="13"/>
      <c r="D63" s="16">
        <f>(D41+D42)*$C$26/365</f>
        <v>17673.280479452056</v>
      </c>
      <c r="E63" s="16">
        <f t="shared" ref="E63:L63" si="11">(E41+E42)*$C$26/365</f>
        <v>18556.94450342466</v>
      </c>
      <c r="F63" s="16">
        <f t="shared" si="11"/>
        <v>19484.79172859589</v>
      </c>
      <c r="G63" s="16">
        <f t="shared" si="11"/>
        <v>20459.031315025688</v>
      </c>
      <c r="H63" s="16">
        <f t="shared" si="11"/>
        <v>21481.982880776974</v>
      </c>
      <c r="I63" s="16">
        <f t="shared" si="11"/>
        <v>22556.082024815823</v>
      </c>
      <c r="J63" s="16">
        <f t="shared" si="11"/>
        <v>23683.886126056615</v>
      </c>
      <c r="K63" s="16">
        <f t="shared" si="11"/>
        <v>24868.080432359446</v>
      </c>
      <c r="L63" s="16">
        <f t="shared" si="11"/>
        <v>26111.48445397742</v>
      </c>
      <c r="M63" s="16">
        <f>(M41+M42)*$C$26/365</f>
        <v>27417.05867667629</v>
      </c>
      <c r="N63" s="17"/>
      <c r="O63" s="17"/>
      <c r="P63" s="17"/>
      <c r="Q63" s="17"/>
    </row>
    <row r="64" spans="1:17" x14ac:dyDescent="0.25">
      <c r="A64" s="10" t="s">
        <v>48</v>
      </c>
      <c r="B64" s="10"/>
      <c r="C64" s="13"/>
      <c r="D64" s="18">
        <f>D44*$C$28/365</f>
        <v>3092.82408390411</v>
      </c>
      <c r="E64" s="18">
        <f t="shared" ref="E64:M64" si="12">E44*$C$28/365</f>
        <v>3247.4652880993149</v>
      </c>
      <c r="F64" s="18">
        <f t="shared" si="12"/>
        <v>3409.8385525042809</v>
      </c>
      <c r="G64" s="18">
        <f t="shared" si="12"/>
        <v>3580.3304801294948</v>
      </c>
      <c r="H64" s="18">
        <f t="shared" si="12"/>
        <v>3759.3470041359697</v>
      </c>
      <c r="I64" s="18">
        <f t="shared" si="12"/>
        <v>3947.3143543427691</v>
      </c>
      <c r="J64" s="18">
        <f t="shared" si="12"/>
        <v>4144.6800720599067</v>
      </c>
      <c r="K64" s="18">
        <f t="shared" si="12"/>
        <v>4351.914075662904</v>
      </c>
      <c r="L64" s="18">
        <f t="shared" si="12"/>
        <v>4569.509779446048</v>
      </c>
      <c r="M64" s="18">
        <f t="shared" si="12"/>
        <v>4797.9852684183506</v>
      </c>
      <c r="N64" s="19"/>
      <c r="O64" s="19"/>
      <c r="P64" s="19"/>
      <c r="Q64" s="19"/>
    </row>
    <row r="65" spans="1:21" x14ac:dyDescent="0.25">
      <c r="A65" s="10"/>
      <c r="B65" s="10"/>
      <c r="C65" s="1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7"/>
      <c r="P65" s="17"/>
      <c r="Q65" s="17"/>
    </row>
    <row r="66" spans="1:21" x14ac:dyDescent="0.25">
      <c r="A66" s="10" t="s">
        <v>12</v>
      </c>
      <c r="B66" s="10"/>
      <c r="C66" s="13"/>
      <c r="D66" s="16">
        <f t="shared" ref="D66:M66" si="13">$C$11</f>
        <v>1000000</v>
      </c>
      <c r="E66" s="16">
        <f t="shared" si="13"/>
        <v>1000000</v>
      </c>
      <c r="F66" s="16">
        <f t="shared" si="13"/>
        <v>1000000</v>
      </c>
      <c r="G66" s="16">
        <f t="shared" si="13"/>
        <v>1000000</v>
      </c>
      <c r="H66" s="16">
        <f t="shared" si="13"/>
        <v>1000000</v>
      </c>
      <c r="I66" s="16">
        <f t="shared" si="13"/>
        <v>1000000</v>
      </c>
      <c r="J66" s="16">
        <f t="shared" si="13"/>
        <v>1000000</v>
      </c>
      <c r="K66" s="16">
        <f t="shared" si="13"/>
        <v>1000000</v>
      </c>
      <c r="L66" s="16">
        <f t="shared" si="13"/>
        <v>1000000</v>
      </c>
      <c r="M66" s="16">
        <f t="shared" si="13"/>
        <v>1000000</v>
      </c>
      <c r="N66" s="25"/>
      <c r="O66" s="25"/>
      <c r="P66" s="25"/>
      <c r="Q66" s="25"/>
    </row>
    <row r="67" spans="1:21" x14ac:dyDescent="0.25">
      <c r="A67" s="10" t="s">
        <v>49</v>
      </c>
      <c r="B67" s="10"/>
      <c r="C67" s="13"/>
      <c r="D67" s="16">
        <f t="shared" ref="D67:M67" si="14">$C$9</f>
        <v>1500000</v>
      </c>
      <c r="E67" s="16">
        <f t="shared" si="14"/>
        <v>1500000</v>
      </c>
      <c r="F67" s="16">
        <f t="shared" si="14"/>
        <v>1500000</v>
      </c>
      <c r="G67" s="16">
        <f t="shared" si="14"/>
        <v>1500000</v>
      </c>
      <c r="H67" s="16">
        <f t="shared" si="14"/>
        <v>1500000</v>
      </c>
      <c r="I67" s="16">
        <f t="shared" si="14"/>
        <v>1500000</v>
      </c>
      <c r="J67" s="16">
        <f t="shared" si="14"/>
        <v>1500000</v>
      </c>
      <c r="K67" s="16">
        <f t="shared" si="14"/>
        <v>1500000</v>
      </c>
      <c r="L67" s="16">
        <f t="shared" si="14"/>
        <v>1500000</v>
      </c>
      <c r="M67" s="16">
        <f t="shared" si="14"/>
        <v>1500000</v>
      </c>
      <c r="N67" s="25"/>
      <c r="O67" s="25"/>
      <c r="P67" s="25"/>
      <c r="Q67" s="25"/>
    </row>
    <row r="68" spans="1:21" x14ac:dyDescent="0.25">
      <c r="A68" s="10" t="s">
        <v>50</v>
      </c>
      <c r="B68" s="10"/>
      <c r="C68" s="13"/>
      <c r="D68" s="16">
        <f t="shared" ref="D68:M68" si="15">$C$10</f>
        <v>700000</v>
      </c>
      <c r="E68" s="16">
        <f t="shared" si="15"/>
        <v>700000</v>
      </c>
      <c r="F68" s="16">
        <f t="shared" si="15"/>
        <v>700000</v>
      </c>
      <c r="G68" s="16">
        <f t="shared" si="15"/>
        <v>700000</v>
      </c>
      <c r="H68" s="16">
        <f t="shared" si="15"/>
        <v>700000</v>
      </c>
      <c r="I68" s="16">
        <f t="shared" si="15"/>
        <v>700000</v>
      </c>
      <c r="J68" s="16">
        <f t="shared" si="15"/>
        <v>700000</v>
      </c>
      <c r="K68" s="16">
        <f t="shared" si="15"/>
        <v>700000</v>
      </c>
      <c r="L68" s="16">
        <f t="shared" si="15"/>
        <v>700000</v>
      </c>
      <c r="M68" s="16">
        <f t="shared" si="15"/>
        <v>700000</v>
      </c>
      <c r="N68" s="25"/>
      <c r="O68" s="25"/>
      <c r="P68" s="25"/>
      <c r="Q68" s="25"/>
    </row>
    <row r="69" spans="1:21" x14ac:dyDescent="0.25">
      <c r="A69" s="10" t="s">
        <v>51</v>
      </c>
      <c r="B69" s="10"/>
      <c r="C69" s="13"/>
      <c r="D69" s="16">
        <f>C69+D51</f>
        <v>150000</v>
      </c>
      <c r="E69" s="16">
        <f t="shared" ref="E69:J69" si="16">D69+E51</f>
        <v>300000</v>
      </c>
      <c r="F69" s="16">
        <f t="shared" si="16"/>
        <v>450000</v>
      </c>
      <c r="G69" s="16">
        <f t="shared" si="16"/>
        <v>600000</v>
      </c>
      <c r="H69" s="16">
        <f t="shared" si="16"/>
        <v>750000</v>
      </c>
      <c r="I69" s="16">
        <f t="shared" si="16"/>
        <v>900000</v>
      </c>
      <c r="J69" s="16">
        <f t="shared" si="16"/>
        <v>1050000</v>
      </c>
      <c r="K69" s="16">
        <f>J69+K51</f>
        <v>1100000</v>
      </c>
      <c r="L69" s="16">
        <f>K69+L51</f>
        <v>1150000</v>
      </c>
      <c r="M69" s="16">
        <f>L69+M51</f>
        <v>1200000</v>
      </c>
      <c r="N69" s="25"/>
      <c r="O69" s="26" t="s">
        <v>52</v>
      </c>
      <c r="P69" s="26"/>
      <c r="Q69" s="26"/>
      <c r="R69" s="27"/>
      <c r="S69" s="27"/>
      <c r="T69" s="27"/>
    </row>
    <row r="70" spans="1:21" x14ac:dyDescent="0.25">
      <c r="A70" s="10"/>
      <c r="B70" s="10"/>
      <c r="C70" s="1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5"/>
      <c r="O70" s="26" t="s">
        <v>53</v>
      </c>
      <c r="P70" s="26"/>
      <c r="Q70" s="26">
        <v>1.08</v>
      </c>
      <c r="R70" s="27"/>
      <c r="S70" s="27" t="s">
        <v>54</v>
      </c>
      <c r="T70" s="27"/>
      <c r="U70">
        <f>Q70*(1+(1-C23)*(SUM(P77:P78)/SUM(P80:P81)))</f>
        <v>1.3442797489727585</v>
      </c>
    </row>
    <row r="71" spans="1:21" x14ac:dyDescent="0.25">
      <c r="A71" s="10" t="s">
        <v>55</v>
      </c>
      <c r="B71" s="10"/>
      <c r="C71" s="13"/>
      <c r="D71" s="28">
        <f>SUM(D61:D68)-D69</f>
        <v>3167609.1045633564</v>
      </c>
      <c r="E71" s="28">
        <f t="shared" ref="E71:G71" si="17">SUM(E61:E68)-E69</f>
        <v>3041689.4097915241</v>
      </c>
      <c r="F71" s="28">
        <f t="shared" si="17"/>
        <v>2934935.6302811</v>
      </c>
      <c r="G71" s="28">
        <f t="shared" si="17"/>
        <v>2848304.3617951553</v>
      </c>
      <c r="H71" s="28">
        <f t="shared" ref="H71:M71" si="18">SUM(H61:H68)-H69</f>
        <v>2782803.3298849128</v>
      </c>
      <c r="I71" s="28">
        <f t="shared" si="18"/>
        <v>2739489.3963791588</v>
      </c>
      <c r="J71" s="28">
        <f t="shared" si="18"/>
        <v>2719470.5661981166</v>
      </c>
      <c r="K71" s="28">
        <f t="shared" si="18"/>
        <v>2823912.9945080224</v>
      </c>
      <c r="L71" s="28">
        <f t="shared" si="18"/>
        <v>2918979.9942334234</v>
      </c>
      <c r="M71" s="28">
        <f t="shared" si="18"/>
        <v>3033036.0439450946</v>
      </c>
      <c r="N71" s="25"/>
      <c r="O71" s="26" t="s">
        <v>56</v>
      </c>
      <c r="P71" s="26"/>
      <c r="Q71" s="29">
        <v>0.01</v>
      </c>
      <c r="R71" s="26"/>
      <c r="S71" s="26" t="s">
        <v>56</v>
      </c>
      <c r="T71" s="27"/>
      <c r="U71" s="29">
        <v>0.01</v>
      </c>
    </row>
    <row r="72" spans="1:21" x14ac:dyDescent="0.25">
      <c r="A72" s="10"/>
      <c r="B72" s="10"/>
      <c r="C72" s="13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5"/>
      <c r="O72" s="26" t="s">
        <v>57</v>
      </c>
      <c r="P72" s="26"/>
      <c r="Q72" s="29">
        <v>0.12</v>
      </c>
      <c r="R72" s="26"/>
      <c r="S72" s="26" t="s">
        <v>57</v>
      </c>
      <c r="T72" s="27"/>
      <c r="U72" s="29">
        <v>0.1</v>
      </c>
    </row>
    <row r="73" spans="1:21" x14ac:dyDescent="0.25">
      <c r="A73" s="10" t="s">
        <v>58</v>
      </c>
      <c r="B73" s="10"/>
      <c r="C73" s="13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26" t="s">
        <v>59</v>
      </c>
      <c r="P73" s="26"/>
      <c r="Q73" s="32">
        <f>Q70*(Q72-Q71)+Q71</f>
        <v>0.1288</v>
      </c>
      <c r="R73" s="26"/>
      <c r="S73" s="26" t="s">
        <v>59</v>
      </c>
      <c r="T73" s="27"/>
      <c r="U73" s="32">
        <f>U70*(U72-U71)+U71</f>
        <v>0.13098517740754828</v>
      </c>
    </row>
    <row r="74" spans="1:21" x14ac:dyDescent="0.25">
      <c r="A74" s="10" t="s">
        <v>60</v>
      </c>
      <c r="B74" s="10"/>
      <c r="C74" s="13"/>
      <c r="D74" s="18">
        <f>$C$27*D44/365</f>
        <v>12371.29633561644</v>
      </c>
      <c r="E74" s="18">
        <f t="shared" ref="E74:M74" si="19">$C$27*E44/365</f>
        <v>12989.86115239726</v>
      </c>
      <c r="F74" s="18">
        <f t="shared" si="19"/>
        <v>13639.354210017123</v>
      </c>
      <c r="G74" s="18">
        <f t="shared" si="19"/>
        <v>14321.321920517979</v>
      </c>
      <c r="H74" s="18">
        <f t="shared" si="19"/>
        <v>15037.388016543879</v>
      </c>
      <c r="I74" s="18">
        <f t="shared" si="19"/>
        <v>15789.257417371076</v>
      </c>
      <c r="J74" s="18">
        <f t="shared" si="19"/>
        <v>16578.720288239627</v>
      </c>
      <c r="K74" s="18">
        <f t="shared" si="19"/>
        <v>17407.656302651616</v>
      </c>
      <c r="L74" s="18">
        <f t="shared" si="19"/>
        <v>18278.039117784192</v>
      </c>
      <c r="M74" s="18">
        <f t="shared" si="19"/>
        <v>19191.941073673403</v>
      </c>
      <c r="N74" s="33"/>
      <c r="O74" s="27"/>
      <c r="P74" s="27"/>
      <c r="Q74" s="27"/>
      <c r="R74" s="26"/>
      <c r="S74" s="27"/>
      <c r="T74" s="27"/>
    </row>
    <row r="75" spans="1:21" x14ac:dyDescent="0.25">
      <c r="A75" s="10" t="s">
        <v>61</v>
      </c>
      <c r="B75" s="10"/>
      <c r="C75" s="13"/>
      <c r="D75" s="16">
        <f>D56</f>
        <v>0</v>
      </c>
      <c r="E75" s="16">
        <f t="shared" ref="E75:M75" si="20">E56</f>
        <v>0</v>
      </c>
      <c r="F75" s="16">
        <f t="shared" si="20"/>
        <v>0</v>
      </c>
      <c r="G75" s="16">
        <f t="shared" si="20"/>
        <v>0</v>
      </c>
      <c r="H75" s="16">
        <f t="shared" si="20"/>
        <v>0</v>
      </c>
      <c r="I75" s="16">
        <f t="shared" si="20"/>
        <v>0</v>
      </c>
      <c r="J75" s="16">
        <f t="shared" si="20"/>
        <v>0</v>
      </c>
      <c r="K75" s="16">
        <f t="shared" si="20"/>
        <v>35057.718310094562</v>
      </c>
      <c r="L75" s="16">
        <f t="shared" si="20"/>
        <v>43037.616889937701</v>
      </c>
      <c r="M75" s="16">
        <f t="shared" si="20"/>
        <v>51422.913642417843</v>
      </c>
      <c r="N75" s="25"/>
      <c r="O75" s="27"/>
      <c r="P75" s="27"/>
      <c r="Q75" s="27"/>
      <c r="R75" s="27"/>
      <c r="S75" s="27"/>
      <c r="T75" s="27"/>
    </row>
    <row r="76" spans="1:21" x14ac:dyDescent="0.25">
      <c r="A76" s="10"/>
      <c r="B76" s="10"/>
      <c r="C76" s="13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5"/>
      <c r="O76" s="26" t="s">
        <v>62</v>
      </c>
      <c r="P76" s="26" t="s">
        <v>63</v>
      </c>
      <c r="Q76" s="26" t="s">
        <v>64</v>
      </c>
      <c r="R76" s="26" t="s">
        <v>65</v>
      </c>
      <c r="S76" s="26" t="s">
        <v>66</v>
      </c>
      <c r="T76" s="27"/>
    </row>
    <row r="77" spans="1:21" x14ac:dyDescent="0.25">
      <c r="A77" s="10" t="s">
        <v>67</v>
      </c>
      <c r="B77" s="10"/>
      <c r="C77" s="13"/>
      <c r="D77" s="34">
        <f>Mortgage!G17</f>
        <v>791873.52136563975</v>
      </c>
      <c r="E77" s="34">
        <f>Mortgage!G31</f>
        <v>783159.57893372513</v>
      </c>
      <c r="F77" s="34">
        <f>Mortgage!G45</f>
        <v>773815.70489883085</v>
      </c>
      <c r="G77" s="35">
        <f>Mortgage!G59</f>
        <v>763796.36145444342</v>
      </c>
      <c r="H77" s="35">
        <f>Mortgage!G74</f>
        <v>753052.71886233496</v>
      </c>
      <c r="I77" s="35">
        <f>Mortgage!G89</f>
        <v>741532.41747855255</v>
      </c>
      <c r="J77" s="35">
        <f>Mortgage!G104</f>
        <v>729179.31257624854</v>
      </c>
      <c r="K77" s="35">
        <f>Mortgage!G119</f>
        <v>715933.20072173118</v>
      </c>
      <c r="L77" s="35">
        <f>Mortgage!G134</f>
        <v>701729.52637022012</v>
      </c>
      <c r="M77" s="35">
        <f>Mortgage!G150</f>
        <v>686499.06725138274</v>
      </c>
      <c r="N77" s="36"/>
      <c r="O77" s="37">
        <f>AVERAGE(D77:M77)</f>
        <v>744057.14099131082</v>
      </c>
      <c r="P77" s="38">
        <f>O77/$O$83</f>
        <v>0.25902675147560406</v>
      </c>
      <c r="Q77" s="38">
        <v>0.08</v>
      </c>
      <c r="R77" s="39">
        <f>Q77*(1-$C$23)</f>
        <v>5.5999999999999994E-2</v>
      </c>
      <c r="S77" s="40">
        <f>P77*R77</f>
        <v>1.4505498082633825E-2</v>
      </c>
      <c r="T77" s="27"/>
    </row>
    <row r="78" spans="1:21" x14ac:dyDescent="0.25">
      <c r="A78" s="10" t="s">
        <v>68</v>
      </c>
      <c r="B78" s="10"/>
      <c r="C78" s="13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5"/>
      <c r="O78" s="37">
        <v>0</v>
      </c>
      <c r="P78" s="38">
        <f>O78/$O$83</f>
        <v>0</v>
      </c>
      <c r="Q78" s="41">
        <v>0.06</v>
      </c>
      <c r="R78" s="39">
        <f>Q78*(1-$C$23)</f>
        <v>4.1999999999999996E-2</v>
      </c>
      <c r="S78" s="40">
        <f>P78*R78</f>
        <v>0</v>
      </c>
      <c r="T78" s="27"/>
    </row>
    <row r="79" spans="1:21" x14ac:dyDescent="0.25">
      <c r="A79" s="10"/>
      <c r="B79" s="10"/>
      <c r="C79" s="1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5"/>
      <c r="O79" s="42"/>
      <c r="P79" s="41"/>
      <c r="Q79" s="42"/>
      <c r="R79" s="27"/>
      <c r="S79" s="40"/>
      <c r="T79" s="27"/>
    </row>
    <row r="80" spans="1:21" x14ac:dyDescent="0.25">
      <c r="A80" s="10" t="s">
        <v>69</v>
      </c>
      <c r="B80" s="10"/>
      <c r="C80" s="13"/>
      <c r="D80" s="16">
        <f t="shared" ref="D80:M80" si="21">$C$30</f>
        <v>2500000</v>
      </c>
      <c r="E80" s="16">
        <f t="shared" si="21"/>
        <v>2500000</v>
      </c>
      <c r="F80" s="16">
        <f t="shared" si="21"/>
        <v>2500000</v>
      </c>
      <c r="G80" s="16">
        <f t="shared" si="21"/>
        <v>2500000</v>
      </c>
      <c r="H80" s="16">
        <f t="shared" si="21"/>
        <v>2500000</v>
      </c>
      <c r="I80" s="16">
        <f t="shared" si="21"/>
        <v>2500000</v>
      </c>
      <c r="J80" s="16">
        <f t="shared" si="21"/>
        <v>2500000</v>
      </c>
      <c r="K80" s="16">
        <f t="shared" si="21"/>
        <v>2500000</v>
      </c>
      <c r="L80" s="16">
        <f t="shared" si="21"/>
        <v>2500000</v>
      </c>
      <c r="M80" s="16">
        <f t="shared" si="21"/>
        <v>2500000</v>
      </c>
      <c r="N80" s="25"/>
      <c r="O80" s="37">
        <f>AVERAGE(D80:M80)</f>
        <v>2500000</v>
      </c>
      <c r="P80" s="38">
        <f>O80/$O$83</f>
        <v>0.87031874706054657</v>
      </c>
      <c r="Q80" s="43">
        <f>U73</f>
        <v>0.13098517740754828</v>
      </c>
      <c r="R80" s="39">
        <f>Q80</f>
        <v>0.13098517740754828</v>
      </c>
      <c r="S80" s="40">
        <f>P80*R80</f>
        <v>0.11399885548484083</v>
      </c>
      <c r="T80" s="27"/>
    </row>
    <row r="81" spans="1:20" x14ac:dyDescent="0.25">
      <c r="A81" s="10" t="s">
        <v>70</v>
      </c>
      <c r="B81" s="10"/>
      <c r="C81" s="13"/>
      <c r="D81" s="16">
        <f>D57</f>
        <v>-136635.33421534131</v>
      </c>
      <c r="E81" s="16">
        <f>D81+E57</f>
        <v>-254459.84329875326</v>
      </c>
      <c r="F81" s="16">
        <f t="shared" ref="F81:M81" si="22">E81+F57</f>
        <v>-352519.89137809176</v>
      </c>
      <c r="G81" s="16">
        <f t="shared" si="22"/>
        <v>-429813.21417678869</v>
      </c>
      <c r="H81" s="16">
        <f t="shared" si="22"/>
        <v>-485286.41916305874</v>
      </c>
      <c r="I81" s="16">
        <f t="shared" si="22"/>
        <v>-517832.35575971351</v>
      </c>
      <c r="J81" s="16">
        <f t="shared" si="22"/>
        <v>-526287.34876000811</v>
      </c>
      <c r="K81" s="16">
        <f t="shared" si="22"/>
        <v>-444486.00603645411</v>
      </c>
      <c r="L81" s="16">
        <f t="shared" si="22"/>
        <v>-344064.89995993278</v>
      </c>
      <c r="M81" s="16">
        <f t="shared" si="22"/>
        <v>-224078.10146095781</v>
      </c>
      <c r="N81" s="25"/>
      <c r="O81" s="37">
        <f>AVERAGE(D81:M81)</f>
        <v>-371546.34142091003</v>
      </c>
      <c r="P81" s="38">
        <f>O81/$O$83</f>
        <v>-0.1293454985361506</v>
      </c>
      <c r="Q81" s="43">
        <f>U73</f>
        <v>0.13098517740754828</v>
      </c>
      <c r="R81" s="39">
        <f>Q81</f>
        <v>0.13098517740754828</v>
      </c>
      <c r="S81" s="40">
        <f>P81*R81</f>
        <v>-1.6942343072625463E-2</v>
      </c>
      <c r="T81" s="27"/>
    </row>
    <row r="82" spans="1:20" x14ac:dyDescent="0.25">
      <c r="A82" s="10"/>
      <c r="B82" s="10"/>
      <c r="C82" s="10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44"/>
      <c r="O82" s="45"/>
      <c r="P82" s="45"/>
      <c r="Q82" s="45"/>
      <c r="R82" s="27"/>
      <c r="S82" s="27"/>
      <c r="T82" s="27"/>
    </row>
    <row r="83" spans="1:20" ht="15.75" thickBot="1" x14ac:dyDescent="0.3">
      <c r="A83" s="10" t="s">
        <v>71</v>
      </c>
      <c r="B83" s="10"/>
      <c r="C83" s="10"/>
      <c r="D83" s="22">
        <f>SUM(D74:D82)</f>
        <v>3167609.4834859148</v>
      </c>
      <c r="E83" s="22">
        <f t="shared" ref="E83:M83" si="23">SUM(E74:E82)</f>
        <v>3041689.5967873693</v>
      </c>
      <c r="F83" s="22">
        <f t="shared" si="23"/>
        <v>2934935.1677307561</v>
      </c>
      <c r="G83" s="22">
        <f t="shared" si="23"/>
        <v>2848304.4691981729</v>
      </c>
      <c r="H83" s="22">
        <f t="shared" si="23"/>
        <v>2782803.68771582</v>
      </c>
      <c r="I83" s="22">
        <f t="shared" si="23"/>
        <v>2739489.3191362103</v>
      </c>
      <c r="J83" s="22">
        <f t="shared" si="23"/>
        <v>2719470.6841044798</v>
      </c>
      <c r="K83" s="22">
        <f t="shared" si="23"/>
        <v>2823912.5692980234</v>
      </c>
      <c r="L83" s="22">
        <f t="shared" si="23"/>
        <v>2918980.2824180089</v>
      </c>
      <c r="M83" s="22">
        <f t="shared" si="23"/>
        <v>3033035.8205065159</v>
      </c>
      <c r="N83" s="44"/>
      <c r="O83" s="45">
        <f>SUM(O77:O81)</f>
        <v>2872510.7995704007</v>
      </c>
      <c r="P83" s="45"/>
      <c r="Q83" s="45"/>
      <c r="R83" s="46" t="s">
        <v>72</v>
      </c>
      <c r="S83" s="47">
        <f>SUM(S77:S81)</f>
        <v>0.11156201049484921</v>
      </c>
      <c r="T83" s="27"/>
    </row>
    <row r="84" spans="1:20" ht="15.75" thickTop="1" x14ac:dyDescent="0.25">
      <c r="N84" s="48"/>
      <c r="O84" s="49"/>
      <c r="P84" s="49"/>
      <c r="Q84" s="49"/>
      <c r="R84" s="27"/>
      <c r="S84" s="27"/>
      <c r="T84" s="27"/>
    </row>
    <row r="85" spans="1:20" x14ac:dyDescent="0.25">
      <c r="A85" s="10" t="s">
        <v>73</v>
      </c>
      <c r="D85" s="50">
        <f>D71-D83</f>
        <v>-0.37892255838960409</v>
      </c>
      <c r="E85" s="50">
        <f t="shared" ref="E85:M85" si="24">E71-E83</f>
        <v>-0.18699584528803825</v>
      </c>
      <c r="F85" s="50">
        <f t="shared" si="24"/>
        <v>0.46255034394562244</v>
      </c>
      <c r="G85" s="50">
        <f t="shared" si="24"/>
        <v>-0.10740301758050919</v>
      </c>
      <c r="H85" s="50">
        <f t="shared" si="24"/>
        <v>-0.35783090721815825</v>
      </c>
      <c r="I85" s="50">
        <f t="shared" si="24"/>
        <v>7.7242948580533266E-2</v>
      </c>
      <c r="J85" s="50">
        <f t="shared" si="24"/>
        <v>-0.11790636321529746</v>
      </c>
      <c r="K85" s="50">
        <f t="shared" si="24"/>
        <v>0.42520999908447266</v>
      </c>
      <c r="L85" s="50">
        <f t="shared" si="24"/>
        <v>-0.28818458551540971</v>
      </c>
      <c r="M85" s="50">
        <f t="shared" si="24"/>
        <v>0.22343857865780592</v>
      </c>
      <c r="N85" s="51"/>
      <c r="O85" s="51"/>
      <c r="P85" s="51"/>
      <c r="Q85" s="51"/>
    </row>
    <row r="87" spans="1:20" x14ac:dyDescent="0.25">
      <c r="A87" s="12"/>
      <c r="B87" s="12"/>
      <c r="C87" s="52">
        <v>0</v>
      </c>
      <c r="D87" s="52">
        <v>1</v>
      </c>
      <c r="E87" s="52">
        <v>2</v>
      </c>
      <c r="F87" s="52">
        <v>3</v>
      </c>
      <c r="G87" s="52">
        <v>4</v>
      </c>
      <c r="H87" s="52">
        <v>5</v>
      </c>
      <c r="I87" s="52">
        <v>6</v>
      </c>
      <c r="J87" s="52">
        <v>7</v>
      </c>
      <c r="K87" s="52">
        <v>8</v>
      </c>
      <c r="L87" s="52">
        <v>9</v>
      </c>
      <c r="M87" s="52">
        <v>10</v>
      </c>
    </row>
    <row r="88" spans="1:20" x14ac:dyDescent="0.25">
      <c r="A88" s="53" t="s">
        <v>74</v>
      </c>
      <c r="B88" s="5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20" x14ac:dyDescent="0.25">
      <c r="A89" s="30"/>
      <c r="B89" s="54" t="s">
        <v>75</v>
      </c>
      <c r="C89" s="12"/>
      <c r="D89" s="55">
        <f>D41+D42-D44-D47-D48-D49</f>
        <v>69107.22668750002</v>
      </c>
      <c r="E89" s="55">
        <f t="shared" ref="E89:M89" si="25">E41+E42-E44-E47-E48-E49</f>
        <v>87330.588021875024</v>
      </c>
      <c r="F89" s="55">
        <f t="shared" si="25"/>
        <v>106465.11742296879</v>
      </c>
      <c r="G89" s="55">
        <f t="shared" si="25"/>
        <v>126556.37329411731</v>
      </c>
      <c r="H89" s="55">
        <f t="shared" si="25"/>
        <v>147652.19195882307</v>
      </c>
      <c r="I89" s="55">
        <f t="shared" si="25"/>
        <v>169802.80155676435</v>
      </c>
      <c r="J89" s="55">
        <f t="shared" si="25"/>
        <v>193060.94163460261</v>
      </c>
      <c r="K89" s="55">
        <f t="shared" si="25"/>
        <v>217481.98871633271</v>
      </c>
      <c r="L89" s="55">
        <f t="shared" si="25"/>
        <v>243124.08815214934</v>
      </c>
      <c r="M89" s="55">
        <f t="shared" si="25"/>
        <v>270048.29255975678</v>
      </c>
    </row>
    <row r="90" spans="1:20" x14ac:dyDescent="0.25">
      <c r="A90" s="30"/>
      <c r="B90" s="54" t="s">
        <v>76</v>
      </c>
      <c r="C90" s="12"/>
      <c r="D90" s="56">
        <f>D51</f>
        <v>150000</v>
      </c>
      <c r="E90" s="56">
        <f t="shared" ref="E90:M90" si="26">E51</f>
        <v>150000</v>
      </c>
      <c r="F90" s="56">
        <f t="shared" si="26"/>
        <v>150000</v>
      </c>
      <c r="G90" s="56">
        <f t="shared" si="26"/>
        <v>150000</v>
      </c>
      <c r="H90" s="56">
        <f t="shared" si="26"/>
        <v>150000</v>
      </c>
      <c r="I90" s="56">
        <f t="shared" si="26"/>
        <v>150000</v>
      </c>
      <c r="J90" s="56">
        <f t="shared" si="26"/>
        <v>150000</v>
      </c>
      <c r="K90" s="56">
        <f t="shared" si="26"/>
        <v>50000</v>
      </c>
      <c r="L90" s="56">
        <f t="shared" si="26"/>
        <v>50000</v>
      </c>
      <c r="M90" s="56">
        <f t="shared" si="26"/>
        <v>50000</v>
      </c>
    </row>
    <row r="91" spans="1:20" x14ac:dyDescent="0.25">
      <c r="A91" s="30"/>
      <c r="B91" s="54" t="s">
        <v>77</v>
      </c>
      <c r="C91" s="12"/>
      <c r="D91" s="56">
        <f>D89-D90</f>
        <v>-80892.77331249998</v>
      </c>
      <c r="E91" s="56">
        <f t="shared" ref="E91:M91" si="27">E89-E90</f>
        <v>-62669.411978124976</v>
      </c>
      <c r="F91" s="56">
        <f t="shared" si="27"/>
        <v>-43534.882577031211</v>
      </c>
      <c r="G91" s="56">
        <f t="shared" si="27"/>
        <v>-23443.626705882692</v>
      </c>
      <c r="H91" s="56">
        <f t="shared" si="27"/>
        <v>-2347.8080411769333</v>
      </c>
      <c r="I91" s="56">
        <f t="shared" si="27"/>
        <v>19802.801556764345</v>
      </c>
      <c r="J91" s="56">
        <f t="shared" si="27"/>
        <v>43060.941634602612</v>
      </c>
      <c r="K91" s="56">
        <f t="shared" si="27"/>
        <v>167481.98871633271</v>
      </c>
      <c r="L91" s="56">
        <f t="shared" si="27"/>
        <v>193124.08815214934</v>
      </c>
      <c r="M91" s="56">
        <f t="shared" si="27"/>
        <v>220048.29255975678</v>
      </c>
    </row>
    <row r="92" spans="1:20" x14ac:dyDescent="0.25">
      <c r="A92" s="54"/>
      <c r="B92" s="54" t="s">
        <v>78</v>
      </c>
      <c r="C92" s="12"/>
      <c r="D92" s="56">
        <f>IF(D91&lt;0,0,D91*$C$23)</f>
        <v>0</v>
      </c>
      <c r="E92" s="56">
        <f t="shared" ref="E92:M92" si="28">IF(E91&lt;0,0,E91*$C$23)</f>
        <v>0</v>
      </c>
      <c r="F92" s="56">
        <f t="shared" si="28"/>
        <v>0</v>
      </c>
      <c r="G92" s="56">
        <f t="shared" si="28"/>
        <v>0</v>
      </c>
      <c r="H92" s="56">
        <f t="shared" si="28"/>
        <v>0</v>
      </c>
      <c r="I92" s="56">
        <f t="shared" si="28"/>
        <v>5940.840467029303</v>
      </c>
      <c r="J92" s="56">
        <f t="shared" si="28"/>
        <v>12918.282490380783</v>
      </c>
      <c r="K92" s="56">
        <f t="shared" si="28"/>
        <v>50244.596614899812</v>
      </c>
      <c r="L92" s="56">
        <f t="shared" si="28"/>
        <v>57937.226445644803</v>
      </c>
      <c r="M92" s="56">
        <f t="shared" si="28"/>
        <v>66014.487767927028</v>
      </c>
    </row>
    <row r="93" spans="1:20" x14ac:dyDescent="0.25">
      <c r="A93" s="54"/>
      <c r="B93" s="5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20" x14ac:dyDescent="0.25">
      <c r="A94" s="54"/>
      <c r="B94" s="53" t="s">
        <v>79</v>
      </c>
      <c r="C94" s="12"/>
      <c r="D94" s="55">
        <f>D89-D92</f>
        <v>69107.22668750002</v>
      </c>
      <c r="E94" s="55">
        <f t="shared" ref="E94:M94" si="29">E89-E92</f>
        <v>87330.588021875024</v>
      </c>
      <c r="F94" s="55">
        <f t="shared" si="29"/>
        <v>106465.11742296879</v>
      </c>
      <c r="G94" s="55">
        <f t="shared" si="29"/>
        <v>126556.37329411731</v>
      </c>
      <c r="H94" s="55">
        <f t="shared" si="29"/>
        <v>147652.19195882307</v>
      </c>
      <c r="I94" s="55">
        <f t="shared" si="29"/>
        <v>163861.96108973504</v>
      </c>
      <c r="J94" s="55">
        <f t="shared" si="29"/>
        <v>180142.65914422183</v>
      </c>
      <c r="K94" s="55">
        <f t="shared" si="29"/>
        <v>167237.3921014329</v>
      </c>
      <c r="L94" s="55">
        <f t="shared" si="29"/>
        <v>185186.86170650454</v>
      </c>
      <c r="M94" s="55">
        <f t="shared" si="29"/>
        <v>204033.80479182975</v>
      </c>
    </row>
    <row r="95" spans="1:20" x14ac:dyDescent="0.25">
      <c r="A95" s="54"/>
      <c r="B95" s="54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20" x14ac:dyDescent="0.25">
      <c r="A96" s="53" t="s">
        <v>80</v>
      </c>
      <c r="B96" s="5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 t="s">
        <v>81</v>
      </c>
      <c r="O96" s="9" t="s">
        <v>82</v>
      </c>
      <c r="P96" s="9" t="s">
        <v>83</v>
      </c>
    </row>
    <row r="97" spans="1:17" x14ac:dyDescent="0.25">
      <c r="A97" s="53"/>
      <c r="B97" s="54" t="s">
        <v>84</v>
      </c>
      <c r="C97" s="57">
        <f>-C11</f>
        <v>-1000000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58">
        <f>P97-O97</f>
        <v>300000</v>
      </c>
      <c r="O97" s="58">
        <f>C11</f>
        <v>1000000</v>
      </c>
      <c r="P97" s="58">
        <f>O97*Q97</f>
        <v>1300000</v>
      </c>
      <c r="Q97" s="59">
        <v>1.3</v>
      </c>
    </row>
    <row r="98" spans="1:17" x14ac:dyDescent="0.25">
      <c r="A98" s="53"/>
      <c r="B98" s="54" t="s">
        <v>85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7">
        <f>P97</f>
        <v>1300000</v>
      </c>
    </row>
    <row r="99" spans="1:17" x14ac:dyDescent="0.25">
      <c r="A99" s="54"/>
      <c r="B99" s="54" t="s">
        <v>86</v>
      </c>
      <c r="C99" s="57">
        <f>-C9-C10</f>
        <v>-2200000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58">
        <f>P99-O99</f>
        <v>-200000</v>
      </c>
      <c r="O99" s="58">
        <f>C9+C10-M69</f>
        <v>1000000</v>
      </c>
      <c r="P99" s="58">
        <f>O99*Q99</f>
        <v>800000</v>
      </c>
      <c r="Q99" s="59">
        <v>0.8</v>
      </c>
    </row>
    <row r="100" spans="1:17" x14ac:dyDescent="0.25">
      <c r="A100" s="54"/>
      <c r="B100" s="54" t="s">
        <v>87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57">
        <f>P99</f>
        <v>800000</v>
      </c>
    </row>
    <row r="101" spans="1:17" x14ac:dyDescent="0.25">
      <c r="A101" s="54"/>
      <c r="B101" s="54" t="s">
        <v>88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6">
        <f>-(N97+N99)*C23</f>
        <v>-30000</v>
      </c>
    </row>
    <row r="102" spans="1:17" x14ac:dyDescent="0.25">
      <c r="A102" s="54"/>
      <c r="B102" s="54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7" x14ac:dyDescent="0.25">
      <c r="A103" s="53" t="s">
        <v>89</v>
      </c>
      <c r="B103" s="5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7" x14ac:dyDescent="0.25">
      <c r="A104" s="54"/>
      <c r="B104" s="54" t="s">
        <v>47</v>
      </c>
      <c r="C104" s="12"/>
      <c r="D104" s="20">
        <f>-D63</f>
        <v>-17673.280479452056</v>
      </c>
      <c r="E104" s="20">
        <f>D63-E63</f>
        <v>-883.6640239726039</v>
      </c>
      <c r="F104" s="20">
        <f>E63-F63</f>
        <v>-927.84722517123009</v>
      </c>
      <c r="G104" s="20">
        <f t="shared" ref="G104:M104" si="30">F63-G63</f>
        <v>-974.23958642979778</v>
      </c>
      <c r="H104" s="20">
        <f t="shared" si="30"/>
        <v>-1022.9515657512857</v>
      </c>
      <c r="I104" s="20">
        <f t="shared" si="30"/>
        <v>-1074.0991440388498</v>
      </c>
      <c r="J104" s="20">
        <f t="shared" si="30"/>
        <v>-1127.8041012407921</v>
      </c>
      <c r="K104" s="20">
        <f t="shared" si="30"/>
        <v>-1184.1943063028302</v>
      </c>
      <c r="L104" s="20">
        <f t="shared" si="30"/>
        <v>-1243.4040216179746</v>
      </c>
      <c r="M104" s="20">
        <f t="shared" si="30"/>
        <v>-1305.5742226988696</v>
      </c>
    </row>
    <row r="105" spans="1:17" x14ac:dyDescent="0.25">
      <c r="A105" s="54"/>
      <c r="B105" s="54" t="s">
        <v>48</v>
      </c>
      <c r="C105" s="12"/>
      <c r="D105" s="60">
        <f>-D64</f>
        <v>-3092.82408390411</v>
      </c>
      <c r="E105" s="60">
        <f>D64-E64</f>
        <v>-154.64120419520486</v>
      </c>
      <c r="F105" s="60">
        <f t="shared" ref="F105:M105" si="31">E64-F64</f>
        <v>-162.37326440496599</v>
      </c>
      <c r="G105" s="60">
        <f t="shared" si="31"/>
        <v>-170.49192762521398</v>
      </c>
      <c r="H105" s="60">
        <f t="shared" si="31"/>
        <v>-179.01652400647481</v>
      </c>
      <c r="I105" s="60">
        <f t="shared" si="31"/>
        <v>-187.96735020679944</v>
      </c>
      <c r="J105" s="60">
        <f t="shared" si="31"/>
        <v>-197.36571771713761</v>
      </c>
      <c r="K105" s="60">
        <f t="shared" si="31"/>
        <v>-207.23400360299729</v>
      </c>
      <c r="L105" s="60">
        <f t="shared" si="31"/>
        <v>-217.59570378314402</v>
      </c>
      <c r="M105" s="60">
        <f t="shared" si="31"/>
        <v>-228.47548897230263</v>
      </c>
    </row>
    <row r="106" spans="1:17" x14ac:dyDescent="0.25">
      <c r="A106" s="54"/>
      <c r="B106" s="54" t="s">
        <v>60</v>
      </c>
      <c r="C106" s="12"/>
      <c r="D106" s="60">
        <f>D74</f>
        <v>12371.29633561644</v>
      </c>
      <c r="E106" s="60">
        <f>-D106+E74</f>
        <v>618.56481678081946</v>
      </c>
      <c r="F106" s="60">
        <f>-E106+F74</f>
        <v>13020.789393236304</v>
      </c>
      <c r="G106" s="60">
        <f t="shared" ref="G106:M106" si="32">-F106+G74</f>
        <v>1300.5325272816754</v>
      </c>
      <c r="H106" s="60">
        <f t="shared" si="32"/>
        <v>13736.855489262203</v>
      </c>
      <c r="I106" s="60">
        <f t="shared" si="32"/>
        <v>2052.4019281088731</v>
      </c>
      <c r="J106" s="60">
        <f t="shared" si="32"/>
        <v>14526.318360130754</v>
      </c>
      <c r="K106" s="60">
        <f t="shared" si="32"/>
        <v>2881.3379425208623</v>
      </c>
      <c r="L106" s="60">
        <f t="shared" si="32"/>
        <v>15396.70117526333</v>
      </c>
      <c r="M106" s="60">
        <f t="shared" si="32"/>
        <v>3795.2398984100728</v>
      </c>
    </row>
    <row r="107" spans="1:17" x14ac:dyDescent="0.25">
      <c r="A107" s="54"/>
      <c r="B107" s="54" t="s">
        <v>61</v>
      </c>
      <c r="C107" s="12"/>
      <c r="D107" s="20">
        <f>D92</f>
        <v>0</v>
      </c>
      <c r="E107" s="20">
        <f>E92-D92</f>
        <v>0</v>
      </c>
      <c r="F107" s="20">
        <f t="shared" ref="F107:M107" si="33">F92-E92</f>
        <v>0</v>
      </c>
      <c r="G107" s="20">
        <f t="shared" si="33"/>
        <v>0</v>
      </c>
      <c r="H107" s="20">
        <f t="shared" si="33"/>
        <v>0</v>
      </c>
      <c r="I107" s="20">
        <f t="shared" si="33"/>
        <v>5940.840467029303</v>
      </c>
      <c r="J107" s="20">
        <f t="shared" si="33"/>
        <v>6977.4420233514802</v>
      </c>
      <c r="K107" s="20">
        <f t="shared" si="33"/>
        <v>37326.314124519027</v>
      </c>
      <c r="L107" s="20">
        <f t="shared" si="33"/>
        <v>7692.6298307449906</v>
      </c>
      <c r="M107" s="20">
        <f t="shared" si="33"/>
        <v>8077.2613222822256</v>
      </c>
    </row>
    <row r="108" spans="1:17" x14ac:dyDescent="0.25">
      <c r="A108" s="54"/>
      <c r="B108" s="54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7" x14ac:dyDescent="0.25">
      <c r="A109" s="53" t="s">
        <v>90</v>
      </c>
      <c r="B109" s="54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7" x14ac:dyDescent="0.25">
      <c r="A110" s="54"/>
      <c r="B110" s="54" t="s">
        <v>47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20">
        <f>M63</f>
        <v>27417.05867667629</v>
      </c>
    </row>
    <row r="111" spans="1:17" x14ac:dyDescent="0.25">
      <c r="A111" s="54"/>
      <c r="B111" s="54" t="s">
        <v>48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20">
        <f>M64</f>
        <v>4797.9852684183506</v>
      </c>
    </row>
    <row r="112" spans="1:17" x14ac:dyDescent="0.25">
      <c r="A112" s="54"/>
      <c r="B112" s="54" t="s">
        <v>60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60">
        <f>-M74</f>
        <v>-19191.941073673403</v>
      </c>
    </row>
    <row r="113" spans="1:13" x14ac:dyDescent="0.25">
      <c r="A113" s="54"/>
      <c r="B113" s="54" t="s">
        <v>61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60">
        <f>-M92</f>
        <v>-66014.487767927028</v>
      </c>
    </row>
    <row r="114" spans="1:13" x14ac:dyDescent="0.25">
      <c r="A114" s="54"/>
      <c r="B114" s="5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x14ac:dyDescent="0.25">
      <c r="A115" s="53" t="s">
        <v>91</v>
      </c>
      <c r="B115" s="54"/>
      <c r="C115" s="61">
        <f t="shared" ref="C115:M115" si="34">SUM(C89:C113)</f>
        <v>-3200000</v>
      </c>
      <c r="D115" s="61">
        <f t="shared" si="34"/>
        <v>198926.87183476036</v>
      </c>
      <c r="E115" s="61">
        <f t="shared" si="34"/>
        <v>261572.02365423803</v>
      </c>
      <c r="F115" s="61">
        <f t="shared" si="34"/>
        <v>331325.92117256648</v>
      </c>
      <c r="G115" s="61">
        <f t="shared" si="34"/>
        <v>379824.92089557857</v>
      </c>
      <c r="H115" s="61">
        <f t="shared" si="34"/>
        <v>455491.46327597363</v>
      </c>
      <c r="I115" s="61">
        <f t="shared" si="34"/>
        <v>516139.58057118556</v>
      </c>
      <c r="J115" s="61">
        <f t="shared" si="34"/>
        <v>599361.41546833212</v>
      </c>
      <c r="K115" s="61">
        <f t="shared" si="34"/>
        <v>691262.18990613217</v>
      </c>
      <c r="L115" s="61">
        <f t="shared" si="34"/>
        <v>751000.59573705541</v>
      </c>
      <c r="M115" s="61">
        <f t="shared" si="34"/>
        <v>2837491.9442917858</v>
      </c>
    </row>
    <row r="116" spans="1:13" x14ac:dyDescent="0.25">
      <c r="A116" s="53" t="s">
        <v>92</v>
      </c>
      <c r="B116" s="54"/>
      <c r="C116" s="61">
        <f>-PV($C$118,C87,0,C115)</f>
        <v>-3200000</v>
      </c>
      <c r="D116" s="61">
        <f>-PV($C$118,D87,0,D115)</f>
        <v>184191.54799514846</v>
      </c>
      <c r="E116" s="61">
        <f>-PV($C$118,E87,0,E115)</f>
        <v>224255.85018367457</v>
      </c>
      <c r="F116" s="61">
        <f>-PV($C$118,F87,0,F115)</f>
        <v>263017.19851249049</v>
      </c>
      <c r="G116" s="61">
        <f>-PV($C$118,G87,0,G115)</f>
        <v>279182.65569430165</v>
      </c>
      <c r="H116" s="61">
        <f t="shared" ref="H116:M116" si="35">-PV($C$118,H87,0,H115)</f>
        <v>309999.83629794442</v>
      </c>
      <c r="I116" s="61">
        <f t="shared" si="35"/>
        <v>325255.48690814606</v>
      </c>
      <c r="J116" s="61">
        <f t="shared" si="35"/>
        <v>349721.62921648915</v>
      </c>
      <c r="K116" s="61">
        <f t="shared" si="35"/>
        <v>373467.45223897899</v>
      </c>
      <c r="L116" s="61">
        <f t="shared" si="35"/>
        <v>375687.27233257238</v>
      </c>
      <c r="M116" s="61">
        <f t="shared" si="35"/>
        <v>1314307.791088705</v>
      </c>
    </row>
    <row r="117" spans="1:13" x14ac:dyDescent="0.25">
      <c r="A117" s="54"/>
      <c r="B117" s="54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 x14ac:dyDescent="0.25">
      <c r="A118" s="54" t="s">
        <v>93</v>
      </c>
      <c r="B118" s="54"/>
      <c r="C118" s="62">
        <v>0.08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 x14ac:dyDescent="0.25">
      <c r="A119" s="53" t="s">
        <v>94</v>
      </c>
      <c r="B119" s="54"/>
      <c r="C119" s="57">
        <f>SUM(C116:M116)</f>
        <v>799086.7204684508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x14ac:dyDescent="0.25">
      <c r="A120" s="53" t="s">
        <v>95</v>
      </c>
      <c r="B120" s="54"/>
      <c r="C120" s="63">
        <f>IRR(C115:M115)</f>
        <v>0.11566993907770762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4" spans="1:13" x14ac:dyDescent="0.25">
      <c r="A124" s="65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 x14ac:dyDescent="0.25">
      <c r="A125" s="65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 ht="23.25" x14ac:dyDescent="0.35">
      <c r="A126" s="68" t="s">
        <v>96</v>
      </c>
      <c r="B126" s="6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5">
      <c r="A127" s="53" t="s">
        <v>91</v>
      </c>
      <c r="B127" s="54"/>
      <c r="C127" s="61">
        <f>C115</f>
        <v>-3200000</v>
      </c>
      <c r="D127" s="61">
        <f>D115*1.25</f>
        <v>248658.58979345043</v>
      </c>
      <c r="E127" s="61">
        <f t="shared" ref="E127:M127" si="36">E115*1.25</f>
        <v>326965.02956779755</v>
      </c>
      <c r="F127" s="61">
        <f t="shared" si="36"/>
        <v>414157.4014657081</v>
      </c>
      <c r="G127" s="61">
        <f t="shared" si="36"/>
        <v>474781.15111947322</v>
      </c>
      <c r="H127" s="61">
        <f t="shared" si="36"/>
        <v>569364.32909496699</v>
      </c>
      <c r="I127" s="61">
        <f t="shared" si="36"/>
        <v>645174.47571398201</v>
      </c>
      <c r="J127" s="61">
        <f t="shared" si="36"/>
        <v>749201.76933541521</v>
      </c>
      <c r="K127" s="61">
        <f t="shared" si="36"/>
        <v>864077.73738266528</v>
      </c>
      <c r="L127" s="61">
        <f t="shared" si="36"/>
        <v>938750.74467131926</v>
      </c>
      <c r="M127" s="61">
        <f t="shared" si="36"/>
        <v>3546864.9303647322</v>
      </c>
    </row>
    <row r="128" spans="1:13" x14ac:dyDescent="0.25">
      <c r="A128" s="53" t="s">
        <v>92</v>
      </c>
      <c r="B128" s="54"/>
      <c r="C128" s="61">
        <f>-PV($C$118,C87,0,C127)</f>
        <v>-3200000</v>
      </c>
      <c r="D128" s="61">
        <f t="shared" ref="D128:M128" si="37">-PV($C$118,D87,0,D127)</f>
        <v>230239.43499393557</v>
      </c>
      <c r="E128" s="61">
        <f t="shared" si="37"/>
        <v>280319.81272959319</v>
      </c>
      <c r="F128" s="61">
        <f t="shared" si="37"/>
        <v>328771.49814061314</v>
      </c>
      <c r="G128" s="61">
        <f t="shared" si="37"/>
        <v>348978.31961787702</v>
      </c>
      <c r="H128" s="61">
        <f t="shared" si="37"/>
        <v>387499.79537243053</v>
      </c>
      <c r="I128" s="61">
        <f t="shared" si="37"/>
        <v>406569.35863518267</v>
      </c>
      <c r="J128" s="61">
        <f t="shared" si="37"/>
        <v>437152.03652061144</v>
      </c>
      <c r="K128" s="61">
        <f t="shared" si="37"/>
        <v>466834.31529872376</v>
      </c>
      <c r="L128" s="61">
        <f t="shared" si="37"/>
        <v>469609.09041571547</v>
      </c>
      <c r="M128" s="61">
        <f t="shared" si="37"/>
        <v>1642884.738860881</v>
      </c>
    </row>
    <row r="129" spans="1:14" x14ac:dyDescent="0.25">
      <c r="A129" s="54"/>
      <c r="B129" s="54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4" x14ac:dyDescent="0.25">
      <c r="A130" s="54" t="s">
        <v>93</v>
      </c>
      <c r="B130" s="54"/>
      <c r="C130" s="62">
        <v>0.08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4" x14ac:dyDescent="0.25">
      <c r="A131" s="53" t="s">
        <v>94</v>
      </c>
      <c r="B131" s="54"/>
      <c r="C131" s="57">
        <f>SUM(C128:M128)</f>
        <v>1798858.4005855641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4" x14ac:dyDescent="0.25">
      <c r="A132" s="53" t="s">
        <v>95</v>
      </c>
      <c r="B132" s="54"/>
      <c r="C132" s="63">
        <f>IRR(C127:M127)</f>
        <v>0.15426184054664427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5" spans="1:14" x14ac:dyDescent="0.25">
      <c r="A135" s="69" t="s">
        <v>101</v>
      </c>
    </row>
    <row r="136" spans="1:14" x14ac:dyDescent="0.25">
      <c r="A136" t="s">
        <v>97</v>
      </c>
      <c r="H136" s="70">
        <v>-2250000</v>
      </c>
      <c r="I136" s="70"/>
      <c r="J136" s="70"/>
      <c r="K136" s="70"/>
      <c r="L136" s="70"/>
      <c r="M136" s="70"/>
    </row>
    <row r="137" spans="1:14" x14ac:dyDescent="0.25">
      <c r="A137" t="s">
        <v>74</v>
      </c>
      <c r="H137" s="70"/>
      <c r="I137" s="70">
        <v>300000</v>
      </c>
      <c r="J137" s="70">
        <f>I137+25000</f>
        <v>325000</v>
      </c>
      <c r="K137" s="70">
        <f t="shared" ref="K137:L137" si="38">J137+25000</f>
        <v>350000</v>
      </c>
      <c r="L137" s="70">
        <f t="shared" si="38"/>
        <v>375000</v>
      </c>
      <c r="M137" s="70">
        <f>L137+25000</f>
        <v>400000</v>
      </c>
    </row>
    <row r="138" spans="1:14" x14ac:dyDescent="0.25">
      <c r="A138" t="s">
        <v>98</v>
      </c>
      <c r="H138" s="70"/>
      <c r="I138" s="70"/>
      <c r="J138" s="70"/>
      <c r="K138" s="70"/>
      <c r="L138" s="70"/>
      <c r="M138" s="70">
        <v>2200000</v>
      </c>
    </row>
    <row r="139" spans="1:14" x14ac:dyDescent="0.25">
      <c r="A139" t="s">
        <v>99</v>
      </c>
      <c r="H139" s="70"/>
      <c r="I139" s="70">
        <f>-PV($S$83,I87,,I137)</f>
        <v>159044.655970369</v>
      </c>
      <c r="J139" s="70">
        <f t="shared" ref="J139:M139" si="39">-PV($S$83,J87,,J137)</f>
        <v>155005.63681960371</v>
      </c>
      <c r="K139" s="70">
        <f t="shared" si="39"/>
        <v>150175.29005860366</v>
      </c>
      <c r="L139" s="70">
        <f t="shared" si="39"/>
        <v>144753.14464888026</v>
      </c>
      <c r="M139" s="70">
        <f t="shared" si="39"/>
        <v>138906.64923264252</v>
      </c>
    </row>
    <row r="140" spans="1:14" x14ac:dyDescent="0.25">
      <c r="A140" t="s">
        <v>100</v>
      </c>
      <c r="H140" s="70"/>
      <c r="I140" s="70">
        <f>SUM(I139:M139)</f>
        <v>747885.37673009909</v>
      </c>
      <c r="J140" s="70"/>
      <c r="K140" s="70"/>
      <c r="L140" s="70"/>
      <c r="M140" s="70"/>
    </row>
    <row r="142" spans="1:14" x14ac:dyDescent="0.25">
      <c r="I142" s="74" t="s">
        <v>107</v>
      </c>
      <c r="J142" s="74" t="s">
        <v>106</v>
      </c>
      <c r="K142" s="74" t="s">
        <v>105</v>
      </c>
      <c r="L142" s="74" t="s">
        <v>104</v>
      </c>
      <c r="M142" s="74" t="s">
        <v>103</v>
      </c>
      <c r="N142" s="75" t="s">
        <v>102</v>
      </c>
    </row>
    <row r="143" spans="1:14" x14ac:dyDescent="0.25">
      <c r="I143" s="76">
        <f>I140</f>
        <v>747885.37673009909</v>
      </c>
      <c r="J143" s="76">
        <f>-H136</f>
        <v>2250000</v>
      </c>
      <c r="K143" s="74">
        <v>5</v>
      </c>
      <c r="L143" s="73">
        <v>0.3</v>
      </c>
      <c r="M143" s="72">
        <v>0.04</v>
      </c>
      <c r="N143" s="71">
        <f>(I143*(NORMSDIST((LN(I143/PV(M143,K143,,-J143))+(M143+((L143^2)/2)*K143))/(L143*SQRT(K143)))))-((NORMSDIST(((LN(I143/PV(M143,K143,,-J143))+(M143+((L143^2)/2)*K143))/(L143*SQRT(K143)))-(L143*SQRT(K143))))*PV(M143,K143,,-J143))</f>
        <v>30824.889345775431</v>
      </c>
    </row>
    <row r="145" spans="1:15" x14ac:dyDescent="0.25">
      <c r="A145" t="s">
        <v>111</v>
      </c>
      <c r="C145" s="77">
        <f>C131</f>
        <v>1798858.4005855641</v>
      </c>
    </row>
    <row r="146" spans="1:15" x14ac:dyDescent="0.25">
      <c r="A146" t="s">
        <v>108</v>
      </c>
      <c r="C146" s="77">
        <v>0</v>
      </c>
    </row>
    <row r="147" spans="1:15" x14ac:dyDescent="0.25">
      <c r="A147" t="s">
        <v>109</v>
      </c>
      <c r="C147" s="77">
        <f>N143</f>
        <v>30824.889345775431</v>
      </c>
    </row>
    <row r="148" spans="1:15" ht="15.75" thickBot="1" x14ac:dyDescent="0.3">
      <c r="A148" t="s">
        <v>110</v>
      </c>
      <c r="C148" s="78">
        <f>SUM(C145:C147)</f>
        <v>1829683.2899313394</v>
      </c>
    </row>
    <row r="149" spans="1:15" ht="15.75" thickTop="1" x14ac:dyDescent="0.25"/>
    <row r="151" spans="1:15" ht="23.25" x14ac:dyDescent="0.35">
      <c r="A151" s="68" t="s">
        <v>112</v>
      </c>
      <c r="D151">
        <v>1</v>
      </c>
      <c r="E151">
        <v>2</v>
      </c>
      <c r="F151">
        <v>3</v>
      </c>
      <c r="G151">
        <v>4</v>
      </c>
      <c r="H151">
        <v>5</v>
      </c>
    </row>
    <row r="152" spans="1:15" x14ac:dyDescent="0.25">
      <c r="A152" s="10" t="s">
        <v>39</v>
      </c>
      <c r="B152" s="10"/>
      <c r="C152" s="13"/>
      <c r="D152" s="18">
        <f>D52*2</f>
        <v>111485.12180568266</v>
      </c>
      <c r="E152" s="18">
        <f t="shared" ref="E152:H152" si="40">E52*2</f>
        <v>110310.19421057393</v>
      </c>
      <c r="F152" s="18">
        <f t="shared" si="40"/>
        <v>109050.33100461455</v>
      </c>
      <c r="G152" s="18">
        <f t="shared" si="40"/>
        <v>107699.39218562853</v>
      </c>
      <c r="H152" s="18">
        <f t="shared" si="40"/>
        <v>106250.79389018625</v>
      </c>
      <c r="I152" s="19"/>
      <c r="J152" s="19"/>
    </row>
    <row r="153" spans="1:15" x14ac:dyDescent="0.25">
      <c r="A153" s="10" t="s">
        <v>27</v>
      </c>
      <c r="B153" s="10"/>
      <c r="C153" s="13"/>
      <c r="D153" s="20">
        <f>D176*0.06</f>
        <v>76019.858051101415</v>
      </c>
      <c r="E153" s="20">
        <f t="shared" ref="E153:H153" si="41">E176*0.06</f>
        <v>75183.319577637609</v>
      </c>
      <c r="F153" s="20">
        <f t="shared" si="41"/>
        <v>74286.307670287759</v>
      </c>
      <c r="G153" s="20">
        <f t="shared" si="41"/>
        <v>73324.45069962657</v>
      </c>
      <c r="H153" s="20">
        <f t="shared" si="41"/>
        <v>72293.061010784164</v>
      </c>
      <c r="I153" s="21"/>
      <c r="J153" s="21"/>
    </row>
    <row r="155" spans="1:15" x14ac:dyDescent="0.25">
      <c r="A155" s="79" t="s">
        <v>43</v>
      </c>
      <c r="B155" s="80"/>
      <c r="C155" s="80"/>
      <c r="D155" s="80"/>
      <c r="E155" s="80"/>
      <c r="F155" s="80"/>
      <c r="G155" s="80"/>
      <c r="H155" s="80"/>
      <c r="I155" s="80"/>
      <c r="J155" s="80" t="s">
        <v>113</v>
      </c>
      <c r="K155" s="80" t="s">
        <v>114</v>
      </c>
      <c r="L155" s="80"/>
      <c r="M155" s="80"/>
      <c r="N155" s="80"/>
      <c r="O155" s="80"/>
    </row>
    <row r="156" spans="1:15" x14ac:dyDescent="0.25">
      <c r="A156" s="79" t="s">
        <v>44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1"/>
      <c r="O156" s="80"/>
    </row>
    <row r="157" spans="1:15" x14ac:dyDescent="0.25">
      <c r="A157" s="79" t="s">
        <v>45</v>
      </c>
      <c r="B157" s="80"/>
      <c r="C157" s="80"/>
      <c r="D157" s="81">
        <f t="shared" ref="D157:H157" si="42">D61</f>
        <v>3000</v>
      </c>
      <c r="E157" s="81">
        <f t="shared" si="42"/>
        <v>3000</v>
      </c>
      <c r="F157" s="81">
        <f t="shared" si="42"/>
        <v>3000</v>
      </c>
      <c r="G157" s="81">
        <f t="shared" si="42"/>
        <v>3000</v>
      </c>
      <c r="H157" s="81">
        <f t="shared" si="42"/>
        <v>3000</v>
      </c>
      <c r="I157" s="81"/>
      <c r="J157" s="80"/>
      <c r="K157" s="81">
        <f>H157</f>
        <v>3000</v>
      </c>
      <c r="L157" s="80"/>
      <c r="M157" s="80"/>
      <c r="N157" s="81"/>
      <c r="O157" s="80"/>
    </row>
    <row r="158" spans="1:15" x14ac:dyDescent="0.25">
      <c r="A158" s="79" t="s">
        <v>46</v>
      </c>
      <c r="B158" s="80"/>
      <c r="C158" s="80"/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/>
      <c r="J158" s="80"/>
      <c r="K158" s="81"/>
      <c r="L158" s="80"/>
      <c r="M158" s="80"/>
      <c r="N158" s="81"/>
      <c r="O158" s="80"/>
    </row>
    <row r="159" spans="1:15" x14ac:dyDescent="0.25">
      <c r="A159" s="79" t="s">
        <v>47</v>
      </c>
      <c r="B159" s="80"/>
      <c r="C159" s="80"/>
      <c r="D159" s="81">
        <v>7000</v>
      </c>
      <c r="E159" s="81">
        <v>7000</v>
      </c>
      <c r="F159" s="81">
        <v>7000</v>
      </c>
      <c r="G159" s="81">
        <v>7000</v>
      </c>
      <c r="H159" s="81">
        <v>7000</v>
      </c>
      <c r="I159" s="81"/>
      <c r="J159" s="80"/>
      <c r="K159" s="81">
        <f>H159*0.5</f>
        <v>3500</v>
      </c>
      <c r="L159" s="80"/>
      <c r="M159" s="80"/>
      <c r="N159" s="81"/>
      <c r="O159" s="80"/>
    </row>
    <row r="160" spans="1:15" x14ac:dyDescent="0.25">
      <c r="A160" s="79" t="s">
        <v>48</v>
      </c>
      <c r="B160" s="80"/>
      <c r="C160" s="80"/>
      <c r="D160" s="81">
        <v>1000</v>
      </c>
      <c r="E160" s="81">
        <v>1000</v>
      </c>
      <c r="F160" s="81">
        <v>1000</v>
      </c>
      <c r="G160" s="81">
        <v>1000</v>
      </c>
      <c r="H160" s="81">
        <v>1000</v>
      </c>
      <c r="I160" s="81"/>
      <c r="J160" s="80"/>
      <c r="K160" s="81">
        <f>H160*0.5</f>
        <v>500</v>
      </c>
      <c r="L160" s="80"/>
      <c r="M160" s="80"/>
      <c r="N160" s="81"/>
      <c r="O160" s="80"/>
    </row>
    <row r="161" spans="1:15" x14ac:dyDescent="0.25">
      <c r="A161" s="79"/>
      <c r="B161" s="80"/>
      <c r="C161" s="80"/>
      <c r="D161" s="81">
        <f t="shared" ref="D161:H161" si="43">D65</f>
        <v>0</v>
      </c>
      <c r="E161" s="81">
        <f t="shared" si="43"/>
        <v>0</v>
      </c>
      <c r="F161" s="81">
        <f t="shared" si="43"/>
        <v>0</v>
      </c>
      <c r="G161" s="81">
        <f t="shared" si="43"/>
        <v>0</v>
      </c>
      <c r="H161" s="81">
        <f t="shared" si="43"/>
        <v>0</v>
      </c>
      <c r="I161" s="81"/>
      <c r="J161" s="80"/>
      <c r="K161" s="80"/>
      <c r="L161" s="80"/>
      <c r="M161" s="80"/>
      <c r="N161" s="81"/>
      <c r="O161" s="80"/>
    </row>
    <row r="162" spans="1:15" x14ac:dyDescent="0.25">
      <c r="A162" s="79" t="s">
        <v>12</v>
      </c>
      <c r="B162" s="80"/>
      <c r="C162" s="80"/>
      <c r="D162" s="81">
        <f t="shared" ref="D162:H162" si="44">D66</f>
        <v>1000000</v>
      </c>
      <c r="E162" s="81">
        <f t="shared" si="44"/>
        <v>1000000</v>
      </c>
      <c r="F162" s="81">
        <f t="shared" si="44"/>
        <v>1000000</v>
      </c>
      <c r="G162" s="81">
        <f t="shared" si="44"/>
        <v>1000000</v>
      </c>
      <c r="H162" s="81">
        <f t="shared" si="44"/>
        <v>1000000</v>
      </c>
      <c r="I162" s="81"/>
      <c r="J162" s="81">
        <f>H162*0.4</f>
        <v>400000</v>
      </c>
      <c r="K162" s="80"/>
      <c r="L162" s="80"/>
      <c r="M162" s="80"/>
      <c r="N162" s="81"/>
      <c r="O162" s="80"/>
    </row>
    <row r="163" spans="1:15" x14ac:dyDescent="0.25">
      <c r="A163" s="79" t="s">
        <v>49</v>
      </c>
      <c r="B163" s="80"/>
      <c r="C163" s="80"/>
      <c r="D163" s="81">
        <f t="shared" ref="D163:H163" si="45">D67</f>
        <v>1500000</v>
      </c>
      <c r="E163" s="81">
        <f t="shared" si="45"/>
        <v>1500000</v>
      </c>
      <c r="F163" s="81">
        <f t="shared" si="45"/>
        <v>1500000</v>
      </c>
      <c r="G163" s="81">
        <f t="shared" si="45"/>
        <v>1500000</v>
      </c>
      <c r="H163" s="81">
        <f t="shared" si="45"/>
        <v>1500000</v>
      </c>
      <c r="I163" s="81"/>
      <c r="J163" s="81">
        <f>H163*0.4</f>
        <v>600000</v>
      </c>
      <c r="K163" s="80"/>
      <c r="L163" s="80"/>
      <c r="M163" s="80"/>
      <c r="N163" s="81"/>
      <c r="O163" s="80"/>
    </row>
    <row r="164" spans="1:15" x14ac:dyDescent="0.25">
      <c r="A164" s="79" t="s">
        <v>50</v>
      </c>
      <c r="B164" s="80"/>
      <c r="C164" s="80"/>
      <c r="D164" s="81">
        <f t="shared" ref="D164:H164" si="46">D68</f>
        <v>700000</v>
      </c>
      <c r="E164" s="81">
        <f t="shared" si="46"/>
        <v>700000</v>
      </c>
      <c r="F164" s="81">
        <f t="shared" si="46"/>
        <v>700000</v>
      </c>
      <c r="G164" s="81">
        <f t="shared" si="46"/>
        <v>700000</v>
      </c>
      <c r="H164" s="81">
        <f t="shared" si="46"/>
        <v>700000</v>
      </c>
      <c r="I164" s="81"/>
      <c r="J164" s="80"/>
      <c r="K164" s="81">
        <f>H164*0.5</f>
        <v>350000</v>
      </c>
      <c r="L164" s="80"/>
      <c r="M164" s="80"/>
      <c r="N164" s="81"/>
      <c r="O164" s="80"/>
    </row>
    <row r="165" spans="1:15" x14ac:dyDescent="0.25">
      <c r="A165" s="79" t="s">
        <v>51</v>
      </c>
      <c r="B165" s="80"/>
      <c r="C165" s="80"/>
      <c r="D165" s="81">
        <f t="shared" ref="D165:H165" si="47">D69</f>
        <v>150000</v>
      </c>
      <c r="E165" s="81">
        <f t="shared" si="47"/>
        <v>300000</v>
      </c>
      <c r="F165" s="81">
        <f t="shared" si="47"/>
        <v>450000</v>
      </c>
      <c r="G165" s="81">
        <f t="shared" si="47"/>
        <v>600000</v>
      </c>
      <c r="H165" s="81">
        <f t="shared" si="47"/>
        <v>750000</v>
      </c>
      <c r="I165" s="81"/>
      <c r="J165" s="80"/>
      <c r="K165" s="80"/>
      <c r="L165" s="80"/>
      <c r="M165" s="80"/>
      <c r="N165" s="81"/>
      <c r="O165" s="80"/>
    </row>
    <row r="166" spans="1:15" x14ac:dyDescent="0.25">
      <c r="A166" s="79"/>
      <c r="B166" s="80"/>
      <c r="C166" s="80"/>
      <c r="D166" s="81">
        <f t="shared" ref="D166:H166" si="48">D70</f>
        <v>0</v>
      </c>
      <c r="E166" s="81">
        <f t="shared" si="48"/>
        <v>0</v>
      </c>
      <c r="F166" s="81">
        <f t="shared" si="48"/>
        <v>0</v>
      </c>
      <c r="G166" s="81">
        <f t="shared" si="48"/>
        <v>0</v>
      </c>
      <c r="H166" s="81">
        <f t="shared" si="48"/>
        <v>0</v>
      </c>
      <c r="I166" s="81"/>
      <c r="J166" s="80"/>
      <c r="K166" s="80"/>
      <c r="L166" s="80"/>
      <c r="M166" s="80"/>
      <c r="N166" s="81"/>
      <c r="O166" s="80"/>
    </row>
    <row r="167" spans="1:15" x14ac:dyDescent="0.25">
      <c r="A167" s="79" t="s">
        <v>55</v>
      </c>
      <c r="B167" s="80"/>
      <c r="C167" s="80"/>
      <c r="D167" s="81">
        <f t="shared" ref="D167:H167" si="49">D71</f>
        <v>3167609.1045633564</v>
      </c>
      <c r="E167" s="81">
        <f t="shared" si="49"/>
        <v>3041689.4097915241</v>
      </c>
      <c r="F167" s="81">
        <f t="shared" si="49"/>
        <v>2934935.6302811</v>
      </c>
      <c r="G167" s="81">
        <f t="shared" si="49"/>
        <v>2848304.3617951553</v>
      </c>
      <c r="H167" s="81">
        <f t="shared" si="49"/>
        <v>2782803.3298849128</v>
      </c>
      <c r="I167" s="81"/>
      <c r="J167" s="80"/>
      <c r="K167" s="80"/>
      <c r="L167" s="80"/>
      <c r="M167" s="80"/>
      <c r="N167" s="81"/>
      <c r="O167" s="80"/>
    </row>
    <row r="168" spans="1:15" x14ac:dyDescent="0.25">
      <c r="A168" s="79"/>
      <c r="B168" s="80"/>
      <c r="C168" s="80"/>
      <c r="D168" s="81">
        <f t="shared" ref="D168:H168" si="50">D72</f>
        <v>0</v>
      </c>
      <c r="E168" s="81">
        <f t="shared" si="50"/>
        <v>0</v>
      </c>
      <c r="F168" s="81">
        <f t="shared" si="50"/>
        <v>0</v>
      </c>
      <c r="G168" s="81">
        <f t="shared" si="50"/>
        <v>0</v>
      </c>
      <c r="H168" s="81">
        <f t="shared" si="50"/>
        <v>0</v>
      </c>
      <c r="I168" s="81"/>
      <c r="J168" s="80"/>
      <c r="K168" s="80"/>
      <c r="L168" s="80"/>
      <c r="M168" s="80"/>
      <c r="N168" s="81"/>
      <c r="O168" s="80"/>
    </row>
    <row r="169" spans="1:15" x14ac:dyDescent="0.25">
      <c r="A169" s="79" t="s">
        <v>58</v>
      </c>
      <c r="B169" s="80"/>
      <c r="C169" s="80"/>
      <c r="D169" s="81">
        <f t="shared" ref="D169:H169" si="51">D73</f>
        <v>0</v>
      </c>
      <c r="E169" s="81">
        <f t="shared" si="51"/>
        <v>0</v>
      </c>
      <c r="F169" s="81">
        <f t="shared" si="51"/>
        <v>0</v>
      </c>
      <c r="G169" s="81">
        <f t="shared" si="51"/>
        <v>0</v>
      </c>
      <c r="H169" s="81">
        <f t="shared" si="51"/>
        <v>0</v>
      </c>
      <c r="I169" s="81"/>
      <c r="J169" s="80"/>
      <c r="K169" s="80"/>
      <c r="L169" s="80"/>
      <c r="M169" s="80"/>
      <c r="N169" s="81"/>
      <c r="O169" s="80"/>
    </row>
    <row r="170" spans="1:15" x14ac:dyDescent="0.25">
      <c r="A170" s="79" t="s">
        <v>60</v>
      </c>
      <c r="B170" s="80"/>
      <c r="C170" s="80"/>
      <c r="D170" s="81">
        <f>D74*4</f>
        <v>49485.18534246576</v>
      </c>
      <c r="E170" s="81">
        <f t="shared" ref="E170:H170" si="52">E74*4</f>
        <v>51959.444609589038</v>
      </c>
      <c r="F170" s="81">
        <f t="shared" si="52"/>
        <v>54557.416840068494</v>
      </c>
      <c r="G170" s="81">
        <f t="shared" si="52"/>
        <v>57285.287682071918</v>
      </c>
      <c r="H170" s="81">
        <f t="shared" si="52"/>
        <v>60149.552066175514</v>
      </c>
      <c r="I170" s="81"/>
      <c r="J170" s="99"/>
      <c r="K170" s="99">
        <f>-H170</f>
        <v>-60149.552066175514</v>
      </c>
      <c r="L170" s="80"/>
      <c r="M170" s="80"/>
      <c r="N170" s="81"/>
      <c r="O170" s="80"/>
    </row>
    <row r="171" spans="1:15" x14ac:dyDescent="0.25">
      <c r="A171" s="79" t="s">
        <v>61</v>
      </c>
      <c r="B171" s="80"/>
      <c r="C171" s="80"/>
      <c r="D171" s="81">
        <f t="shared" ref="D171:H171" si="53">D75</f>
        <v>0</v>
      </c>
      <c r="E171" s="81">
        <f t="shared" si="53"/>
        <v>0</v>
      </c>
      <c r="F171" s="81">
        <f t="shared" si="53"/>
        <v>0</v>
      </c>
      <c r="G171" s="81">
        <f t="shared" si="53"/>
        <v>0</v>
      </c>
      <c r="H171" s="81">
        <f t="shared" si="53"/>
        <v>0</v>
      </c>
      <c r="I171" s="81"/>
      <c r="J171" s="81">
        <f>SUM(J156:J169)-J170</f>
        <v>1000000</v>
      </c>
      <c r="K171" s="81">
        <f>SUM(K156:K170)</f>
        <v>296850.4479338245</v>
      </c>
      <c r="L171" s="80"/>
      <c r="M171" s="80"/>
      <c r="N171" s="81"/>
      <c r="O171" s="80"/>
    </row>
    <row r="172" spans="1:15" x14ac:dyDescent="0.25">
      <c r="A172" s="79"/>
      <c r="B172" s="80"/>
      <c r="C172" s="80"/>
      <c r="D172" s="81"/>
      <c r="E172" s="81"/>
      <c r="F172" s="81"/>
      <c r="G172" s="81"/>
      <c r="H172" s="81"/>
      <c r="I172" s="81"/>
      <c r="J172" s="81"/>
      <c r="K172" s="81"/>
      <c r="L172" s="80"/>
      <c r="M172" s="80"/>
      <c r="N172" s="81"/>
      <c r="O172" s="80"/>
    </row>
    <row r="173" spans="1:15" x14ac:dyDescent="0.25">
      <c r="A173" s="79"/>
      <c r="B173" s="80"/>
      <c r="C173" s="80"/>
      <c r="D173" s="81"/>
      <c r="E173" s="81"/>
      <c r="F173" s="81"/>
      <c r="G173" s="81"/>
      <c r="H173" s="81"/>
      <c r="I173" s="81"/>
      <c r="J173" s="81"/>
      <c r="K173" s="81"/>
      <c r="L173" s="80"/>
      <c r="M173" s="80"/>
      <c r="N173" s="81"/>
      <c r="O173" s="80"/>
    </row>
    <row r="174" spans="1:15" x14ac:dyDescent="0.25">
      <c r="A174" s="79"/>
      <c r="B174" s="80"/>
      <c r="C174" s="80"/>
      <c r="D174" s="81"/>
      <c r="E174" s="81"/>
      <c r="F174" s="81"/>
      <c r="G174" s="81"/>
      <c r="H174" s="81"/>
      <c r="I174" s="81"/>
      <c r="J174" s="80" t="s">
        <v>115</v>
      </c>
      <c r="K174" s="80"/>
      <c r="L174" s="80"/>
      <c r="M174" s="80"/>
      <c r="N174" s="80" t="s">
        <v>148</v>
      </c>
      <c r="O174" s="80" t="s">
        <v>149</v>
      </c>
    </row>
    <row r="175" spans="1:15" x14ac:dyDescent="0.25">
      <c r="A175" s="79" t="s">
        <v>67</v>
      </c>
      <c r="B175" s="80"/>
      <c r="C175" s="80"/>
      <c r="D175" s="81">
        <f>D77*2</f>
        <v>1583747.0427312795</v>
      </c>
      <c r="E175" s="81">
        <f t="shared" ref="E175:H175" si="54">E77*2</f>
        <v>1566319.1578674503</v>
      </c>
      <c r="F175" s="81">
        <f t="shared" si="54"/>
        <v>1547631.4097976617</v>
      </c>
      <c r="G175" s="81">
        <f t="shared" si="54"/>
        <v>1527592.7229088868</v>
      </c>
      <c r="H175" s="81">
        <f t="shared" si="54"/>
        <v>1506105.4377246699</v>
      </c>
      <c r="I175" s="81"/>
      <c r="J175" s="81">
        <f>H175</f>
        <v>1506105.4377246699</v>
      </c>
      <c r="K175" s="81">
        <f>J171</f>
        <v>1000000</v>
      </c>
      <c r="L175" s="100">
        <f>K175/(K175+J176)</f>
        <v>0.45353852682499324</v>
      </c>
      <c r="M175" s="81">
        <f>K171*L175</f>
        <v>134633.11484324612</v>
      </c>
      <c r="N175" s="101">
        <f>K175+M175</f>
        <v>1134633.1148432461</v>
      </c>
      <c r="O175" s="102">
        <f>N175/J175</f>
        <v>0.75335569902554689</v>
      </c>
    </row>
    <row r="176" spans="1:15" x14ac:dyDescent="0.25">
      <c r="A176" s="79" t="s">
        <v>68</v>
      </c>
      <c r="B176" s="80"/>
      <c r="C176" s="80"/>
      <c r="D176" s="81">
        <f>D175*0.8</f>
        <v>1266997.6341850236</v>
      </c>
      <c r="E176" s="81">
        <f t="shared" ref="E176:H176" si="55">E175*0.8</f>
        <v>1253055.3262939602</v>
      </c>
      <c r="F176" s="81">
        <f t="shared" si="55"/>
        <v>1238105.1278381294</v>
      </c>
      <c r="G176" s="81">
        <f t="shared" si="55"/>
        <v>1222074.1783271094</v>
      </c>
      <c r="H176" s="81">
        <f t="shared" si="55"/>
        <v>1204884.350179736</v>
      </c>
      <c r="I176" s="81"/>
      <c r="J176" s="81">
        <f>H176</f>
        <v>1204884.350179736</v>
      </c>
      <c r="K176" s="81"/>
      <c r="L176" s="100">
        <f>J176/(K175+J176)</f>
        <v>0.54646147317500671</v>
      </c>
      <c r="M176" s="81">
        <f>K171*L176</f>
        <v>162217.33309057835</v>
      </c>
      <c r="N176" s="101">
        <f>M176</f>
        <v>162217.33309057835</v>
      </c>
      <c r="O176" s="102">
        <f>N176/J176</f>
        <v>0.13463311484324611</v>
      </c>
    </row>
    <row r="177" spans="1:15" x14ac:dyDescent="0.25">
      <c r="A177" s="79"/>
      <c r="B177" s="80"/>
      <c r="C177" s="80"/>
      <c r="D177" s="81">
        <f t="shared" ref="D177:H177" si="56">D79</f>
        <v>0</v>
      </c>
      <c r="E177" s="81">
        <f t="shared" si="56"/>
        <v>0</v>
      </c>
      <c r="F177" s="81">
        <f t="shared" si="56"/>
        <v>0</v>
      </c>
      <c r="G177" s="81">
        <f t="shared" si="56"/>
        <v>0</v>
      </c>
      <c r="H177" s="81">
        <f t="shared" si="56"/>
        <v>0</v>
      </c>
      <c r="I177" s="81"/>
      <c r="J177" s="81"/>
      <c r="K177" s="81"/>
      <c r="L177" s="81"/>
      <c r="M177" s="81"/>
      <c r="N177" s="81"/>
      <c r="O177" s="80"/>
    </row>
    <row r="178" spans="1:15" x14ac:dyDescent="0.25">
      <c r="A178" s="79" t="s">
        <v>69</v>
      </c>
      <c r="B178" s="80"/>
      <c r="C178" s="80"/>
      <c r="D178" s="81">
        <f t="shared" ref="D178:H178" si="57">D80</f>
        <v>2500000</v>
      </c>
      <c r="E178" s="81">
        <f t="shared" si="57"/>
        <v>2500000</v>
      </c>
      <c r="F178" s="81">
        <f t="shared" si="57"/>
        <v>2500000</v>
      </c>
      <c r="G178" s="81">
        <f t="shared" si="57"/>
        <v>2500000</v>
      </c>
      <c r="H178" s="81">
        <f t="shared" si="57"/>
        <v>2500000</v>
      </c>
      <c r="I178" s="81"/>
      <c r="J178" s="81"/>
      <c r="K178" s="81"/>
      <c r="L178" s="81"/>
      <c r="M178" s="81"/>
      <c r="N178" s="81"/>
      <c r="O178" s="80"/>
    </row>
    <row r="179" spans="1:15" x14ac:dyDescent="0.25">
      <c r="A179" s="79" t="s">
        <v>70</v>
      </c>
      <c r="B179" s="80"/>
      <c r="C179" s="80"/>
      <c r="D179" s="81">
        <f t="shared" ref="D179:H179" si="58">D81</f>
        <v>-136635.33421534131</v>
      </c>
      <c r="E179" s="81">
        <f t="shared" si="58"/>
        <v>-254459.84329875326</v>
      </c>
      <c r="F179" s="81">
        <f t="shared" si="58"/>
        <v>-352519.89137809176</v>
      </c>
      <c r="G179" s="81">
        <f t="shared" si="58"/>
        <v>-429813.21417678869</v>
      </c>
      <c r="H179" s="81">
        <f t="shared" si="58"/>
        <v>-485286.41916305874</v>
      </c>
      <c r="I179" s="81"/>
      <c r="J179" s="81"/>
      <c r="K179" s="81"/>
      <c r="L179" s="81"/>
      <c r="M179" s="81"/>
      <c r="N179" s="81"/>
      <c r="O179" s="80"/>
    </row>
    <row r="180" spans="1:15" x14ac:dyDescent="0.25">
      <c r="A180" s="79"/>
      <c r="B180" s="80"/>
      <c r="C180" s="80"/>
      <c r="D180" s="81">
        <f t="shared" ref="D180:H180" si="59">D82</f>
        <v>0</v>
      </c>
      <c r="E180" s="81">
        <f t="shared" si="59"/>
        <v>0</v>
      </c>
      <c r="F180" s="81">
        <f t="shared" si="59"/>
        <v>0</v>
      </c>
      <c r="G180" s="81">
        <f t="shared" si="59"/>
        <v>0</v>
      </c>
      <c r="H180" s="81">
        <f t="shared" si="59"/>
        <v>0</v>
      </c>
      <c r="I180" s="81"/>
      <c r="J180" s="81"/>
      <c r="K180" s="81"/>
      <c r="L180" s="81"/>
      <c r="M180" s="81"/>
      <c r="N180" s="81"/>
      <c r="O180" s="80"/>
    </row>
    <row r="181" spans="1:15" x14ac:dyDescent="0.25">
      <c r="A181" s="79" t="s">
        <v>71</v>
      </c>
      <c r="B181" s="80"/>
      <c r="C181" s="80"/>
      <c r="D181" s="81">
        <f t="shared" ref="D181:H181" si="60">D83</f>
        <v>3167609.4834859148</v>
      </c>
      <c r="E181" s="81">
        <f t="shared" si="60"/>
        <v>3041689.5967873693</v>
      </c>
      <c r="F181" s="81">
        <f t="shared" si="60"/>
        <v>2934935.1677307561</v>
      </c>
      <c r="G181" s="81">
        <f t="shared" si="60"/>
        <v>2848304.4691981729</v>
      </c>
      <c r="H181" s="81">
        <f t="shared" si="60"/>
        <v>2782803.68771582</v>
      </c>
      <c r="I181" s="81"/>
      <c r="J181" s="81"/>
      <c r="K181" s="81"/>
      <c r="L181" s="81"/>
      <c r="M181" s="81"/>
      <c r="N181" s="81"/>
      <c r="O181" s="80"/>
    </row>
    <row r="185" spans="1:15" x14ac:dyDescent="0.25">
      <c r="A185" s="83" t="s">
        <v>20</v>
      </c>
      <c r="B185" s="83"/>
      <c r="C185" s="84"/>
      <c r="D185" s="84"/>
      <c r="E185" s="84"/>
      <c r="F185" s="84"/>
      <c r="G185" s="84"/>
      <c r="H185" s="84"/>
      <c r="I185" s="84"/>
      <c r="J185" s="9"/>
      <c r="K185" s="9"/>
      <c r="L185" s="9"/>
      <c r="M185" s="9"/>
    </row>
    <row r="186" spans="1:15" x14ac:dyDescent="0.25">
      <c r="A186" s="83"/>
      <c r="B186" s="83" t="s">
        <v>116</v>
      </c>
      <c r="C186" s="85">
        <f>-D175</f>
        <v>-1583747.0427312795</v>
      </c>
      <c r="D186" s="84"/>
      <c r="E186" s="84"/>
      <c r="F186" s="84"/>
      <c r="G186" s="84"/>
      <c r="H186" s="84"/>
      <c r="I186" s="85"/>
      <c r="J186" s="82"/>
      <c r="K186" s="82"/>
      <c r="L186" s="82"/>
      <c r="M186" s="82"/>
    </row>
    <row r="187" spans="1:15" x14ac:dyDescent="0.25">
      <c r="A187" s="83"/>
      <c r="B187" s="83" t="s">
        <v>117</v>
      </c>
      <c r="C187" s="84"/>
      <c r="D187" s="85">
        <f>D175-E175</f>
        <v>17427.88486382924</v>
      </c>
      <c r="E187" s="85">
        <f>E175-F175</f>
        <v>18687.748069788562</v>
      </c>
      <c r="F187" s="85">
        <f>F175-G175</f>
        <v>20038.686888774857</v>
      </c>
      <c r="G187" s="85">
        <f>G175-H175</f>
        <v>21487.285184216918</v>
      </c>
      <c r="H187" s="85"/>
      <c r="I187" s="85"/>
      <c r="J187" s="9"/>
      <c r="K187" s="9"/>
      <c r="L187" s="9"/>
      <c r="M187" s="9"/>
    </row>
    <row r="188" spans="1:15" x14ac:dyDescent="0.25">
      <c r="A188" s="83"/>
      <c r="B188" s="83" t="s">
        <v>118</v>
      </c>
      <c r="C188" s="84"/>
      <c r="D188" s="86">
        <f>D152</f>
        <v>111485.12180568266</v>
      </c>
      <c r="E188" s="86">
        <f t="shared" ref="E188:H188" si="61">E152</f>
        <v>110310.19421057393</v>
      </c>
      <c r="F188" s="86">
        <f t="shared" si="61"/>
        <v>109050.33100461455</v>
      </c>
      <c r="G188" s="86">
        <f t="shared" si="61"/>
        <v>107699.39218562853</v>
      </c>
      <c r="H188" s="86">
        <f t="shared" si="61"/>
        <v>106250.79389018625</v>
      </c>
      <c r="I188" s="86"/>
      <c r="J188" s="98"/>
      <c r="K188" s="98"/>
      <c r="L188" s="98"/>
      <c r="M188" s="98"/>
    </row>
    <row r="189" spans="1:15" x14ac:dyDescent="0.25">
      <c r="A189" s="83"/>
      <c r="B189" s="83"/>
      <c r="C189" s="84"/>
      <c r="D189" s="86"/>
      <c r="E189" s="86"/>
      <c r="F189" s="86"/>
      <c r="G189" s="86"/>
      <c r="H189" s="86">
        <f>N175</f>
        <v>1134633.1148432461</v>
      </c>
      <c r="I189" s="86"/>
      <c r="J189" s="98"/>
      <c r="K189" s="98"/>
      <c r="L189" s="98"/>
      <c r="M189" s="98"/>
    </row>
    <row r="190" spans="1:15" x14ac:dyDescent="0.25">
      <c r="A190" s="83"/>
      <c r="B190" s="83" t="s">
        <v>119</v>
      </c>
      <c r="C190" s="85">
        <f>SUM(C186:C189)</f>
        <v>-1583747.0427312795</v>
      </c>
      <c r="D190" s="85">
        <f t="shared" ref="D190:H190" si="62">SUM(D186:D189)</f>
        <v>128913.0066695119</v>
      </c>
      <c r="E190" s="85">
        <f t="shared" si="62"/>
        <v>128997.94228036249</v>
      </c>
      <c r="F190" s="85">
        <f t="shared" si="62"/>
        <v>129089.01789338941</v>
      </c>
      <c r="G190" s="85">
        <f t="shared" si="62"/>
        <v>129186.67736984545</v>
      </c>
      <c r="H190" s="85">
        <f t="shared" si="62"/>
        <v>1240883.9087334324</v>
      </c>
      <c r="I190" s="85"/>
      <c r="J190" s="82"/>
      <c r="K190" s="82"/>
      <c r="L190" s="82"/>
      <c r="M190" s="82"/>
    </row>
    <row r="191" spans="1:15" x14ac:dyDescent="0.25">
      <c r="A191" s="83"/>
      <c r="B191" s="83" t="s">
        <v>120</v>
      </c>
      <c r="C191" s="87">
        <f>IRR(C190:H190)</f>
        <v>2.476596701083067E-2</v>
      </c>
      <c r="D191" s="84"/>
      <c r="E191" s="7"/>
      <c r="F191" s="84"/>
      <c r="G191" s="84"/>
      <c r="H191" s="84"/>
      <c r="I191" s="84"/>
      <c r="J191" s="9"/>
      <c r="K191" s="9"/>
      <c r="L191" s="9"/>
      <c r="M191" s="9"/>
    </row>
    <row r="192" spans="1:15" x14ac:dyDescent="0.25">
      <c r="A192" s="83"/>
      <c r="B192" s="83"/>
      <c r="C192" s="88"/>
      <c r="D192" s="84"/>
      <c r="E192" s="84"/>
      <c r="F192" s="84"/>
      <c r="G192" s="84"/>
      <c r="H192" s="84"/>
      <c r="I192" s="84"/>
      <c r="J192" s="9"/>
      <c r="K192" s="9"/>
      <c r="L192" s="9"/>
      <c r="M192" s="9"/>
    </row>
    <row r="193" spans="1:13" x14ac:dyDescent="0.25">
      <c r="A193" s="83"/>
      <c r="B193" s="83"/>
      <c r="C193" s="84"/>
      <c r="D193" s="84"/>
      <c r="E193" s="84"/>
      <c r="F193" s="84"/>
      <c r="G193" s="84"/>
      <c r="H193" s="84"/>
      <c r="I193" s="84"/>
      <c r="J193" s="9"/>
      <c r="K193" s="9"/>
      <c r="L193" s="9"/>
      <c r="M193" s="9"/>
    </row>
    <row r="194" spans="1:13" x14ac:dyDescent="0.25">
      <c r="A194" s="83" t="s">
        <v>68</v>
      </c>
      <c r="B194" s="83"/>
      <c r="C194" s="84"/>
      <c r="D194" s="84"/>
      <c r="E194" s="84"/>
      <c r="F194" s="84"/>
      <c r="G194" s="84"/>
      <c r="H194" s="84"/>
      <c r="I194" s="84"/>
      <c r="J194" s="9"/>
      <c r="K194" s="9"/>
      <c r="L194" s="9"/>
      <c r="M194" s="9"/>
    </row>
    <row r="195" spans="1:13" x14ac:dyDescent="0.25">
      <c r="A195" s="83"/>
      <c r="B195" s="83" t="s">
        <v>116</v>
      </c>
      <c r="C195" s="85">
        <f>-D176</f>
        <v>-1266997.6341850236</v>
      </c>
      <c r="D195" s="84"/>
      <c r="E195" s="84"/>
      <c r="F195" s="84"/>
      <c r="G195" s="84"/>
      <c r="H195" s="84"/>
      <c r="I195" s="85"/>
      <c r="J195" s="82"/>
      <c r="K195" s="82"/>
      <c r="L195" s="82"/>
      <c r="M195" s="9"/>
    </row>
    <row r="196" spans="1:13" x14ac:dyDescent="0.25">
      <c r="A196" s="83"/>
      <c r="B196" s="83" t="s">
        <v>117</v>
      </c>
      <c r="C196" s="84"/>
      <c r="D196" s="85">
        <f>D176-E176</f>
        <v>13942.307891063392</v>
      </c>
      <c r="E196" s="85">
        <f>E176-F176</f>
        <v>14950.198455830803</v>
      </c>
      <c r="F196" s="85">
        <f>F176-G176</f>
        <v>16030.949511019979</v>
      </c>
      <c r="G196" s="85">
        <f>G176-H176</f>
        <v>17189.828147373395</v>
      </c>
      <c r="H196" s="85"/>
      <c r="I196" s="84"/>
      <c r="J196" s="9"/>
      <c r="K196" s="9"/>
      <c r="L196" s="9"/>
      <c r="M196" s="9"/>
    </row>
    <row r="197" spans="1:13" x14ac:dyDescent="0.25">
      <c r="A197" s="83"/>
      <c r="B197" s="83" t="s">
        <v>118</v>
      </c>
      <c r="C197" s="84"/>
      <c r="D197" s="89">
        <f>D153</f>
        <v>76019.858051101415</v>
      </c>
      <c r="E197" s="89">
        <f t="shared" ref="E197:G197" si="63">E153</f>
        <v>75183.319577637609</v>
      </c>
      <c r="F197" s="89">
        <f t="shared" si="63"/>
        <v>74286.307670287759</v>
      </c>
      <c r="G197" s="89">
        <f t="shared" si="63"/>
        <v>73324.45069962657</v>
      </c>
      <c r="H197" s="89"/>
      <c r="I197" s="89"/>
      <c r="J197" s="21"/>
      <c r="K197" s="21"/>
      <c r="L197" s="21"/>
      <c r="M197" s="21"/>
    </row>
    <row r="198" spans="1:13" x14ac:dyDescent="0.25">
      <c r="A198" s="83"/>
      <c r="B198" s="83"/>
      <c r="C198" s="84"/>
      <c r="D198" s="89"/>
      <c r="E198" s="89"/>
      <c r="F198" s="89"/>
      <c r="G198" s="89"/>
      <c r="H198" s="89">
        <f>N176</f>
        <v>162217.33309057835</v>
      </c>
      <c r="I198" s="89"/>
      <c r="J198" s="21"/>
      <c r="K198" s="21"/>
      <c r="L198" s="21"/>
      <c r="M198" s="21"/>
    </row>
    <row r="199" spans="1:13" x14ac:dyDescent="0.25">
      <c r="A199" s="83"/>
      <c r="B199" s="83" t="s">
        <v>119</v>
      </c>
      <c r="C199" s="85">
        <f>SUM(C195:C198)</f>
        <v>-1266997.6341850236</v>
      </c>
      <c r="D199" s="85">
        <f t="shared" ref="D199:H199" si="64">SUM(D195:D198)</f>
        <v>89962.165942164807</v>
      </c>
      <c r="E199" s="85">
        <f t="shared" si="64"/>
        <v>90133.518033468412</v>
      </c>
      <c r="F199" s="85">
        <f t="shared" si="64"/>
        <v>90317.257181307737</v>
      </c>
      <c r="G199" s="85">
        <f t="shared" si="64"/>
        <v>90514.278846999965</v>
      </c>
      <c r="H199" s="85">
        <f t="shared" si="64"/>
        <v>162217.33309057835</v>
      </c>
      <c r="I199" s="85"/>
      <c r="J199" s="82"/>
      <c r="K199" s="82"/>
      <c r="L199" s="82"/>
      <c r="M199" s="82"/>
    </row>
    <row r="200" spans="1:13" x14ac:dyDescent="0.25">
      <c r="A200" s="83"/>
      <c r="B200" s="83" t="s">
        <v>120</v>
      </c>
      <c r="C200" s="87">
        <f>IRR(C199:H199)</f>
        <v>-0.2211083239238244</v>
      </c>
      <c r="D200" s="84"/>
      <c r="E200" s="7"/>
      <c r="F200" s="84"/>
      <c r="G200" s="84"/>
      <c r="H200" s="84"/>
      <c r="I200" s="84"/>
      <c r="J200" s="9"/>
      <c r="K200" s="9"/>
      <c r="L200" s="9"/>
      <c r="M200" s="9"/>
    </row>
    <row r="201" spans="1:13" x14ac:dyDescent="0.25">
      <c r="A201" s="83"/>
      <c r="B201" s="83"/>
      <c r="C201" s="88"/>
      <c r="D201" s="84"/>
      <c r="E201" s="84"/>
      <c r="F201" s="84"/>
      <c r="G201" s="84"/>
      <c r="H201" s="84"/>
      <c r="I201" s="84"/>
      <c r="J201" s="9"/>
      <c r="K201" s="9"/>
      <c r="L201" s="9"/>
      <c r="M201" s="9"/>
    </row>
    <row r="1048575" spans="19:19" x14ac:dyDescent="0.25">
      <c r="S1048575" s="64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opLeftCell="A130" workbookViewId="0">
      <selection activeCell="B4" sqref="B4"/>
    </sheetView>
  </sheetViews>
  <sheetFormatPr defaultRowHeight="15" x14ac:dyDescent="0.25"/>
  <cols>
    <col min="2" max="2" width="10.5703125" bestFit="1" customWidth="1"/>
    <col min="5" max="5" width="10.85546875" bestFit="1" customWidth="1"/>
    <col min="6" max="6" width="9.85546875" bestFit="1" customWidth="1"/>
    <col min="7" max="7" width="11.85546875" bestFit="1" customWidth="1"/>
  </cols>
  <sheetData>
    <row r="1" spans="1:7" x14ac:dyDescent="0.25">
      <c r="A1" s="90" t="s">
        <v>99</v>
      </c>
      <c r="B1">
        <f>'Realistic Answer'!C20</f>
        <v>800000</v>
      </c>
    </row>
    <row r="2" spans="1:7" x14ac:dyDescent="0.25">
      <c r="A2" s="90" t="s">
        <v>121</v>
      </c>
      <c r="B2">
        <v>360</v>
      </c>
    </row>
    <row r="3" spans="1:7" x14ac:dyDescent="0.25">
      <c r="A3" s="90" t="s">
        <v>122</v>
      </c>
      <c r="B3">
        <f>'Realistic Answer'!C21/12</f>
        <v>5.8333333333333336E-3</v>
      </c>
    </row>
    <row r="4" spans="1:7" x14ac:dyDescent="0.25">
      <c r="A4" s="90" t="s">
        <v>123</v>
      </c>
      <c r="B4" s="91">
        <f>-PMT(B3,B2,B1)</f>
        <v>5322.4199614334657</v>
      </c>
    </row>
    <row r="5" spans="1:7" x14ac:dyDescent="0.25">
      <c r="C5" s="90" t="s">
        <v>124</v>
      </c>
      <c r="D5" s="90" t="s">
        <v>123</v>
      </c>
      <c r="E5" s="90" t="s">
        <v>125</v>
      </c>
    </row>
    <row r="6" spans="1:7" x14ac:dyDescent="0.25">
      <c r="A6" s="90">
        <v>1</v>
      </c>
      <c r="B6" s="92" t="s">
        <v>126</v>
      </c>
      <c r="C6">
        <f>B1</f>
        <v>800000</v>
      </c>
      <c r="D6" s="91">
        <f>$B$4</f>
        <v>5322.4199614334657</v>
      </c>
      <c r="E6" s="91">
        <f>C6*$B$3</f>
        <v>4666.666666666667</v>
      </c>
      <c r="F6" s="91">
        <f>D6-E6</f>
        <v>655.75329476679872</v>
      </c>
      <c r="G6" s="91">
        <f>C6-F6</f>
        <v>799344.24670523324</v>
      </c>
    </row>
    <row r="7" spans="1:7" x14ac:dyDescent="0.25">
      <c r="A7" s="90">
        <v>2</v>
      </c>
      <c r="B7" s="93" t="s">
        <v>127</v>
      </c>
      <c r="C7" s="91">
        <f>G6</f>
        <v>799344.24670523324</v>
      </c>
      <c r="D7" s="91">
        <f>$B$4</f>
        <v>5322.4199614334657</v>
      </c>
      <c r="E7" s="94">
        <f>C7*$B$3</f>
        <v>4662.8414391138604</v>
      </c>
      <c r="F7" s="94">
        <f>D7-E7</f>
        <v>659.57852231960533</v>
      </c>
      <c r="G7" s="94">
        <f>C7-F7</f>
        <v>798684.66818291368</v>
      </c>
    </row>
    <row r="8" spans="1:7" x14ac:dyDescent="0.25">
      <c r="A8" s="90">
        <v>3</v>
      </c>
      <c r="B8" s="93" t="s">
        <v>128</v>
      </c>
      <c r="C8" s="91">
        <f t="shared" ref="C8:C17" si="0">G7</f>
        <v>798684.66818291368</v>
      </c>
      <c r="D8" s="91">
        <f t="shared" ref="D8:D74" si="1">$B$4</f>
        <v>5322.4199614334657</v>
      </c>
      <c r="E8" s="94">
        <f t="shared" ref="E8:E17" si="2">C8*$B$3</f>
        <v>4658.9938977336633</v>
      </c>
      <c r="F8" s="94">
        <f t="shared" ref="F8:F17" si="3">D8-E8</f>
        <v>663.4260636998024</v>
      </c>
      <c r="G8" s="94">
        <f t="shared" ref="G8:G17" si="4">C8-F8</f>
        <v>798021.24211921392</v>
      </c>
    </row>
    <row r="9" spans="1:7" x14ac:dyDescent="0.25">
      <c r="A9" s="90">
        <v>4</v>
      </c>
      <c r="B9" s="93" t="s">
        <v>129</v>
      </c>
      <c r="C9" s="91">
        <f t="shared" si="0"/>
        <v>798021.24211921392</v>
      </c>
      <c r="D9" s="91">
        <f t="shared" si="1"/>
        <v>5322.4199614334657</v>
      </c>
      <c r="E9" s="94">
        <f t="shared" si="2"/>
        <v>4655.1239123620817</v>
      </c>
      <c r="F9" s="94">
        <f t="shared" si="3"/>
        <v>667.296049071384</v>
      </c>
      <c r="G9" s="94">
        <f t="shared" si="4"/>
        <v>797353.94607014256</v>
      </c>
    </row>
    <row r="10" spans="1:7" x14ac:dyDescent="0.25">
      <c r="A10" s="90">
        <v>5</v>
      </c>
      <c r="B10" s="93" t="s">
        <v>130</v>
      </c>
      <c r="C10" s="91">
        <f t="shared" si="0"/>
        <v>797353.94607014256</v>
      </c>
      <c r="D10" s="91">
        <f t="shared" si="1"/>
        <v>5322.4199614334657</v>
      </c>
      <c r="E10" s="94">
        <f t="shared" si="2"/>
        <v>4651.2313520758316</v>
      </c>
      <c r="F10" s="94">
        <f t="shared" si="3"/>
        <v>671.18860935763405</v>
      </c>
      <c r="G10" s="94">
        <f t="shared" si="4"/>
        <v>796682.75746078487</v>
      </c>
    </row>
    <row r="11" spans="1:7" x14ac:dyDescent="0.25">
      <c r="A11" s="90">
        <v>6</v>
      </c>
      <c r="B11" s="93" t="s">
        <v>131</v>
      </c>
      <c r="C11" s="91">
        <f t="shared" si="0"/>
        <v>796682.75746078487</v>
      </c>
      <c r="D11" s="91">
        <f t="shared" si="1"/>
        <v>5322.4199614334657</v>
      </c>
      <c r="E11" s="94">
        <f t="shared" si="2"/>
        <v>4647.316085187912</v>
      </c>
      <c r="F11" s="94">
        <f t="shared" si="3"/>
        <v>675.10387624555369</v>
      </c>
      <c r="G11" s="94">
        <f t="shared" si="4"/>
        <v>796007.65358453931</v>
      </c>
    </row>
    <row r="12" spans="1:7" x14ac:dyDescent="0.25">
      <c r="A12" s="90">
        <v>7</v>
      </c>
      <c r="B12" s="93" t="s">
        <v>132</v>
      </c>
      <c r="C12" s="91">
        <f t="shared" si="0"/>
        <v>796007.65358453931</v>
      </c>
      <c r="D12" s="91">
        <f t="shared" si="1"/>
        <v>5322.4199614334657</v>
      </c>
      <c r="E12" s="94">
        <f t="shared" si="2"/>
        <v>4643.377979243146</v>
      </c>
      <c r="F12" s="94">
        <f t="shared" si="3"/>
        <v>679.04198219031969</v>
      </c>
      <c r="G12" s="94">
        <f t="shared" si="4"/>
        <v>795328.61160234897</v>
      </c>
    </row>
    <row r="13" spans="1:7" x14ac:dyDescent="0.25">
      <c r="A13" s="90">
        <v>8</v>
      </c>
      <c r="B13" s="93" t="s">
        <v>133</v>
      </c>
      <c r="C13" s="91">
        <f t="shared" si="0"/>
        <v>795328.61160234897</v>
      </c>
      <c r="D13" s="91">
        <f t="shared" si="1"/>
        <v>5322.4199614334657</v>
      </c>
      <c r="E13" s="94">
        <f t="shared" si="2"/>
        <v>4639.416901013703</v>
      </c>
      <c r="F13" s="94">
        <f t="shared" si="3"/>
        <v>683.00306041976273</v>
      </c>
      <c r="G13" s="94">
        <f t="shared" si="4"/>
        <v>794645.60854192916</v>
      </c>
    </row>
    <row r="14" spans="1:7" x14ac:dyDescent="0.25">
      <c r="A14" s="90">
        <v>9</v>
      </c>
      <c r="B14" s="93" t="s">
        <v>134</v>
      </c>
      <c r="C14" s="91">
        <f t="shared" si="0"/>
        <v>794645.60854192916</v>
      </c>
      <c r="D14" s="91">
        <f t="shared" si="1"/>
        <v>5322.4199614334657</v>
      </c>
      <c r="E14" s="94">
        <f t="shared" si="2"/>
        <v>4635.4327164945871</v>
      </c>
      <c r="F14" s="94">
        <f t="shared" si="3"/>
        <v>686.98724493887858</v>
      </c>
      <c r="G14" s="94">
        <f t="shared" si="4"/>
        <v>793958.62129699031</v>
      </c>
    </row>
    <row r="15" spans="1:7" x14ac:dyDescent="0.25">
      <c r="A15" s="90">
        <v>10</v>
      </c>
      <c r="B15" s="93" t="s">
        <v>135</v>
      </c>
      <c r="C15" s="91">
        <f t="shared" si="0"/>
        <v>793958.62129699031</v>
      </c>
      <c r="D15" s="91">
        <f t="shared" si="1"/>
        <v>5322.4199614334657</v>
      </c>
      <c r="E15" s="94">
        <f t="shared" si="2"/>
        <v>4631.4252908991102</v>
      </c>
      <c r="F15" s="94">
        <f t="shared" si="3"/>
        <v>690.99467053435546</v>
      </c>
      <c r="G15" s="94">
        <f t="shared" si="4"/>
        <v>793267.62662645592</v>
      </c>
    </row>
    <row r="16" spans="1:7" x14ac:dyDescent="0.25">
      <c r="A16" s="90">
        <v>11</v>
      </c>
      <c r="B16" s="93" t="s">
        <v>136</v>
      </c>
      <c r="C16" s="91">
        <f t="shared" si="0"/>
        <v>793267.62662645592</v>
      </c>
      <c r="D16" s="91">
        <f t="shared" si="1"/>
        <v>5322.4199614334657</v>
      </c>
      <c r="E16" s="94">
        <f t="shared" si="2"/>
        <v>4627.3944886543268</v>
      </c>
      <c r="F16" s="94">
        <f t="shared" si="3"/>
        <v>695.02547277913891</v>
      </c>
      <c r="G16" s="94">
        <f t="shared" si="4"/>
        <v>792572.60115367675</v>
      </c>
    </row>
    <row r="17" spans="1:7" x14ac:dyDescent="0.25">
      <c r="A17" s="90">
        <v>12</v>
      </c>
      <c r="B17" s="93" t="s">
        <v>137</v>
      </c>
      <c r="C17" s="91">
        <f t="shared" si="0"/>
        <v>792572.60115367675</v>
      </c>
      <c r="D17" s="91">
        <f t="shared" si="1"/>
        <v>5322.4199614334657</v>
      </c>
      <c r="E17" s="94">
        <f t="shared" si="2"/>
        <v>4623.3401733964483</v>
      </c>
      <c r="F17" s="94">
        <f t="shared" si="3"/>
        <v>699.07978803701735</v>
      </c>
      <c r="G17" s="94">
        <f t="shared" si="4"/>
        <v>791873.52136563975</v>
      </c>
    </row>
    <row r="18" spans="1:7" x14ac:dyDescent="0.25">
      <c r="A18" s="95"/>
      <c r="B18" s="96" t="s">
        <v>138</v>
      </c>
      <c r="E18" s="91">
        <f>SUM(E6:E17)</f>
        <v>55742.560902841331</v>
      </c>
    </row>
    <row r="19" spans="1:7" x14ac:dyDescent="0.25">
      <c r="A19" s="95"/>
      <c r="B19" s="93"/>
    </row>
    <row r="20" spans="1:7" x14ac:dyDescent="0.25">
      <c r="A20" s="90">
        <v>13</v>
      </c>
      <c r="B20" s="93" t="s">
        <v>139</v>
      </c>
      <c r="C20" s="91">
        <f>G17</f>
        <v>791873.52136563975</v>
      </c>
      <c r="D20" s="91">
        <f t="shared" si="1"/>
        <v>5322.4199614334657</v>
      </c>
      <c r="E20" s="94">
        <f t="shared" ref="E20:E31" si="5">C20*$B$3</f>
        <v>4619.2622079662324</v>
      </c>
      <c r="F20" s="94">
        <f t="shared" ref="F20:F31" si="6">D20-E20</f>
        <v>703.15775346723331</v>
      </c>
      <c r="G20" s="94">
        <f t="shared" ref="G20:G31" si="7">C20-F20</f>
        <v>791170.36361217254</v>
      </c>
    </row>
    <row r="21" spans="1:7" x14ac:dyDescent="0.25">
      <c r="A21" s="90">
        <v>14</v>
      </c>
      <c r="B21" s="93"/>
      <c r="C21" s="91">
        <f t="shared" ref="C21:C31" si="8">G20</f>
        <v>791170.36361217254</v>
      </c>
      <c r="D21" s="91">
        <f t="shared" si="1"/>
        <v>5322.4199614334657</v>
      </c>
      <c r="E21" s="94">
        <f t="shared" si="5"/>
        <v>4615.1604544043403</v>
      </c>
      <c r="F21" s="94">
        <f t="shared" si="6"/>
        <v>707.25950702912542</v>
      </c>
      <c r="G21" s="94">
        <f t="shared" si="7"/>
        <v>790463.10410514346</v>
      </c>
    </row>
    <row r="22" spans="1:7" x14ac:dyDescent="0.25">
      <c r="A22" s="90">
        <v>15</v>
      </c>
      <c r="B22" s="93"/>
      <c r="C22" s="91">
        <f t="shared" si="8"/>
        <v>790463.10410514346</v>
      </c>
      <c r="D22" s="91">
        <f t="shared" si="1"/>
        <v>5322.4199614334657</v>
      </c>
      <c r="E22" s="94">
        <f t="shared" si="5"/>
        <v>4611.0347739466706</v>
      </c>
      <c r="F22" s="94">
        <f t="shared" si="6"/>
        <v>711.38518748679508</v>
      </c>
      <c r="G22" s="94">
        <f t="shared" si="7"/>
        <v>789751.71891765669</v>
      </c>
    </row>
    <row r="23" spans="1:7" x14ac:dyDescent="0.25">
      <c r="A23" s="90">
        <v>16</v>
      </c>
      <c r="B23" s="93"/>
      <c r="C23" s="91">
        <f t="shared" si="8"/>
        <v>789751.71891765669</v>
      </c>
      <c r="D23" s="91">
        <f t="shared" si="1"/>
        <v>5322.4199614334657</v>
      </c>
      <c r="E23" s="94">
        <f t="shared" si="5"/>
        <v>4606.8850270196644</v>
      </c>
      <c r="F23" s="94">
        <f t="shared" si="6"/>
        <v>715.53493441380124</v>
      </c>
      <c r="G23" s="94">
        <f t="shared" si="7"/>
        <v>789036.18398324284</v>
      </c>
    </row>
    <row r="24" spans="1:7" x14ac:dyDescent="0.25">
      <c r="A24" s="90">
        <v>17</v>
      </c>
      <c r="B24" s="93"/>
      <c r="C24" s="91">
        <f t="shared" si="8"/>
        <v>789036.18398324284</v>
      </c>
      <c r="D24" s="91">
        <f t="shared" si="1"/>
        <v>5322.4199614334657</v>
      </c>
      <c r="E24" s="94">
        <f t="shared" si="5"/>
        <v>4602.7110732355832</v>
      </c>
      <c r="F24" s="94">
        <f t="shared" si="6"/>
        <v>719.70888819788252</v>
      </c>
      <c r="G24" s="94">
        <f t="shared" si="7"/>
        <v>788316.47509504494</v>
      </c>
    </row>
    <row r="25" spans="1:7" x14ac:dyDescent="0.25">
      <c r="A25" s="90">
        <v>18</v>
      </c>
      <c r="B25" s="93"/>
      <c r="C25" s="91">
        <f t="shared" si="8"/>
        <v>788316.47509504494</v>
      </c>
      <c r="D25" s="91">
        <f t="shared" si="1"/>
        <v>5322.4199614334657</v>
      </c>
      <c r="E25" s="94">
        <f t="shared" si="5"/>
        <v>4598.5127713877628</v>
      </c>
      <c r="F25" s="94">
        <f t="shared" si="6"/>
        <v>723.90719004570292</v>
      </c>
      <c r="G25" s="94">
        <f t="shared" si="7"/>
        <v>787592.56790499925</v>
      </c>
    </row>
    <row r="26" spans="1:7" x14ac:dyDescent="0.25">
      <c r="A26" s="90">
        <v>19</v>
      </c>
      <c r="B26" s="93"/>
      <c r="C26" s="91">
        <f t="shared" si="8"/>
        <v>787592.56790499925</v>
      </c>
      <c r="D26" s="91">
        <f t="shared" si="1"/>
        <v>5322.4199614334657</v>
      </c>
      <c r="E26" s="94">
        <f t="shared" si="5"/>
        <v>4594.289979445829</v>
      </c>
      <c r="F26" s="94">
        <f t="shared" si="6"/>
        <v>728.12998198763671</v>
      </c>
      <c r="G26" s="94">
        <f t="shared" si="7"/>
        <v>786864.4379230116</v>
      </c>
    </row>
    <row r="27" spans="1:7" x14ac:dyDescent="0.25">
      <c r="A27" s="90">
        <v>20</v>
      </c>
      <c r="B27" s="93"/>
      <c r="C27" s="91">
        <f t="shared" si="8"/>
        <v>786864.4379230116</v>
      </c>
      <c r="D27" s="91">
        <f t="shared" si="1"/>
        <v>5322.4199614334657</v>
      </c>
      <c r="E27" s="94">
        <f t="shared" si="5"/>
        <v>4590.0425545509015</v>
      </c>
      <c r="F27" s="94">
        <f t="shared" si="6"/>
        <v>732.37740688256417</v>
      </c>
      <c r="G27" s="94">
        <f t="shared" si="7"/>
        <v>786132.06051612902</v>
      </c>
    </row>
    <row r="28" spans="1:7" x14ac:dyDescent="0.25">
      <c r="A28" s="90">
        <v>21</v>
      </c>
      <c r="B28" s="93"/>
      <c r="C28" s="91">
        <f t="shared" si="8"/>
        <v>786132.06051612902</v>
      </c>
      <c r="D28" s="91">
        <f t="shared" si="1"/>
        <v>5322.4199614334657</v>
      </c>
      <c r="E28" s="94">
        <f t="shared" si="5"/>
        <v>4585.7703530107528</v>
      </c>
      <c r="F28" s="94">
        <f t="shared" si="6"/>
        <v>736.64960842271284</v>
      </c>
      <c r="G28" s="94">
        <f t="shared" si="7"/>
        <v>785395.41090770625</v>
      </c>
    </row>
    <row r="29" spans="1:7" x14ac:dyDescent="0.25">
      <c r="A29" s="90">
        <v>22</v>
      </c>
      <c r="B29" s="93"/>
      <c r="C29" s="91">
        <f t="shared" si="8"/>
        <v>785395.41090770625</v>
      </c>
      <c r="D29" s="91">
        <f t="shared" si="1"/>
        <v>5322.4199614334657</v>
      </c>
      <c r="E29" s="94">
        <f t="shared" si="5"/>
        <v>4581.4732302949533</v>
      </c>
      <c r="F29" s="94">
        <f t="shared" si="6"/>
        <v>740.9467311385124</v>
      </c>
      <c r="G29" s="94">
        <f t="shared" si="7"/>
        <v>784654.46417656774</v>
      </c>
    </row>
    <row r="30" spans="1:7" x14ac:dyDescent="0.25">
      <c r="A30" s="90">
        <v>23</v>
      </c>
      <c r="B30" s="93"/>
      <c r="C30" s="91">
        <f t="shared" si="8"/>
        <v>784654.46417656774</v>
      </c>
      <c r="D30" s="91">
        <f t="shared" si="1"/>
        <v>5322.4199614334657</v>
      </c>
      <c r="E30" s="94">
        <f t="shared" si="5"/>
        <v>4577.1510410299788</v>
      </c>
      <c r="F30" s="94">
        <f t="shared" si="6"/>
        <v>745.26892040348685</v>
      </c>
      <c r="G30" s="94">
        <f t="shared" si="7"/>
        <v>783909.1952561643</v>
      </c>
    </row>
    <row r="31" spans="1:7" x14ac:dyDescent="0.25">
      <c r="A31" s="90">
        <v>24</v>
      </c>
      <c r="B31" s="93"/>
      <c r="C31" s="91">
        <f t="shared" si="8"/>
        <v>783909.1952561643</v>
      </c>
      <c r="D31" s="91">
        <f t="shared" si="1"/>
        <v>5322.4199614334657</v>
      </c>
      <c r="E31" s="94">
        <f t="shared" si="5"/>
        <v>4572.8036389942918</v>
      </c>
      <c r="F31" s="94">
        <f t="shared" si="6"/>
        <v>749.61632243917393</v>
      </c>
      <c r="G31" s="94">
        <f t="shared" si="7"/>
        <v>783159.57893372513</v>
      </c>
    </row>
    <row r="32" spans="1:7" x14ac:dyDescent="0.25">
      <c r="A32" s="95"/>
      <c r="B32" s="96" t="s">
        <v>138</v>
      </c>
      <c r="E32" s="91">
        <f>SUM(E20:E31)</f>
        <v>55155.097105286965</v>
      </c>
    </row>
    <row r="33" spans="1:7" x14ac:dyDescent="0.25">
      <c r="A33" s="95"/>
      <c r="B33" s="93"/>
    </row>
    <row r="34" spans="1:7" x14ac:dyDescent="0.25">
      <c r="A34" s="90">
        <v>25</v>
      </c>
      <c r="B34" s="93" t="s">
        <v>140</v>
      </c>
      <c r="C34" s="91">
        <f>G31</f>
        <v>783159.57893372513</v>
      </c>
      <c r="D34" s="91">
        <f t="shared" si="1"/>
        <v>5322.4199614334657</v>
      </c>
      <c r="E34" s="94">
        <f t="shared" ref="E34:E45" si="9">C34*$B$3</f>
        <v>4568.4308771133965</v>
      </c>
      <c r="F34" s="94">
        <f t="shared" ref="F34:F45" si="10">D34-E34</f>
        <v>753.9890843200692</v>
      </c>
      <c r="G34" s="94">
        <f t="shared" ref="G34:G45" si="11">C34-F34</f>
        <v>782405.58984940511</v>
      </c>
    </row>
    <row r="35" spans="1:7" x14ac:dyDescent="0.25">
      <c r="A35" s="90">
        <v>26</v>
      </c>
      <c r="B35" s="93"/>
      <c r="C35" s="91">
        <f t="shared" ref="C35:C45" si="12">G34</f>
        <v>782405.58984940511</v>
      </c>
      <c r="D35" s="91">
        <f t="shared" si="1"/>
        <v>5322.4199614334657</v>
      </c>
      <c r="E35" s="94">
        <f t="shared" si="9"/>
        <v>4564.032607454863</v>
      </c>
      <c r="F35" s="94">
        <f t="shared" si="10"/>
        <v>758.38735397860273</v>
      </c>
      <c r="G35" s="94">
        <f t="shared" si="11"/>
        <v>781647.20249542652</v>
      </c>
    </row>
    <row r="36" spans="1:7" x14ac:dyDescent="0.25">
      <c r="A36" s="90">
        <v>27</v>
      </c>
      <c r="B36" s="93"/>
      <c r="C36" s="91">
        <f t="shared" si="12"/>
        <v>781647.20249542652</v>
      </c>
      <c r="D36" s="91">
        <f t="shared" si="1"/>
        <v>5322.4199614334657</v>
      </c>
      <c r="E36" s="94">
        <f t="shared" si="9"/>
        <v>4559.6086812233216</v>
      </c>
      <c r="F36" s="94">
        <f t="shared" si="10"/>
        <v>762.8112802101441</v>
      </c>
      <c r="G36" s="94">
        <f t="shared" si="11"/>
        <v>780884.39121521637</v>
      </c>
    </row>
    <row r="37" spans="1:7" x14ac:dyDescent="0.25">
      <c r="A37" s="90">
        <v>28</v>
      </c>
      <c r="B37" s="93"/>
      <c r="C37" s="91">
        <f t="shared" si="12"/>
        <v>780884.39121521637</v>
      </c>
      <c r="D37" s="91">
        <f t="shared" si="1"/>
        <v>5322.4199614334657</v>
      </c>
      <c r="E37" s="94">
        <f t="shared" si="9"/>
        <v>4555.1589487554293</v>
      </c>
      <c r="F37" s="94">
        <f t="shared" si="10"/>
        <v>767.26101267803642</v>
      </c>
      <c r="G37" s="94">
        <f t="shared" si="11"/>
        <v>780117.13020253833</v>
      </c>
    </row>
    <row r="38" spans="1:7" x14ac:dyDescent="0.25">
      <c r="A38" s="90">
        <v>29</v>
      </c>
      <c r="B38" s="93"/>
      <c r="C38" s="91">
        <f t="shared" si="12"/>
        <v>780117.13020253833</v>
      </c>
      <c r="D38" s="91">
        <f t="shared" si="1"/>
        <v>5322.4199614334657</v>
      </c>
      <c r="E38" s="94">
        <f t="shared" si="9"/>
        <v>4550.6832595148071</v>
      </c>
      <c r="F38" s="94">
        <f t="shared" si="10"/>
        <v>771.73670191865858</v>
      </c>
      <c r="G38" s="94">
        <f t="shared" si="11"/>
        <v>779345.39350061968</v>
      </c>
    </row>
    <row r="39" spans="1:7" x14ac:dyDescent="0.25">
      <c r="A39" s="90">
        <v>30</v>
      </c>
      <c r="B39" s="93"/>
      <c r="C39" s="91">
        <f t="shared" si="12"/>
        <v>779345.39350061968</v>
      </c>
      <c r="D39" s="91">
        <f t="shared" si="1"/>
        <v>5322.4199614334657</v>
      </c>
      <c r="E39" s="94">
        <f t="shared" si="9"/>
        <v>4546.1814620869482</v>
      </c>
      <c r="F39" s="94">
        <f t="shared" si="10"/>
        <v>776.23849934651753</v>
      </c>
      <c r="G39" s="94">
        <f t="shared" si="11"/>
        <v>778569.15500127315</v>
      </c>
    </row>
    <row r="40" spans="1:7" x14ac:dyDescent="0.25">
      <c r="A40" s="90">
        <v>31</v>
      </c>
      <c r="B40" s="93"/>
      <c r="C40" s="91">
        <f t="shared" si="12"/>
        <v>778569.15500127315</v>
      </c>
      <c r="D40" s="91">
        <f t="shared" si="1"/>
        <v>5322.4199614334657</v>
      </c>
      <c r="E40" s="94">
        <f t="shared" si="9"/>
        <v>4541.6534041740933</v>
      </c>
      <c r="F40" s="94">
        <f t="shared" si="10"/>
        <v>780.76655725937235</v>
      </c>
      <c r="G40" s="94">
        <f t="shared" si="11"/>
        <v>777788.38844401378</v>
      </c>
    </row>
    <row r="41" spans="1:7" x14ac:dyDescent="0.25">
      <c r="A41" s="90">
        <v>32</v>
      </c>
      <c r="B41" s="93"/>
      <c r="C41" s="91">
        <f t="shared" si="12"/>
        <v>777788.38844401378</v>
      </c>
      <c r="D41" s="91">
        <f t="shared" si="1"/>
        <v>5322.4199614334657</v>
      </c>
      <c r="E41" s="94">
        <f t="shared" si="9"/>
        <v>4537.0989325900809</v>
      </c>
      <c r="F41" s="94">
        <f t="shared" si="10"/>
        <v>785.32102884338474</v>
      </c>
      <c r="G41" s="94">
        <f t="shared" si="11"/>
        <v>777003.06741517037</v>
      </c>
    </row>
    <row r="42" spans="1:7" x14ac:dyDescent="0.25">
      <c r="A42" s="90">
        <v>33</v>
      </c>
      <c r="B42" s="93"/>
      <c r="C42" s="91">
        <f t="shared" si="12"/>
        <v>777003.06741517037</v>
      </c>
      <c r="D42" s="91">
        <f t="shared" si="1"/>
        <v>5322.4199614334657</v>
      </c>
      <c r="E42" s="94">
        <f t="shared" si="9"/>
        <v>4532.5178932551607</v>
      </c>
      <c r="F42" s="94">
        <f t="shared" si="10"/>
        <v>789.90206817830494</v>
      </c>
      <c r="G42" s="94">
        <f t="shared" si="11"/>
        <v>776213.16534699209</v>
      </c>
    </row>
    <row r="43" spans="1:7" x14ac:dyDescent="0.25">
      <c r="A43" s="90">
        <v>34</v>
      </c>
      <c r="B43" s="93"/>
      <c r="C43" s="91">
        <f t="shared" si="12"/>
        <v>776213.16534699209</v>
      </c>
      <c r="D43" s="91">
        <f t="shared" si="1"/>
        <v>5322.4199614334657</v>
      </c>
      <c r="E43" s="94">
        <f t="shared" si="9"/>
        <v>4527.9101311907871</v>
      </c>
      <c r="F43" s="94">
        <f t="shared" si="10"/>
        <v>794.50983024267862</v>
      </c>
      <c r="G43" s="94">
        <f t="shared" si="11"/>
        <v>775418.65551674936</v>
      </c>
    </row>
    <row r="44" spans="1:7" x14ac:dyDescent="0.25">
      <c r="A44" s="90">
        <v>35</v>
      </c>
      <c r="B44" s="93"/>
      <c r="C44" s="91">
        <f t="shared" si="12"/>
        <v>775418.65551674936</v>
      </c>
      <c r="D44" s="91">
        <f t="shared" si="1"/>
        <v>5322.4199614334657</v>
      </c>
      <c r="E44" s="94">
        <f t="shared" si="9"/>
        <v>4523.2754905143711</v>
      </c>
      <c r="F44" s="94">
        <f t="shared" si="10"/>
        <v>799.1444709190946</v>
      </c>
      <c r="G44" s="94">
        <f t="shared" si="11"/>
        <v>774619.51104583032</v>
      </c>
    </row>
    <row r="45" spans="1:7" x14ac:dyDescent="0.25">
      <c r="A45" s="90">
        <v>36</v>
      </c>
      <c r="B45" s="93"/>
      <c r="C45" s="91">
        <f t="shared" si="12"/>
        <v>774619.51104583032</v>
      </c>
      <c r="D45" s="91">
        <f t="shared" si="1"/>
        <v>5322.4199614334657</v>
      </c>
      <c r="E45" s="94">
        <f t="shared" si="9"/>
        <v>4518.6138144340102</v>
      </c>
      <c r="F45" s="94">
        <f t="shared" si="10"/>
        <v>803.80614699945545</v>
      </c>
      <c r="G45" s="94">
        <f t="shared" si="11"/>
        <v>773815.70489883085</v>
      </c>
    </row>
    <row r="46" spans="1:7" x14ac:dyDescent="0.25">
      <c r="A46" s="95"/>
      <c r="B46" s="96" t="s">
        <v>138</v>
      </c>
      <c r="E46" s="91">
        <f>SUM(E34:E45)</f>
        <v>54525.165502307274</v>
      </c>
    </row>
    <row r="47" spans="1:7" x14ac:dyDescent="0.25">
      <c r="A47" s="95"/>
      <c r="B47" s="93"/>
    </row>
    <row r="48" spans="1:7" x14ac:dyDescent="0.25">
      <c r="A48" s="90">
        <v>37</v>
      </c>
      <c r="B48" s="93" t="s">
        <v>141</v>
      </c>
      <c r="C48" s="91">
        <f>G45</f>
        <v>773815.70489883085</v>
      </c>
      <c r="D48" s="91">
        <f t="shared" si="1"/>
        <v>5322.4199614334657</v>
      </c>
      <c r="E48" s="94">
        <f t="shared" ref="E48:E59" si="13">C48*$B$3</f>
        <v>4513.9249452431804</v>
      </c>
      <c r="F48" s="94">
        <f t="shared" ref="F48:F59" si="14">D48-E48</f>
        <v>808.49501619028524</v>
      </c>
      <c r="G48" s="94">
        <f t="shared" ref="G48:G59" si="15">C48-F48</f>
        <v>773007.20988264051</v>
      </c>
    </row>
    <row r="49" spans="1:7" x14ac:dyDescent="0.25">
      <c r="A49" s="90">
        <v>38</v>
      </c>
      <c r="B49" s="93"/>
      <c r="C49" s="91">
        <f t="shared" ref="C49:C59" si="16">G48</f>
        <v>773007.20988264051</v>
      </c>
      <c r="D49" s="91">
        <f t="shared" si="1"/>
        <v>5322.4199614334657</v>
      </c>
      <c r="E49" s="94">
        <f t="shared" si="13"/>
        <v>4509.2087243154028</v>
      </c>
      <c r="F49" s="94">
        <f t="shared" si="14"/>
        <v>813.21123711806285</v>
      </c>
      <c r="G49" s="94">
        <f t="shared" si="15"/>
        <v>772193.9986455224</v>
      </c>
    </row>
    <row r="50" spans="1:7" x14ac:dyDescent="0.25">
      <c r="A50" s="90">
        <v>39</v>
      </c>
      <c r="B50" s="93"/>
      <c r="C50" s="91">
        <f t="shared" si="16"/>
        <v>772193.9986455224</v>
      </c>
      <c r="D50" s="91">
        <f t="shared" si="1"/>
        <v>5322.4199614334657</v>
      </c>
      <c r="E50" s="94">
        <f t="shared" si="13"/>
        <v>4504.4649920988804</v>
      </c>
      <c r="F50" s="94">
        <f t="shared" si="14"/>
        <v>817.95496933458526</v>
      </c>
      <c r="G50" s="94">
        <f t="shared" si="15"/>
        <v>771376.04367618787</v>
      </c>
    </row>
    <row r="51" spans="1:7" x14ac:dyDescent="0.25">
      <c r="A51" s="90">
        <v>40</v>
      </c>
      <c r="B51" s="93"/>
      <c r="C51" s="91">
        <f t="shared" si="16"/>
        <v>771376.04367618787</v>
      </c>
      <c r="D51" s="91">
        <f t="shared" si="1"/>
        <v>5322.4199614334657</v>
      </c>
      <c r="E51" s="94">
        <f t="shared" si="13"/>
        <v>4499.6935881110958</v>
      </c>
      <c r="F51" s="94">
        <f t="shared" si="14"/>
        <v>822.72637332236991</v>
      </c>
      <c r="G51" s="94">
        <f t="shared" si="15"/>
        <v>770553.31730286544</v>
      </c>
    </row>
    <row r="52" spans="1:7" x14ac:dyDescent="0.25">
      <c r="A52" s="90">
        <v>41</v>
      </c>
      <c r="B52" s="93"/>
      <c r="C52" s="91">
        <f t="shared" si="16"/>
        <v>770553.31730286544</v>
      </c>
      <c r="D52" s="91">
        <f t="shared" si="1"/>
        <v>5322.4199614334657</v>
      </c>
      <c r="E52" s="94">
        <f t="shared" si="13"/>
        <v>4494.8943509333822</v>
      </c>
      <c r="F52" s="94">
        <f t="shared" si="14"/>
        <v>827.52561050008353</v>
      </c>
      <c r="G52" s="94">
        <f t="shared" si="15"/>
        <v>769725.79169236531</v>
      </c>
    </row>
    <row r="53" spans="1:7" x14ac:dyDescent="0.25">
      <c r="A53" s="90">
        <v>42</v>
      </c>
      <c r="B53" s="93"/>
      <c r="C53" s="91">
        <f t="shared" si="16"/>
        <v>769725.79169236531</v>
      </c>
      <c r="D53" s="91">
        <f t="shared" si="1"/>
        <v>5322.4199614334657</v>
      </c>
      <c r="E53" s="94">
        <f t="shared" si="13"/>
        <v>4490.0671182054648</v>
      </c>
      <c r="F53" s="94">
        <f t="shared" si="14"/>
        <v>832.35284322800089</v>
      </c>
      <c r="G53" s="94">
        <f t="shared" si="15"/>
        <v>768893.43884913728</v>
      </c>
    </row>
    <row r="54" spans="1:7" x14ac:dyDescent="0.25">
      <c r="A54" s="90">
        <v>43</v>
      </c>
      <c r="B54" s="93"/>
      <c r="C54" s="91">
        <f t="shared" si="16"/>
        <v>768893.43884913728</v>
      </c>
      <c r="D54" s="91">
        <f t="shared" si="1"/>
        <v>5322.4199614334657</v>
      </c>
      <c r="E54" s="94">
        <f t="shared" si="13"/>
        <v>4485.2117266199675</v>
      </c>
      <c r="F54" s="94">
        <f t="shared" si="14"/>
        <v>837.20823481349817</v>
      </c>
      <c r="G54" s="94">
        <f t="shared" si="15"/>
        <v>768056.23061432375</v>
      </c>
    </row>
    <row r="55" spans="1:7" x14ac:dyDescent="0.25">
      <c r="A55" s="90">
        <v>44</v>
      </c>
      <c r="B55" s="93"/>
      <c r="C55" s="91">
        <f t="shared" si="16"/>
        <v>768056.23061432375</v>
      </c>
      <c r="D55" s="91">
        <f t="shared" si="1"/>
        <v>5322.4199614334657</v>
      </c>
      <c r="E55" s="94">
        <f t="shared" si="13"/>
        <v>4480.3280119168885</v>
      </c>
      <c r="F55" s="94">
        <f t="shared" si="14"/>
        <v>842.09194951657719</v>
      </c>
      <c r="G55" s="94">
        <f t="shared" si="15"/>
        <v>767214.13866480719</v>
      </c>
    </row>
    <row r="56" spans="1:7" x14ac:dyDescent="0.25">
      <c r="A56" s="90">
        <v>45</v>
      </c>
      <c r="B56" s="93"/>
      <c r="C56" s="91">
        <f t="shared" si="16"/>
        <v>767214.13866480719</v>
      </c>
      <c r="D56" s="91">
        <f t="shared" si="1"/>
        <v>5322.4199614334657</v>
      </c>
      <c r="E56" s="94">
        <f t="shared" si="13"/>
        <v>4475.4158088780423</v>
      </c>
      <c r="F56" s="94">
        <f t="shared" si="14"/>
        <v>847.00415255542339</v>
      </c>
      <c r="G56" s="94">
        <f t="shared" si="15"/>
        <v>766367.13451225183</v>
      </c>
    </row>
    <row r="57" spans="1:7" x14ac:dyDescent="0.25">
      <c r="A57" s="90">
        <v>46</v>
      </c>
      <c r="B57" s="93"/>
      <c r="C57" s="91">
        <f t="shared" si="16"/>
        <v>766367.13451225183</v>
      </c>
      <c r="D57" s="91">
        <f t="shared" si="1"/>
        <v>5322.4199614334657</v>
      </c>
      <c r="E57" s="94">
        <f t="shared" si="13"/>
        <v>4470.4749513214692</v>
      </c>
      <c r="F57" s="94">
        <f t="shared" si="14"/>
        <v>851.94501011199645</v>
      </c>
      <c r="G57" s="94">
        <f t="shared" si="15"/>
        <v>765515.18950213981</v>
      </c>
    </row>
    <row r="58" spans="1:7" x14ac:dyDescent="0.25">
      <c r="A58" s="90">
        <v>47</v>
      </c>
      <c r="B58" s="93"/>
      <c r="C58" s="91">
        <f t="shared" si="16"/>
        <v>765515.18950213981</v>
      </c>
      <c r="D58" s="91">
        <f t="shared" si="1"/>
        <v>5322.4199614334657</v>
      </c>
      <c r="E58" s="94">
        <f t="shared" si="13"/>
        <v>4465.5052720958156</v>
      </c>
      <c r="F58" s="94">
        <f t="shared" si="14"/>
        <v>856.91468933765009</v>
      </c>
      <c r="G58" s="94">
        <f t="shared" si="15"/>
        <v>764658.27481280221</v>
      </c>
    </row>
    <row r="59" spans="1:7" x14ac:dyDescent="0.25">
      <c r="A59" s="90">
        <v>48</v>
      </c>
      <c r="B59" s="93"/>
      <c r="C59" s="91">
        <f t="shared" si="16"/>
        <v>764658.27481280221</v>
      </c>
      <c r="D59" s="91">
        <f t="shared" si="1"/>
        <v>5322.4199614334657</v>
      </c>
      <c r="E59" s="94">
        <f t="shared" si="13"/>
        <v>4460.5066030746793</v>
      </c>
      <c r="F59" s="94">
        <f t="shared" si="14"/>
        <v>861.91335835878635</v>
      </c>
      <c r="G59" s="94">
        <f t="shared" si="15"/>
        <v>763796.36145444342</v>
      </c>
    </row>
    <row r="60" spans="1:7" x14ac:dyDescent="0.25">
      <c r="A60" s="95"/>
      <c r="B60" s="96" t="s">
        <v>138</v>
      </c>
      <c r="E60" s="91">
        <f>SUM(E48:E59)</f>
        <v>53849.696092814265</v>
      </c>
    </row>
    <row r="61" spans="1:7" x14ac:dyDescent="0.25">
      <c r="A61" s="95"/>
      <c r="B61" s="96"/>
      <c r="E61" s="91"/>
    </row>
    <row r="62" spans="1:7" x14ac:dyDescent="0.25">
      <c r="B62" t="s">
        <v>142</v>
      </c>
    </row>
    <row r="63" spans="1:7" x14ac:dyDescent="0.25">
      <c r="A63" s="97">
        <v>49</v>
      </c>
      <c r="C63" s="91">
        <f>G59</f>
        <v>763796.36145444342</v>
      </c>
      <c r="D63" s="91">
        <f t="shared" si="1"/>
        <v>5322.4199614334657</v>
      </c>
      <c r="E63" s="94">
        <f t="shared" ref="E63:E74" si="17">C63*$B$3</f>
        <v>4455.4787751509202</v>
      </c>
      <c r="F63" s="94">
        <f t="shared" ref="F63:F74" si="18">D63-E63</f>
        <v>866.94118628254546</v>
      </c>
      <c r="G63" s="94">
        <f t="shared" ref="G63:G74" si="19">C63-F63</f>
        <v>762929.42026816087</v>
      </c>
    </row>
    <row r="64" spans="1:7" x14ac:dyDescent="0.25">
      <c r="A64" s="97">
        <v>50</v>
      </c>
      <c r="C64" s="91">
        <f t="shared" ref="C64:C74" si="20">G63</f>
        <v>762929.42026816087</v>
      </c>
      <c r="D64" s="91">
        <f t="shared" si="1"/>
        <v>5322.4199614334657</v>
      </c>
      <c r="E64" s="94">
        <f t="shared" si="17"/>
        <v>4450.4216182309383</v>
      </c>
      <c r="F64" s="94">
        <f t="shared" si="18"/>
        <v>871.99834320252739</v>
      </c>
      <c r="G64" s="94">
        <f t="shared" si="19"/>
        <v>762057.42192495835</v>
      </c>
    </row>
    <row r="65" spans="1:7" x14ac:dyDescent="0.25">
      <c r="A65" s="97">
        <v>51</v>
      </c>
      <c r="C65" s="91">
        <f t="shared" si="20"/>
        <v>762057.42192495835</v>
      </c>
      <c r="D65" s="91">
        <f t="shared" si="1"/>
        <v>5322.4199614334657</v>
      </c>
      <c r="E65" s="94">
        <f t="shared" si="17"/>
        <v>4445.3349612289239</v>
      </c>
      <c r="F65" s="94">
        <f t="shared" si="18"/>
        <v>877.08500020454176</v>
      </c>
      <c r="G65" s="94">
        <f t="shared" si="19"/>
        <v>761180.33692475385</v>
      </c>
    </row>
    <row r="66" spans="1:7" x14ac:dyDescent="0.25">
      <c r="A66" s="97">
        <v>52</v>
      </c>
      <c r="C66" s="91">
        <f t="shared" si="20"/>
        <v>761180.33692475385</v>
      </c>
      <c r="D66" s="91">
        <f t="shared" si="1"/>
        <v>5322.4199614334657</v>
      </c>
      <c r="E66" s="94">
        <f t="shared" si="17"/>
        <v>4440.2186320610645</v>
      </c>
      <c r="F66" s="94">
        <f t="shared" si="18"/>
        <v>882.20132937240123</v>
      </c>
      <c r="G66" s="94">
        <f t="shared" si="19"/>
        <v>760298.13559538149</v>
      </c>
    </row>
    <row r="67" spans="1:7" x14ac:dyDescent="0.25">
      <c r="A67" s="97">
        <v>53</v>
      </c>
      <c r="C67" s="91">
        <f t="shared" si="20"/>
        <v>760298.13559538149</v>
      </c>
      <c r="D67" s="91">
        <f t="shared" si="1"/>
        <v>5322.4199614334657</v>
      </c>
      <c r="E67" s="94">
        <f t="shared" si="17"/>
        <v>4435.0724576397251</v>
      </c>
      <c r="F67" s="94">
        <f t="shared" si="18"/>
        <v>887.34750379374054</v>
      </c>
      <c r="G67" s="94">
        <f t="shared" si="19"/>
        <v>759410.78809158772</v>
      </c>
    </row>
    <row r="68" spans="1:7" x14ac:dyDescent="0.25">
      <c r="A68" s="97">
        <v>54</v>
      </c>
      <c r="C68" s="91">
        <f t="shared" si="20"/>
        <v>759410.78809158772</v>
      </c>
      <c r="D68" s="91">
        <f t="shared" si="1"/>
        <v>5322.4199614334657</v>
      </c>
      <c r="E68" s="94">
        <f t="shared" si="17"/>
        <v>4429.8962638675948</v>
      </c>
      <c r="F68" s="94">
        <f t="shared" si="18"/>
        <v>892.52369756587086</v>
      </c>
      <c r="G68" s="94">
        <f t="shared" si="19"/>
        <v>758518.26439402183</v>
      </c>
    </row>
    <row r="69" spans="1:7" x14ac:dyDescent="0.25">
      <c r="A69" s="97">
        <v>55</v>
      </c>
      <c r="C69" s="91">
        <f t="shared" si="20"/>
        <v>758518.26439402183</v>
      </c>
      <c r="D69" s="91">
        <f t="shared" si="1"/>
        <v>5322.4199614334657</v>
      </c>
      <c r="E69" s="94">
        <f t="shared" si="17"/>
        <v>4424.6898756317942</v>
      </c>
      <c r="F69" s="94">
        <f t="shared" si="18"/>
        <v>897.73008580167152</v>
      </c>
      <c r="G69" s="94">
        <f t="shared" si="19"/>
        <v>757620.53430822014</v>
      </c>
    </row>
    <row r="70" spans="1:7" x14ac:dyDescent="0.25">
      <c r="A70" s="97">
        <v>56</v>
      </c>
      <c r="C70" s="91">
        <f t="shared" si="20"/>
        <v>757620.53430822014</v>
      </c>
      <c r="D70" s="91">
        <f t="shared" si="1"/>
        <v>5322.4199614334657</v>
      </c>
      <c r="E70" s="94">
        <f t="shared" si="17"/>
        <v>4419.4531167979512</v>
      </c>
      <c r="F70" s="94">
        <f t="shared" si="18"/>
        <v>902.96684463551446</v>
      </c>
      <c r="G70" s="94">
        <f t="shared" si="19"/>
        <v>756717.56746358459</v>
      </c>
    </row>
    <row r="71" spans="1:7" x14ac:dyDescent="0.25">
      <c r="A71" s="97">
        <v>57</v>
      </c>
      <c r="C71" s="91">
        <f t="shared" si="20"/>
        <v>756717.56746358459</v>
      </c>
      <c r="D71" s="91">
        <f t="shared" si="1"/>
        <v>5322.4199614334657</v>
      </c>
      <c r="E71" s="94">
        <f t="shared" si="17"/>
        <v>4414.1858102042434</v>
      </c>
      <c r="F71" s="94">
        <f t="shared" si="18"/>
        <v>908.23415122922233</v>
      </c>
      <c r="G71" s="94">
        <f t="shared" si="19"/>
        <v>755809.33331235533</v>
      </c>
    </row>
    <row r="72" spans="1:7" x14ac:dyDescent="0.25">
      <c r="A72" s="97">
        <v>58</v>
      </c>
      <c r="C72" s="91">
        <f t="shared" si="20"/>
        <v>755809.33331235533</v>
      </c>
      <c r="D72" s="91">
        <f t="shared" si="1"/>
        <v>5322.4199614334657</v>
      </c>
      <c r="E72" s="94">
        <f t="shared" si="17"/>
        <v>4408.8877776554064</v>
      </c>
      <c r="F72" s="94">
        <f t="shared" si="18"/>
        <v>913.53218377805933</v>
      </c>
      <c r="G72" s="94">
        <f t="shared" si="19"/>
        <v>754895.80112857732</v>
      </c>
    </row>
    <row r="73" spans="1:7" x14ac:dyDescent="0.25">
      <c r="A73" s="97">
        <v>59</v>
      </c>
      <c r="C73" s="91">
        <f t="shared" si="20"/>
        <v>754895.80112857732</v>
      </c>
      <c r="D73" s="91">
        <f t="shared" si="1"/>
        <v>5322.4199614334657</v>
      </c>
      <c r="E73" s="94">
        <f t="shared" si="17"/>
        <v>4403.5588399167009</v>
      </c>
      <c r="F73" s="94">
        <f t="shared" si="18"/>
        <v>918.8611215167648</v>
      </c>
      <c r="G73" s="94">
        <f t="shared" si="19"/>
        <v>753976.94000706053</v>
      </c>
    </row>
    <row r="74" spans="1:7" x14ac:dyDescent="0.25">
      <c r="A74" s="97">
        <v>60</v>
      </c>
      <c r="C74" s="91">
        <f t="shared" si="20"/>
        <v>753976.94000706053</v>
      </c>
      <c r="D74" s="91">
        <f t="shared" si="1"/>
        <v>5322.4199614334657</v>
      </c>
      <c r="E74" s="94">
        <f t="shared" si="17"/>
        <v>4398.1988167078534</v>
      </c>
      <c r="F74" s="94">
        <f t="shared" si="18"/>
        <v>924.22114472561225</v>
      </c>
      <c r="G74" s="94">
        <f t="shared" si="19"/>
        <v>753052.71886233496</v>
      </c>
    </row>
    <row r="75" spans="1:7" x14ac:dyDescent="0.25">
      <c r="E75" s="91">
        <f>SUM(E63:E74)</f>
        <v>53125.396945093125</v>
      </c>
    </row>
    <row r="76" spans="1:7" x14ac:dyDescent="0.25">
      <c r="E76" s="91"/>
    </row>
    <row r="77" spans="1:7" x14ac:dyDescent="0.25">
      <c r="B77" t="s">
        <v>143</v>
      </c>
    </row>
    <row r="78" spans="1:7" x14ac:dyDescent="0.25">
      <c r="A78" s="97">
        <v>61</v>
      </c>
      <c r="C78" s="91">
        <f>G74</f>
        <v>753052.71886233496</v>
      </c>
      <c r="D78" s="91">
        <f t="shared" ref="D78:D150" si="21">$B$4</f>
        <v>5322.4199614334657</v>
      </c>
      <c r="E78" s="94">
        <f t="shared" ref="E78:E141" si="22">C78*$B$3</f>
        <v>4392.8075266969545</v>
      </c>
      <c r="F78" s="94">
        <f t="shared" ref="F78:F141" si="23">D78-E78</f>
        <v>929.6124347365112</v>
      </c>
      <c r="G78" s="94">
        <f t="shared" ref="G78:G141" si="24">C78-F78</f>
        <v>752123.10642759851</v>
      </c>
    </row>
    <row r="79" spans="1:7" x14ac:dyDescent="0.25">
      <c r="A79" s="97">
        <v>62</v>
      </c>
      <c r="C79" s="91">
        <f t="shared" ref="C79:C142" si="25">G78</f>
        <v>752123.10642759851</v>
      </c>
      <c r="D79" s="91">
        <f t="shared" si="21"/>
        <v>5322.4199614334657</v>
      </c>
      <c r="E79" s="94">
        <f t="shared" si="22"/>
        <v>4387.3847874943249</v>
      </c>
      <c r="F79" s="94">
        <f t="shared" si="23"/>
        <v>935.0351739391408</v>
      </c>
      <c r="G79" s="94">
        <f t="shared" si="24"/>
        <v>751188.07125365932</v>
      </c>
    </row>
    <row r="80" spans="1:7" x14ac:dyDescent="0.25">
      <c r="A80" s="97">
        <v>63</v>
      </c>
      <c r="C80" s="91">
        <f t="shared" si="25"/>
        <v>751188.07125365932</v>
      </c>
      <c r="D80" s="91">
        <f t="shared" si="21"/>
        <v>5322.4199614334657</v>
      </c>
      <c r="E80" s="94">
        <f t="shared" si="22"/>
        <v>4381.9304156463459</v>
      </c>
      <c r="F80" s="94">
        <f t="shared" si="23"/>
        <v>940.48954578711982</v>
      </c>
      <c r="G80" s="94">
        <f t="shared" si="24"/>
        <v>750247.58170787222</v>
      </c>
    </row>
    <row r="81" spans="1:7" x14ac:dyDescent="0.25">
      <c r="A81" s="97">
        <v>64</v>
      </c>
      <c r="C81" s="91">
        <f t="shared" si="25"/>
        <v>750247.58170787222</v>
      </c>
      <c r="D81" s="91">
        <f t="shared" si="21"/>
        <v>5322.4199614334657</v>
      </c>
      <c r="E81" s="94">
        <f t="shared" si="22"/>
        <v>4376.4442266292544</v>
      </c>
      <c r="F81" s="94">
        <f t="shared" si="23"/>
        <v>945.97573480421124</v>
      </c>
      <c r="G81" s="94">
        <f t="shared" si="24"/>
        <v>749301.60597306804</v>
      </c>
    </row>
    <row r="82" spans="1:7" x14ac:dyDescent="0.25">
      <c r="A82" s="97">
        <v>65</v>
      </c>
      <c r="C82" s="91">
        <f t="shared" si="25"/>
        <v>749301.60597306804</v>
      </c>
      <c r="D82" s="91">
        <f t="shared" si="21"/>
        <v>5322.4199614334657</v>
      </c>
      <c r="E82" s="94">
        <f t="shared" si="22"/>
        <v>4370.926034842897</v>
      </c>
      <c r="F82" s="94">
        <f t="shared" si="23"/>
        <v>951.49392659056866</v>
      </c>
      <c r="G82" s="94">
        <f t="shared" si="24"/>
        <v>748350.1120464775</v>
      </c>
    </row>
    <row r="83" spans="1:7" x14ac:dyDescent="0.25">
      <c r="A83" s="97">
        <v>66</v>
      </c>
      <c r="C83" s="91">
        <f t="shared" si="25"/>
        <v>748350.1120464775</v>
      </c>
      <c r="D83" s="91">
        <f t="shared" si="21"/>
        <v>5322.4199614334657</v>
      </c>
      <c r="E83" s="94">
        <f t="shared" si="22"/>
        <v>4365.3756536044521</v>
      </c>
      <c r="F83" s="94">
        <f t="shared" si="23"/>
        <v>957.04430782901363</v>
      </c>
      <c r="G83" s="94">
        <f t="shared" si="24"/>
        <v>747393.0677386485</v>
      </c>
    </row>
    <row r="84" spans="1:7" x14ac:dyDescent="0.25">
      <c r="A84" s="97">
        <v>67</v>
      </c>
      <c r="C84" s="91">
        <f t="shared" si="25"/>
        <v>747393.0677386485</v>
      </c>
      <c r="D84" s="91">
        <f t="shared" si="21"/>
        <v>5322.4199614334657</v>
      </c>
      <c r="E84" s="94">
        <f t="shared" si="22"/>
        <v>4359.7928951421163</v>
      </c>
      <c r="F84" s="94">
        <f t="shared" si="23"/>
        <v>962.62706629134937</v>
      </c>
      <c r="G84" s="94">
        <f t="shared" si="24"/>
        <v>746430.4406723571</v>
      </c>
    </row>
    <row r="85" spans="1:7" x14ac:dyDescent="0.25">
      <c r="A85" s="97">
        <v>68</v>
      </c>
      <c r="C85" s="91">
        <f t="shared" si="25"/>
        <v>746430.4406723571</v>
      </c>
      <c r="D85" s="91">
        <f t="shared" si="21"/>
        <v>5322.4199614334657</v>
      </c>
      <c r="E85" s="94">
        <f t="shared" si="22"/>
        <v>4354.1775705887503</v>
      </c>
      <c r="F85" s="94">
        <f t="shared" si="23"/>
        <v>968.24239084471537</v>
      </c>
      <c r="G85" s="94">
        <f t="shared" si="24"/>
        <v>745462.19828151236</v>
      </c>
    </row>
    <row r="86" spans="1:7" x14ac:dyDescent="0.25">
      <c r="A86" s="97">
        <v>69</v>
      </c>
      <c r="C86" s="91">
        <f t="shared" si="25"/>
        <v>745462.19828151236</v>
      </c>
      <c r="D86" s="91">
        <f t="shared" si="21"/>
        <v>5322.4199614334657</v>
      </c>
      <c r="E86" s="94">
        <f t="shared" si="22"/>
        <v>4348.529489975489</v>
      </c>
      <c r="F86" s="94">
        <f t="shared" si="23"/>
        <v>973.89047145797667</v>
      </c>
      <c r="G86" s="94">
        <f t="shared" si="24"/>
        <v>744488.30781005439</v>
      </c>
    </row>
    <row r="87" spans="1:7" x14ac:dyDescent="0.25">
      <c r="A87" s="97">
        <v>70</v>
      </c>
      <c r="C87" s="91">
        <f t="shared" si="25"/>
        <v>744488.30781005439</v>
      </c>
      <c r="D87" s="91">
        <f t="shared" si="21"/>
        <v>5322.4199614334657</v>
      </c>
      <c r="E87" s="94">
        <f t="shared" si="22"/>
        <v>4342.8484622253172</v>
      </c>
      <c r="F87" s="94">
        <f t="shared" si="23"/>
        <v>979.57149920814845</v>
      </c>
      <c r="G87" s="94">
        <f t="shared" si="24"/>
        <v>743508.73631084629</v>
      </c>
    </row>
    <row r="88" spans="1:7" x14ac:dyDescent="0.25">
      <c r="A88" s="97">
        <v>71</v>
      </c>
      <c r="C88" s="91">
        <f t="shared" si="25"/>
        <v>743508.73631084629</v>
      </c>
      <c r="D88" s="91">
        <f t="shared" si="21"/>
        <v>5322.4199614334657</v>
      </c>
      <c r="E88" s="94">
        <f t="shared" si="22"/>
        <v>4337.1342951466031</v>
      </c>
      <c r="F88" s="94">
        <f t="shared" si="23"/>
        <v>985.28566628686258</v>
      </c>
      <c r="G88" s="94">
        <f t="shared" si="24"/>
        <v>742523.45064455946</v>
      </c>
    </row>
    <row r="89" spans="1:7" x14ac:dyDescent="0.25">
      <c r="A89" s="97">
        <v>72</v>
      </c>
      <c r="C89" s="91">
        <f t="shared" si="25"/>
        <v>742523.45064455946</v>
      </c>
      <c r="D89" s="91">
        <f t="shared" si="21"/>
        <v>5322.4199614334657</v>
      </c>
      <c r="E89" s="94">
        <f t="shared" si="22"/>
        <v>4331.386795426597</v>
      </c>
      <c r="F89" s="94">
        <f t="shared" si="23"/>
        <v>991.03316600686867</v>
      </c>
      <c r="G89" s="94">
        <f t="shared" si="24"/>
        <v>741532.41747855255</v>
      </c>
    </row>
    <row r="90" spans="1:7" x14ac:dyDescent="0.25">
      <c r="A90" s="97" t="s">
        <v>119</v>
      </c>
      <c r="C90" s="91"/>
      <c r="D90" s="91"/>
      <c r="E90" s="91">
        <f>SUM(E78:E89)</f>
        <v>52348.738153419101</v>
      </c>
      <c r="F90" s="94"/>
      <c r="G90" s="94"/>
    </row>
    <row r="91" spans="1:7" x14ac:dyDescent="0.25">
      <c r="A91" s="97"/>
      <c r="C91" s="91"/>
      <c r="D91" s="91"/>
      <c r="E91" s="91"/>
      <c r="F91" s="94"/>
      <c r="G91" s="94"/>
    </row>
    <row r="92" spans="1:7" x14ac:dyDescent="0.25">
      <c r="A92" s="97"/>
      <c r="B92" t="s">
        <v>144</v>
      </c>
      <c r="C92" s="91"/>
      <c r="D92" s="91"/>
      <c r="E92" s="94"/>
      <c r="F92" s="94"/>
      <c r="G92" s="94"/>
    </row>
    <row r="93" spans="1:7" x14ac:dyDescent="0.25">
      <c r="A93" s="97">
        <v>73</v>
      </c>
      <c r="C93" s="91">
        <f>G89</f>
        <v>741532.41747855255</v>
      </c>
      <c r="D93" s="91">
        <f t="shared" si="21"/>
        <v>5322.4199614334657</v>
      </c>
      <c r="E93" s="94">
        <f t="shared" si="22"/>
        <v>4325.6057686248905</v>
      </c>
      <c r="F93" s="94">
        <f t="shared" si="23"/>
        <v>996.81419280857517</v>
      </c>
      <c r="G93" s="94">
        <f t="shared" si="24"/>
        <v>740535.60328574397</v>
      </c>
    </row>
    <row r="94" spans="1:7" x14ac:dyDescent="0.25">
      <c r="A94" s="97">
        <v>74</v>
      </c>
      <c r="C94" s="91">
        <f t="shared" si="25"/>
        <v>740535.60328574397</v>
      </c>
      <c r="D94" s="91">
        <f t="shared" si="21"/>
        <v>5322.4199614334657</v>
      </c>
      <c r="E94" s="94">
        <f t="shared" si="22"/>
        <v>4319.7910191668398</v>
      </c>
      <c r="F94" s="94">
        <f t="shared" si="23"/>
        <v>1002.6289422666259</v>
      </c>
      <c r="G94" s="94">
        <f t="shared" si="24"/>
        <v>739532.9743434774</v>
      </c>
    </row>
    <row r="95" spans="1:7" x14ac:dyDescent="0.25">
      <c r="A95" s="97">
        <v>75</v>
      </c>
      <c r="C95" s="91">
        <f t="shared" si="25"/>
        <v>739532.9743434774</v>
      </c>
      <c r="D95" s="91">
        <f t="shared" si="21"/>
        <v>5322.4199614334657</v>
      </c>
      <c r="E95" s="94">
        <f t="shared" si="22"/>
        <v>4313.9423503369517</v>
      </c>
      <c r="F95" s="94">
        <f t="shared" si="23"/>
        <v>1008.477611096514</v>
      </c>
      <c r="G95" s="94">
        <f t="shared" si="24"/>
        <v>738524.49673238094</v>
      </c>
    </row>
    <row r="96" spans="1:7" x14ac:dyDescent="0.25">
      <c r="A96" s="97">
        <v>76</v>
      </c>
      <c r="C96" s="91">
        <f t="shared" si="25"/>
        <v>738524.49673238094</v>
      </c>
      <c r="D96" s="91">
        <f t="shared" si="21"/>
        <v>5322.4199614334657</v>
      </c>
      <c r="E96" s="94">
        <f t="shared" si="22"/>
        <v>4308.0595642722219</v>
      </c>
      <c r="F96" s="94">
        <f t="shared" si="23"/>
        <v>1014.3603971612438</v>
      </c>
      <c r="G96" s="94">
        <f t="shared" si="24"/>
        <v>737510.13633521972</v>
      </c>
    </row>
    <row r="97" spans="1:7" x14ac:dyDescent="0.25">
      <c r="A97" s="97">
        <v>77</v>
      </c>
      <c r="C97" s="91">
        <f t="shared" si="25"/>
        <v>737510.13633521972</v>
      </c>
      <c r="D97" s="91">
        <f t="shared" si="21"/>
        <v>5322.4199614334657</v>
      </c>
      <c r="E97" s="94">
        <f t="shared" si="22"/>
        <v>4302.1424619554482</v>
      </c>
      <c r="F97" s="94">
        <f t="shared" si="23"/>
        <v>1020.2774994780175</v>
      </c>
      <c r="G97" s="94">
        <f t="shared" si="24"/>
        <v>736489.85883574176</v>
      </c>
    </row>
    <row r="98" spans="1:7" x14ac:dyDescent="0.25">
      <c r="A98" s="97">
        <v>78</v>
      </c>
      <c r="C98" s="91">
        <f t="shared" si="25"/>
        <v>736489.85883574176</v>
      </c>
      <c r="D98" s="91">
        <f t="shared" si="21"/>
        <v>5322.4199614334657</v>
      </c>
      <c r="E98" s="94">
        <f t="shared" si="22"/>
        <v>4296.1908432084938</v>
      </c>
      <c r="F98" s="94">
        <f t="shared" si="23"/>
        <v>1026.2291182249719</v>
      </c>
      <c r="G98" s="94">
        <f t="shared" si="24"/>
        <v>735463.62971751683</v>
      </c>
    </row>
    <row r="99" spans="1:7" x14ac:dyDescent="0.25">
      <c r="A99" s="97">
        <v>79</v>
      </c>
      <c r="C99" s="91">
        <f t="shared" si="25"/>
        <v>735463.62971751683</v>
      </c>
      <c r="D99" s="91">
        <f t="shared" si="21"/>
        <v>5322.4199614334657</v>
      </c>
      <c r="E99" s="94">
        <f t="shared" si="22"/>
        <v>4290.2045066855153</v>
      </c>
      <c r="F99" s="94">
        <f t="shared" si="23"/>
        <v>1032.2154547479504</v>
      </c>
      <c r="G99" s="94">
        <f t="shared" si="24"/>
        <v>734431.41426276893</v>
      </c>
    </row>
    <row r="100" spans="1:7" x14ac:dyDescent="0.25">
      <c r="A100" s="97">
        <v>80</v>
      </c>
      <c r="C100" s="91">
        <f t="shared" si="25"/>
        <v>734431.41426276893</v>
      </c>
      <c r="D100" s="91">
        <f t="shared" si="21"/>
        <v>5322.4199614334657</v>
      </c>
      <c r="E100" s="94">
        <f t="shared" si="22"/>
        <v>4284.1832498661524</v>
      </c>
      <c r="F100" s="94">
        <f t="shared" si="23"/>
        <v>1038.2367115673133</v>
      </c>
      <c r="G100" s="94">
        <f t="shared" si="24"/>
        <v>733393.17755120166</v>
      </c>
    </row>
    <row r="101" spans="1:7" x14ac:dyDescent="0.25">
      <c r="A101" s="97">
        <v>81</v>
      </c>
      <c r="C101" s="91">
        <f t="shared" si="25"/>
        <v>733393.17755120166</v>
      </c>
      <c r="D101" s="91">
        <f t="shared" si="21"/>
        <v>5322.4199614334657</v>
      </c>
      <c r="E101" s="94">
        <f t="shared" si="22"/>
        <v>4278.1268690486768</v>
      </c>
      <c r="F101" s="94">
        <f t="shared" si="23"/>
        <v>1044.2930923847889</v>
      </c>
      <c r="G101" s="94">
        <f t="shared" si="24"/>
        <v>732348.88445881684</v>
      </c>
    </row>
    <row r="102" spans="1:7" x14ac:dyDescent="0.25">
      <c r="A102" s="97">
        <v>82</v>
      </c>
      <c r="C102" s="91">
        <f t="shared" si="25"/>
        <v>732348.88445881684</v>
      </c>
      <c r="D102" s="91">
        <f t="shared" si="21"/>
        <v>5322.4199614334657</v>
      </c>
      <c r="E102" s="94">
        <f t="shared" si="22"/>
        <v>4272.0351593430987</v>
      </c>
      <c r="F102" s="94">
        <f t="shared" si="23"/>
        <v>1050.384802090367</v>
      </c>
      <c r="G102" s="94">
        <f t="shared" si="24"/>
        <v>731298.49965672649</v>
      </c>
    </row>
    <row r="103" spans="1:7" x14ac:dyDescent="0.25">
      <c r="A103" s="97">
        <v>83</v>
      </c>
      <c r="C103" s="91">
        <f t="shared" si="25"/>
        <v>731298.49965672649</v>
      </c>
      <c r="D103" s="91">
        <f t="shared" si="21"/>
        <v>5322.4199614334657</v>
      </c>
      <c r="E103" s="94">
        <f t="shared" si="22"/>
        <v>4265.907914664238</v>
      </c>
      <c r="F103" s="94">
        <f t="shared" si="23"/>
        <v>1056.5120467692277</v>
      </c>
      <c r="G103" s="94">
        <f t="shared" si="24"/>
        <v>730241.98760995723</v>
      </c>
    </row>
    <row r="104" spans="1:7" x14ac:dyDescent="0.25">
      <c r="A104" s="97">
        <v>84</v>
      </c>
      <c r="C104" s="91">
        <f t="shared" si="25"/>
        <v>730241.98760995723</v>
      </c>
      <c r="D104" s="91">
        <f t="shared" si="21"/>
        <v>5322.4199614334657</v>
      </c>
      <c r="E104" s="94">
        <f t="shared" si="22"/>
        <v>4259.7449277247506</v>
      </c>
      <c r="F104" s="94">
        <f t="shared" si="23"/>
        <v>1062.6750337087151</v>
      </c>
      <c r="G104" s="94">
        <f t="shared" si="24"/>
        <v>729179.31257624854</v>
      </c>
    </row>
    <row r="105" spans="1:7" x14ac:dyDescent="0.25">
      <c r="A105" s="97" t="s">
        <v>119</v>
      </c>
      <c r="C105" s="91"/>
      <c r="D105" s="91"/>
      <c r="E105" s="91">
        <f>SUM(E93:E104)</f>
        <v>51515.934634897276</v>
      </c>
      <c r="F105" s="94"/>
      <c r="G105" s="94"/>
    </row>
    <row r="106" spans="1:7" x14ac:dyDescent="0.25">
      <c r="A106" s="97"/>
      <c r="C106" s="91"/>
      <c r="D106" s="91"/>
      <c r="E106" s="91"/>
      <c r="F106" s="94"/>
      <c r="G106" s="94"/>
    </row>
    <row r="107" spans="1:7" ht="12.75" customHeight="1" x14ac:dyDescent="0.25">
      <c r="A107" s="97"/>
      <c r="B107" t="s">
        <v>145</v>
      </c>
      <c r="C107" s="91"/>
      <c r="D107" s="91"/>
      <c r="E107" s="94"/>
      <c r="F107" s="94"/>
      <c r="G107" s="94"/>
    </row>
    <row r="108" spans="1:7" x14ac:dyDescent="0.25">
      <c r="A108" s="97">
        <v>85</v>
      </c>
      <c r="C108" s="91">
        <f>G104</f>
        <v>729179.31257624854</v>
      </c>
      <c r="D108" s="91">
        <f t="shared" si="21"/>
        <v>5322.4199614334657</v>
      </c>
      <c r="E108" s="94">
        <f t="shared" si="22"/>
        <v>4253.5459900281166</v>
      </c>
      <c r="F108" s="94">
        <f t="shared" si="23"/>
        <v>1068.873971405349</v>
      </c>
      <c r="G108" s="94">
        <f t="shared" si="24"/>
        <v>728110.43860484322</v>
      </c>
    </row>
    <row r="109" spans="1:7" x14ac:dyDescent="0.25">
      <c r="A109" s="97">
        <v>86</v>
      </c>
      <c r="C109" s="91">
        <f t="shared" si="25"/>
        <v>728110.43860484322</v>
      </c>
      <c r="D109" s="91">
        <f t="shared" si="21"/>
        <v>5322.4199614334657</v>
      </c>
      <c r="E109" s="94">
        <f t="shared" si="22"/>
        <v>4247.3108918615853</v>
      </c>
      <c r="F109" s="94">
        <f t="shared" si="23"/>
        <v>1075.1090695718804</v>
      </c>
      <c r="G109" s="94">
        <f t="shared" si="24"/>
        <v>727035.32953527139</v>
      </c>
    </row>
    <row r="110" spans="1:7" x14ac:dyDescent="0.25">
      <c r="A110" s="97">
        <v>87</v>
      </c>
      <c r="C110" s="91">
        <f t="shared" si="25"/>
        <v>727035.32953527139</v>
      </c>
      <c r="D110" s="91">
        <f t="shared" si="21"/>
        <v>5322.4199614334657</v>
      </c>
      <c r="E110" s="94">
        <f t="shared" si="22"/>
        <v>4241.0394222890836</v>
      </c>
      <c r="F110" s="94">
        <f t="shared" si="23"/>
        <v>1081.3805391443821</v>
      </c>
      <c r="G110" s="94">
        <f t="shared" si="24"/>
        <v>725953.948996127</v>
      </c>
    </row>
    <row r="111" spans="1:7" x14ac:dyDescent="0.25">
      <c r="A111" s="97">
        <v>88</v>
      </c>
      <c r="C111" s="91">
        <f t="shared" si="25"/>
        <v>725953.948996127</v>
      </c>
      <c r="D111" s="91">
        <f t="shared" si="21"/>
        <v>5322.4199614334657</v>
      </c>
      <c r="E111" s="94">
        <f t="shared" si="22"/>
        <v>4234.7313691440741</v>
      </c>
      <c r="F111" s="94">
        <f t="shared" si="23"/>
        <v>1087.6885922893916</v>
      </c>
      <c r="G111" s="94">
        <f t="shared" si="24"/>
        <v>724866.26040383766</v>
      </c>
    </row>
    <row r="112" spans="1:7" x14ac:dyDescent="0.25">
      <c r="A112" s="97">
        <v>89</v>
      </c>
      <c r="C112" s="91">
        <f t="shared" si="25"/>
        <v>724866.26040383766</v>
      </c>
      <c r="D112" s="91">
        <f t="shared" si="21"/>
        <v>5322.4199614334657</v>
      </c>
      <c r="E112" s="94">
        <f t="shared" si="22"/>
        <v>4228.3865190223869</v>
      </c>
      <c r="F112" s="94">
        <f t="shared" si="23"/>
        <v>1094.0334424110788</v>
      </c>
      <c r="G112" s="94">
        <f t="shared" si="24"/>
        <v>723772.22696142655</v>
      </c>
    </row>
    <row r="113" spans="1:7" x14ac:dyDescent="0.25">
      <c r="A113" s="97">
        <v>90</v>
      </c>
      <c r="C113" s="91">
        <f t="shared" si="25"/>
        <v>723772.22696142655</v>
      </c>
      <c r="D113" s="91">
        <f t="shared" si="21"/>
        <v>5322.4199614334657</v>
      </c>
      <c r="E113" s="94">
        <f t="shared" si="22"/>
        <v>4222.0046572749889</v>
      </c>
      <c r="F113" s="94">
        <f t="shared" si="23"/>
        <v>1100.4153041584768</v>
      </c>
      <c r="G113" s="94">
        <f t="shared" si="24"/>
        <v>722671.81165726809</v>
      </c>
    </row>
    <row r="114" spans="1:7" x14ac:dyDescent="0.25">
      <c r="A114" s="97">
        <v>91</v>
      </c>
      <c r="C114" s="91">
        <f t="shared" si="25"/>
        <v>722671.81165726809</v>
      </c>
      <c r="D114" s="91">
        <f t="shared" si="21"/>
        <v>5322.4199614334657</v>
      </c>
      <c r="E114" s="94">
        <f t="shared" si="22"/>
        <v>4215.5855680007307</v>
      </c>
      <c r="F114" s="94">
        <f t="shared" si="23"/>
        <v>1106.8343934327349</v>
      </c>
      <c r="G114" s="94">
        <f t="shared" si="24"/>
        <v>721564.97726383538</v>
      </c>
    </row>
    <row r="115" spans="1:7" x14ac:dyDescent="0.25">
      <c r="A115" s="97">
        <v>92</v>
      </c>
      <c r="C115" s="91">
        <f t="shared" si="25"/>
        <v>721564.97726383538</v>
      </c>
      <c r="D115" s="91">
        <f t="shared" si="21"/>
        <v>5322.4199614334657</v>
      </c>
      <c r="E115" s="94">
        <f t="shared" si="22"/>
        <v>4209.1290340390397</v>
      </c>
      <c r="F115" s="94">
        <f t="shared" si="23"/>
        <v>1113.290927394426</v>
      </c>
      <c r="G115" s="94">
        <f t="shared" si="24"/>
        <v>720451.68633644097</v>
      </c>
    </row>
    <row r="116" spans="1:7" x14ac:dyDescent="0.25">
      <c r="A116" s="97">
        <v>93</v>
      </c>
      <c r="C116" s="91">
        <f t="shared" si="25"/>
        <v>720451.68633644097</v>
      </c>
      <c r="D116" s="91">
        <f t="shared" si="21"/>
        <v>5322.4199614334657</v>
      </c>
      <c r="E116" s="94">
        <f t="shared" si="22"/>
        <v>4202.6348369625721</v>
      </c>
      <c r="F116" s="94">
        <f t="shared" si="23"/>
        <v>1119.7851244708936</v>
      </c>
      <c r="G116" s="94">
        <f t="shared" si="24"/>
        <v>719331.90121197002</v>
      </c>
    </row>
    <row r="117" spans="1:7" x14ac:dyDescent="0.25">
      <c r="A117" s="97">
        <v>94</v>
      </c>
      <c r="C117" s="91">
        <f t="shared" si="25"/>
        <v>719331.90121197002</v>
      </c>
      <c r="D117" s="91">
        <f t="shared" si="21"/>
        <v>5322.4199614334657</v>
      </c>
      <c r="E117" s="94">
        <f t="shared" si="22"/>
        <v>4196.1027570698252</v>
      </c>
      <c r="F117" s="94">
        <f t="shared" si="23"/>
        <v>1126.3172043636405</v>
      </c>
      <c r="G117" s="94">
        <f t="shared" si="24"/>
        <v>718205.58400760638</v>
      </c>
    </row>
    <row r="118" spans="1:7" x14ac:dyDescent="0.25">
      <c r="A118" s="97">
        <v>95</v>
      </c>
      <c r="C118" s="91">
        <f t="shared" si="25"/>
        <v>718205.58400760638</v>
      </c>
      <c r="D118" s="91">
        <f t="shared" si="21"/>
        <v>5322.4199614334657</v>
      </c>
      <c r="E118" s="94">
        <f t="shared" si="22"/>
        <v>4189.5325733777045</v>
      </c>
      <c r="F118" s="94">
        <f t="shared" si="23"/>
        <v>1132.8873880557612</v>
      </c>
      <c r="G118" s="94">
        <f t="shared" si="24"/>
        <v>717072.69661955058</v>
      </c>
    </row>
    <row r="119" spans="1:7" x14ac:dyDescent="0.25">
      <c r="A119" s="97">
        <v>96</v>
      </c>
      <c r="C119" s="91">
        <f t="shared" si="25"/>
        <v>717072.69661955058</v>
      </c>
      <c r="D119" s="91">
        <f t="shared" si="21"/>
        <v>5322.4199614334657</v>
      </c>
      <c r="E119" s="94">
        <f t="shared" si="22"/>
        <v>4182.9240636140448</v>
      </c>
      <c r="F119" s="94">
        <f t="shared" si="23"/>
        <v>1139.4958978194209</v>
      </c>
      <c r="G119" s="94">
        <f t="shared" si="24"/>
        <v>715933.20072173118</v>
      </c>
    </row>
    <row r="120" spans="1:7" x14ac:dyDescent="0.25">
      <c r="A120" s="97" t="s">
        <v>119</v>
      </c>
      <c r="C120" s="91"/>
      <c r="D120" s="91"/>
      <c r="E120" s="91">
        <f>SUM(E108:E119)</f>
        <v>50622.927682684152</v>
      </c>
      <c r="F120" s="94"/>
      <c r="G120" s="94"/>
    </row>
    <row r="121" spans="1:7" x14ac:dyDescent="0.25">
      <c r="A121" s="97"/>
      <c r="C121" s="91"/>
      <c r="D121" s="91"/>
      <c r="E121" s="91"/>
      <c r="F121" s="94"/>
      <c r="G121" s="94"/>
    </row>
    <row r="122" spans="1:7" x14ac:dyDescent="0.25">
      <c r="A122" s="97"/>
      <c r="B122" t="s">
        <v>146</v>
      </c>
      <c r="C122" s="91"/>
      <c r="D122" s="91"/>
      <c r="E122" s="94"/>
      <c r="F122" s="94"/>
      <c r="G122" s="94"/>
    </row>
    <row r="123" spans="1:7" x14ac:dyDescent="0.25">
      <c r="A123" s="97">
        <v>97</v>
      </c>
      <c r="C123" s="91">
        <f>G119</f>
        <v>715933.20072173118</v>
      </c>
      <c r="D123" s="91">
        <f t="shared" si="21"/>
        <v>5322.4199614334657</v>
      </c>
      <c r="E123" s="94">
        <f t="shared" si="22"/>
        <v>4176.2770042100983</v>
      </c>
      <c r="F123" s="94">
        <f t="shared" si="23"/>
        <v>1146.1429572233674</v>
      </c>
      <c r="G123" s="94">
        <f t="shared" si="24"/>
        <v>714787.05776450783</v>
      </c>
    </row>
    <row r="124" spans="1:7" x14ac:dyDescent="0.25">
      <c r="A124" s="97">
        <v>98</v>
      </c>
      <c r="C124" s="91">
        <f t="shared" si="25"/>
        <v>714787.05776450783</v>
      </c>
      <c r="D124" s="91">
        <f t="shared" si="21"/>
        <v>5322.4199614334657</v>
      </c>
      <c r="E124" s="94">
        <f t="shared" si="22"/>
        <v>4169.5911702929625</v>
      </c>
      <c r="F124" s="94">
        <f t="shared" si="23"/>
        <v>1152.8287911405032</v>
      </c>
      <c r="G124" s="94">
        <f t="shared" si="24"/>
        <v>713634.22897336737</v>
      </c>
    </row>
    <row r="125" spans="1:7" x14ac:dyDescent="0.25">
      <c r="A125" s="97">
        <v>99</v>
      </c>
      <c r="C125" s="91">
        <f t="shared" si="25"/>
        <v>713634.22897336737</v>
      </c>
      <c r="D125" s="91">
        <f t="shared" si="21"/>
        <v>5322.4199614334657</v>
      </c>
      <c r="E125" s="94">
        <f t="shared" si="22"/>
        <v>4162.8663356779762</v>
      </c>
      <c r="F125" s="94">
        <f t="shared" si="23"/>
        <v>1159.5536257554895</v>
      </c>
      <c r="G125" s="94">
        <f t="shared" si="24"/>
        <v>712474.67534761189</v>
      </c>
    </row>
    <row r="126" spans="1:7" x14ac:dyDescent="0.25">
      <c r="A126" s="97">
        <v>100</v>
      </c>
      <c r="C126" s="91">
        <f t="shared" si="25"/>
        <v>712474.67534761189</v>
      </c>
      <c r="D126" s="91">
        <f t="shared" si="21"/>
        <v>5322.4199614334657</v>
      </c>
      <c r="E126" s="94">
        <f t="shared" si="22"/>
        <v>4156.1022728610697</v>
      </c>
      <c r="F126" s="94">
        <f t="shared" si="23"/>
        <v>1166.317688572396</v>
      </c>
      <c r="G126" s="94">
        <f t="shared" si="24"/>
        <v>711308.35765903944</v>
      </c>
    </row>
    <row r="127" spans="1:7" x14ac:dyDescent="0.25">
      <c r="A127" s="97">
        <v>101</v>
      </c>
      <c r="C127" s="91">
        <f t="shared" si="25"/>
        <v>711308.35765903944</v>
      </c>
      <c r="D127" s="91">
        <f t="shared" si="21"/>
        <v>5322.4199614334657</v>
      </c>
      <c r="E127" s="94">
        <f t="shared" si="22"/>
        <v>4149.2987530110631</v>
      </c>
      <c r="F127" s="94">
        <f t="shared" si="23"/>
        <v>1173.1212084224026</v>
      </c>
      <c r="G127" s="94">
        <f t="shared" si="24"/>
        <v>710135.23645061709</v>
      </c>
    </row>
    <row r="128" spans="1:7" x14ac:dyDescent="0.25">
      <c r="A128" s="97">
        <v>102</v>
      </c>
      <c r="C128" s="91">
        <f t="shared" si="25"/>
        <v>710135.23645061709</v>
      </c>
      <c r="D128" s="91">
        <f t="shared" si="21"/>
        <v>5322.4199614334657</v>
      </c>
      <c r="E128" s="94">
        <f t="shared" si="22"/>
        <v>4142.4555459619332</v>
      </c>
      <c r="F128" s="94">
        <f t="shared" si="23"/>
        <v>1179.9644154715324</v>
      </c>
      <c r="G128" s="94">
        <f t="shared" si="24"/>
        <v>708955.27203514555</v>
      </c>
    </row>
    <row r="129" spans="1:7" x14ac:dyDescent="0.25">
      <c r="A129" s="97">
        <v>103</v>
      </c>
      <c r="C129" s="91">
        <f t="shared" si="25"/>
        <v>708955.27203514555</v>
      </c>
      <c r="D129" s="91">
        <f t="shared" si="21"/>
        <v>5322.4199614334657</v>
      </c>
      <c r="E129" s="94">
        <f t="shared" si="22"/>
        <v>4135.572420205016</v>
      </c>
      <c r="F129" s="94">
        <f t="shared" si="23"/>
        <v>1186.8475412284497</v>
      </c>
      <c r="G129" s="94">
        <f t="shared" si="24"/>
        <v>707768.42449391715</v>
      </c>
    </row>
    <row r="130" spans="1:7" x14ac:dyDescent="0.25">
      <c r="A130" s="97">
        <v>104</v>
      </c>
      <c r="C130" s="91">
        <f t="shared" si="25"/>
        <v>707768.42449391715</v>
      </c>
      <c r="D130" s="91">
        <f t="shared" si="21"/>
        <v>5322.4199614334657</v>
      </c>
      <c r="E130" s="94">
        <f t="shared" si="22"/>
        <v>4128.6491428811833</v>
      </c>
      <c r="F130" s="94">
        <f t="shared" si="23"/>
        <v>1193.7708185522824</v>
      </c>
      <c r="G130" s="94">
        <f t="shared" si="24"/>
        <v>706574.65367536491</v>
      </c>
    </row>
    <row r="131" spans="1:7" x14ac:dyDescent="0.25">
      <c r="A131" s="97">
        <v>105</v>
      </c>
      <c r="C131" s="91">
        <f t="shared" si="25"/>
        <v>706574.65367536491</v>
      </c>
      <c r="D131" s="91">
        <f t="shared" si="21"/>
        <v>5322.4199614334657</v>
      </c>
      <c r="E131" s="94">
        <f t="shared" si="22"/>
        <v>4121.685479772962</v>
      </c>
      <c r="F131" s="94">
        <f t="shared" si="23"/>
        <v>1200.7344816605037</v>
      </c>
      <c r="G131" s="94">
        <f t="shared" si="24"/>
        <v>705373.91919370438</v>
      </c>
    </row>
    <row r="132" spans="1:7" x14ac:dyDescent="0.25">
      <c r="A132" s="97">
        <v>106</v>
      </c>
      <c r="C132" s="91">
        <f t="shared" si="25"/>
        <v>705373.91919370438</v>
      </c>
      <c r="D132" s="91">
        <f t="shared" si="21"/>
        <v>5322.4199614334657</v>
      </c>
      <c r="E132" s="94">
        <f t="shared" si="22"/>
        <v>4114.6811952966091</v>
      </c>
      <c r="F132" s="94">
        <f t="shared" si="23"/>
        <v>1207.7387661368566</v>
      </c>
      <c r="G132" s="94">
        <f t="shared" si="24"/>
        <v>704166.18042756757</v>
      </c>
    </row>
    <row r="133" spans="1:7" x14ac:dyDescent="0.25">
      <c r="A133" s="97">
        <v>107</v>
      </c>
      <c r="C133" s="91">
        <f t="shared" si="25"/>
        <v>704166.18042756757</v>
      </c>
      <c r="D133" s="91">
        <f t="shared" si="21"/>
        <v>5322.4199614334657</v>
      </c>
      <c r="E133" s="94">
        <f t="shared" si="22"/>
        <v>4107.6360524941447</v>
      </c>
      <c r="F133" s="94">
        <f t="shared" si="23"/>
        <v>1214.783908939321</v>
      </c>
      <c r="G133" s="94">
        <f t="shared" si="24"/>
        <v>702951.39651862823</v>
      </c>
    </row>
    <row r="134" spans="1:7" x14ac:dyDescent="0.25">
      <c r="A134" s="97">
        <v>108</v>
      </c>
      <c r="C134" s="91">
        <f t="shared" si="25"/>
        <v>702951.39651862823</v>
      </c>
      <c r="D134" s="91">
        <f t="shared" si="21"/>
        <v>5322.4199614334657</v>
      </c>
      <c r="E134" s="94">
        <f t="shared" si="22"/>
        <v>4100.5498130253318</v>
      </c>
      <c r="F134" s="94">
        <f t="shared" si="23"/>
        <v>1221.8701484081339</v>
      </c>
      <c r="G134" s="94">
        <f t="shared" si="24"/>
        <v>701729.52637022012</v>
      </c>
    </row>
    <row r="135" spans="1:7" x14ac:dyDescent="0.25">
      <c r="A135" s="97" t="s">
        <v>119</v>
      </c>
      <c r="C135" s="91"/>
      <c r="D135" s="91"/>
      <c r="E135" s="91">
        <f>SUM(E123:E134)</f>
        <v>49665.365185690353</v>
      </c>
      <c r="F135" s="94"/>
      <c r="G135" s="94"/>
    </row>
    <row r="136" spans="1:7" x14ac:dyDescent="0.25">
      <c r="A136" s="97"/>
      <c r="C136" s="91"/>
      <c r="D136" s="91"/>
      <c r="E136" s="94"/>
      <c r="F136" s="94"/>
      <c r="G136" s="94"/>
    </row>
    <row r="137" spans="1:7" x14ac:dyDescent="0.25">
      <c r="A137" s="97"/>
      <c r="C137" s="91"/>
      <c r="D137" s="91"/>
      <c r="E137" s="94"/>
      <c r="F137" s="94"/>
      <c r="G137" s="94"/>
    </row>
    <row r="138" spans="1:7" x14ac:dyDescent="0.25">
      <c r="A138" s="97"/>
      <c r="B138" t="s">
        <v>147</v>
      </c>
      <c r="C138" s="91"/>
      <c r="D138" s="91"/>
      <c r="E138" s="94"/>
      <c r="F138" s="94"/>
      <c r="G138" s="94"/>
    </row>
    <row r="139" spans="1:7" x14ac:dyDescent="0.25">
      <c r="A139" s="97">
        <v>109</v>
      </c>
      <c r="C139" s="91">
        <f>G134</f>
        <v>701729.52637022012</v>
      </c>
      <c r="D139" s="91">
        <f t="shared" si="21"/>
        <v>5322.4199614334657</v>
      </c>
      <c r="E139" s="94">
        <f t="shared" si="22"/>
        <v>4093.4222371596175</v>
      </c>
      <c r="F139" s="94">
        <f t="shared" si="23"/>
        <v>1228.9977242738482</v>
      </c>
      <c r="G139" s="94">
        <f t="shared" si="24"/>
        <v>700500.5286459463</v>
      </c>
    </row>
    <row r="140" spans="1:7" x14ac:dyDescent="0.25">
      <c r="A140" s="97">
        <v>110</v>
      </c>
      <c r="C140" s="91">
        <f t="shared" si="25"/>
        <v>700500.5286459463</v>
      </c>
      <c r="D140" s="91">
        <f t="shared" si="21"/>
        <v>5322.4199614334657</v>
      </c>
      <c r="E140" s="94">
        <f t="shared" si="22"/>
        <v>4086.2530837680201</v>
      </c>
      <c r="F140" s="94">
        <f t="shared" si="23"/>
        <v>1236.1668776654456</v>
      </c>
      <c r="G140" s="94">
        <f t="shared" si="24"/>
        <v>699264.36176828085</v>
      </c>
    </row>
    <row r="141" spans="1:7" x14ac:dyDescent="0.25">
      <c r="A141" s="97">
        <v>111</v>
      </c>
      <c r="C141" s="91">
        <f t="shared" si="25"/>
        <v>699264.36176828085</v>
      </c>
      <c r="D141" s="91">
        <f t="shared" si="21"/>
        <v>5322.4199614334657</v>
      </c>
      <c r="E141" s="94">
        <f t="shared" si="22"/>
        <v>4079.042110314972</v>
      </c>
      <c r="F141" s="94">
        <f t="shared" si="23"/>
        <v>1243.3778511184937</v>
      </c>
      <c r="G141" s="94">
        <f t="shared" si="24"/>
        <v>698020.9839171624</v>
      </c>
    </row>
    <row r="142" spans="1:7" x14ac:dyDescent="0.25">
      <c r="A142" s="97">
        <v>112</v>
      </c>
      <c r="C142" s="91">
        <f t="shared" si="25"/>
        <v>698020.9839171624</v>
      </c>
      <c r="D142" s="91">
        <f t="shared" si="21"/>
        <v>5322.4199614334657</v>
      </c>
      <c r="E142" s="94">
        <f t="shared" ref="E142:E150" si="26">C142*$B$3</f>
        <v>4071.7890728501143</v>
      </c>
      <c r="F142" s="94">
        <f t="shared" ref="F142:F150" si="27">D142-E142</f>
        <v>1250.6308885833514</v>
      </c>
      <c r="G142" s="94">
        <f t="shared" ref="G142:G150" si="28">C142-F142</f>
        <v>696770.35302857903</v>
      </c>
    </row>
    <row r="143" spans="1:7" x14ac:dyDescent="0.25">
      <c r="A143" s="97">
        <v>113</v>
      </c>
      <c r="C143" s="91">
        <f t="shared" ref="C143:C150" si="29">G142</f>
        <v>696770.35302857903</v>
      </c>
      <c r="D143" s="91">
        <f t="shared" si="21"/>
        <v>5322.4199614334657</v>
      </c>
      <c r="E143" s="94">
        <f t="shared" si="26"/>
        <v>4064.4937260000447</v>
      </c>
      <c r="F143" s="94">
        <f t="shared" si="27"/>
        <v>1257.926235433421</v>
      </c>
      <c r="G143" s="94">
        <f t="shared" si="28"/>
        <v>695512.4267931456</v>
      </c>
    </row>
    <row r="144" spans="1:7" x14ac:dyDescent="0.25">
      <c r="A144" s="97">
        <v>114</v>
      </c>
      <c r="C144" s="91">
        <f t="shared" si="29"/>
        <v>695512.4267931456</v>
      </c>
      <c r="D144" s="91">
        <f t="shared" si="21"/>
        <v>5322.4199614334657</v>
      </c>
      <c r="E144" s="94">
        <f t="shared" si="26"/>
        <v>4057.1558229600164</v>
      </c>
      <c r="F144" s="94">
        <f t="shared" si="27"/>
        <v>1265.2641384734493</v>
      </c>
      <c r="G144" s="94">
        <f t="shared" si="28"/>
        <v>694247.16265467217</v>
      </c>
    </row>
    <row r="145" spans="1:7" x14ac:dyDescent="0.25">
      <c r="A145" s="97">
        <v>115</v>
      </c>
      <c r="C145" s="91">
        <f t="shared" si="29"/>
        <v>694247.16265467217</v>
      </c>
      <c r="D145" s="91">
        <f t="shared" si="21"/>
        <v>5322.4199614334657</v>
      </c>
      <c r="E145" s="94">
        <f t="shared" si="26"/>
        <v>4049.7751154855878</v>
      </c>
      <c r="F145" s="94">
        <f t="shared" si="27"/>
        <v>1272.6448459478779</v>
      </c>
      <c r="G145" s="94">
        <f t="shared" si="28"/>
        <v>692974.51780872431</v>
      </c>
    </row>
    <row r="146" spans="1:7" x14ac:dyDescent="0.25">
      <c r="A146" s="97">
        <v>116</v>
      </c>
      <c r="C146" s="91">
        <f t="shared" si="29"/>
        <v>692974.51780872431</v>
      </c>
      <c r="D146" s="91">
        <f t="shared" si="21"/>
        <v>5322.4199614334657</v>
      </c>
      <c r="E146" s="94">
        <f t="shared" si="26"/>
        <v>4042.3513538842253</v>
      </c>
      <c r="F146" s="94">
        <f t="shared" si="27"/>
        <v>1280.0686075492404</v>
      </c>
      <c r="G146" s="94">
        <f t="shared" si="28"/>
        <v>691694.44920117513</v>
      </c>
    </row>
    <row r="147" spans="1:7" x14ac:dyDescent="0.25">
      <c r="A147" s="97">
        <v>117</v>
      </c>
      <c r="C147" s="91">
        <f t="shared" si="29"/>
        <v>691694.44920117513</v>
      </c>
      <c r="D147" s="91">
        <f t="shared" si="21"/>
        <v>5322.4199614334657</v>
      </c>
      <c r="E147" s="94">
        <f t="shared" si="26"/>
        <v>4034.8842870068552</v>
      </c>
      <c r="F147" s="94">
        <f t="shared" si="27"/>
        <v>1287.5356744266105</v>
      </c>
      <c r="G147" s="94">
        <f t="shared" si="28"/>
        <v>690406.91352674854</v>
      </c>
    </row>
    <row r="148" spans="1:7" x14ac:dyDescent="0.25">
      <c r="A148" s="97">
        <v>118</v>
      </c>
      <c r="C148" s="91">
        <f t="shared" si="29"/>
        <v>690406.91352674854</v>
      </c>
      <c r="D148" s="91">
        <f t="shared" si="21"/>
        <v>5322.4199614334657</v>
      </c>
      <c r="E148" s="94">
        <f t="shared" si="26"/>
        <v>4027.3736622393667</v>
      </c>
      <c r="F148" s="94">
        <f t="shared" si="27"/>
        <v>1295.046299194099</v>
      </c>
      <c r="G148" s="94">
        <f t="shared" si="28"/>
        <v>689111.86722755444</v>
      </c>
    </row>
    <row r="149" spans="1:7" x14ac:dyDescent="0.25">
      <c r="A149" s="97">
        <v>119</v>
      </c>
      <c r="C149" s="91">
        <f t="shared" si="29"/>
        <v>689111.86722755444</v>
      </c>
      <c r="D149" s="91">
        <f t="shared" si="21"/>
        <v>5322.4199614334657</v>
      </c>
      <c r="E149" s="94">
        <f t="shared" si="26"/>
        <v>4019.8192254940677</v>
      </c>
      <c r="F149" s="94">
        <f t="shared" si="27"/>
        <v>1302.600735939398</v>
      </c>
      <c r="G149" s="94">
        <f t="shared" si="28"/>
        <v>687809.2664916151</v>
      </c>
    </row>
    <row r="150" spans="1:7" x14ac:dyDescent="0.25">
      <c r="A150" s="97">
        <v>120</v>
      </c>
      <c r="C150" s="91">
        <f t="shared" si="29"/>
        <v>687809.2664916151</v>
      </c>
      <c r="D150" s="91">
        <f t="shared" si="21"/>
        <v>5322.4199614334657</v>
      </c>
      <c r="E150" s="94">
        <f t="shared" si="26"/>
        <v>4012.2207212010881</v>
      </c>
      <c r="F150" s="94">
        <f t="shared" si="27"/>
        <v>1310.1992402323776</v>
      </c>
      <c r="G150" s="94">
        <f t="shared" si="28"/>
        <v>686499.06725138274</v>
      </c>
    </row>
    <row r="151" spans="1:7" x14ac:dyDescent="0.25">
      <c r="A151" s="97" t="s">
        <v>119</v>
      </c>
      <c r="C151" s="91"/>
      <c r="D151" s="91"/>
      <c r="E151" s="91">
        <f>SUM(E139:E150)</f>
        <v>48638.580418363978</v>
      </c>
      <c r="F151" s="94"/>
      <c r="G151" s="94"/>
    </row>
    <row r="152" spans="1:7" x14ac:dyDescent="0.25">
      <c r="C152" s="91"/>
      <c r="D152" s="91"/>
      <c r="E152" s="94"/>
      <c r="F152" s="94"/>
      <c r="G152" s="94"/>
    </row>
    <row r="153" spans="1:7" x14ac:dyDescent="0.25">
      <c r="C153" s="91"/>
      <c r="D153" s="91"/>
      <c r="E153" s="94"/>
      <c r="F153" s="94"/>
      <c r="G153" s="94"/>
    </row>
    <row r="154" spans="1:7" x14ac:dyDescent="0.25">
      <c r="C154" s="91"/>
      <c r="D154" s="91"/>
      <c r="E154" s="94"/>
      <c r="F154" s="94"/>
      <c r="G154" s="94"/>
    </row>
    <row r="155" spans="1:7" x14ac:dyDescent="0.25">
      <c r="C155" s="91"/>
      <c r="D155" s="91"/>
      <c r="E155" s="94"/>
      <c r="F155" s="94"/>
      <c r="G155" s="94"/>
    </row>
    <row r="156" spans="1:7" x14ac:dyDescent="0.25">
      <c r="C156" s="91"/>
      <c r="D156" s="91"/>
      <c r="E156" s="94"/>
      <c r="F156" s="94"/>
      <c r="G156" s="94"/>
    </row>
    <row r="157" spans="1:7" x14ac:dyDescent="0.25">
      <c r="C157" s="91"/>
      <c r="D157" s="91"/>
      <c r="E157" s="94"/>
      <c r="F157" s="94"/>
      <c r="G157" s="94"/>
    </row>
    <row r="158" spans="1:7" x14ac:dyDescent="0.25">
      <c r="C158" s="91"/>
      <c r="D158" s="91"/>
      <c r="E158" s="94"/>
      <c r="F158" s="94"/>
      <c r="G158" s="94"/>
    </row>
    <row r="159" spans="1:7" x14ac:dyDescent="0.25">
      <c r="C159" s="91"/>
      <c r="D159" s="91"/>
      <c r="E159" s="94"/>
      <c r="F159" s="94"/>
      <c r="G159" s="94"/>
    </row>
    <row r="160" spans="1:7" x14ac:dyDescent="0.25">
      <c r="C160" s="91"/>
      <c r="D160" s="91"/>
      <c r="E160" s="94"/>
      <c r="F160" s="94"/>
      <c r="G160" s="94"/>
    </row>
    <row r="161" spans="3:7" x14ac:dyDescent="0.25">
      <c r="C161" s="91"/>
      <c r="D161" s="91"/>
      <c r="E161" s="94"/>
      <c r="F161" s="94"/>
      <c r="G161" s="94"/>
    </row>
    <row r="162" spans="3:7" x14ac:dyDescent="0.25">
      <c r="C162" s="91"/>
      <c r="D162" s="91"/>
      <c r="E162" s="94"/>
      <c r="F162" s="94"/>
      <c r="G162" s="94"/>
    </row>
    <row r="163" spans="3:7" x14ac:dyDescent="0.25">
      <c r="C163" s="91"/>
      <c r="D163" s="91"/>
      <c r="E163" s="94"/>
      <c r="F163" s="94"/>
      <c r="G163" s="94"/>
    </row>
    <row r="164" spans="3:7" x14ac:dyDescent="0.25">
      <c r="C164" s="91"/>
      <c r="D164" s="91"/>
      <c r="E164" s="94"/>
      <c r="F164" s="94"/>
      <c r="G164" s="94"/>
    </row>
    <row r="165" spans="3:7" x14ac:dyDescent="0.25">
      <c r="C165" s="91"/>
      <c r="D165" s="91"/>
      <c r="E165" s="94"/>
      <c r="F165" s="94"/>
      <c r="G165" s="94"/>
    </row>
    <row r="166" spans="3:7" x14ac:dyDescent="0.25">
      <c r="C166" s="91"/>
      <c r="D166" s="91"/>
      <c r="E166" s="94"/>
      <c r="F166" s="94"/>
      <c r="G166" s="94"/>
    </row>
    <row r="167" spans="3:7" x14ac:dyDescent="0.25">
      <c r="C167" s="91"/>
      <c r="D167" s="91"/>
      <c r="E167" s="94"/>
      <c r="F167" s="94"/>
      <c r="G167" s="94"/>
    </row>
    <row r="168" spans="3:7" x14ac:dyDescent="0.25">
      <c r="C168" s="91"/>
      <c r="D168" s="91"/>
      <c r="E168" s="94"/>
      <c r="F168" s="94"/>
      <c r="G168" s="94"/>
    </row>
    <row r="169" spans="3:7" x14ac:dyDescent="0.25">
      <c r="C169" s="91"/>
      <c r="D169" s="91"/>
      <c r="E169" s="94"/>
      <c r="F169" s="94"/>
      <c r="G169" s="94"/>
    </row>
    <row r="170" spans="3:7" x14ac:dyDescent="0.25">
      <c r="C170" s="91"/>
      <c r="D170" s="91"/>
      <c r="E170" s="94"/>
      <c r="F170" s="94"/>
      <c r="G170" s="94"/>
    </row>
    <row r="171" spans="3:7" x14ac:dyDescent="0.25">
      <c r="C171" s="91"/>
      <c r="D171" s="91"/>
      <c r="E171" s="94"/>
      <c r="F171" s="94"/>
      <c r="G171" s="94"/>
    </row>
    <row r="172" spans="3:7" x14ac:dyDescent="0.25">
      <c r="C172" s="91"/>
      <c r="D172" s="91"/>
      <c r="E172" s="94"/>
      <c r="F172" s="94"/>
      <c r="G172" s="94"/>
    </row>
    <row r="173" spans="3:7" x14ac:dyDescent="0.25">
      <c r="C173" s="91"/>
      <c r="D173" s="91"/>
      <c r="E173" s="94"/>
      <c r="F173" s="94"/>
      <c r="G173" s="94"/>
    </row>
    <row r="174" spans="3:7" x14ac:dyDescent="0.25">
      <c r="C174" s="91"/>
      <c r="D174" s="91"/>
      <c r="E174" s="94"/>
      <c r="F174" s="94"/>
      <c r="G174" s="94"/>
    </row>
    <row r="175" spans="3:7" x14ac:dyDescent="0.25">
      <c r="C175" s="91"/>
      <c r="D175" s="91"/>
      <c r="E175" s="94"/>
      <c r="F175" s="94"/>
      <c r="G175" s="94"/>
    </row>
    <row r="176" spans="3:7" x14ac:dyDescent="0.25">
      <c r="C176" s="91"/>
      <c r="D176" s="91"/>
      <c r="E176" s="94"/>
      <c r="F176" s="94"/>
      <c r="G176" s="94"/>
    </row>
    <row r="177" spans="3:7" x14ac:dyDescent="0.25">
      <c r="C177" s="91"/>
      <c r="D177" s="91"/>
      <c r="E177" s="94"/>
      <c r="F177" s="94"/>
      <c r="G177" s="94"/>
    </row>
    <row r="178" spans="3:7" x14ac:dyDescent="0.25">
      <c r="C178" s="91"/>
      <c r="D178" s="91"/>
      <c r="E178" s="94"/>
      <c r="F178" s="94"/>
      <c r="G178" s="94"/>
    </row>
    <row r="179" spans="3:7" x14ac:dyDescent="0.25">
      <c r="C179" s="91"/>
      <c r="D179" s="91"/>
      <c r="E179" s="94"/>
      <c r="F179" s="94"/>
      <c r="G179" s="94"/>
    </row>
    <row r="180" spans="3:7" x14ac:dyDescent="0.25">
      <c r="C180" s="91"/>
      <c r="D180" s="91"/>
      <c r="E180" s="94"/>
      <c r="F180" s="94"/>
      <c r="G180" s="94"/>
    </row>
    <row r="181" spans="3:7" x14ac:dyDescent="0.25">
      <c r="C181" s="91"/>
      <c r="D181" s="91"/>
      <c r="E181" s="94"/>
      <c r="F181" s="94"/>
      <c r="G181" s="94"/>
    </row>
    <row r="182" spans="3:7" x14ac:dyDescent="0.25">
      <c r="C182" s="91"/>
      <c r="D182" s="91"/>
      <c r="E182" s="94"/>
      <c r="F182" s="94"/>
      <c r="G182" s="94"/>
    </row>
    <row r="183" spans="3:7" x14ac:dyDescent="0.25">
      <c r="C183" s="91"/>
      <c r="D183" s="91"/>
      <c r="E183" s="94"/>
      <c r="F183" s="94"/>
      <c r="G183" s="94"/>
    </row>
    <row r="184" spans="3:7" x14ac:dyDescent="0.25">
      <c r="C184" s="91"/>
      <c r="D184" s="91"/>
      <c r="E184" s="94"/>
      <c r="F184" s="94"/>
      <c r="G184" s="94"/>
    </row>
    <row r="185" spans="3:7" x14ac:dyDescent="0.25">
      <c r="C185" s="91"/>
      <c r="D185" s="91"/>
      <c r="E185" s="94"/>
      <c r="F185" s="94"/>
      <c r="G185" s="94"/>
    </row>
    <row r="186" spans="3:7" x14ac:dyDescent="0.25">
      <c r="C186" s="91"/>
      <c r="D186" s="91"/>
      <c r="E186" s="94"/>
      <c r="F186" s="94"/>
      <c r="G186" s="94"/>
    </row>
    <row r="187" spans="3:7" x14ac:dyDescent="0.25">
      <c r="C187" s="91"/>
      <c r="D187" s="91"/>
      <c r="E187" s="94"/>
      <c r="F187" s="94"/>
      <c r="G187" s="94"/>
    </row>
    <row r="188" spans="3:7" x14ac:dyDescent="0.25">
      <c r="C188" s="91"/>
      <c r="D188" s="91"/>
      <c r="E188" s="94"/>
      <c r="F188" s="94"/>
      <c r="G188" s="94"/>
    </row>
    <row r="189" spans="3:7" x14ac:dyDescent="0.25">
      <c r="C189" s="91"/>
      <c r="D189" s="91"/>
      <c r="E189" s="94"/>
      <c r="F189" s="94"/>
      <c r="G189" s="94"/>
    </row>
    <row r="190" spans="3:7" x14ac:dyDescent="0.25">
      <c r="C190" s="91"/>
      <c r="D190" s="91"/>
      <c r="E190" s="94"/>
      <c r="F190" s="94"/>
      <c r="G190" s="94"/>
    </row>
    <row r="191" spans="3:7" x14ac:dyDescent="0.25">
      <c r="C191" s="91"/>
      <c r="D191" s="91"/>
      <c r="E191" s="94"/>
      <c r="F191" s="94"/>
      <c r="G191" s="94"/>
    </row>
    <row r="192" spans="3:7" x14ac:dyDescent="0.25">
      <c r="C192" s="91"/>
      <c r="D192" s="91"/>
      <c r="E192" s="94"/>
      <c r="F192" s="94"/>
      <c r="G192" s="94"/>
    </row>
    <row r="193" spans="3:7" x14ac:dyDescent="0.25">
      <c r="C193" s="91"/>
      <c r="D193" s="91"/>
      <c r="E193" s="94"/>
      <c r="F193" s="94"/>
      <c r="G193" s="94"/>
    </row>
    <row r="194" spans="3:7" x14ac:dyDescent="0.25">
      <c r="C194" s="91"/>
      <c r="D194" s="91"/>
      <c r="E194" s="94"/>
      <c r="F194" s="94"/>
      <c r="G194" s="94"/>
    </row>
    <row r="195" spans="3:7" x14ac:dyDescent="0.25">
      <c r="C195" s="91"/>
      <c r="D195" s="91"/>
      <c r="E195" s="94"/>
      <c r="F195" s="94"/>
      <c r="G195" s="94"/>
    </row>
    <row r="196" spans="3:7" x14ac:dyDescent="0.25">
      <c r="C196" s="91"/>
      <c r="D196" s="91"/>
      <c r="E196" s="94"/>
      <c r="F196" s="94"/>
      <c r="G196" s="94"/>
    </row>
    <row r="197" spans="3:7" x14ac:dyDescent="0.25">
      <c r="C197" s="91"/>
      <c r="D197" s="91"/>
      <c r="E197" s="94"/>
      <c r="F197" s="94"/>
      <c r="G197" s="94"/>
    </row>
    <row r="198" spans="3:7" x14ac:dyDescent="0.25">
      <c r="C198" s="91"/>
      <c r="D198" s="91"/>
      <c r="E198" s="94"/>
      <c r="F198" s="94"/>
      <c r="G198" s="94"/>
    </row>
    <row r="199" spans="3:7" x14ac:dyDescent="0.25">
      <c r="C199" s="91"/>
      <c r="D199" s="91"/>
      <c r="E199" s="94"/>
      <c r="F199" s="94"/>
      <c r="G199" s="94"/>
    </row>
    <row r="200" spans="3:7" x14ac:dyDescent="0.25">
      <c r="C200" s="91"/>
      <c r="D200" s="91"/>
      <c r="E200" s="94"/>
      <c r="F200" s="94"/>
      <c r="G200" s="94"/>
    </row>
    <row r="201" spans="3:7" x14ac:dyDescent="0.25">
      <c r="C201" s="91"/>
      <c r="D201" s="91"/>
      <c r="E201" s="94"/>
      <c r="F201" s="94"/>
      <c r="G201" s="94"/>
    </row>
    <row r="202" spans="3:7" x14ac:dyDescent="0.25">
      <c r="C202" s="91"/>
      <c r="D202" s="91"/>
      <c r="E202" s="94"/>
      <c r="F202" s="94"/>
      <c r="G202" s="94"/>
    </row>
    <row r="203" spans="3:7" x14ac:dyDescent="0.25">
      <c r="C203" s="91"/>
      <c r="D203" s="91"/>
      <c r="E203" s="94"/>
      <c r="F203" s="94"/>
      <c r="G203" s="94"/>
    </row>
    <row r="204" spans="3:7" x14ac:dyDescent="0.25">
      <c r="C204" s="91"/>
      <c r="D204" s="91"/>
      <c r="E204" s="94"/>
      <c r="F204" s="94"/>
      <c r="G204" s="94"/>
    </row>
    <row r="205" spans="3:7" x14ac:dyDescent="0.25">
      <c r="C205" s="91"/>
      <c r="D205" s="91"/>
      <c r="E205" s="94"/>
      <c r="F205" s="94"/>
      <c r="G205" s="94"/>
    </row>
    <row r="206" spans="3:7" x14ac:dyDescent="0.25">
      <c r="C206" s="91"/>
      <c r="D206" s="91"/>
      <c r="E206" s="94"/>
      <c r="F206" s="94"/>
      <c r="G206" s="94"/>
    </row>
    <row r="207" spans="3:7" x14ac:dyDescent="0.25">
      <c r="C207" s="91"/>
      <c r="D207" s="91"/>
      <c r="E207" s="94"/>
      <c r="F207" s="94"/>
      <c r="G207" s="94"/>
    </row>
    <row r="208" spans="3:7" x14ac:dyDescent="0.25">
      <c r="C208" s="91"/>
      <c r="D208" s="91"/>
      <c r="E208" s="94"/>
      <c r="F208" s="94"/>
      <c r="G208" s="94"/>
    </row>
    <row r="209" spans="3:7" x14ac:dyDescent="0.25">
      <c r="C209" s="91"/>
      <c r="D209" s="91"/>
      <c r="E209" s="94"/>
      <c r="F209" s="94"/>
      <c r="G209" s="94"/>
    </row>
    <row r="210" spans="3:7" x14ac:dyDescent="0.25">
      <c r="C210" s="91"/>
      <c r="D210" s="91"/>
      <c r="E210" s="94"/>
      <c r="F210" s="94"/>
      <c r="G210" s="94"/>
    </row>
    <row r="211" spans="3:7" x14ac:dyDescent="0.25">
      <c r="C211" s="91"/>
      <c r="D211" s="91"/>
      <c r="E211" s="94"/>
      <c r="F211" s="94"/>
      <c r="G211" s="94"/>
    </row>
    <row r="212" spans="3:7" x14ac:dyDescent="0.25">
      <c r="C212" s="91"/>
      <c r="D212" s="91"/>
      <c r="E212" s="94"/>
      <c r="F212" s="94"/>
      <c r="G212" s="94"/>
    </row>
    <row r="213" spans="3:7" x14ac:dyDescent="0.25">
      <c r="C213" s="91"/>
      <c r="D213" s="91"/>
      <c r="E213" s="94"/>
      <c r="F213" s="94"/>
      <c r="G213" s="94"/>
    </row>
    <row r="214" spans="3:7" x14ac:dyDescent="0.25">
      <c r="C214" s="91"/>
      <c r="D214" s="91"/>
      <c r="E214" s="94"/>
      <c r="F214" s="94"/>
      <c r="G214" s="94"/>
    </row>
    <row r="215" spans="3:7" x14ac:dyDescent="0.25">
      <c r="C215" s="91"/>
      <c r="D215" s="91"/>
      <c r="E215" s="94"/>
      <c r="F215" s="94"/>
      <c r="G215" s="94"/>
    </row>
    <row r="216" spans="3:7" x14ac:dyDescent="0.25">
      <c r="C216" s="91"/>
      <c r="D216" s="91"/>
      <c r="E216" s="94"/>
      <c r="F216" s="94"/>
      <c r="G216" s="94"/>
    </row>
    <row r="217" spans="3:7" x14ac:dyDescent="0.25">
      <c r="C217" s="91"/>
      <c r="D217" s="91"/>
      <c r="E217" s="94"/>
      <c r="F217" s="94"/>
      <c r="G217" s="94"/>
    </row>
    <row r="218" spans="3:7" x14ac:dyDescent="0.25">
      <c r="C218" s="91"/>
      <c r="D218" s="91"/>
      <c r="E218" s="94"/>
      <c r="F218" s="94"/>
      <c r="G218" s="94"/>
    </row>
    <row r="219" spans="3:7" x14ac:dyDescent="0.25">
      <c r="C219" s="91"/>
      <c r="D219" s="91"/>
      <c r="E219" s="94"/>
      <c r="F219" s="94"/>
      <c r="G219" s="94"/>
    </row>
    <row r="220" spans="3:7" x14ac:dyDescent="0.25">
      <c r="C220" s="91"/>
      <c r="D220" s="91"/>
      <c r="E220" s="94"/>
      <c r="F220" s="94"/>
      <c r="G220" s="94"/>
    </row>
    <row r="221" spans="3:7" x14ac:dyDescent="0.25">
      <c r="C221" s="91"/>
      <c r="D221" s="91"/>
      <c r="E221" s="94"/>
      <c r="F221" s="94"/>
      <c r="G221" s="94"/>
    </row>
    <row r="222" spans="3:7" x14ac:dyDescent="0.25">
      <c r="C222" s="91"/>
      <c r="D222" s="91"/>
      <c r="E222" s="94"/>
      <c r="F222" s="94"/>
      <c r="G222" s="94"/>
    </row>
    <row r="223" spans="3:7" x14ac:dyDescent="0.25">
      <c r="C223" s="91"/>
      <c r="D223" s="91"/>
      <c r="E223" s="94"/>
      <c r="F223" s="94"/>
      <c r="G223" s="94"/>
    </row>
    <row r="224" spans="3:7" x14ac:dyDescent="0.25">
      <c r="C224" s="91"/>
      <c r="D224" s="91"/>
      <c r="E224" s="94"/>
      <c r="F224" s="94"/>
      <c r="G224" s="94"/>
    </row>
    <row r="225" spans="3:7" x14ac:dyDescent="0.25">
      <c r="C225" s="91"/>
      <c r="D225" s="91"/>
      <c r="E225" s="94"/>
      <c r="F225" s="94"/>
      <c r="G225" s="94"/>
    </row>
    <row r="226" spans="3:7" x14ac:dyDescent="0.25">
      <c r="C226" s="91"/>
      <c r="D226" s="91"/>
      <c r="E226" s="94"/>
      <c r="F226" s="94"/>
      <c r="G226" s="94"/>
    </row>
    <row r="227" spans="3:7" x14ac:dyDescent="0.25">
      <c r="C227" s="91"/>
      <c r="D227" s="91"/>
      <c r="E227" s="94"/>
      <c r="F227" s="94"/>
      <c r="G227" s="94"/>
    </row>
    <row r="228" spans="3:7" x14ac:dyDescent="0.25">
      <c r="C228" s="91"/>
      <c r="D228" s="91"/>
      <c r="E228" s="94"/>
      <c r="F228" s="94"/>
      <c r="G228" s="94"/>
    </row>
    <row r="229" spans="3:7" x14ac:dyDescent="0.25">
      <c r="C229" s="91"/>
      <c r="D229" s="91"/>
      <c r="E229" s="94"/>
      <c r="F229" s="94"/>
      <c r="G229" s="94"/>
    </row>
    <row r="230" spans="3:7" x14ac:dyDescent="0.25">
      <c r="C230" s="91"/>
      <c r="D230" s="91"/>
      <c r="E230" s="94"/>
      <c r="F230" s="94"/>
      <c r="G230" s="94"/>
    </row>
    <row r="231" spans="3:7" x14ac:dyDescent="0.25">
      <c r="C231" s="91"/>
      <c r="D231" s="91"/>
      <c r="E231" s="94"/>
      <c r="F231" s="94"/>
      <c r="G231" s="94"/>
    </row>
    <row r="232" spans="3:7" x14ac:dyDescent="0.25">
      <c r="C232" s="91"/>
      <c r="D232" s="91"/>
      <c r="E232" s="94"/>
      <c r="F232" s="94"/>
      <c r="G232" s="94"/>
    </row>
    <row r="233" spans="3:7" x14ac:dyDescent="0.25">
      <c r="C233" s="91"/>
      <c r="D233" s="91"/>
      <c r="E233" s="94"/>
      <c r="F233" s="94"/>
      <c r="G233" s="94"/>
    </row>
    <row r="234" spans="3:7" x14ac:dyDescent="0.25">
      <c r="C234" s="91"/>
      <c r="D234" s="91"/>
      <c r="E234" s="94"/>
      <c r="F234" s="94"/>
      <c r="G234" s="94"/>
    </row>
    <row r="235" spans="3:7" x14ac:dyDescent="0.25">
      <c r="C235" s="91"/>
      <c r="D235" s="91"/>
      <c r="E235" s="94"/>
      <c r="F235" s="94"/>
      <c r="G235" s="94"/>
    </row>
    <row r="236" spans="3:7" x14ac:dyDescent="0.25">
      <c r="C236" s="91"/>
      <c r="D236" s="91"/>
      <c r="E236" s="94"/>
      <c r="F236" s="94"/>
      <c r="G236" s="94"/>
    </row>
    <row r="237" spans="3:7" x14ac:dyDescent="0.25">
      <c r="C237" s="91"/>
      <c r="D237" s="91"/>
      <c r="E237" s="94"/>
      <c r="F237" s="94"/>
      <c r="G237" s="94"/>
    </row>
    <row r="238" spans="3:7" x14ac:dyDescent="0.25">
      <c r="C238" s="91"/>
      <c r="D238" s="91"/>
      <c r="E238" s="94"/>
      <c r="F238" s="94"/>
      <c r="G238" s="94"/>
    </row>
    <row r="239" spans="3:7" x14ac:dyDescent="0.25">
      <c r="C239" s="91"/>
      <c r="D239" s="91"/>
      <c r="E239" s="94"/>
      <c r="F239" s="94"/>
      <c r="G239" s="94"/>
    </row>
    <row r="240" spans="3:7" x14ac:dyDescent="0.25">
      <c r="C240" s="91"/>
      <c r="D240" s="91"/>
      <c r="E240" s="94"/>
      <c r="F240" s="94"/>
      <c r="G240" s="94"/>
    </row>
    <row r="241" spans="3:7" x14ac:dyDescent="0.25">
      <c r="C241" s="91"/>
      <c r="D241" s="91"/>
      <c r="E241" s="94"/>
      <c r="F241" s="94"/>
      <c r="G241" s="94"/>
    </row>
    <row r="242" spans="3:7" x14ac:dyDescent="0.25">
      <c r="C242" s="91"/>
      <c r="D242" s="91"/>
      <c r="E242" s="94"/>
      <c r="F242" s="94"/>
      <c r="G242" s="94"/>
    </row>
    <row r="243" spans="3:7" x14ac:dyDescent="0.25">
      <c r="C243" s="91"/>
      <c r="D243" s="91"/>
      <c r="E243" s="94"/>
      <c r="F243" s="94"/>
      <c r="G243" s="94"/>
    </row>
    <row r="244" spans="3:7" x14ac:dyDescent="0.25">
      <c r="C244" s="91"/>
      <c r="D244" s="91"/>
      <c r="E244" s="94"/>
      <c r="F244" s="94"/>
      <c r="G244" s="94"/>
    </row>
    <row r="245" spans="3:7" x14ac:dyDescent="0.25">
      <c r="C245" s="91"/>
      <c r="D245" s="91"/>
      <c r="E245" s="94"/>
      <c r="F245" s="94"/>
      <c r="G245" s="94"/>
    </row>
    <row r="246" spans="3:7" x14ac:dyDescent="0.25">
      <c r="C246" s="91"/>
      <c r="D246" s="91"/>
      <c r="E246" s="94"/>
      <c r="F246" s="94"/>
      <c r="G246" s="94"/>
    </row>
    <row r="247" spans="3:7" x14ac:dyDescent="0.25">
      <c r="C247" s="91"/>
      <c r="D247" s="91"/>
      <c r="E247" s="94"/>
      <c r="F247" s="94"/>
      <c r="G247" s="94"/>
    </row>
    <row r="248" spans="3:7" x14ac:dyDescent="0.25">
      <c r="C248" s="91"/>
      <c r="D248" s="91"/>
      <c r="E248" s="94"/>
      <c r="F248" s="94"/>
      <c r="G248" s="94"/>
    </row>
    <row r="249" spans="3:7" x14ac:dyDescent="0.25">
      <c r="C249" s="91"/>
      <c r="D249" s="91"/>
      <c r="E249" s="94"/>
      <c r="F249" s="94"/>
      <c r="G249" s="94"/>
    </row>
    <row r="250" spans="3:7" x14ac:dyDescent="0.25">
      <c r="C250" s="91"/>
      <c r="D250" s="91"/>
      <c r="E250" s="94"/>
      <c r="F250" s="94"/>
      <c r="G250" s="94"/>
    </row>
    <row r="251" spans="3:7" x14ac:dyDescent="0.25">
      <c r="C251" s="91"/>
      <c r="D251" s="91"/>
      <c r="E251" s="94"/>
      <c r="F251" s="94"/>
      <c r="G251" s="94"/>
    </row>
    <row r="252" spans="3:7" x14ac:dyDescent="0.25">
      <c r="C252" s="91"/>
      <c r="D252" s="91"/>
      <c r="E252" s="94"/>
      <c r="F252" s="94"/>
      <c r="G252" s="94"/>
    </row>
    <row r="253" spans="3:7" x14ac:dyDescent="0.25">
      <c r="C253" s="91"/>
      <c r="D253" s="91"/>
      <c r="E253" s="94"/>
      <c r="F253" s="94"/>
      <c r="G253" s="94"/>
    </row>
    <row r="254" spans="3:7" x14ac:dyDescent="0.25">
      <c r="C254" s="91"/>
      <c r="D254" s="91"/>
      <c r="E254" s="94"/>
      <c r="F254" s="94"/>
      <c r="G254" s="94"/>
    </row>
    <row r="255" spans="3:7" x14ac:dyDescent="0.25">
      <c r="C255" s="91"/>
      <c r="D255" s="91"/>
      <c r="E255" s="94"/>
      <c r="F255" s="94"/>
      <c r="G255" s="94"/>
    </row>
    <row r="256" spans="3:7" x14ac:dyDescent="0.25">
      <c r="C256" s="91"/>
      <c r="D256" s="91"/>
      <c r="E256" s="94"/>
      <c r="F256" s="94"/>
      <c r="G256" s="94"/>
    </row>
    <row r="257" spans="3:7" x14ac:dyDescent="0.25">
      <c r="C257" s="91"/>
      <c r="D257" s="91"/>
      <c r="E257" s="94"/>
      <c r="F257" s="94"/>
      <c r="G257" s="94"/>
    </row>
    <row r="258" spans="3:7" x14ac:dyDescent="0.25">
      <c r="C258" s="91"/>
      <c r="D258" s="91"/>
      <c r="E258" s="94"/>
      <c r="F258" s="94"/>
      <c r="G258" s="94"/>
    </row>
    <row r="259" spans="3:7" x14ac:dyDescent="0.25">
      <c r="C259" s="91"/>
      <c r="D259" s="91"/>
      <c r="E259" s="94"/>
      <c r="F259" s="94"/>
      <c r="G259" s="94"/>
    </row>
    <row r="260" spans="3:7" x14ac:dyDescent="0.25">
      <c r="C260" s="91"/>
      <c r="D260" s="91"/>
      <c r="E260" s="94"/>
      <c r="F260" s="94"/>
      <c r="G260" s="94"/>
    </row>
    <row r="261" spans="3:7" x14ac:dyDescent="0.25">
      <c r="C261" s="91"/>
      <c r="D261" s="91"/>
      <c r="E261" s="94"/>
      <c r="F261" s="94"/>
      <c r="G261" s="94"/>
    </row>
    <row r="262" spans="3:7" x14ac:dyDescent="0.25">
      <c r="C262" s="91"/>
      <c r="D262" s="91"/>
      <c r="E262" s="94"/>
      <c r="F262" s="94"/>
      <c r="G262" s="94"/>
    </row>
    <row r="263" spans="3:7" x14ac:dyDescent="0.25">
      <c r="C263" s="91"/>
      <c r="D263" s="91"/>
      <c r="E263" s="94"/>
      <c r="F263" s="94"/>
      <c r="G263" s="94"/>
    </row>
    <row r="264" spans="3:7" x14ac:dyDescent="0.25">
      <c r="C264" s="91"/>
      <c r="D264" s="91"/>
      <c r="E264" s="94"/>
      <c r="F264" s="94"/>
      <c r="G264" s="94"/>
    </row>
    <row r="265" spans="3:7" x14ac:dyDescent="0.25">
      <c r="C265" s="91"/>
      <c r="D265" s="91"/>
      <c r="E265" s="94"/>
      <c r="F265" s="94"/>
      <c r="G265" s="94"/>
    </row>
    <row r="266" spans="3:7" x14ac:dyDescent="0.25">
      <c r="C266" s="91"/>
      <c r="D266" s="91"/>
      <c r="E266" s="94"/>
      <c r="F266" s="94"/>
      <c r="G266" s="94"/>
    </row>
    <row r="267" spans="3:7" x14ac:dyDescent="0.25">
      <c r="C267" s="91"/>
      <c r="D267" s="91"/>
      <c r="E267" s="94"/>
      <c r="F267" s="94"/>
      <c r="G267" s="94"/>
    </row>
    <row r="268" spans="3:7" x14ac:dyDescent="0.25">
      <c r="C268" s="91"/>
      <c r="D268" s="91"/>
      <c r="E268" s="94"/>
      <c r="F268" s="94"/>
      <c r="G268" s="94"/>
    </row>
    <row r="269" spans="3:7" x14ac:dyDescent="0.25">
      <c r="C269" s="91"/>
      <c r="D269" s="91"/>
      <c r="E269" s="94"/>
      <c r="F269" s="94"/>
      <c r="G269" s="94"/>
    </row>
    <row r="270" spans="3:7" x14ac:dyDescent="0.25">
      <c r="C270" s="91"/>
      <c r="D270" s="91"/>
      <c r="E270" s="94"/>
      <c r="F270" s="94"/>
      <c r="G270" s="94"/>
    </row>
    <row r="271" spans="3:7" x14ac:dyDescent="0.25">
      <c r="C271" s="91"/>
      <c r="D271" s="91"/>
      <c r="E271" s="94"/>
      <c r="F271" s="94"/>
      <c r="G271" s="94"/>
    </row>
    <row r="272" spans="3:7" x14ac:dyDescent="0.25">
      <c r="C272" s="91"/>
      <c r="D272" s="91"/>
      <c r="E272" s="94"/>
      <c r="F272" s="94"/>
      <c r="G272" s="94"/>
    </row>
    <row r="273" spans="3:7" x14ac:dyDescent="0.25">
      <c r="C273" s="91"/>
      <c r="D273" s="91"/>
      <c r="E273" s="94"/>
      <c r="F273" s="94"/>
      <c r="G273" s="94"/>
    </row>
    <row r="274" spans="3:7" x14ac:dyDescent="0.25">
      <c r="C274" s="91"/>
      <c r="D274" s="91"/>
      <c r="E274" s="94"/>
      <c r="F274" s="94"/>
      <c r="G274" s="94"/>
    </row>
    <row r="275" spans="3:7" x14ac:dyDescent="0.25">
      <c r="C275" s="91"/>
      <c r="D275" s="91"/>
      <c r="E275" s="94"/>
      <c r="F275" s="94"/>
      <c r="G275" s="94"/>
    </row>
    <row r="276" spans="3:7" x14ac:dyDescent="0.25">
      <c r="C276" s="91"/>
      <c r="D276" s="91"/>
      <c r="E276" s="94"/>
      <c r="F276" s="94"/>
      <c r="G276" s="94"/>
    </row>
    <row r="277" spans="3:7" x14ac:dyDescent="0.25">
      <c r="C277" s="91"/>
      <c r="D277" s="91"/>
      <c r="E277" s="94"/>
      <c r="F277" s="94"/>
      <c r="G277" s="94"/>
    </row>
    <row r="278" spans="3:7" x14ac:dyDescent="0.25">
      <c r="C278" s="91"/>
      <c r="D278" s="91"/>
      <c r="E278" s="94"/>
      <c r="F278" s="94"/>
      <c r="G278" s="94"/>
    </row>
    <row r="279" spans="3:7" x14ac:dyDescent="0.25">
      <c r="C279" s="91"/>
      <c r="D279" s="91"/>
      <c r="E279" s="94"/>
      <c r="F279" s="94"/>
      <c r="G279" s="94"/>
    </row>
    <row r="280" spans="3:7" x14ac:dyDescent="0.25">
      <c r="C280" s="91"/>
      <c r="D280" s="91"/>
      <c r="E280" s="94"/>
      <c r="F280" s="94"/>
      <c r="G280" s="94"/>
    </row>
    <row r="281" spans="3:7" x14ac:dyDescent="0.25">
      <c r="C281" s="91"/>
      <c r="D281" s="91"/>
      <c r="E281" s="94"/>
      <c r="F281" s="94"/>
      <c r="G281" s="94"/>
    </row>
    <row r="282" spans="3:7" x14ac:dyDescent="0.25">
      <c r="C282" s="91"/>
      <c r="D282" s="91"/>
      <c r="E282" s="94"/>
      <c r="F282" s="94"/>
      <c r="G282" s="94"/>
    </row>
    <row r="283" spans="3:7" x14ac:dyDescent="0.25">
      <c r="C283" s="91"/>
      <c r="D283" s="91"/>
      <c r="E283" s="94"/>
      <c r="F283" s="94"/>
      <c r="G283" s="94"/>
    </row>
    <row r="284" spans="3:7" x14ac:dyDescent="0.25">
      <c r="C284" s="91"/>
      <c r="D284" s="91"/>
      <c r="E284" s="94"/>
      <c r="F284" s="94"/>
      <c r="G284" s="94"/>
    </row>
    <row r="285" spans="3:7" x14ac:dyDescent="0.25">
      <c r="C285" s="91"/>
      <c r="D285" s="91"/>
      <c r="E285" s="94"/>
      <c r="F285" s="94"/>
      <c r="G285" s="94"/>
    </row>
    <row r="286" spans="3:7" x14ac:dyDescent="0.25">
      <c r="C286" s="91"/>
      <c r="D286" s="91"/>
      <c r="E286" s="94"/>
      <c r="F286" s="94"/>
      <c r="G286" s="94"/>
    </row>
    <row r="287" spans="3:7" x14ac:dyDescent="0.25">
      <c r="C287" s="91"/>
      <c r="D287" s="91"/>
      <c r="E287" s="94"/>
      <c r="F287" s="94"/>
      <c r="G287" s="94"/>
    </row>
    <row r="288" spans="3:7" x14ac:dyDescent="0.25">
      <c r="C288" s="91"/>
      <c r="D288" s="91"/>
      <c r="E288" s="94"/>
      <c r="F288" s="94"/>
      <c r="G288" s="94"/>
    </row>
    <row r="289" spans="3:7" x14ac:dyDescent="0.25">
      <c r="C289" s="91"/>
      <c r="D289" s="91"/>
      <c r="E289" s="94"/>
      <c r="F289" s="94"/>
      <c r="G289" s="94"/>
    </row>
    <row r="290" spans="3:7" x14ac:dyDescent="0.25">
      <c r="C290" s="91"/>
      <c r="D290" s="91"/>
      <c r="E290" s="94"/>
      <c r="F290" s="94"/>
      <c r="G290" s="94"/>
    </row>
    <row r="291" spans="3:7" x14ac:dyDescent="0.25">
      <c r="C291" s="91"/>
      <c r="D291" s="91"/>
      <c r="E291" s="94"/>
      <c r="F291" s="94"/>
      <c r="G291" s="94"/>
    </row>
    <row r="292" spans="3:7" x14ac:dyDescent="0.25">
      <c r="C292" s="91"/>
      <c r="D292" s="91"/>
      <c r="E292" s="94"/>
      <c r="F292" s="94"/>
      <c r="G292" s="94"/>
    </row>
    <row r="293" spans="3:7" x14ac:dyDescent="0.25">
      <c r="C293" s="91"/>
      <c r="D293" s="91"/>
      <c r="E293" s="94"/>
      <c r="F293" s="94"/>
      <c r="G293" s="94"/>
    </row>
    <row r="294" spans="3:7" x14ac:dyDescent="0.25">
      <c r="C294" s="91"/>
      <c r="D294" s="91"/>
      <c r="E294" s="94"/>
      <c r="F294" s="94"/>
      <c r="G294" s="94"/>
    </row>
    <row r="295" spans="3:7" x14ac:dyDescent="0.25">
      <c r="C295" s="91"/>
      <c r="D295" s="91"/>
      <c r="E295" s="94"/>
      <c r="F295" s="94"/>
      <c r="G295" s="94"/>
    </row>
    <row r="296" spans="3:7" x14ac:dyDescent="0.25">
      <c r="C296" s="91"/>
      <c r="D296" s="91"/>
      <c r="E296" s="94"/>
      <c r="F296" s="94"/>
      <c r="G296" s="94"/>
    </row>
    <row r="297" spans="3:7" x14ac:dyDescent="0.25">
      <c r="C297" s="91"/>
      <c r="D297" s="91"/>
      <c r="E297" s="94"/>
      <c r="F297" s="94"/>
      <c r="G297" s="94"/>
    </row>
    <row r="298" spans="3:7" x14ac:dyDescent="0.25">
      <c r="C298" s="91"/>
      <c r="D298" s="91"/>
      <c r="E298" s="94"/>
      <c r="F298" s="94"/>
      <c r="G298" s="94"/>
    </row>
    <row r="299" spans="3:7" x14ac:dyDescent="0.25">
      <c r="C299" s="91"/>
      <c r="D299" s="91"/>
      <c r="E299" s="94"/>
      <c r="F299" s="94"/>
      <c r="G299" s="94"/>
    </row>
    <row r="300" spans="3:7" x14ac:dyDescent="0.25">
      <c r="C300" s="91"/>
      <c r="D300" s="91"/>
      <c r="E300" s="94"/>
      <c r="F300" s="94"/>
      <c r="G300" s="94"/>
    </row>
    <row r="301" spans="3:7" x14ac:dyDescent="0.25">
      <c r="C301" s="91"/>
      <c r="D301" s="91"/>
      <c r="E301" s="94"/>
      <c r="F301" s="94"/>
      <c r="G301" s="94"/>
    </row>
    <row r="302" spans="3:7" x14ac:dyDescent="0.25">
      <c r="C302" s="91"/>
      <c r="D302" s="91"/>
      <c r="E302" s="94"/>
      <c r="F302" s="94"/>
      <c r="G302" s="94"/>
    </row>
    <row r="303" spans="3:7" x14ac:dyDescent="0.25">
      <c r="C303" s="91"/>
      <c r="D303" s="91"/>
      <c r="E303" s="94"/>
      <c r="F303" s="94"/>
      <c r="G303" s="94"/>
    </row>
    <row r="304" spans="3:7" x14ac:dyDescent="0.25">
      <c r="C304" s="91"/>
      <c r="D304" s="91"/>
      <c r="E304" s="94"/>
      <c r="F304" s="94"/>
      <c r="G304" s="94"/>
    </row>
    <row r="305" spans="3:7" x14ac:dyDescent="0.25">
      <c r="C305" s="91"/>
      <c r="D305" s="91"/>
      <c r="E305" s="94"/>
      <c r="F305" s="94"/>
      <c r="G305" s="94"/>
    </row>
    <row r="306" spans="3:7" x14ac:dyDescent="0.25">
      <c r="C306" s="91"/>
      <c r="D306" s="91"/>
      <c r="E306" s="94"/>
      <c r="F306" s="94"/>
      <c r="G306" s="94"/>
    </row>
    <row r="307" spans="3:7" x14ac:dyDescent="0.25">
      <c r="C307" s="91"/>
      <c r="D307" s="91"/>
      <c r="E307" s="94"/>
      <c r="F307" s="94"/>
      <c r="G307" s="94"/>
    </row>
    <row r="308" spans="3:7" x14ac:dyDescent="0.25">
      <c r="C308" s="91"/>
      <c r="D308" s="91"/>
      <c r="E308" s="94"/>
      <c r="F308" s="94"/>
      <c r="G308" s="94"/>
    </row>
    <row r="309" spans="3:7" x14ac:dyDescent="0.25">
      <c r="C309" s="91"/>
      <c r="D309" s="91"/>
      <c r="E309" s="94"/>
      <c r="F309" s="94"/>
      <c r="G309" s="94"/>
    </row>
    <row r="310" spans="3:7" x14ac:dyDescent="0.25">
      <c r="C310" s="91"/>
      <c r="D310" s="91"/>
      <c r="E310" s="94"/>
      <c r="F310" s="94"/>
      <c r="G310" s="94"/>
    </row>
    <row r="311" spans="3:7" x14ac:dyDescent="0.25">
      <c r="C311" s="91"/>
      <c r="D311" s="91"/>
      <c r="E311" s="94"/>
      <c r="F311" s="94"/>
      <c r="G311" s="94"/>
    </row>
    <row r="312" spans="3:7" x14ac:dyDescent="0.25">
      <c r="C312" s="91"/>
      <c r="D312" s="91"/>
      <c r="E312" s="94"/>
      <c r="F312" s="94"/>
      <c r="G312" s="94"/>
    </row>
    <row r="313" spans="3:7" x14ac:dyDescent="0.25">
      <c r="C313" s="91"/>
      <c r="D313" s="91"/>
      <c r="E313" s="94"/>
      <c r="F313" s="94"/>
      <c r="G313" s="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Realistic Answer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2013-12-20T19:34:44Z</dcterms:created>
  <dcterms:modified xsi:type="dcterms:W3CDTF">2019-07-31T21:44:10Z</dcterms:modified>
</cp:coreProperties>
</file>