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60" windowWidth="15600" windowHeight="9240"/>
  </bookViews>
  <sheets>
    <sheet name="PapaMurphys" sheetId="1" r:id="rId1"/>
    <sheet name="Mortgage" sheetId="2" r:id="rId2"/>
    <sheet name="OutsideNumber" sheetId="3" r:id="rId3"/>
    <sheet name="Optimistic" sheetId="5" r:id="rId4"/>
    <sheet name="Bankruptcy" sheetId="6" r:id="rId5"/>
  </sheets>
  <calcPr calcId="145621"/>
</workbook>
</file>

<file path=xl/calcChain.xml><?xml version="1.0" encoding="utf-8"?>
<calcChain xmlns="http://schemas.openxmlformats.org/spreadsheetml/2006/main">
  <c r="C144" i="6" l="1"/>
  <c r="D144" i="6"/>
  <c r="E144" i="6"/>
  <c r="F144" i="6"/>
  <c r="B145" i="6" s="1"/>
  <c r="G144" i="6"/>
  <c r="H144" i="6"/>
  <c r="B144" i="6"/>
  <c r="D142" i="6"/>
  <c r="E142" i="6"/>
  <c r="F142" i="6"/>
  <c r="G142" i="6"/>
  <c r="C142" i="6"/>
  <c r="D141" i="6"/>
  <c r="E141" i="6"/>
  <c r="F141" i="6"/>
  <c r="G141" i="6"/>
  <c r="C141" i="6"/>
  <c r="H143" i="6"/>
  <c r="B154" i="6"/>
  <c r="C153" i="6"/>
  <c r="D153" i="6"/>
  <c r="E153" i="6"/>
  <c r="F153" i="6"/>
  <c r="G153" i="6"/>
  <c r="H153" i="6"/>
  <c r="B153" i="6"/>
  <c r="H152" i="6"/>
  <c r="D150" i="6"/>
  <c r="E150" i="6"/>
  <c r="F150" i="6"/>
  <c r="G150" i="6"/>
  <c r="D151" i="6"/>
  <c r="E151" i="6"/>
  <c r="F151" i="6"/>
  <c r="G151" i="6"/>
  <c r="H151" i="6"/>
  <c r="C151" i="6"/>
  <c r="C150" i="6"/>
  <c r="B149" i="6"/>
  <c r="B140" i="6"/>
  <c r="K94" i="6"/>
  <c r="K93" i="6"/>
  <c r="N90" i="6"/>
  <c r="N89" i="6"/>
  <c r="M90" i="6"/>
  <c r="M89" i="6"/>
  <c r="L91" i="6"/>
  <c r="L90" i="6"/>
  <c r="L89" i="6"/>
  <c r="K89" i="6"/>
  <c r="O89" i="6" s="1"/>
  <c r="J90" i="6"/>
  <c r="J89" i="6"/>
  <c r="J87" i="6"/>
  <c r="L87" i="6"/>
  <c r="L86" i="6"/>
  <c r="L85" i="6"/>
  <c r="L81" i="6"/>
  <c r="J81" i="6"/>
  <c r="J77" i="6"/>
  <c r="J76" i="6"/>
  <c r="J75" i="6"/>
  <c r="L73" i="6"/>
  <c r="L72" i="6"/>
  <c r="L70" i="6"/>
  <c r="B134" i="1"/>
  <c r="H122" i="6"/>
  <c r="G122" i="6"/>
  <c r="F122" i="6"/>
  <c r="E122" i="6"/>
  <c r="D122" i="6"/>
  <c r="C122" i="6"/>
  <c r="C120" i="6"/>
  <c r="B115" i="6"/>
  <c r="P114" i="6"/>
  <c r="P115" i="6" s="1"/>
  <c r="B113" i="6"/>
  <c r="B131" i="6" s="1"/>
  <c r="P100" i="6"/>
  <c r="C93" i="6"/>
  <c r="Q92" i="6"/>
  <c r="R92" i="6" s="1"/>
  <c r="O92" i="6"/>
  <c r="R89" i="6"/>
  <c r="Q89" i="6"/>
  <c r="Q88" i="6"/>
  <c r="H88" i="6"/>
  <c r="G88" i="6"/>
  <c r="F88" i="6"/>
  <c r="O88" i="6" s="1"/>
  <c r="E88" i="6"/>
  <c r="D88" i="6"/>
  <c r="C88" i="6"/>
  <c r="Q83" i="6"/>
  <c r="D79" i="6"/>
  <c r="C78" i="6"/>
  <c r="H77" i="6"/>
  <c r="G77" i="6"/>
  <c r="F77" i="6"/>
  <c r="E77" i="6"/>
  <c r="D77" i="6"/>
  <c r="C77" i="6"/>
  <c r="E76" i="6"/>
  <c r="F76" i="6" s="1"/>
  <c r="G76" i="6" s="1"/>
  <c r="H76" i="6" s="1"/>
  <c r="D76" i="6"/>
  <c r="C73" i="6"/>
  <c r="D72" i="6"/>
  <c r="H62" i="6"/>
  <c r="G62" i="6"/>
  <c r="F62" i="6"/>
  <c r="E62" i="6"/>
  <c r="D62" i="6"/>
  <c r="C62" i="6"/>
  <c r="H61" i="6"/>
  <c r="G61" i="6"/>
  <c r="F61" i="6"/>
  <c r="E61" i="6"/>
  <c r="D61" i="6"/>
  <c r="C61" i="6"/>
  <c r="H59" i="6"/>
  <c r="G59" i="6"/>
  <c r="F59" i="6"/>
  <c r="E59" i="6"/>
  <c r="D59" i="6"/>
  <c r="C59" i="6"/>
  <c r="C79" i="6" s="1"/>
  <c r="D58" i="6"/>
  <c r="C58" i="6"/>
  <c r="C105" i="6" s="1"/>
  <c r="C109" i="6" s="1"/>
  <c r="C53" i="6"/>
  <c r="B33" i="6"/>
  <c r="P101" i="6" s="1"/>
  <c r="C32" i="6"/>
  <c r="D32" i="6" s="1"/>
  <c r="E32" i="6" s="1"/>
  <c r="F32" i="6" s="1"/>
  <c r="G32" i="6" s="1"/>
  <c r="H32" i="6" s="1"/>
  <c r="D31" i="6"/>
  <c r="E31" i="6" s="1"/>
  <c r="F31" i="6" s="1"/>
  <c r="G31" i="6" s="1"/>
  <c r="H31" i="6" s="1"/>
  <c r="C31" i="6"/>
  <c r="C30" i="6"/>
  <c r="D30" i="6" s="1"/>
  <c r="C22" i="6"/>
  <c r="C19" i="6"/>
  <c r="D19" i="6" s="1"/>
  <c r="E19" i="6" s="1"/>
  <c r="F19" i="6" s="1"/>
  <c r="G19" i="6" s="1"/>
  <c r="H19" i="6" s="1"/>
  <c r="D18" i="6"/>
  <c r="E18" i="6" s="1"/>
  <c r="F18" i="6" s="1"/>
  <c r="G18" i="6" s="1"/>
  <c r="H18" i="6" s="1"/>
  <c r="C18" i="6"/>
  <c r="D17" i="6"/>
  <c r="E17" i="6" s="1"/>
  <c r="F17" i="6" s="1"/>
  <c r="G17" i="6" s="1"/>
  <c r="H17" i="6" s="1"/>
  <c r="C17" i="6"/>
  <c r="F16" i="6"/>
  <c r="G16" i="6" s="1"/>
  <c r="H16" i="6" s="1"/>
  <c r="D16" i="6"/>
  <c r="E16" i="6" s="1"/>
  <c r="C16" i="6"/>
  <c r="E15" i="6"/>
  <c r="C15" i="6"/>
  <c r="D15" i="6" s="1"/>
  <c r="E14" i="6"/>
  <c r="F14" i="6" s="1"/>
  <c r="G14" i="6" s="1"/>
  <c r="H14" i="6" s="1"/>
  <c r="D14" i="6"/>
  <c r="G13" i="6"/>
  <c r="H13" i="6" s="1"/>
  <c r="D13" i="6"/>
  <c r="E13" i="6" s="1"/>
  <c r="F13" i="6" s="1"/>
  <c r="E12" i="6"/>
  <c r="F12" i="6" s="1"/>
  <c r="G12" i="6" s="1"/>
  <c r="H12" i="6" s="1"/>
  <c r="D12" i="6"/>
  <c r="D11" i="6"/>
  <c r="E11" i="6" s="1"/>
  <c r="F11" i="6" s="1"/>
  <c r="G11" i="6" s="1"/>
  <c r="H11" i="6" s="1"/>
  <c r="F10" i="6"/>
  <c r="G10" i="6" s="1"/>
  <c r="H10" i="6" s="1"/>
  <c r="E10" i="6"/>
  <c r="D10" i="6"/>
  <c r="C9" i="6"/>
  <c r="C25" i="6" s="1"/>
  <c r="C8" i="6"/>
  <c r="C7" i="6"/>
  <c r="C23" i="6" s="1"/>
  <c r="E6" i="6"/>
  <c r="D6" i="6"/>
  <c r="C6" i="6"/>
  <c r="C5" i="6"/>
  <c r="C47" i="6" s="1"/>
  <c r="B5" i="6"/>
  <c r="E72" i="1"/>
  <c r="F72" i="1" s="1"/>
  <c r="G72" i="1" s="1"/>
  <c r="H72" i="1" s="1"/>
  <c r="I72" i="1" s="1"/>
  <c r="J72" i="1" s="1"/>
  <c r="K72" i="1" s="1"/>
  <c r="L72" i="1" s="1"/>
  <c r="M72" i="1" s="1"/>
  <c r="D72" i="1"/>
  <c r="M19" i="5"/>
  <c r="M17" i="5"/>
  <c r="P19" i="5"/>
  <c r="P14" i="5"/>
  <c r="P16" i="5"/>
  <c r="M14" i="5"/>
  <c r="O5" i="5"/>
  <c r="M16" i="5"/>
  <c r="P17" i="5" s="1"/>
  <c r="P114" i="1"/>
  <c r="M114" i="1"/>
  <c r="C39" i="5"/>
  <c r="B39" i="5"/>
  <c r="B133" i="1"/>
  <c r="C37" i="5"/>
  <c r="B37" i="5"/>
  <c r="M10" i="5"/>
  <c r="C10" i="5"/>
  <c r="M8" i="5"/>
  <c r="C8" i="5"/>
  <c r="M7" i="5"/>
  <c r="D7" i="5"/>
  <c r="D8" i="5" s="1"/>
  <c r="D10" i="5" s="1"/>
  <c r="D37" i="5" s="1"/>
  <c r="E7" i="5"/>
  <c r="E8" i="5" s="1"/>
  <c r="E10" i="5" s="1"/>
  <c r="E37" i="5" s="1"/>
  <c r="E39" i="5" s="1"/>
  <c r="F7" i="5"/>
  <c r="F8" i="5" s="1"/>
  <c r="F10" i="5" s="1"/>
  <c r="F37" i="5" s="1"/>
  <c r="F39" i="5" s="1"/>
  <c r="G7" i="5"/>
  <c r="G8" i="5" s="1"/>
  <c r="G10" i="5" s="1"/>
  <c r="G37" i="5" s="1"/>
  <c r="G39" i="5" s="1"/>
  <c r="H7" i="5"/>
  <c r="H8" i="5" s="1"/>
  <c r="H10" i="5" s="1"/>
  <c r="H37" i="5" s="1"/>
  <c r="H39" i="5" s="1"/>
  <c r="I7" i="5"/>
  <c r="I8" i="5" s="1"/>
  <c r="I10" i="5" s="1"/>
  <c r="I37" i="5" s="1"/>
  <c r="I39" i="5" s="1"/>
  <c r="J7" i="5"/>
  <c r="J8" i="5" s="1"/>
  <c r="J10" i="5" s="1"/>
  <c r="J37" i="5" s="1"/>
  <c r="J39" i="5" s="1"/>
  <c r="K7" i="5"/>
  <c r="K8" i="5" s="1"/>
  <c r="K10" i="5" s="1"/>
  <c r="K37" i="5" s="1"/>
  <c r="K39" i="5" s="1"/>
  <c r="L7" i="5"/>
  <c r="L8" i="5" s="1"/>
  <c r="L10" i="5" s="1"/>
  <c r="L37" i="5" s="1"/>
  <c r="L39" i="5" s="1"/>
  <c r="C7" i="5"/>
  <c r="D6" i="5"/>
  <c r="E6" i="5"/>
  <c r="F6" i="5"/>
  <c r="G6" i="5"/>
  <c r="H6" i="5"/>
  <c r="I6" i="5"/>
  <c r="J6" i="5"/>
  <c r="K6" i="5"/>
  <c r="L6" i="5"/>
  <c r="M6" i="5"/>
  <c r="C6" i="5"/>
  <c r="E22" i="6" l="1"/>
  <c r="F6" i="6"/>
  <c r="D5" i="6"/>
  <c r="D51" i="6"/>
  <c r="B133" i="6"/>
  <c r="E58" i="6"/>
  <c r="D105" i="6"/>
  <c r="D109" i="6" s="1"/>
  <c r="R88" i="6"/>
  <c r="D9" i="6"/>
  <c r="D47" i="6"/>
  <c r="C21" i="6"/>
  <c r="C51" i="6"/>
  <c r="D22" i="6"/>
  <c r="C24" i="6"/>
  <c r="D8" i="6"/>
  <c r="F15" i="6"/>
  <c r="E30" i="6"/>
  <c r="D120" i="6"/>
  <c r="E72" i="6"/>
  <c r="C121" i="6"/>
  <c r="D73" i="6"/>
  <c r="C81" i="6"/>
  <c r="D7" i="6"/>
  <c r="E79" i="6"/>
  <c r="F79" i="6" s="1"/>
  <c r="G79" i="6" s="1"/>
  <c r="H79" i="6" s="1"/>
  <c r="D78" i="6"/>
  <c r="M37" i="5"/>
  <c r="M39" i="5" s="1"/>
  <c r="P15" i="5"/>
  <c r="D39" i="5"/>
  <c r="B33" i="1"/>
  <c r="M73" i="1"/>
  <c r="L73" i="1"/>
  <c r="K73" i="1"/>
  <c r="J73" i="1"/>
  <c r="I73" i="1"/>
  <c r="H73" i="1"/>
  <c r="G73" i="1"/>
  <c r="E73" i="1"/>
  <c r="F73" i="1" s="1"/>
  <c r="D73" i="1"/>
  <c r="E105" i="6" l="1"/>
  <c r="E109" i="6" s="1"/>
  <c r="F58" i="6"/>
  <c r="E73" i="6"/>
  <c r="D121" i="6"/>
  <c r="F30" i="6"/>
  <c r="E51" i="6"/>
  <c r="D25" i="6"/>
  <c r="E9" i="6"/>
  <c r="D21" i="6"/>
  <c r="E5" i="6"/>
  <c r="D23" i="6"/>
  <c r="E7" i="6"/>
  <c r="G15" i="6"/>
  <c r="D81" i="6"/>
  <c r="E78" i="6"/>
  <c r="E120" i="6"/>
  <c r="F72" i="6"/>
  <c r="D24" i="6"/>
  <c r="E8" i="6"/>
  <c r="C46" i="6"/>
  <c r="F22" i="6"/>
  <c r="G6" i="6"/>
  <c r="B42" i="5"/>
  <c r="F120" i="6" l="1"/>
  <c r="G72" i="6"/>
  <c r="C54" i="6"/>
  <c r="C52" i="6"/>
  <c r="C56" i="6"/>
  <c r="H15" i="6"/>
  <c r="E121" i="6"/>
  <c r="F73" i="6"/>
  <c r="G73" i="6"/>
  <c r="H6" i="6"/>
  <c r="G22" i="6"/>
  <c r="E24" i="6"/>
  <c r="F8" i="6"/>
  <c r="F78" i="6"/>
  <c r="E81" i="6"/>
  <c r="D46" i="6"/>
  <c r="G58" i="6"/>
  <c r="F105" i="6"/>
  <c r="F109" i="6" s="1"/>
  <c r="E25" i="6"/>
  <c r="F9" i="6"/>
  <c r="E21" i="6"/>
  <c r="F5" i="6"/>
  <c r="E47" i="6"/>
  <c r="E23" i="6"/>
  <c r="F7" i="6"/>
  <c r="F51" i="6"/>
  <c r="G30" i="6"/>
  <c r="B115" i="1"/>
  <c r="B113" i="1"/>
  <c r="C64" i="6" l="1"/>
  <c r="C104" i="6"/>
  <c r="C106" i="6" s="1"/>
  <c r="F81" i="6"/>
  <c r="G78" i="6"/>
  <c r="E46" i="6"/>
  <c r="G105" i="6"/>
  <c r="G109" i="6" s="1"/>
  <c r="H58" i="6"/>
  <c r="G8" i="6"/>
  <c r="F24" i="6"/>
  <c r="H73" i="6"/>
  <c r="H121" i="6" s="1"/>
  <c r="F121" i="6"/>
  <c r="G7" i="6"/>
  <c r="F23" i="6"/>
  <c r="F21" i="6"/>
  <c r="G5" i="6"/>
  <c r="F47" i="6"/>
  <c r="H22" i="6"/>
  <c r="H30" i="6"/>
  <c r="G51" i="6"/>
  <c r="F25" i="6"/>
  <c r="G9" i="6"/>
  <c r="D52" i="6"/>
  <c r="D56" i="6" s="1"/>
  <c r="D54" i="6"/>
  <c r="G121" i="6"/>
  <c r="G120" i="6"/>
  <c r="H72" i="6"/>
  <c r="P101" i="1"/>
  <c r="P100" i="1"/>
  <c r="R89" i="1"/>
  <c r="Q88" i="1"/>
  <c r="R88" i="1"/>
  <c r="Q89" i="1"/>
  <c r="C61" i="1"/>
  <c r="Q83" i="1"/>
  <c r="Q92" i="1" s="1"/>
  <c r="R92" i="1" s="1"/>
  <c r="O89" i="1"/>
  <c r="O92" i="1"/>
  <c r="D76" i="1"/>
  <c r="E76" i="1"/>
  <c r="F76" i="1"/>
  <c r="G76" i="1"/>
  <c r="H76" i="1"/>
  <c r="I76" i="1"/>
  <c r="J76" i="1"/>
  <c r="K76" i="1"/>
  <c r="L76" i="1"/>
  <c r="M76" i="1"/>
  <c r="C58" i="1"/>
  <c r="C78" i="1"/>
  <c r="D58" i="1"/>
  <c r="D78" i="1"/>
  <c r="E58" i="1"/>
  <c r="E78" i="1"/>
  <c r="F58" i="1"/>
  <c r="F78" i="1"/>
  <c r="G58" i="1"/>
  <c r="G78" i="1"/>
  <c r="H58" i="1"/>
  <c r="H78" i="1"/>
  <c r="I58" i="1"/>
  <c r="I78" i="1"/>
  <c r="J58" i="1"/>
  <c r="J78" i="1"/>
  <c r="K58" i="1"/>
  <c r="K78" i="1"/>
  <c r="L58" i="1"/>
  <c r="L78" i="1"/>
  <c r="M58" i="1"/>
  <c r="M78" i="1"/>
  <c r="P116" i="1"/>
  <c r="E59" i="1"/>
  <c r="D59" i="1"/>
  <c r="C59" i="1"/>
  <c r="C79" i="1"/>
  <c r="D79" i="1"/>
  <c r="E79" i="1"/>
  <c r="F59" i="1"/>
  <c r="F79" i="1"/>
  <c r="G59" i="1"/>
  <c r="G79" i="1"/>
  <c r="H59" i="1"/>
  <c r="H79" i="1"/>
  <c r="I59" i="1"/>
  <c r="I79" i="1"/>
  <c r="C5" i="1"/>
  <c r="B5" i="1"/>
  <c r="D5" i="1"/>
  <c r="E5" i="1"/>
  <c r="F5" i="1"/>
  <c r="G5" i="1"/>
  <c r="H5" i="1"/>
  <c r="I5" i="1"/>
  <c r="I77" i="1"/>
  <c r="I81" i="1"/>
  <c r="D77" i="1"/>
  <c r="D81" i="1"/>
  <c r="E77" i="1"/>
  <c r="E81" i="1"/>
  <c r="F77" i="1"/>
  <c r="F81" i="1"/>
  <c r="G77" i="1"/>
  <c r="G81" i="1"/>
  <c r="J5" i="1"/>
  <c r="J81" i="1"/>
  <c r="K5" i="1"/>
  <c r="K81" i="1"/>
  <c r="L5" i="1"/>
  <c r="L81" i="1"/>
  <c r="M5" i="1"/>
  <c r="M81" i="1"/>
  <c r="C73" i="1"/>
  <c r="C77" i="1"/>
  <c r="C81" i="1"/>
  <c r="M128" i="1"/>
  <c r="D122" i="1"/>
  <c r="C122" i="1"/>
  <c r="H77" i="1"/>
  <c r="H81" i="1"/>
  <c r="F15" i="2"/>
  <c r="F14" i="2"/>
  <c r="J2" i="2"/>
  <c r="J3" i="2"/>
  <c r="J1" i="2"/>
  <c r="M126" i="1"/>
  <c r="M122" i="1"/>
  <c r="L122" i="1"/>
  <c r="K122" i="1"/>
  <c r="J122" i="1"/>
  <c r="I122" i="1"/>
  <c r="H122" i="1"/>
  <c r="G122" i="1"/>
  <c r="F122" i="1"/>
  <c r="E122" i="1"/>
  <c r="M120" i="1"/>
  <c r="L120" i="1"/>
  <c r="K120" i="1"/>
  <c r="J120" i="1"/>
  <c r="I120" i="1"/>
  <c r="H120" i="1"/>
  <c r="G120" i="1"/>
  <c r="F120" i="1"/>
  <c r="E120" i="1"/>
  <c r="D120" i="1"/>
  <c r="C120" i="1"/>
  <c r="C131" i="1" s="1"/>
  <c r="P115" i="1"/>
  <c r="C93" i="1"/>
  <c r="M116" i="1"/>
  <c r="P117" i="1"/>
  <c r="C121" i="1"/>
  <c r="C133" i="1" s="1"/>
  <c r="M61" i="1"/>
  <c r="L61" i="1"/>
  <c r="K61" i="1"/>
  <c r="J61" i="1"/>
  <c r="I61" i="1"/>
  <c r="H61" i="1"/>
  <c r="G61" i="1"/>
  <c r="F61" i="1"/>
  <c r="E61" i="1"/>
  <c r="D61" i="1"/>
  <c r="C105" i="1"/>
  <c r="C109" i="1"/>
  <c r="C53" i="1"/>
  <c r="C32" i="1"/>
  <c r="D32" i="1"/>
  <c r="E32" i="1"/>
  <c r="F32" i="1"/>
  <c r="G32" i="1"/>
  <c r="H32" i="1"/>
  <c r="I32" i="1"/>
  <c r="J32" i="1"/>
  <c r="K32" i="1"/>
  <c r="L32" i="1"/>
  <c r="M32" i="1"/>
  <c r="C31" i="1"/>
  <c r="D31" i="1"/>
  <c r="E31" i="1"/>
  <c r="F31" i="1"/>
  <c r="G31" i="1"/>
  <c r="H31" i="1"/>
  <c r="I31" i="1"/>
  <c r="J31" i="1"/>
  <c r="K31" i="1"/>
  <c r="L31" i="1"/>
  <c r="M31" i="1"/>
  <c r="C30" i="1"/>
  <c r="D30" i="1"/>
  <c r="E30" i="1"/>
  <c r="C19" i="1"/>
  <c r="D19" i="1"/>
  <c r="E19" i="1"/>
  <c r="F19" i="1"/>
  <c r="G19" i="1"/>
  <c r="H19" i="1"/>
  <c r="I19" i="1"/>
  <c r="J19" i="1"/>
  <c r="K19" i="1"/>
  <c r="L19" i="1"/>
  <c r="M19" i="1"/>
  <c r="C18" i="1"/>
  <c r="D18" i="1"/>
  <c r="E18" i="1"/>
  <c r="F18" i="1"/>
  <c r="G18" i="1"/>
  <c r="H18" i="1"/>
  <c r="I18" i="1"/>
  <c r="J18" i="1"/>
  <c r="K18" i="1"/>
  <c r="L18" i="1"/>
  <c r="M18" i="1"/>
  <c r="C17" i="1"/>
  <c r="D17" i="1"/>
  <c r="E17" i="1"/>
  <c r="F17" i="1"/>
  <c r="G17" i="1"/>
  <c r="H17" i="1"/>
  <c r="I17" i="1"/>
  <c r="J17" i="1"/>
  <c r="K17" i="1"/>
  <c r="L17" i="1"/>
  <c r="M17" i="1"/>
  <c r="C16" i="1"/>
  <c r="D16" i="1"/>
  <c r="E16" i="1"/>
  <c r="F16" i="1"/>
  <c r="G16" i="1"/>
  <c r="H16" i="1"/>
  <c r="I16" i="1"/>
  <c r="J16" i="1"/>
  <c r="K16" i="1"/>
  <c r="L16" i="1"/>
  <c r="M16" i="1"/>
  <c r="C15" i="1"/>
  <c r="D15" i="1"/>
  <c r="D14" i="1"/>
  <c r="E14" i="1"/>
  <c r="F14" i="1"/>
  <c r="G14" i="1"/>
  <c r="H14" i="1"/>
  <c r="I14" i="1"/>
  <c r="J14" i="1"/>
  <c r="K14" i="1"/>
  <c r="L14" i="1"/>
  <c r="M14" i="1"/>
  <c r="D13" i="1"/>
  <c r="E13" i="1"/>
  <c r="F13" i="1"/>
  <c r="G13" i="1"/>
  <c r="H13" i="1"/>
  <c r="I13" i="1"/>
  <c r="J13" i="1"/>
  <c r="K13" i="1"/>
  <c r="L13" i="1"/>
  <c r="M13" i="1"/>
  <c r="D12" i="1"/>
  <c r="E12" i="1"/>
  <c r="F12" i="1"/>
  <c r="G12" i="1"/>
  <c r="H12" i="1"/>
  <c r="I12" i="1"/>
  <c r="J12" i="1"/>
  <c r="K12" i="1"/>
  <c r="L12" i="1"/>
  <c r="M12" i="1"/>
  <c r="D11" i="1"/>
  <c r="E11" i="1"/>
  <c r="F11" i="1"/>
  <c r="G11" i="1"/>
  <c r="H11" i="1"/>
  <c r="I11" i="1"/>
  <c r="J11" i="1"/>
  <c r="K11" i="1"/>
  <c r="L11" i="1"/>
  <c r="M11" i="1"/>
  <c r="D10" i="1"/>
  <c r="E10" i="1"/>
  <c r="F10" i="1"/>
  <c r="G10" i="1"/>
  <c r="H10" i="1"/>
  <c r="I10" i="1"/>
  <c r="J10" i="1"/>
  <c r="K10" i="1"/>
  <c r="L10" i="1"/>
  <c r="M10" i="1"/>
  <c r="C9" i="1"/>
  <c r="C25" i="1"/>
  <c r="C8" i="1"/>
  <c r="C24" i="1"/>
  <c r="C7" i="1"/>
  <c r="C23" i="1"/>
  <c r="C6" i="1"/>
  <c r="C21" i="1"/>
  <c r="M117" i="1"/>
  <c r="D9" i="1"/>
  <c r="E9" i="1"/>
  <c r="B131" i="1"/>
  <c r="D6" i="1"/>
  <c r="D22" i="1"/>
  <c r="D121" i="1"/>
  <c r="D131" i="1" s="1"/>
  <c r="D133" i="1" s="1"/>
  <c r="D25" i="1"/>
  <c r="E51" i="1"/>
  <c r="C47" i="1"/>
  <c r="D7" i="1"/>
  <c r="D8" i="1"/>
  <c r="E15" i="1"/>
  <c r="F30" i="1"/>
  <c r="C22" i="1"/>
  <c r="C46" i="1"/>
  <c r="D51" i="1"/>
  <c r="C51" i="1"/>
  <c r="D21" i="1"/>
  <c r="E6" i="1"/>
  <c r="E121" i="1"/>
  <c r="E131" i="1" s="1"/>
  <c r="E133" i="1" s="1"/>
  <c r="C54" i="1"/>
  <c r="C52" i="1"/>
  <c r="D105" i="1"/>
  <c r="D109" i="1"/>
  <c r="D24" i="1"/>
  <c r="E8" i="1"/>
  <c r="E25" i="1"/>
  <c r="F9" i="1"/>
  <c r="E7" i="1"/>
  <c r="D23" i="1"/>
  <c r="D47" i="1"/>
  <c r="G30" i="1"/>
  <c r="F51" i="1"/>
  <c r="E22" i="1"/>
  <c r="F6" i="1"/>
  <c r="F15" i="1"/>
  <c r="E21" i="1"/>
  <c r="C56" i="1"/>
  <c r="D46" i="1"/>
  <c r="F121" i="1"/>
  <c r="F21" i="1"/>
  <c r="G15" i="1"/>
  <c r="F8" i="1"/>
  <c r="E24" i="1"/>
  <c r="C104" i="1"/>
  <c r="C106" i="1"/>
  <c r="D52" i="1"/>
  <c r="D54" i="1"/>
  <c r="H30" i="1"/>
  <c r="G51" i="1"/>
  <c r="E23" i="1"/>
  <c r="F7" i="1"/>
  <c r="F47" i="1"/>
  <c r="G9" i="1"/>
  <c r="F25" i="1"/>
  <c r="E105" i="1"/>
  <c r="E109" i="1"/>
  <c r="E47" i="1"/>
  <c r="G6" i="1"/>
  <c r="F22" i="1"/>
  <c r="E46" i="1"/>
  <c r="D56" i="1"/>
  <c r="D104" i="1"/>
  <c r="D106" i="1"/>
  <c r="E54" i="1"/>
  <c r="E52" i="1"/>
  <c r="E56" i="1"/>
  <c r="H6" i="1"/>
  <c r="G22" i="1"/>
  <c r="C107" i="1"/>
  <c r="C123" i="1"/>
  <c r="H15" i="1"/>
  <c r="F105" i="1"/>
  <c r="F109" i="1"/>
  <c r="G25" i="1"/>
  <c r="H9" i="1"/>
  <c r="H51" i="1"/>
  <c r="I30" i="1"/>
  <c r="G7" i="1"/>
  <c r="F23" i="1"/>
  <c r="F24" i="1"/>
  <c r="G8" i="1"/>
  <c r="G21" i="1"/>
  <c r="G121" i="1"/>
  <c r="G131" i="1" s="1"/>
  <c r="G133" i="1" s="1"/>
  <c r="C108" i="1"/>
  <c r="C110" i="1"/>
  <c r="F46" i="1"/>
  <c r="F54" i="1"/>
  <c r="E104" i="1"/>
  <c r="E106" i="1"/>
  <c r="G24" i="1"/>
  <c r="H8" i="1"/>
  <c r="H25" i="1"/>
  <c r="I9" i="1"/>
  <c r="H21" i="1"/>
  <c r="H121" i="1"/>
  <c r="H131" i="1" s="1"/>
  <c r="H133" i="1" s="1"/>
  <c r="I15" i="1"/>
  <c r="I51" i="1"/>
  <c r="J30" i="1"/>
  <c r="G105" i="1"/>
  <c r="G109" i="1"/>
  <c r="G47" i="1"/>
  <c r="H22" i="1"/>
  <c r="I6" i="1"/>
  <c r="G23" i="1"/>
  <c r="H7" i="1"/>
  <c r="D107" i="1"/>
  <c r="D123" i="1"/>
  <c r="F52" i="1"/>
  <c r="G46" i="1"/>
  <c r="F56" i="1"/>
  <c r="F104" i="1"/>
  <c r="F106" i="1"/>
  <c r="G52" i="1"/>
  <c r="G54" i="1"/>
  <c r="I22" i="1"/>
  <c r="J6" i="1"/>
  <c r="E107" i="1"/>
  <c r="E123" i="1"/>
  <c r="I7" i="1"/>
  <c r="I8" i="1"/>
  <c r="I47" i="1"/>
  <c r="H23" i="1"/>
  <c r="H105" i="1"/>
  <c r="H109" i="1"/>
  <c r="H24" i="1"/>
  <c r="J51" i="1"/>
  <c r="K30" i="1"/>
  <c r="J15" i="1"/>
  <c r="I121" i="1"/>
  <c r="I131" i="1" s="1"/>
  <c r="I133" i="1" s="1"/>
  <c r="I21" i="1"/>
  <c r="D108" i="1"/>
  <c r="D110" i="1"/>
  <c r="H47" i="1"/>
  <c r="I25" i="1"/>
  <c r="J9" i="1"/>
  <c r="G56" i="1"/>
  <c r="G104" i="1"/>
  <c r="G106" i="1"/>
  <c r="H46" i="1"/>
  <c r="H54" i="1"/>
  <c r="J8" i="1"/>
  <c r="I24" i="1"/>
  <c r="F107" i="1"/>
  <c r="F123" i="1"/>
  <c r="J121" i="1"/>
  <c r="J21" i="1"/>
  <c r="K15" i="1"/>
  <c r="I105" i="1"/>
  <c r="I109" i="1"/>
  <c r="I23" i="1"/>
  <c r="J7" i="1"/>
  <c r="L30" i="1"/>
  <c r="K51" i="1"/>
  <c r="J22" i="1"/>
  <c r="K6" i="1"/>
  <c r="K9" i="1"/>
  <c r="J25" i="1"/>
  <c r="E108" i="1"/>
  <c r="E110" i="1"/>
  <c r="H52" i="1"/>
  <c r="H56" i="1"/>
  <c r="I46" i="1"/>
  <c r="I54" i="1"/>
  <c r="F108" i="1"/>
  <c r="F110" i="1"/>
  <c r="J23" i="1"/>
  <c r="K7" i="1"/>
  <c r="K121" i="1"/>
  <c r="K131" i="1" s="1"/>
  <c r="K133" i="1" s="1"/>
  <c r="K21" i="1"/>
  <c r="H104" i="1"/>
  <c r="H106" i="1"/>
  <c r="L15" i="1"/>
  <c r="G107" i="1"/>
  <c r="G123" i="1"/>
  <c r="K25" i="1"/>
  <c r="L9" i="1"/>
  <c r="L51" i="1"/>
  <c r="M30" i="1"/>
  <c r="M51" i="1"/>
  <c r="J47" i="1"/>
  <c r="J24" i="1"/>
  <c r="K8" i="1"/>
  <c r="L6" i="1"/>
  <c r="K22" i="1"/>
  <c r="J105" i="1"/>
  <c r="J109" i="1"/>
  <c r="I52" i="1"/>
  <c r="K47" i="1"/>
  <c r="J46" i="1"/>
  <c r="I56" i="1"/>
  <c r="J54" i="1"/>
  <c r="J52" i="1"/>
  <c r="L25" i="1"/>
  <c r="M9" i="1"/>
  <c r="M25" i="1"/>
  <c r="M15" i="1"/>
  <c r="L121" i="1"/>
  <c r="L131" i="1" s="1"/>
  <c r="L133" i="1" s="1"/>
  <c r="L21" i="1"/>
  <c r="K105" i="1"/>
  <c r="K109" i="1"/>
  <c r="L22" i="1"/>
  <c r="M6" i="1"/>
  <c r="M22" i="1"/>
  <c r="G108" i="1"/>
  <c r="G110" i="1"/>
  <c r="I104" i="1"/>
  <c r="I106" i="1"/>
  <c r="L8" i="1"/>
  <c r="K24" i="1"/>
  <c r="H107" i="1"/>
  <c r="H123" i="1"/>
  <c r="H108" i="1"/>
  <c r="H110" i="1"/>
  <c r="L7" i="1"/>
  <c r="K23" i="1"/>
  <c r="K46" i="1"/>
  <c r="K52" i="1"/>
  <c r="L47" i="1"/>
  <c r="J56" i="1"/>
  <c r="K54" i="1"/>
  <c r="J104" i="1"/>
  <c r="J106" i="1"/>
  <c r="I107" i="1"/>
  <c r="I123" i="1"/>
  <c r="L24" i="1"/>
  <c r="M8" i="1"/>
  <c r="M24" i="1"/>
  <c r="L105" i="1"/>
  <c r="L109" i="1"/>
  <c r="M21" i="1"/>
  <c r="M7" i="1"/>
  <c r="M23" i="1"/>
  <c r="L23" i="1"/>
  <c r="L46" i="1"/>
  <c r="M121" i="1"/>
  <c r="I108" i="1"/>
  <c r="I110" i="1"/>
  <c r="K56" i="1"/>
  <c r="K104" i="1"/>
  <c r="K106" i="1"/>
  <c r="M46" i="1"/>
  <c r="M54" i="1"/>
  <c r="M47" i="1"/>
  <c r="L52" i="1"/>
  <c r="L54" i="1"/>
  <c r="M105" i="1"/>
  <c r="M109" i="1"/>
  <c r="J107" i="1"/>
  <c r="J123" i="1"/>
  <c r="M52" i="1"/>
  <c r="M56" i="1"/>
  <c r="M104" i="1"/>
  <c r="M106" i="1"/>
  <c r="L56" i="1"/>
  <c r="L104" i="1"/>
  <c r="L106" i="1"/>
  <c r="J108" i="1"/>
  <c r="J110" i="1"/>
  <c r="K107" i="1"/>
  <c r="K123" i="1"/>
  <c r="M107" i="1"/>
  <c r="K108" i="1"/>
  <c r="K110" i="1"/>
  <c r="L107" i="1"/>
  <c r="L123" i="1"/>
  <c r="L108" i="1"/>
  <c r="L110" i="1"/>
  <c r="M108" i="1"/>
  <c r="M110" i="1"/>
  <c r="M123" i="1"/>
  <c r="M129" i="1"/>
  <c r="D104" i="6" l="1"/>
  <c r="D106" i="6" s="1"/>
  <c r="D64" i="6"/>
  <c r="H105" i="6"/>
  <c r="H109" i="6" s="1"/>
  <c r="H51" i="6"/>
  <c r="H5" i="6"/>
  <c r="G21" i="6"/>
  <c r="G47" i="6"/>
  <c r="E54" i="6"/>
  <c r="E52" i="6"/>
  <c r="E56" i="6"/>
  <c r="C107" i="6"/>
  <c r="C123" i="6" s="1"/>
  <c r="G23" i="6"/>
  <c r="H7" i="6"/>
  <c r="H120" i="6"/>
  <c r="G25" i="6"/>
  <c r="H9" i="6"/>
  <c r="F46" i="6"/>
  <c r="H8" i="6"/>
  <c r="G24" i="6"/>
  <c r="H78" i="6"/>
  <c r="G81" i="6"/>
  <c r="C66" i="6"/>
  <c r="D93" i="6" s="1"/>
  <c r="C65" i="6"/>
  <c r="C86" i="6" s="1"/>
  <c r="C95" i="6" s="1"/>
  <c r="C99" i="6" s="1"/>
  <c r="F131" i="1"/>
  <c r="F133" i="1" s="1"/>
  <c r="J131" i="1"/>
  <c r="J133" i="1" s="1"/>
  <c r="M131" i="1"/>
  <c r="M133" i="1" s="1"/>
  <c r="B2" i="2"/>
  <c r="J6" i="2"/>
  <c r="G46" i="6" l="1"/>
  <c r="D107" i="6"/>
  <c r="D123" i="6" s="1"/>
  <c r="H81" i="6"/>
  <c r="H21" i="6"/>
  <c r="H47" i="6"/>
  <c r="C108" i="6"/>
  <c r="C110" i="6" s="1"/>
  <c r="C131" i="6" s="1"/>
  <c r="F54" i="6"/>
  <c r="F52" i="6"/>
  <c r="F56" i="6" s="1"/>
  <c r="E64" i="6"/>
  <c r="E104" i="6"/>
  <c r="E106" i="6" s="1"/>
  <c r="H24" i="6"/>
  <c r="H25" i="6"/>
  <c r="H23" i="6"/>
  <c r="D65" i="6"/>
  <c r="D86" i="6" s="1"/>
  <c r="D95" i="6" s="1"/>
  <c r="D99" i="6" s="1"/>
  <c r="D66" i="6"/>
  <c r="E93" i="6" s="1"/>
  <c r="B136" i="1"/>
  <c r="E130" i="2"/>
  <c r="E145" i="2"/>
  <c r="E146" i="2"/>
  <c r="E152" i="2"/>
  <c r="E18" i="2"/>
  <c r="E109" i="2"/>
  <c r="E103" i="2"/>
  <c r="E79" i="2"/>
  <c r="E4" i="2"/>
  <c r="E78" i="2"/>
  <c r="E35" i="2"/>
  <c r="E114" i="2"/>
  <c r="E22" i="2"/>
  <c r="E137" i="2"/>
  <c r="E9" i="2"/>
  <c r="E17" i="2"/>
  <c r="E133" i="2"/>
  <c r="E11" i="2"/>
  <c r="E132" i="2"/>
  <c r="E117" i="2"/>
  <c r="E122" i="2"/>
  <c r="E128" i="2"/>
  <c r="E94" i="2"/>
  <c r="E52" i="2"/>
  <c r="E54" i="2"/>
  <c r="E30" i="2"/>
  <c r="E6" i="2"/>
  <c r="E53" i="2"/>
  <c r="E138" i="2"/>
  <c r="E139" i="2"/>
  <c r="E87" i="2"/>
  <c r="E60" i="2"/>
  <c r="E24" i="2"/>
  <c r="E143" i="2"/>
  <c r="E149" i="2"/>
  <c r="E150" i="2"/>
  <c r="E59" i="2"/>
  <c r="E120" i="2"/>
  <c r="E48" i="2"/>
  <c r="E2" i="2"/>
  <c r="E39" i="2"/>
  <c r="E131" i="2"/>
  <c r="E82" i="2"/>
  <c r="E119" i="2"/>
  <c r="E123" i="2"/>
  <c r="E34" i="2"/>
  <c r="E95" i="2"/>
  <c r="E96" i="2"/>
  <c r="E25" i="2"/>
  <c r="E7" i="2"/>
  <c r="E67" i="2"/>
  <c r="E31" i="2"/>
  <c r="E58" i="2"/>
  <c r="E66" i="2"/>
  <c r="E102" i="2"/>
  <c r="E77" i="2"/>
  <c r="E51" i="2"/>
  <c r="E19" i="2"/>
  <c r="E20" i="2"/>
  <c r="E125" i="2"/>
  <c r="E47" i="2"/>
  <c r="E64" i="2"/>
  <c r="E83" i="2"/>
  <c r="E121" i="2"/>
  <c r="E46" i="2"/>
  <c r="E23" i="2"/>
  <c r="E153" i="2"/>
  <c r="E62" i="2"/>
  <c r="E68" i="2"/>
  <c r="E45" i="2"/>
  <c r="E115" i="2"/>
  <c r="E89" i="2"/>
  <c r="E49" i="2"/>
  <c r="E5" i="2"/>
  <c r="E38" i="2"/>
  <c r="E65" i="2"/>
  <c r="E55" i="2"/>
  <c r="E10" i="2"/>
  <c r="E124" i="2"/>
  <c r="E26" i="2"/>
  <c r="E101" i="2"/>
  <c r="E13" i="2"/>
  <c r="E142" i="2"/>
  <c r="E50" i="2"/>
  <c r="E81" i="2"/>
  <c r="E111" i="2"/>
  <c r="E92" i="2"/>
  <c r="E75" i="2"/>
  <c r="E90" i="2"/>
  <c r="E69" i="2"/>
  <c r="E16" i="2"/>
  <c r="E110" i="2"/>
  <c r="E21" i="2"/>
  <c r="E97" i="2"/>
  <c r="E74" i="2"/>
  <c r="E104" i="2"/>
  <c r="E118" i="2"/>
  <c r="E106" i="2"/>
  <c r="E147" i="2"/>
  <c r="E144" i="2"/>
  <c r="E63" i="2"/>
  <c r="E80" i="2"/>
  <c r="E40" i="2"/>
  <c r="E134" i="2"/>
  <c r="E86" i="2"/>
  <c r="E135" i="2"/>
  <c r="E44" i="2"/>
  <c r="E72" i="2"/>
  <c r="E88" i="2"/>
  <c r="E33" i="2"/>
  <c r="E3" i="2"/>
  <c r="E76" i="2"/>
  <c r="E129" i="2"/>
  <c r="E100" i="2"/>
  <c r="E73" i="2"/>
  <c r="E12" i="2"/>
  <c r="E105" i="2"/>
  <c r="E116" i="2"/>
  <c r="E136" i="2"/>
  <c r="E107" i="2"/>
  <c r="E91" i="2"/>
  <c r="E61" i="2"/>
  <c r="E151" i="2"/>
  <c r="E37" i="2"/>
  <c r="E36" i="2"/>
  <c r="E8" i="2"/>
  <c r="E27" i="2"/>
  <c r="E148" i="2"/>
  <c r="E41" i="2"/>
  <c r="E93" i="2"/>
  <c r="E32" i="2"/>
  <c r="E108" i="2"/>
  <c r="D2" i="2"/>
  <c r="F104" i="6" l="1"/>
  <c r="F106" i="6" s="1"/>
  <c r="F64" i="6"/>
  <c r="C133" i="6"/>
  <c r="E107" i="6"/>
  <c r="E123" i="6" s="1"/>
  <c r="E108" i="6"/>
  <c r="E110" i="6" s="1"/>
  <c r="E131" i="6" s="1"/>
  <c r="E133" i="6" s="1"/>
  <c r="H46" i="6"/>
  <c r="D108" i="6"/>
  <c r="D110" i="6" s="1"/>
  <c r="D131" i="6" s="1"/>
  <c r="D133" i="6" s="1"/>
  <c r="E65" i="6"/>
  <c r="E86" i="6" s="1"/>
  <c r="E95" i="6" s="1"/>
  <c r="E99" i="6" s="1"/>
  <c r="G54" i="6"/>
  <c r="G52" i="6"/>
  <c r="G56" i="6" s="1"/>
  <c r="C2" i="2"/>
  <c r="F2" i="2" s="1"/>
  <c r="B3" i="2" s="1"/>
  <c r="G64" i="6" l="1"/>
  <c r="G104" i="6"/>
  <c r="G106" i="6" s="1"/>
  <c r="F107" i="6"/>
  <c r="F123" i="6" s="1"/>
  <c r="H56" i="6"/>
  <c r="H52" i="6"/>
  <c r="H54" i="6"/>
  <c r="E66" i="6"/>
  <c r="F93" i="6" s="1"/>
  <c r="F65" i="6"/>
  <c r="F86" i="6" s="1"/>
  <c r="F95" i="6" s="1"/>
  <c r="F99" i="6" s="1"/>
  <c r="F66" i="6"/>
  <c r="G93" i="6" s="1"/>
  <c r="D3" i="2"/>
  <c r="H104" i="6" l="1"/>
  <c r="H106" i="6" s="1"/>
  <c r="H64" i="6"/>
  <c r="G65" i="6"/>
  <c r="G86" i="6" s="1"/>
  <c r="G95" i="6" s="1"/>
  <c r="G99" i="6" s="1"/>
  <c r="F108" i="6"/>
  <c r="F110" i="6" s="1"/>
  <c r="F131" i="6" s="1"/>
  <c r="G107" i="6"/>
  <c r="G123" i="6" s="1"/>
  <c r="G108" i="6"/>
  <c r="G110" i="6" s="1"/>
  <c r="G131" i="6" s="1"/>
  <c r="G133" i="6" s="1"/>
  <c r="C3" i="2"/>
  <c r="F3" i="2" s="1"/>
  <c r="B4" i="2" s="1"/>
  <c r="H108" i="6" l="1"/>
  <c r="H110" i="6" s="1"/>
  <c r="H131" i="6" s="1"/>
  <c r="H133" i="6" s="1"/>
  <c r="H107" i="6"/>
  <c r="H123" i="6" s="1"/>
  <c r="F133" i="6"/>
  <c r="G66" i="6"/>
  <c r="H93" i="6" s="1"/>
  <c r="H65" i="6"/>
  <c r="H86" i="6" s="1"/>
  <c r="H95" i="6" s="1"/>
  <c r="H99" i="6" s="1"/>
  <c r="H66" i="6"/>
  <c r="D4" i="2"/>
  <c r="P116" i="6" l="1"/>
  <c r="P117" i="6" s="1"/>
  <c r="C4" i="2"/>
  <c r="F4" i="2" s="1"/>
  <c r="B5" i="2" s="1"/>
  <c r="D5" i="2" l="1"/>
  <c r="C5" i="2" l="1"/>
  <c r="F5" i="2" s="1"/>
  <c r="B6" i="2" s="1"/>
  <c r="O93" i="6" l="1"/>
  <c r="D6" i="2"/>
  <c r="C6" i="2" s="1"/>
  <c r="F6" i="2"/>
  <c r="B7" i="2" s="1"/>
  <c r="O95" i="6" l="1"/>
  <c r="P92" i="6" s="1"/>
  <c r="S92" i="6" s="1"/>
  <c r="D7" i="2"/>
  <c r="C7" i="2" s="1"/>
  <c r="F7" i="2" s="1"/>
  <c r="B8" i="2" s="1"/>
  <c r="B136" i="6" l="1"/>
  <c r="P94" i="6"/>
  <c r="P95" i="6"/>
  <c r="P89" i="6"/>
  <c r="S89" i="6" s="1"/>
  <c r="P88" i="6"/>
  <c r="S88" i="6" s="1"/>
  <c r="D8" i="2"/>
  <c r="C8" i="2" s="1"/>
  <c r="F8" i="2"/>
  <c r="B9" i="2" s="1"/>
  <c r="S95" i="6" l="1"/>
  <c r="P102" i="6"/>
  <c r="D9" i="2"/>
  <c r="C9" i="2" s="1"/>
  <c r="F9" i="2"/>
  <c r="B10" i="2" s="1"/>
  <c r="D10" i="2" l="1"/>
  <c r="C10" i="2" s="1"/>
  <c r="F10" i="2" s="1"/>
  <c r="B11" i="2" s="1"/>
  <c r="D11" i="2" l="1"/>
  <c r="C11" i="2" s="1"/>
  <c r="F11" i="2"/>
  <c r="B12" i="2" s="1"/>
  <c r="D12" i="2" l="1"/>
  <c r="C12" i="2" s="1"/>
  <c r="F12" i="2" s="1"/>
  <c r="B13" i="2" s="1"/>
  <c r="D13" i="2" l="1"/>
  <c r="C13" i="2" l="1"/>
  <c r="F13" i="2" s="1"/>
  <c r="D14" i="2"/>
  <c r="C62" i="1" s="1"/>
  <c r="C64" i="1" s="1"/>
  <c r="C65" i="1" l="1"/>
  <c r="C86" i="1" s="1"/>
  <c r="C95" i="1" s="1"/>
  <c r="C99" i="1" s="1"/>
  <c r="C88" i="1"/>
  <c r="B16" i="2"/>
  <c r="D16" i="2" l="1"/>
  <c r="C66" i="1"/>
  <c r="D93" i="1" s="1"/>
  <c r="C16" i="2" l="1"/>
  <c r="F16" i="2" s="1"/>
  <c r="B17" i="2" s="1"/>
  <c r="D17" i="2" l="1"/>
  <c r="C17" i="2" l="1"/>
  <c r="F17" i="2" s="1"/>
  <c r="B18" i="2" s="1"/>
  <c r="D18" i="2" l="1"/>
  <c r="C18" i="2" l="1"/>
  <c r="F18" i="2" s="1"/>
  <c r="B19" i="2" s="1"/>
  <c r="D19" i="2" l="1"/>
  <c r="C19" i="2" l="1"/>
  <c r="F19" i="2" s="1"/>
  <c r="B20" i="2" s="1"/>
  <c r="D20" i="2" l="1"/>
  <c r="C20" i="2" l="1"/>
  <c r="F20" i="2" s="1"/>
  <c r="B21" i="2" s="1"/>
  <c r="D21" i="2" l="1"/>
  <c r="C21" i="2" s="1"/>
  <c r="F21" i="2"/>
  <c r="B22" i="2" s="1"/>
  <c r="D22" i="2" l="1"/>
  <c r="C22" i="2" s="1"/>
  <c r="F22" i="2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F27" i="2" s="1"/>
  <c r="D28" i="2"/>
  <c r="D62" i="1" s="1"/>
  <c r="D64" i="1" s="1"/>
  <c r="D65" i="1" l="1"/>
  <c r="D86" i="1" s="1"/>
  <c r="D95" i="1" s="1"/>
  <c r="D99" i="1" s="1"/>
  <c r="B30" i="2"/>
  <c r="D88" i="1"/>
  <c r="D30" i="2" l="1"/>
  <c r="D66" i="1"/>
  <c r="E93" i="1" s="1"/>
  <c r="C30" i="2" l="1"/>
  <c r="F30" i="2" s="1"/>
  <c r="B31" i="2" s="1"/>
  <c r="D31" i="2" l="1"/>
  <c r="C31" i="2" l="1"/>
  <c r="F31" i="2" s="1"/>
  <c r="B32" i="2" s="1"/>
  <c r="D32" i="2" l="1"/>
  <c r="C32" i="2" l="1"/>
  <c r="F32" i="2" s="1"/>
  <c r="B33" i="2" s="1"/>
  <c r="D33" i="2" l="1"/>
  <c r="C33" i="2" l="1"/>
  <c r="F33" i="2" s="1"/>
  <c r="B34" i="2" s="1"/>
  <c r="D34" i="2" l="1"/>
  <c r="C34" i="2" l="1"/>
  <c r="F34" i="2" s="1"/>
  <c r="B35" i="2" s="1"/>
  <c r="F35" i="2" l="1"/>
  <c r="B36" i="2" s="1"/>
  <c r="D35" i="2"/>
  <c r="C35" i="2" s="1"/>
  <c r="D36" i="2" l="1"/>
  <c r="C36" i="2" s="1"/>
  <c r="F36" i="2" s="1"/>
  <c r="B37" i="2" s="1"/>
  <c r="F37" i="2" l="1"/>
  <c r="B38" i="2" s="1"/>
  <c r="D37" i="2"/>
  <c r="C37" i="2" s="1"/>
  <c r="F38" i="2" l="1"/>
  <c r="B39" i="2" s="1"/>
  <c r="D38" i="2"/>
  <c r="C38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F41" i="2" s="1"/>
  <c r="D42" i="2"/>
  <c r="E62" i="1" s="1"/>
  <c r="E64" i="1" s="1"/>
  <c r="E65" i="1" l="1"/>
  <c r="E86" i="1" s="1"/>
  <c r="B44" i="2"/>
  <c r="E88" i="1"/>
  <c r="E66" i="1" l="1"/>
  <c r="F93" i="1" s="1"/>
  <c r="D44" i="2"/>
  <c r="E95" i="1"/>
  <c r="E99" i="1" s="1"/>
  <c r="C44" i="2" l="1"/>
  <c r="F44" i="2" s="1"/>
  <c r="B45" i="2" s="1"/>
  <c r="D45" i="2" l="1"/>
  <c r="C45" i="2" l="1"/>
  <c r="F45" i="2" s="1"/>
  <c r="B46" i="2" s="1"/>
  <c r="D46" i="2" l="1"/>
  <c r="C46" i="2" l="1"/>
  <c r="F46" i="2" s="1"/>
  <c r="B47" i="2" s="1"/>
  <c r="D47" i="2" l="1"/>
  <c r="C47" i="2" l="1"/>
  <c r="F47" i="2" s="1"/>
  <c r="B48" i="2" s="1"/>
  <c r="D48" i="2" l="1"/>
  <c r="C48" i="2" l="1"/>
  <c r="F48" i="2" s="1"/>
  <c r="B49" i="2" s="1"/>
  <c r="D49" i="2" l="1"/>
  <c r="C49" i="2" s="1"/>
  <c r="F49" i="2" s="1"/>
  <c r="B50" i="2" s="1"/>
  <c r="D50" i="2" l="1"/>
  <c r="C50" i="2" s="1"/>
  <c r="F50" i="2" s="1"/>
  <c r="B51" i="2" s="1"/>
  <c r="F51" i="2" l="1"/>
  <c r="B52" i="2" s="1"/>
  <c r="D51" i="2"/>
  <c r="C51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F55" i="2" s="1"/>
  <c r="D56" i="2"/>
  <c r="F62" i="1" s="1"/>
  <c r="F64" i="1" s="1"/>
  <c r="F65" i="1" l="1"/>
  <c r="F86" i="1" s="1"/>
  <c r="B58" i="2"/>
  <c r="F88" i="1"/>
  <c r="F66" i="1" l="1"/>
  <c r="G93" i="1" s="1"/>
  <c r="D58" i="2"/>
  <c r="F95" i="1"/>
  <c r="F99" i="1" s="1"/>
  <c r="C58" i="2" l="1"/>
  <c r="F58" i="2" s="1"/>
  <c r="B59" i="2" s="1"/>
  <c r="D59" i="2" l="1"/>
  <c r="C59" i="2" l="1"/>
  <c r="F59" i="2" s="1"/>
  <c r="B60" i="2" s="1"/>
  <c r="D60" i="2" l="1"/>
  <c r="C60" i="2" l="1"/>
  <c r="F60" i="2" s="1"/>
  <c r="B61" i="2" s="1"/>
  <c r="D61" i="2" l="1"/>
  <c r="C61" i="2" l="1"/>
  <c r="F61" i="2" s="1"/>
  <c r="B62" i="2" s="1"/>
  <c r="D62" i="2" l="1"/>
  <c r="C62" i="2" l="1"/>
  <c r="F62" i="2" s="1"/>
  <c r="B63" i="2" s="1"/>
  <c r="D63" i="2" l="1"/>
  <c r="C63" i="2" s="1"/>
  <c r="F63" i="2"/>
  <c r="B64" i="2" s="1"/>
  <c r="D64" i="2" l="1"/>
  <c r="C64" i="2" s="1"/>
  <c r="F64" i="2"/>
  <c r="B65" i="2" s="1"/>
  <c r="D65" i="2" l="1"/>
  <c r="C65" i="2" s="1"/>
  <c r="F65" i="2" s="1"/>
  <c r="B66" i="2" s="1"/>
  <c r="D66" i="2" l="1"/>
  <c r="C66" i="2" s="1"/>
  <c r="F66" i="2"/>
  <c r="B67" i="2" s="1"/>
  <c r="D67" i="2" l="1"/>
  <c r="C67" i="2" s="1"/>
  <c r="F67" i="2"/>
  <c r="B68" i="2" s="1"/>
  <c r="D68" i="2" l="1"/>
  <c r="C68" i="2" s="1"/>
  <c r="F68" i="2"/>
  <c r="B69" i="2" s="1"/>
  <c r="D69" i="2" l="1"/>
  <c r="C69" i="2" l="1"/>
  <c r="F69" i="2" s="1"/>
  <c r="D70" i="2"/>
  <c r="G62" i="1" s="1"/>
  <c r="G64" i="1" s="1"/>
  <c r="G65" i="1" l="1"/>
  <c r="G86" i="1" s="1"/>
  <c r="G95" i="1" s="1"/>
  <c r="G99" i="1" s="1"/>
  <c r="B72" i="2"/>
  <c r="G88" i="1"/>
  <c r="G66" i="1" l="1"/>
  <c r="H93" i="1" s="1"/>
  <c r="D72" i="2"/>
  <c r="C72" i="2" l="1"/>
  <c r="F72" i="2" s="1"/>
  <c r="B73" i="2" s="1"/>
  <c r="D73" i="2" l="1"/>
  <c r="C73" i="2" l="1"/>
  <c r="F73" i="2" s="1"/>
  <c r="B74" i="2" s="1"/>
  <c r="D74" i="2" l="1"/>
  <c r="C74" i="2" l="1"/>
  <c r="F74" i="2" s="1"/>
  <c r="B75" i="2" s="1"/>
  <c r="D75" i="2" l="1"/>
  <c r="C75" i="2" l="1"/>
  <c r="F75" i="2" s="1"/>
  <c r="B76" i="2" s="1"/>
  <c r="D76" i="2" l="1"/>
  <c r="C76" i="2" l="1"/>
  <c r="F76" i="2" s="1"/>
  <c r="B77" i="2" s="1"/>
  <c r="D77" i="2" l="1"/>
  <c r="C77" i="2" s="1"/>
  <c r="F77" i="2" s="1"/>
  <c r="B78" i="2" s="1"/>
  <c r="D78" i="2" l="1"/>
  <c r="C78" i="2" s="1"/>
  <c r="F78" i="2" s="1"/>
  <c r="B79" i="2" s="1"/>
  <c r="D79" i="2" l="1"/>
  <c r="C79" i="2" s="1"/>
  <c r="F79" i="2" s="1"/>
  <c r="B80" i="2" s="1"/>
  <c r="D80" i="2" l="1"/>
  <c r="C80" i="2" s="1"/>
  <c r="F80" i="2" s="1"/>
  <c r="B81" i="2" s="1"/>
  <c r="D81" i="2" l="1"/>
  <c r="C81" i="2" s="1"/>
  <c r="F81" i="2" s="1"/>
  <c r="B82" i="2" s="1"/>
  <c r="D82" i="2" l="1"/>
  <c r="C82" i="2" s="1"/>
  <c r="F82" i="2" s="1"/>
  <c r="B83" i="2" s="1"/>
  <c r="D83" i="2" l="1"/>
  <c r="C83" i="2" l="1"/>
  <c r="F83" i="2" s="1"/>
  <c r="D84" i="2"/>
  <c r="H62" i="1" s="1"/>
  <c r="H64" i="1" s="1"/>
  <c r="H65" i="1" l="1"/>
  <c r="H86" i="1" s="1"/>
  <c r="H88" i="1"/>
  <c r="B86" i="2"/>
  <c r="H66" i="1" l="1"/>
  <c r="I93" i="1" s="1"/>
  <c r="D86" i="2"/>
  <c r="H95" i="1"/>
  <c r="H99" i="1" s="1"/>
  <c r="C86" i="2" l="1"/>
  <c r="F86" i="2" s="1"/>
  <c r="B87" i="2" s="1"/>
  <c r="D87" i="2" l="1"/>
  <c r="C87" i="2" l="1"/>
  <c r="F87" i="2" s="1"/>
  <c r="B88" i="2" s="1"/>
  <c r="D88" i="2" l="1"/>
  <c r="C88" i="2" l="1"/>
  <c r="F88" i="2" s="1"/>
  <c r="B89" i="2" s="1"/>
  <c r="D89" i="2" l="1"/>
  <c r="C89" i="2" l="1"/>
  <c r="F89" i="2" s="1"/>
  <c r="B90" i="2" s="1"/>
  <c r="D90" i="2" l="1"/>
  <c r="C90" i="2" l="1"/>
  <c r="F90" i="2" s="1"/>
  <c r="B91" i="2" s="1"/>
  <c r="D91" i="2" l="1"/>
  <c r="C91" i="2" s="1"/>
  <c r="F91" i="2"/>
  <c r="B92" i="2" s="1"/>
  <c r="D92" i="2" l="1"/>
  <c r="C92" i="2" s="1"/>
  <c r="F92" i="2" s="1"/>
  <c r="B93" i="2" s="1"/>
  <c r="D93" i="2" l="1"/>
  <c r="C93" i="2" s="1"/>
  <c r="F93" i="2"/>
  <c r="B94" i="2" s="1"/>
  <c r="D94" i="2" l="1"/>
  <c r="C94" i="2" s="1"/>
  <c r="F94" i="2"/>
  <c r="B95" i="2" s="1"/>
  <c r="D95" i="2" l="1"/>
  <c r="C95" i="2" s="1"/>
  <c r="F95" i="2"/>
  <c r="B96" i="2" s="1"/>
  <c r="D96" i="2" l="1"/>
  <c r="C96" i="2" s="1"/>
  <c r="F96" i="2" s="1"/>
  <c r="B97" i="2" s="1"/>
  <c r="D97" i="2" l="1"/>
  <c r="C97" i="2" l="1"/>
  <c r="F97" i="2" s="1"/>
  <c r="D98" i="2"/>
  <c r="I62" i="1" s="1"/>
  <c r="I64" i="1" s="1"/>
  <c r="I65" i="1" l="1"/>
  <c r="I86" i="1" s="1"/>
  <c r="B100" i="2"/>
  <c r="I88" i="1"/>
  <c r="D100" i="2" l="1"/>
  <c r="I95" i="1"/>
  <c r="I99" i="1" s="1"/>
  <c r="I66" i="1"/>
  <c r="J93" i="1" s="1"/>
  <c r="C100" i="2" l="1"/>
  <c r="F100" i="2" s="1"/>
  <c r="B101" i="2" s="1"/>
  <c r="D101" i="2" l="1"/>
  <c r="C101" i="2" l="1"/>
  <c r="F101" i="2" s="1"/>
  <c r="B102" i="2" s="1"/>
  <c r="D102" i="2" l="1"/>
  <c r="C102" i="2" l="1"/>
  <c r="F102" i="2" s="1"/>
  <c r="B103" i="2" s="1"/>
  <c r="D103" i="2" l="1"/>
  <c r="C103" i="2" l="1"/>
  <c r="F103" i="2" s="1"/>
  <c r="B104" i="2" s="1"/>
  <c r="D104" i="2" l="1"/>
  <c r="C104" i="2" l="1"/>
  <c r="F104" i="2" s="1"/>
  <c r="B105" i="2" s="1"/>
  <c r="D105" i="2" l="1"/>
  <c r="C105" i="2" s="1"/>
  <c r="F105" i="2"/>
  <c r="B106" i="2" s="1"/>
  <c r="D106" i="2" l="1"/>
  <c r="C106" i="2" s="1"/>
  <c r="F106" i="2" s="1"/>
  <c r="B107" i="2" s="1"/>
  <c r="D107" i="2" l="1"/>
  <c r="C107" i="2" s="1"/>
  <c r="F107" i="2" s="1"/>
  <c r="B108" i="2" s="1"/>
  <c r="D108" i="2" l="1"/>
  <c r="C108" i="2" s="1"/>
  <c r="F108" i="2" s="1"/>
  <c r="B109" i="2" s="1"/>
  <c r="D109" i="2" l="1"/>
  <c r="C109" i="2" s="1"/>
  <c r="F109" i="2" s="1"/>
  <c r="B110" i="2" s="1"/>
  <c r="D110" i="2" l="1"/>
  <c r="C110" i="2" s="1"/>
  <c r="F110" i="2" s="1"/>
  <c r="B111" i="2" s="1"/>
  <c r="D111" i="2" l="1"/>
  <c r="C111" i="2" l="1"/>
  <c r="F111" i="2" s="1"/>
  <c r="D112" i="2"/>
  <c r="J62" i="1" s="1"/>
  <c r="J64" i="1" s="1"/>
  <c r="J65" i="1" l="1"/>
  <c r="J86" i="1" s="1"/>
  <c r="B114" i="2"/>
  <c r="J88" i="1"/>
  <c r="J66" i="1" l="1"/>
  <c r="K93" i="1" s="1"/>
  <c r="D114" i="2"/>
  <c r="J95" i="1"/>
  <c r="J99" i="1" s="1"/>
  <c r="C114" i="2" l="1"/>
  <c r="F114" i="2" s="1"/>
  <c r="B115" i="2" s="1"/>
  <c r="D115" i="2" l="1"/>
  <c r="C115" i="2" l="1"/>
  <c r="F115" i="2" s="1"/>
  <c r="B116" i="2" s="1"/>
  <c r="D116" i="2" l="1"/>
  <c r="C116" i="2" l="1"/>
  <c r="F116" i="2" s="1"/>
  <c r="B117" i="2" s="1"/>
  <c r="D117" i="2" l="1"/>
  <c r="C117" i="2" l="1"/>
  <c r="F117" i="2" s="1"/>
  <c r="B118" i="2" s="1"/>
  <c r="D118" i="2" l="1"/>
  <c r="C118" i="2" l="1"/>
  <c r="F118" i="2" s="1"/>
  <c r="B119" i="2" s="1"/>
  <c r="F119" i="2" l="1"/>
  <c r="B120" i="2" s="1"/>
  <c r="D119" i="2"/>
  <c r="C119" i="2" s="1"/>
  <c r="D120" i="2" l="1"/>
  <c r="C120" i="2" s="1"/>
  <c r="F120" i="2" s="1"/>
  <c r="B121" i="2" s="1"/>
  <c r="F121" i="2" l="1"/>
  <c r="B122" i="2" s="1"/>
  <c r="D121" i="2"/>
  <c r="C121" i="2" s="1"/>
  <c r="D122" i="2" l="1"/>
  <c r="C122" i="2" s="1"/>
  <c r="F122" i="2" s="1"/>
  <c r="B123" i="2" s="1"/>
  <c r="F123" i="2" l="1"/>
  <c r="B124" i="2" s="1"/>
  <c r="D123" i="2"/>
  <c r="C123" i="2" s="1"/>
  <c r="D124" i="2" l="1"/>
  <c r="C124" i="2" s="1"/>
  <c r="F124" i="2" s="1"/>
  <c r="B125" i="2" s="1"/>
  <c r="D125" i="2" l="1"/>
  <c r="C125" i="2" l="1"/>
  <c r="F125" i="2" s="1"/>
  <c r="D126" i="2"/>
  <c r="K62" i="1" s="1"/>
  <c r="K64" i="1" s="1"/>
  <c r="K65" i="1" l="1"/>
  <c r="K86" i="1" s="1"/>
  <c r="K95" i="1" s="1"/>
  <c r="K99" i="1" s="1"/>
  <c r="K88" i="1"/>
  <c r="B128" i="2"/>
  <c r="D128" i="2" l="1"/>
  <c r="K66" i="1"/>
  <c r="L93" i="1" s="1"/>
  <c r="C128" i="2" l="1"/>
  <c r="F128" i="2" s="1"/>
  <c r="B129" i="2" s="1"/>
  <c r="D129" i="2" l="1"/>
  <c r="C129" i="2" l="1"/>
  <c r="F129" i="2" s="1"/>
  <c r="B130" i="2" s="1"/>
  <c r="D130" i="2" l="1"/>
  <c r="C130" i="2" l="1"/>
  <c r="F130" i="2" s="1"/>
  <c r="B131" i="2" s="1"/>
  <c r="D131" i="2" l="1"/>
  <c r="C131" i="2" l="1"/>
  <c r="F131" i="2" s="1"/>
  <c r="B132" i="2" s="1"/>
  <c r="D132" i="2" l="1"/>
  <c r="C132" i="2" l="1"/>
  <c r="F132" i="2" s="1"/>
  <c r="B133" i="2" s="1"/>
  <c r="D133" i="2" l="1"/>
  <c r="C133" i="2" s="1"/>
  <c r="F133" i="2" s="1"/>
  <c r="B134" i="2" s="1"/>
  <c r="D134" i="2" l="1"/>
  <c r="C134" i="2" s="1"/>
  <c r="F134" i="2" s="1"/>
  <c r="B135" i="2" s="1"/>
  <c r="D135" i="2" l="1"/>
  <c r="C135" i="2" s="1"/>
  <c r="F135" i="2" s="1"/>
  <c r="B136" i="2" s="1"/>
  <c r="D136" i="2" l="1"/>
  <c r="C136" i="2" s="1"/>
  <c r="F136" i="2" s="1"/>
  <c r="B137" i="2" s="1"/>
  <c r="D137" i="2" l="1"/>
  <c r="C137" i="2" s="1"/>
  <c r="F137" i="2" s="1"/>
  <c r="B138" i="2" s="1"/>
  <c r="D138" i="2" l="1"/>
  <c r="C138" i="2" s="1"/>
  <c r="F138" i="2"/>
  <c r="B139" i="2" s="1"/>
  <c r="D139" i="2" l="1"/>
  <c r="C139" i="2" l="1"/>
  <c r="F139" i="2" s="1"/>
  <c r="D140" i="2"/>
  <c r="L62" i="1" s="1"/>
  <c r="L64" i="1" s="1"/>
  <c r="L65" i="1" l="1"/>
  <c r="L86" i="1" s="1"/>
  <c r="L95" i="1" s="1"/>
  <c r="L99" i="1" s="1"/>
  <c r="B142" i="2"/>
  <c r="L88" i="1"/>
  <c r="D142" i="2" l="1"/>
  <c r="L66" i="1"/>
  <c r="M93" i="1" s="1"/>
  <c r="O93" i="1" s="1"/>
  <c r="C142" i="2" l="1"/>
  <c r="F142" i="2" s="1"/>
  <c r="B143" i="2" s="1"/>
  <c r="D143" i="2" l="1"/>
  <c r="C143" i="2" l="1"/>
  <c r="F143" i="2" s="1"/>
  <c r="B144" i="2" s="1"/>
  <c r="D144" i="2" l="1"/>
  <c r="C144" i="2" l="1"/>
  <c r="F144" i="2" s="1"/>
  <c r="B145" i="2" s="1"/>
  <c r="D145" i="2" l="1"/>
  <c r="C145" i="2" l="1"/>
  <c r="F145" i="2" s="1"/>
  <c r="B146" i="2" s="1"/>
  <c r="D146" i="2" l="1"/>
  <c r="C146" i="2" l="1"/>
  <c r="F146" i="2" s="1"/>
  <c r="B147" i="2" s="1"/>
  <c r="D147" i="2" l="1"/>
  <c r="C147" i="2" s="1"/>
  <c r="F147" i="2" s="1"/>
  <c r="B148" i="2" s="1"/>
  <c r="D148" i="2" l="1"/>
  <c r="C148" i="2" s="1"/>
  <c r="F148" i="2" s="1"/>
  <c r="B149" i="2" s="1"/>
  <c r="D149" i="2" l="1"/>
  <c r="C149" i="2" s="1"/>
  <c r="F149" i="2" s="1"/>
  <c r="B150" i="2" s="1"/>
  <c r="D150" i="2" l="1"/>
  <c r="C150" i="2" s="1"/>
  <c r="F150" i="2" s="1"/>
  <c r="B151" i="2" s="1"/>
  <c r="D151" i="2" l="1"/>
  <c r="C151" i="2" s="1"/>
  <c r="F151" i="2" s="1"/>
  <c r="B152" i="2" s="1"/>
  <c r="D152" i="2" l="1"/>
  <c r="C152" i="2" s="1"/>
  <c r="F152" i="2" s="1"/>
  <c r="B153" i="2" s="1"/>
  <c r="D153" i="2" l="1"/>
  <c r="C153" i="2" l="1"/>
  <c r="F153" i="2" s="1"/>
  <c r="M88" i="1" s="1"/>
  <c r="O88" i="1" s="1"/>
  <c r="D154" i="2"/>
  <c r="M62" i="1" s="1"/>
  <c r="M64" i="1" s="1"/>
  <c r="M65" i="1" l="1"/>
  <c r="M86" i="1" s="1"/>
  <c r="M95" i="1" s="1"/>
  <c r="M99" i="1" s="1"/>
  <c r="O95" i="1"/>
  <c r="P88" i="1" s="1"/>
  <c r="S88" i="1" s="1"/>
  <c r="P94" i="1" l="1"/>
  <c r="P89" i="1"/>
  <c r="S89" i="1" s="1"/>
  <c r="P95" i="1"/>
  <c r="P92" i="1"/>
  <c r="S92" i="1" s="1"/>
  <c r="S95" i="1" s="1"/>
  <c r="M66" i="1"/>
  <c r="P102" i="1" l="1"/>
</calcChain>
</file>

<file path=xl/sharedStrings.xml><?xml version="1.0" encoding="utf-8"?>
<sst xmlns="http://schemas.openxmlformats.org/spreadsheetml/2006/main" count="395" uniqueCount="196">
  <si>
    <t>Papa Murphys</t>
  </si>
  <si>
    <t>FORECAST</t>
  </si>
  <si>
    <t>Growth</t>
  </si>
  <si>
    <t>SALES UNIT FORECASTS</t>
  </si>
  <si>
    <t>Forecasted Yearly Pizza Sales (units)</t>
  </si>
  <si>
    <t>Forecasted Yearly Cheesy Bread Sales (units)</t>
  </si>
  <si>
    <t>Forecasted Yearly Soda Sales</t>
  </si>
  <si>
    <t>Forecasted Yearly Desert Sales</t>
  </si>
  <si>
    <t>Forecasted Yearly Salad Sales</t>
  </si>
  <si>
    <t>Average Pizza Sales Price</t>
  </si>
  <si>
    <t>Cheesy Bread Sales Price</t>
  </si>
  <si>
    <t>Soda Sales Price</t>
  </si>
  <si>
    <t>Average Deserts Sales Price</t>
  </si>
  <si>
    <t>Average Salad Sales Price</t>
  </si>
  <si>
    <t>Cost of Pizza</t>
  </si>
  <si>
    <t>Cost of Cheesy Bread</t>
  </si>
  <si>
    <t>Cost of Sodas</t>
  </si>
  <si>
    <t>Cost of Deserts</t>
  </si>
  <si>
    <t>Cost of Salads</t>
  </si>
  <si>
    <t>Sales Revenue - Pizza</t>
  </si>
  <si>
    <t>Sales Revenue - Cheesy Bread</t>
  </si>
  <si>
    <t>Sales Revenue - Sodas</t>
  </si>
  <si>
    <t>Sales Revenue - Deserts</t>
  </si>
  <si>
    <t>Sales Revenue - Salads</t>
  </si>
  <si>
    <t>Number of Employees</t>
  </si>
  <si>
    <t>Number of Mangers</t>
  </si>
  <si>
    <t>Number of Shift Supervisors</t>
  </si>
  <si>
    <t>Manager Yearly Salary</t>
  </si>
  <si>
    <t>Employees Yearly Pay</t>
  </si>
  <si>
    <t>Supervisor Yearly Pay</t>
  </si>
  <si>
    <t>Tax Rate</t>
  </si>
  <si>
    <t>Interest Rate</t>
  </si>
  <si>
    <t>Building</t>
  </si>
  <si>
    <t>Land</t>
  </si>
  <si>
    <t>FF&amp;E</t>
  </si>
  <si>
    <t>RATIOS USED IN FORECAST</t>
  </si>
  <si>
    <t>Average Collection Period - Internet Sales</t>
  </si>
  <si>
    <t>Inventory Turnover Ratio - All Sales</t>
  </si>
  <si>
    <t>Inventory Days - All Sales</t>
  </si>
  <si>
    <t>Average Payables Period - COGS</t>
  </si>
  <si>
    <t>INCOME STATEMENT</t>
  </si>
  <si>
    <t>Total Revenue</t>
  </si>
  <si>
    <t>Cost of Goods Sold</t>
  </si>
  <si>
    <t>Operating Expenses</t>
  </si>
  <si>
    <t>Salaries expense</t>
  </si>
  <si>
    <t>General and Administrative</t>
  </si>
  <si>
    <t>Store Building Maintenance Exp/Utilities</t>
  </si>
  <si>
    <t>Franchise Fees</t>
  </si>
  <si>
    <t>Total Operating Income</t>
  </si>
  <si>
    <t>Building Depreciation expense</t>
  </si>
  <si>
    <t>FF&amp;E Depreciation</t>
  </si>
  <si>
    <t>Extra Loan Interest Expense</t>
  </si>
  <si>
    <t>Mortgage Loan Interest Expense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</si>
  <si>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</si>
  <si>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</si>
  <si>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</si>
  <si>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</si>
  <si>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</si>
  <si>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</si>
  <si>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</t>
  </si>
  <si>
    <t>Accounts Receivable</t>
  </si>
  <si>
    <t>Inventory</t>
  </si>
  <si>
    <t>Buildings</t>
  </si>
  <si>
    <t>Total Assets</t>
  </si>
  <si>
    <t>Liabilities and Equity</t>
  </si>
  <si>
    <t>Liaiblities</t>
  </si>
  <si>
    <t>Accounts Payable</t>
  </si>
  <si>
    <t>Income Tax Payable</t>
  </si>
  <si>
    <t>Mortgage Debt</t>
  </si>
  <si>
    <t>Extra Bank Loan</t>
  </si>
  <si>
    <t>Equity</t>
  </si>
  <si>
    <t>Common Stock</t>
  </si>
  <si>
    <t>Retained Earnings</t>
  </si>
  <si>
    <t>Total Liabilites and Stockholders Equity</t>
  </si>
  <si>
    <t>Total Funds</t>
  </si>
  <si>
    <t>DFN</t>
  </si>
  <si>
    <t>FREE CASH FLOWS</t>
  </si>
  <si>
    <t>Cash from Operations</t>
  </si>
  <si>
    <t>Operating Income</t>
  </si>
  <si>
    <t>Less: Depreciation</t>
  </si>
  <si>
    <t>Taxable Operating Income</t>
  </si>
  <si>
    <t>Tax on Operations ONLY (= Payable)</t>
  </si>
  <si>
    <t>After tax Operating Income</t>
  </si>
  <si>
    <t>Add: Deprecation</t>
  </si>
  <si>
    <t>Cash From Operations</t>
  </si>
  <si>
    <t>Cash in/out from Captial Expenditures</t>
  </si>
  <si>
    <t>Buy Land</t>
  </si>
  <si>
    <t>Sell Land</t>
  </si>
  <si>
    <t>Book value</t>
  </si>
  <si>
    <t>Buy Buildings</t>
  </si>
  <si>
    <t>Sell Buildings</t>
  </si>
  <si>
    <t>Tax on Sales</t>
  </si>
  <si>
    <t>Cash in/out from Changes in Working Capital</t>
  </si>
  <si>
    <t>Income Tax Payable (OPERATIONS ONLY)</t>
  </si>
  <si>
    <t>Cash in/out from Liquidation of Working Capital</t>
  </si>
  <si>
    <t>Total Free Cash Flows</t>
  </si>
  <si>
    <t>IRR</t>
  </si>
  <si>
    <t>Cost of Capital</t>
  </si>
  <si>
    <t>NPV of Free Cash Flows</t>
  </si>
  <si>
    <t>Beg Balance</t>
  </si>
  <si>
    <t>Principal</t>
  </si>
  <si>
    <t>Interest</t>
  </si>
  <si>
    <t>Payment</t>
  </si>
  <si>
    <t>End Balance</t>
  </si>
  <si>
    <t>Beginning Balance</t>
  </si>
  <si>
    <t>Jan Year 1</t>
  </si>
  <si>
    <t>Annual rate</t>
  </si>
  <si>
    <t>Monthly rate</t>
  </si>
  <si>
    <t>No. of years</t>
  </si>
  <si>
    <t>No. of months</t>
  </si>
  <si>
    <t>Dec Year 1</t>
  </si>
  <si>
    <t>TOTALS</t>
  </si>
  <si>
    <t>Jan Year 2</t>
  </si>
  <si>
    <t>Dec Year 2</t>
  </si>
  <si>
    <t>Jan Year 3</t>
  </si>
  <si>
    <t>Dec Year 3</t>
  </si>
  <si>
    <t>Jan Year 4</t>
  </si>
  <si>
    <t>Dec Year 4</t>
  </si>
  <si>
    <t>Jan Year 5</t>
  </si>
  <si>
    <t>Dec Year 5</t>
  </si>
  <si>
    <t>Jan Year 6</t>
  </si>
  <si>
    <t>Dec Year 6</t>
  </si>
  <si>
    <t>Jan 1 Year 7</t>
  </si>
  <si>
    <t>Dec Year 7</t>
  </si>
  <si>
    <t>Jan Year 8</t>
  </si>
  <si>
    <t>Dec Year 8</t>
  </si>
  <si>
    <t>Jan Year 9</t>
  </si>
  <si>
    <t>Dec Year 9</t>
  </si>
  <si>
    <t>Jan Year 10</t>
  </si>
  <si>
    <t>Dec Year 10</t>
  </si>
  <si>
    <t>Information</t>
  </si>
  <si>
    <t>Building Cost</t>
  </si>
  <si>
    <t>Total Revenue</t>
  </si>
  <si>
    <t>Monthly Revenue</t>
  </si>
  <si>
    <t>EBITDA</t>
  </si>
  <si>
    <t>FF&amp;E</t>
  </si>
  <si>
    <t>Inventory</t>
  </si>
  <si>
    <t>Employees</t>
  </si>
  <si>
    <t>Revenue</t>
  </si>
  <si>
    <t>Prices</t>
  </si>
  <si>
    <t>Price</t>
  </si>
  <si>
    <t># Sold/Day</t>
  </si>
  <si>
    <t>Revenue Per Day</t>
  </si>
  <si>
    <t>Revenue Per Month</t>
  </si>
  <si>
    <t>Revenue Per Year</t>
  </si>
  <si>
    <t>Pizza per year</t>
  </si>
  <si>
    <t>Pizza</t>
  </si>
  <si>
    <t>Soda</t>
  </si>
  <si>
    <t>Salads</t>
  </si>
  <si>
    <t>Cheesy Bread</t>
  </si>
  <si>
    <t>Deserts</t>
  </si>
  <si>
    <t>COGS</t>
  </si>
  <si>
    <t>Employee Type</t>
  </si>
  <si>
    <t># Employees</t>
  </si>
  <si>
    <t>Pay</t>
  </si>
  <si>
    <t>Hours</t>
  </si>
  <si>
    <t>Yearly</t>
  </si>
  <si>
    <t>Manager</t>
  </si>
  <si>
    <t>Shift Supervisor</t>
  </si>
  <si>
    <t>Employees</t>
  </si>
  <si>
    <t>Total</t>
  </si>
  <si>
    <t>Operating Fees</t>
  </si>
  <si>
    <t>Franchise Fee</t>
  </si>
  <si>
    <t>General &amp; Admin</t>
  </si>
  <si>
    <t>Building Maintience/Utilities</t>
  </si>
  <si>
    <t>Depreciation</t>
  </si>
  <si>
    <t>Period</t>
  </si>
  <si>
    <t>Present Value of Free Cash Flows</t>
  </si>
  <si>
    <t>Gain</t>
  </si>
  <si>
    <t>Jan Year 11</t>
  </si>
  <si>
    <t>Dec Year 11</t>
  </si>
  <si>
    <t>Less:  Accumulated Depreciation Buildings</t>
  </si>
  <si>
    <t>Less:  Accumulated Depreciation FF&amp;E</t>
  </si>
  <si>
    <t>Return Equity Holders Want</t>
  </si>
  <si>
    <t>Beta</t>
  </si>
  <si>
    <t>Tbill</t>
  </si>
  <si>
    <t>S&amp;P 500</t>
  </si>
  <si>
    <t>Equity Holders Want</t>
  </si>
  <si>
    <t>Average</t>
  </si>
  <si>
    <t>Proportion</t>
  </si>
  <si>
    <t>Rate</t>
  </si>
  <si>
    <t>After Tax</t>
  </si>
  <si>
    <t>Weighted</t>
  </si>
  <si>
    <t>WACC</t>
  </si>
  <si>
    <t>Unleavered Beta</t>
  </si>
  <si>
    <t>Relevered Beta</t>
  </si>
  <si>
    <t>Mortgage</t>
  </si>
  <si>
    <t>Initial</t>
  </si>
  <si>
    <t>Ending</t>
  </si>
  <si>
    <t>Expansion Land</t>
  </si>
  <si>
    <t>Expansion Build on Land</t>
  </si>
  <si>
    <t>Operating Expansion Buildings</t>
  </si>
  <si>
    <t>Income from Expansion</t>
  </si>
  <si>
    <t>Unsecured</t>
  </si>
  <si>
    <t>Extra Bank</t>
  </si>
  <si>
    <t>Secured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</si>
</sst>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_(\$* #,##0.00_);_(\$* \(#,##0.00\);_(\$* \-??_);_(@_)"/>
    <numFmt numFmtId="166" formatCode="_(* #,##0_);_(* \(#,##0\);_(* &quot;-&quot;??_);_(@_)"/>
    <numFmt numFmtId="167" formatCode="0.0000%"/>
    <numFmt numFmtId="168" formatCode="0.00000000000000000%"/>
    <numFmt numFmtId="169" formatCode="0.00000%"/>
    <numFmt numFmtId="170" formatCode="_(* #,##0.000_);_(* \(#,##0.000\);_(* &quot;-&quot;??_);_(@_)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5" fontId="5" fillId="0" borderId="0"/>
    <xf numFmtId="0" fontId="5" fillId="0" borderId="0"/>
    <xf numFmtId="9" fontId="5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0" fontId="0" fillId="0" borderId="0" xfId="0" applyNumberFormat="1" applyBorder="1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 applyAlignment="1">
      <alignment wrapText="1"/>
    </xf>
    <xf numFmtId="3" fontId="2" fillId="0" borderId="0" xfId="0" applyNumberFormat="1" applyFont="1" applyAlignment="1">
      <alignment wrapText="1"/>
    </xf>
    <xf numFmtId="10" fontId="0" fillId="0" borderId="0" xfId="1" applyNumberFormat="1" applyFont="1" applyAlignment="1">
      <alignment wrapText="1"/>
    </xf>
    <xf numFmtId="9" fontId="0" fillId="0" borderId="0" xfId="1" applyFont="1" applyAlignment="1">
      <alignment wrapText="1"/>
    </xf>
    <xf numFmtId="0" fontId="4" fillId="0" borderId="0" xfId="2"/>
    <xf numFmtId="0" fontId="5" fillId="0" borderId="0" xfId="4"/>
    <xf numFmtId="0" fontId="5" fillId="0" borderId="0" xfId="4"/>
    <xf numFmtId="2" fontId="0" fillId="0" borderId="0" xfId="0" applyNumberFormat="1" applyAlignment="1">
      <alignment wrapText="1"/>
    </xf>
    <xf numFmtId="9" fontId="0" fillId="0" borderId="0" xfId="1" applyNumberFormat="1" applyFont="1" applyAlignment="1">
      <alignment wrapText="1"/>
    </xf>
    <xf numFmtId="166" fontId="0" fillId="0" borderId="0" xfId="7" applyNumberFormat="1" applyFont="1" applyAlignment="1">
      <alignment wrapText="1"/>
    </xf>
    <xf numFmtId="3" fontId="0" fillId="2" borderId="0" xfId="0" applyNumberFormat="1" applyFill="1" applyAlignment="1">
      <alignment wrapText="1"/>
    </xf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9" fontId="0" fillId="0" borderId="0" xfId="0" applyNumberFormat="1" applyAlignment="1">
      <alignment wrapText="1"/>
    </xf>
    <xf numFmtId="170" fontId="0" fillId="0" borderId="0" xfId="7" applyNumberFormat="1" applyFont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10" fontId="0" fillId="2" borderId="0" xfId="0" applyNumberFormat="1" applyFill="1" applyAlignment="1">
      <alignment wrapText="1"/>
    </xf>
    <xf numFmtId="9" fontId="0" fillId="2" borderId="0" xfId="0" applyNumberFormat="1" applyFill="1" applyAlignment="1">
      <alignment wrapText="1"/>
    </xf>
    <xf numFmtId="3" fontId="0" fillId="0" borderId="0" xfId="0" applyNumberFormat="1" applyAlignment="1">
      <alignment horizontal="center" wrapText="1"/>
    </xf>
  </cellXfs>
  <cellStyles count="8">
    <cellStyle name="Comma" xfId="7" builtinId="3"/>
    <cellStyle name="Comma 2" xfId="6"/>
    <cellStyle name="Currency 2" xfId="3"/>
    <cellStyle name="Excel Built-in Normal" xfId="4"/>
    <cellStyle name="Normal" xfId="0" builtinId="0"/>
    <cellStyle name="Normal 2" xfId="2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1130300</xdr:colOff>
      <xdr:row>62</xdr:row>
      <xdr:rowOff>76200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1130300</xdr:colOff>
      <xdr:row>68</xdr:row>
      <xdr:rowOff>76200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697865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7791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64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1130300</xdr:colOff>
      <xdr:row>62</xdr:row>
      <xdr:rowOff>76200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71882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0" y="0"/>
          <a:ext cx="9077325" cy="968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1130300</xdr:colOff>
      <xdr:row>62</xdr:row>
      <xdr:rowOff>76200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71882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0" y="0"/>
          <a:ext cx="8001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1130300</xdr:colOff>
      <xdr:row>62</xdr:row>
      <xdr:rowOff>76200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724535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1047750</xdr:colOff>
      <xdr:row>58</xdr:row>
      <xdr:rowOff>133350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80581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5"/>
  <sheetViews>
    <sheetView tabSelected="1" zoomScale="60" zoomScaleNormal="60" zoomScalePageLayoutView="80" workbookViewId="0">
      <selection activeCell="I114" sqref="I114"/>
    </sheetView>
  </sheetViews>
  <sheetFormatPr defaultColWidth="17.140625" defaultRowHeight="12.75" customHeight="1" x14ac:dyDescent="0.2"/>
  <cols>
    <col min="1" max="1" width="42.85546875" bestFit="1" customWidth="1"/>
    <col min="2" max="2" width="12.85546875" customWidth="1"/>
    <col min="3" max="5" width="12" bestFit="1" customWidth="1"/>
    <col min="7" max="13" width="12" bestFit="1" customWidth="1"/>
    <col min="14" max="14" width="7" customWidth="1"/>
    <col min="15" max="15" width="17.7109375" customWidth="1"/>
    <col min="16" max="16" width="13.42578125" bestFit="1" customWidth="1"/>
    <col min="17" max="17" width="6.7109375" customWidth="1"/>
    <col min="18" max="18" width="9.5703125" bestFit="1" customWidth="1"/>
    <col min="19" max="19" width="21.7109375" bestFit="1" customWidth="1"/>
    <col min="20" max="20" width="7" bestFit="1" customWidth="1"/>
  </cols>
  <sheetData>
    <row r="1" spans="1:20" ht="12.75" customHeight="1" x14ac:dyDescent="0.2">
      <c r="A1" t="s">
        <v>0</v>
      </c>
    </row>
    <row r="2" spans="1:20" ht="12.75" customHeight="1" x14ac:dyDescent="0.2">
      <c r="A2" s="3" t="s">
        <v>1</v>
      </c>
    </row>
    <row r="3" spans="1:20" ht="12.75" customHeight="1" x14ac:dyDescent="0.2">
      <c r="B3" t="s">
        <v>2</v>
      </c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</row>
    <row r="4" spans="1:20" ht="12.75" customHeight="1" x14ac:dyDescent="0.2">
      <c r="A4" t="s">
        <v>3</v>
      </c>
    </row>
    <row r="5" spans="1:20" ht="12.75" customHeight="1" x14ac:dyDescent="0.2">
      <c r="A5" s="4" t="s">
        <v>4</v>
      </c>
      <c r="B5" s="1">
        <f>3/100</f>
        <v>0.03</v>
      </c>
      <c r="C5" s="4">
        <f>(OutsideNumber!C12*30)*12</f>
        <v>25200</v>
      </c>
      <c r="D5" s="4">
        <f t="shared" ref="D5:M5" si="0">(C5*$B$5)+C5</f>
        <v>25956</v>
      </c>
      <c r="E5" s="4">
        <f t="shared" si="0"/>
        <v>26734.68</v>
      </c>
      <c r="F5" s="4">
        <f t="shared" si="0"/>
        <v>27536.720400000002</v>
      </c>
      <c r="G5" s="4">
        <f t="shared" si="0"/>
        <v>28362.822012000001</v>
      </c>
      <c r="H5" s="4">
        <f t="shared" si="0"/>
        <v>29213.70667236</v>
      </c>
      <c r="I5" s="4">
        <f t="shared" si="0"/>
        <v>30090.117872530798</v>
      </c>
      <c r="J5" s="4">
        <f t="shared" si="0"/>
        <v>30992.821408706721</v>
      </c>
      <c r="K5" s="4">
        <f t="shared" si="0"/>
        <v>31922.606050967923</v>
      </c>
      <c r="L5" s="4">
        <f t="shared" si="0"/>
        <v>32880.284232496961</v>
      </c>
      <c r="M5" s="4">
        <f t="shared" si="0"/>
        <v>33866.692759471873</v>
      </c>
      <c r="N5" s="4"/>
      <c r="O5" s="4"/>
      <c r="P5" s="4"/>
      <c r="Q5" s="4"/>
      <c r="R5" s="4"/>
      <c r="S5" s="4"/>
      <c r="T5" s="4"/>
    </row>
    <row r="6" spans="1:20" ht="12.75" customHeight="1" x14ac:dyDescent="0.2">
      <c r="A6" s="4" t="s">
        <v>5</v>
      </c>
      <c r="C6" s="4">
        <f>(OutsideNumber!C15*30)*12</f>
        <v>10800</v>
      </c>
      <c r="D6" s="4">
        <f t="shared" ref="D6:M6" si="1">(C6*$B$5)+C6</f>
        <v>11124</v>
      </c>
      <c r="E6" s="4">
        <f t="shared" si="1"/>
        <v>11457.72</v>
      </c>
      <c r="F6" s="4">
        <f t="shared" si="1"/>
        <v>11801.451599999999</v>
      </c>
      <c r="G6" s="4">
        <f t="shared" si="1"/>
        <v>12155.495147999998</v>
      </c>
      <c r="H6" s="4">
        <f t="shared" si="1"/>
        <v>12520.160002439998</v>
      </c>
      <c r="I6" s="4">
        <f t="shared" si="1"/>
        <v>12895.764802513198</v>
      </c>
      <c r="J6" s="4">
        <f t="shared" si="1"/>
        <v>13282.637746588594</v>
      </c>
      <c r="K6" s="4">
        <f t="shared" si="1"/>
        <v>13681.116878986251</v>
      </c>
      <c r="L6" s="4">
        <f t="shared" si="1"/>
        <v>14091.550385355838</v>
      </c>
      <c r="M6" s="4">
        <f t="shared" si="1"/>
        <v>14514.296896916514</v>
      </c>
      <c r="N6" s="4"/>
      <c r="O6" s="4"/>
      <c r="P6" s="4"/>
      <c r="Q6" s="4"/>
      <c r="R6" s="4"/>
      <c r="S6" s="4"/>
      <c r="T6" s="4"/>
    </row>
    <row r="7" spans="1:20" ht="12.75" customHeight="1" x14ac:dyDescent="0.2">
      <c r="A7" s="4" t="s">
        <v>6</v>
      </c>
      <c r="B7" s="4"/>
      <c r="C7" s="4">
        <f>(OutsideNumber!C13*30)*12</f>
        <v>23400</v>
      </c>
      <c r="D7" s="4">
        <f t="shared" ref="D7:M7" si="2">(C7*$B$5)+C7</f>
        <v>24102</v>
      </c>
      <c r="E7" s="4">
        <f t="shared" si="2"/>
        <v>24825.06</v>
      </c>
      <c r="F7" s="4">
        <f t="shared" si="2"/>
        <v>25569.811800000003</v>
      </c>
      <c r="G7" s="4">
        <f t="shared" si="2"/>
        <v>26336.906154000004</v>
      </c>
      <c r="H7" s="4">
        <f t="shared" si="2"/>
        <v>27127.013338620003</v>
      </c>
      <c r="I7" s="4">
        <f t="shared" si="2"/>
        <v>27940.823738778603</v>
      </c>
      <c r="J7" s="4">
        <f t="shared" si="2"/>
        <v>28779.048450941962</v>
      </c>
      <c r="K7" s="4">
        <f t="shared" si="2"/>
        <v>29642.419904470222</v>
      </c>
      <c r="L7" s="4">
        <f t="shared" si="2"/>
        <v>30531.692501604328</v>
      </c>
      <c r="M7" s="4">
        <f t="shared" si="2"/>
        <v>31447.643276652459</v>
      </c>
      <c r="N7" s="4"/>
      <c r="O7" s="4"/>
      <c r="P7" s="4"/>
      <c r="Q7" s="4"/>
      <c r="R7" s="4"/>
      <c r="S7" s="4"/>
      <c r="T7" s="4"/>
    </row>
    <row r="8" spans="1:20" ht="12.75" customHeight="1" x14ac:dyDescent="0.2">
      <c r="A8" s="4" t="s">
        <v>7</v>
      </c>
      <c r="B8" s="4"/>
      <c r="C8" s="4">
        <f>(OutsideNumber!C16*30)*12</f>
        <v>3600</v>
      </c>
      <c r="D8" s="4">
        <f t="shared" ref="D8:M8" si="3">(C8*$B$5)+C8</f>
        <v>3708</v>
      </c>
      <c r="E8" s="4">
        <f t="shared" si="3"/>
        <v>3819.24</v>
      </c>
      <c r="F8" s="4">
        <f t="shared" si="3"/>
        <v>3933.8172</v>
      </c>
      <c r="G8" s="4">
        <f t="shared" si="3"/>
        <v>4051.8317160000001</v>
      </c>
      <c r="H8" s="4">
        <f t="shared" si="3"/>
        <v>4173.3866674800001</v>
      </c>
      <c r="I8" s="4">
        <f t="shared" si="3"/>
        <v>4298.5882675044004</v>
      </c>
      <c r="J8" s="4">
        <f t="shared" si="3"/>
        <v>4427.5459155295321</v>
      </c>
      <c r="K8" s="4">
        <f t="shared" si="3"/>
        <v>4560.3722929954183</v>
      </c>
      <c r="L8" s="4">
        <f t="shared" si="3"/>
        <v>4697.183461785281</v>
      </c>
      <c r="M8" s="4">
        <f t="shared" si="3"/>
        <v>4838.0989656388392</v>
      </c>
      <c r="N8" s="4"/>
      <c r="O8" s="4"/>
      <c r="P8" s="4"/>
      <c r="Q8" s="4"/>
      <c r="R8" s="4"/>
      <c r="S8" s="4"/>
      <c r="T8" s="4"/>
    </row>
    <row r="9" spans="1:20" ht="12.75" customHeight="1" x14ac:dyDescent="0.2">
      <c r="A9" s="7" t="s">
        <v>8</v>
      </c>
      <c r="B9" s="7"/>
      <c r="C9" s="7">
        <f>(OutsideNumber!C14*30)*12</f>
        <v>2880</v>
      </c>
      <c r="D9" s="7">
        <f t="shared" ref="D9:M9" si="4">(C9*$B$5)+C9</f>
        <v>2966.4</v>
      </c>
      <c r="E9" s="7">
        <f t="shared" si="4"/>
        <v>3055.3920000000003</v>
      </c>
      <c r="F9" s="7">
        <f t="shared" si="4"/>
        <v>3147.0537600000002</v>
      </c>
      <c r="G9" s="7">
        <f t="shared" si="4"/>
        <v>3241.4653728000003</v>
      </c>
      <c r="H9" s="7">
        <f t="shared" si="4"/>
        <v>3338.7093339840003</v>
      </c>
      <c r="I9" s="7">
        <f t="shared" si="4"/>
        <v>3438.8706140035201</v>
      </c>
      <c r="J9" s="7">
        <f t="shared" si="4"/>
        <v>3542.0367324236258</v>
      </c>
      <c r="K9" s="7">
        <f t="shared" si="4"/>
        <v>3648.2978343963346</v>
      </c>
      <c r="L9" s="7">
        <f t="shared" si="4"/>
        <v>3757.7467694282245</v>
      </c>
      <c r="M9" s="7">
        <f t="shared" si="4"/>
        <v>3870.4791725110713</v>
      </c>
      <c r="N9" s="7"/>
      <c r="O9" s="7"/>
      <c r="P9" s="7"/>
      <c r="Q9" s="7"/>
      <c r="R9" s="7"/>
      <c r="S9" s="7"/>
      <c r="T9" s="7"/>
    </row>
    <row r="10" spans="1:20" s="8" customFormat="1" ht="12.75" customHeight="1" x14ac:dyDescent="0.2">
      <c r="A10" s="8" t="s">
        <v>9</v>
      </c>
      <c r="B10" s="10">
        <v>0.02</v>
      </c>
      <c r="C10" s="9">
        <v>10</v>
      </c>
      <c r="D10" s="9">
        <f t="shared" ref="D10:M10" si="5">C10+($B$10*C10)</f>
        <v>10.199999999999999</v>
      </c>
      <c r="E10" s="9">
        <f t="shared" si="5"/>
        <v>10.404</v>
      </c>
      <c r="F10" s="9">
        <f t="shared" si="5"/>
        <v>10.612080000000001</v>
      </c>
      <c r="G10" s="9">
        <f t="shared" si="5"/>
        <v>10.824321600000001</v>
      </c>
      <c r="H10" s="9">
        <f t="shared" si="5"/>
        <v>11.040808032000001</v>
      </c>
      <c r="I10" s="9">
        <f t="shared" si="5"/>
        <v>11.261624192640001</v>
      </c>
      <c r="J10" s="9">
        <f t="shared" si="5"/>
        <v>11.486856676492801</v>
      </c>
      <c r="K10" s="9">
        <f t="shared" si="5"/>
        <v>11.716593810022657</v>
      </c>
      <c r="L10" s="9">
        <f t="shared" si="5"/>
        <v>11.95092568622311</v>
      </c>
      <c r="M10" s="9">
        <f t="shared" si="5"/>
        <v>12.189944199947572</v>
      </c>
    </row>
    <row r="11" spans="1:20" s="8" customFormat="1" ht="12.75" customHeight="1" x14ac:dyDescent="0.2">
      <c r="A11" s="8" t="s">
        <v>10</v>
      </c>
      <c r="C11" s="9">
        <v>4</v>
      </c>
      <c r="D11" s="9">
        <f t="shared" ref="D11:M11" si="6">C11+($B$10*C11)</f>
        <v>4.08</v>
      </c>
      <c r="E11" s="9">
        <f t="shared" si="6"/>
        <v>4.1616</v>
      </c>
      <c r="F11" s="9">
        <f t="shared" si="6"/>
        <v>4.2448319999999997</v>
      </c>
      <c r="G11" s="9">
        <f t="shared" si="6"/>
        <v>4.3297286399999999</v>
      </c>
      <c r="H11" s="9">
        <f t="shared" si="6"/>
        <v>4.4163232128000001</v>
      </c>
      <c r="I11" s="9">
        <f t="shared" si="6"/>
        <v>4.5046496770560003</v>
      </c>
      <c r="J11" s="9">
        <f t="shared" si="6"/>
        <v>4.5947426705971202</v>
      </c>
      <c r="K11" s="9">
        <f t="shared" si="6"/>
        <v>4.686637524009063</v>
      </c>
      <c r="L11" s="9">
        <f t="shared" si="6"/>
        <v>4.7803702744892442</v>
      </c>
      <c r="M11" s="9">
        <f t="shared" si="6"/>
        <v>4.8759776799790293</v>
      </c>
    </row>
    <row r="12" spans="1:20" s="8" customFormat="1" ht="12.75" customHeight="1" x14ac:dyDescent="0.2">
      <c r="A12" s="8" t="s">
        <v>11</v>
      </c>
      <c r="C12" s="9">
        <v>2</v>
      </c>
      <c r="D12" s="9">
        <f t="shared" ref="D12:M12" si="7">C12+($B$10*C12)</f>
        <v>2.04</v>
      </c>
      <c r="E12" s="9">
        <f t="shared" si="7"/>
        <v>2.0808</v>
      </c>
      <c r="F12" s="9">
        <f t="shared" si="7"/>
        <v>2.1224159999999999</v>
      </c>
      <c r="G12" s="9">
        <f t="shared" si="7"/>
        <v>2.16486432</v>
      </c>
      <c r="H12" s="9">
        <f t="shared" si="7"/>
        <v>2.2081616064</v>
      </c>
      <c r="I12" s="9">
        <f t="shared" si="7"/>
        <v>2.2523248385280001</v>
      </c>
      <c r="J12" s="9">
        <f t="shared" si="7"/>
        <v>2.2973713352985601</v>
      </c>
      <c r="K12" s="9">
        <f t="shared" si="7"/>
        <v>2.3433187620045315</v>
      </c>
      <c r="L12" s="9">
        <f t="shared" si="7"/>
        <v>2.3901851372446221</v>
      </c>
      <c r="M12" s="9">
        <f t="shared" si="7"/>
        <v>2.4379888399895147</v>
      </c>
    </row>
    <row r="13" spans="1:20" s="8" customFormat="1" ht="12.75" customHeight="1" x14ac:dyDescent="0.2">
      <c r="A13" s="8" t="s">
        <v>12</v>
      </c>
      <c r="C13" s="9">
        <v>6</v>
      </c>
      <c r="D13" s="9">
        <f t="shared" ref="D13:M13" si="8">C13+($B$10*C13)</f>
        <v>6.12</v>
      </c>
      <c r="E13" s="9">
        <f t="shared" si="8"/>
        <v>6.2423999999999999</v>
      </c>
      <c r="F13" s="9">
        <f t="shared" si="8"/>
        <v>6.367248</v>
      </c>
      <c r="G13" s="9">
        <f t="shared" si="8"/>
        <v>6.4945929600000003</v>
      </c>
      <c r="H13" s="9">
        <f t="shared" si="8"/>
        <v>6.6244848192000001</v>
      </c>
      <c r="I13" s="9">
        <f t="shared" si="8"/>
        <v>6.756974515584</v>
      </c>
      <c r="J13" s="9">
        <f t="shared" si="8"/>
        <v>6.8921140058956798</v>
      </c>
      <c r="K13" s="9">
        <f t="shared" si="8"/>
        <v>7.0299562860135936</v>
      </c>
      <c r="L13" s="9">
        <f t="shared" si="8"/>
        <v>7.170555411733865</v>
      </c>
      <c r="M13" s="9">
        <f t="shared" si="8"/>
        <v>7.3139665199685426</v>
      </c>
    </row>
    <row r="14" spans="1:20" s="8" customFormat="1" ht="12.75" customHeight="1" x14ac:dyDescent="0.2">
      <c r="A14" s="8" t="s">
        <v>13</v>
      </c>
      <c r="C14" s="9">
        <v>8</v>
      </c>
      <c r="D14" s="9">
        <f t="shared" ref="D14:M14" si="9">C14+($B$10*C14)</f>
        <v>8.16</v>
      </c>
      <c r="E14" s="9">
        <f t="shared" si="9"/>
        <v>8.3231999999999999</v>
      </c>
      <c r="F14" s="9">
        <f t="shared" si="9"/>
        <v>8.4896639999999994</v>
      </c>
      <c r="G14" s="9">
        <f t="shared" si="9"/>
        <v>8.6594572799999998</v>
      </c>
      <c r="H14" s="9">
        <f t="shared" si="9"/>
        <v>8.8326464256000001</v>
      </c>
      <c r="I14" s="9">
        <f t="shared" si="9"/>
        <v>9.0092993541120006</v>
      </c>
      <c r="J14" s="9">
        <f t="shared" si="9"/>
        <v>9.1894853411942403</v>
      </c>
      <c r="K14" s="9">
        <f t="shared" si="9"/>
        <v>9.3732750480181259</v>
      </c>
      <c r="L14" s="9">
        <f t="shared" si="9"/>
        <v>9.5607405489784885</v>
      </c>
      <c r="M14" s="9">
        <f t="shared" si="9"/>
        <v>9.7519553599580586</v>
      </c>
    </row>
    <row r="15" spans="1:20" ht="12.75" customHeight="1" x14ac:dyDescent="0.2">
      <c r="A15" s="8" t="s">
        <v>14</v>
      </c>
      <c r="B15" s="8">
        <v>5.0000000000000001E-3</v>
      </c>
      <c r="C15" s="9">
        <f>C10/2</f>
        <v>5</v>
      </c>
      <c r="D15" s="9">
        <f t="shared" ref="D15:M15" si="10">(C15*$B$15)+C15</f>
        <v>5.0250000000000004</v>
      </c>
      <c r="E15" s="9">
        <f t="shared" si="10"/>
        <v>5.0501250000000004</v>
      </c>
      <c r="F15" s="9">
        <f t="shared" si="10"/>
        <v>5.0753756250000004</v>
      </c>
      <c r="G15" s="9">
        <f t="shared" si="10"/>
        <v>5.1007525031250003</v>
      </c>
      <c r="H15" s="9">
        <f t="shared" si="10"/>
        <v>5.1262562656406256</v>
      </c>
      <c r="I15" s="9">
        <f t="shared" si="10"/>
        <v>5.1518875469688288</v>
      </c>
      <c r="J15" s="9">
        <f t="shared" si="10"/>
        <v>5.1776469847036726</v>
      </c>
      <c r="K15" s="9">
        <f t="shared" si="10"/>
        <v>5.2035352196271907</v>
      </c>
      <c r="L15" s="9">
        <f t="shared" si="10"/>
        <v>5.2295528957253268</v>
      </c>
      <c r="M15" s="9">
        <f t="shared" si="10"/>
        <v>5.2557006602039538</v>
      </c>
      <c r="N15" s="8"/>
      <c r="O15" s="8"/>
      <c r="P15" s="8"/>
      <c r="Q15" s="8"/>
      <c r="R15" s="8"/>
      <c r="S15" s="8"/>
      <c r="T15" s="8"/>
    </row>
    <row r="16" spans="1:20" ht="12.75" customHeight="1" x14ac:dyDescent="0.2">
      <c r="A16" t="s">
        <v>15</v>
      </c>
      <c r="B16">
        <v>1E-3</v>
      </c>
      <c r="C16" s="6">
        <f>C11/2</f>
        <v>2</v>
      </c>
      <c r="D16" s="6">
        <f t="shared" ref="D16:M16" si="11">(C16*$B$16)+C16</f>
        <v>2.0019999999999998</v>
      </c>
      <c r="E16" s="6">
        <f t="shared" si="11"/>
        <v>2.0040019999999998</v>
      </c>
      <c r="F16" s="6">
        <f t="shared" si="11"/>
        <v>2.0060060019999999</v>
      </c>
      <c r="G16" s="6">
        <f t="shared" si="11"/>
        <v>2.0080120080019999</v>
      </c>
      <c r="H16" s="6">
        <f t="shared" si="11"/>
        <v>2.010020020010002</v>
      </c>
      <c r="I16" s="6">
        <f t="shared" si="11"/>
        <v>2.012030040030012</v>
      </c>
      <c r="J16" s="6">
        <f t="shared" si="11"/>
        <v>2.0140420700700421</v>
      </c>
      <c r="K16" s="6">
        <f t="shared" si="11"/>
        <v>2.0160561121401122</v>
      </c>
      <c r="L16" s="6">
        <f t="shared" si="11"/>
        <v>2.0180721682522522</v>
      </c>
      <c r="M16" s="6">
        <f t="shared" si="11"/>
        <v>2.0200902404205046</v>
      </c>
    </row>
    <row r="17" spans="1:13" ht="12.75" customHeight="1" x14ac:dyDescent="0.2">
      <c r="A17" t="s">
        <v>16</v>
      </c>
      <c r="B17">
        <v>2E-3</v>
      </c>
      <c r="C17" s="6">
        <f>C12/2</f>
        <v>1</v>
      </c>
      <c r="D17" s="6">
        <f t="shared" ref="D17:M17" si="12">(C17*$B$17)+C17</f>
        <v>1.002</v>
      </c>
      <c r="E17" s="6">
        <f t="shared" si="12"/>
        <v>1.0040039999999999</v>
      </c>
      <c r="F17" s="6">
        <f t="shared" si="12"/>
        <v>1.0060120079999999</v>
      </c>
      <c r="G17" s="6">
        <f t="shared" si="12"/>
        <v>1.0080240320159999</v>
      </c>
      <c r="H17" s="6">
        <f t="shared" si="12"/>
        <v>1.010040080080032</v>
      </c>
      <c r="I17" s="6">
        <f t="shared" si="12"/>
        <v>1.012060160240192</v>
      </c>
      <c r="J17" s="6">
        <f t="shared" si="12"/>
        <v>1.0140842805606725</v>
      </c>
      <c r="K17" s="6">
        <f t="shared" si="12"/>
        <v>1.0161124491217939</v>
      </c>
      <c r="L17" s="6">
        <f t="shared" si="12"/>
        <v>1.0181446740200375</v>
      </c>
      <c r="M17" s="6">
        <f t="shared" si="12"/>
        <v>1.0201809633680776</v>
      </c>
    </row>
    <row r="18" spans="1:13" ht="12.75" customHeight="1" x14ac:dyDescent="0.2">
      <c r="A18" t="s">
        <v>17</v>
      </c>
      <c r="B18">
        <v>2E-3</v>
      </c>
      <c r="C18" s="6">
        <f>C13/2</f>
        <v>3</v>
      </c>
      <c r="D18" s="6">
        <f t="shared" ref="D18:M18" si="13">C18+($B$18*C18)</f>
        <v>3.0059999999999998</v>
      </c>
      <c r="E18" s="6">
        <f t="shared" si="13"/>
        <v>3.0120119999999999</v>
      </c>
      <c r="F18" s="6">
        <f t="shared" si="13"/>
        <v>3.0180360239999997</v>
      </c>
      <c r="G18" s="6">
        <f t="shared" si="13"/>
        <v>3.0240720960479996</v>
      </c>
      <c r="H18" s="6">
        <f t="shared" si="13"/>
        <v>3.0301202402400955</v>
      </c>
      <c r="I18" s="6">
        <f t="shared" si="13"/>
        <v>3.0361804807205757</v>
      </c>
      <c r="J18" s="6">
        <f t="shared" si="13"/>
        <v>3.0422528416820169</v>
      </c>
      <c r="K18" s="6">
        <f t="shared" si="13"/>
        <v>3.048337347365381</v>
      </c>
      <c r="L18" s="6">
        <f t="shared" si="13"/>
        <v>3.0544340220601116</v>
      </c>
      <c r="M18" s="6">
        <f t="shared" si="13"/>
        <v>3.060542890104232</v>
      </c>
    </row>
    <row r="19" spans="1:13" ht="12.75" customHeight="1" x14ac:dyDescent="0.2">
      <c r="A19" t="s">
        <v>18</v>
      </c>
      <c r="B19">
        <v>1E-3</v>
      </c>
      <c r="C19" s="6">
        <f>C14/2</f>
        <v>4</v>
      </c>
      <c r="D19" s="6">
        <f t="shared" ref="D19:M19" si="14">C19+($B$19*C19)</f>
        <v>4.0039999999999996</v>
      </c>
      <c r="E19" s="6">
        <f t="shared" si="14"/>
        <v>4.0080039999999997</v>
      </c>
      <c r="F19" s="6">
        <f t="shared" si="14"/>
        <v>4.0120120039999998</v>
      </c>
      <c r="G19" s="6">
        <f t="shared" si="14"/>
        <v>4.0160240160039997</v>
      </c>
      <c r="H19" s="6">
        <f t="shared" si="14"/>
        <v>4.020040040020004</v>
      </c>
      <c r="I19" s="6">
        <f t="shared" si="14"/>
        <v>4.0240600800600239</v>
      </c>
      <c r="J19" s="6">
        <f t="shared" si="14"/>
        <v>4.0280841401400842</v>
      </c>
      <c r="K19" s="6">
        <f t="shared" si="14"/>
        <v>4.0321122242802243</v>
      </c>
      <c r="L19" s="6">
        <f t="shared" si="14"/>
        <v>4.0361443365045044</v>
      </c>
      <c r="M19" s="6">
        <f t="shared" si="14"/>
        <v>4.0401804808410091</v>
      </c>
    </row>
    <row r="21" spans="1:13" ht="12.75" customHeight="1" x14ac:dyDescent="0.2">
      <c r="A21" t="s">
        <v>19</v>
      </c>
      <c r="C21" s="6">
        <f t="shared" ref="C21:M21" si="15">C5*C10</f>
        <v>252000</v>
      </c>
      <c r="D21" s="6">
        <f t="shared" si="15"/>
        <v>264751.19999999995</v>
      </c>
      <c r="E21" s="6">
        <f t="shared" si="15"/>
        <v>278147.61072</v>
      </c>
      <c r="F21" s="6">
        <f t="shared" si="15"/>
        <v>292221.87982243206</v>
      </c>
      <c r="G21" s="6">
        <f t="shared" si="15"/>
        <v>307008.30694144708</v>
      </c>
      <c r="H21" s="6">
        <f t="shared" si="15"/>
        <v>322542.92727268429</v>
      </c>
      <c r="I21" s="6">
        <f t="shared" si="15"/>
        <v>338863.59939268214</v>
      </c>
      <c r="J21" s="6">
        <f t="shared" si="15"/>
        <v>356010.09752195183</v>
      </c>
      <c r="K21" s="6">
        <f t="shared" si="15"/>
        <v>374024.20845656254</v>
      </c>
      <c r="L21" s="6">
        <f t="shared" si="15"/>
        <v>392949.83340446465</v>
      </c>
      <c r="M21" s="6">
        <f t="shared" si="15"/>
        <v>412833.09497473057</v>
      </c>
    </row>
    <row r="22" spans="1:13" ht="12.75" customHeight="1" x14ac:dyDescent="0.2">
      <c r="A22" t="s">
        <v>20</v>
      </c>
      <c r="C22" s="6">
        <f t="shared" ref="C22:M22" si="16">C6*C11</f>
        <v>43200</v>
      </c>
      <c r="D22" s="6">
        <f t="shared" si="16"/>
        <v>45385.919999999998</v>
      </c>
      <c r="E22" s="6">
        <f t="shared" si="16"/>
        <v>47682.447551999998</v>
      </c>
      <c r="F22" s="6">
        <f t="shared" si="16"/>
        <v>50095.179398131193</v>
      </c>
      <c r="G22" s="6">
        <f t="shared" si="16"/>
        <v>52629.995475676631</v>
      </c>
      <c r="H22" s="6">
        <f t="shared" si="16"/>
        <v>55293.073246745866</v>
      </c>
      <c r="I22" s="6">
        <f t="shared" si="16"/>
        <v>58090.902753031216</v>
      </c>
      <c r="J22" s="6">
        <f t="shared" si="16"/>
        <v>61030.302432334589</v>
      </c>
      <c r="K22" s="6">
        <f t="shared" si="16"/>
        <v>64118.435735410727</v>
      </c>
      <c r="L22" s="6">
        <f t="shared" si="16"/>
        <v>67362.828583622511</v>
      </c>
      <c r="M22" s="6">
        <f t="shared" si="16"/>
        <v>70771.387709953808</v>
      </c>
    </row>
    <row r="23" spans="1:13" ht="12.75" customHeight="1" x14ac:dyDescent="0.2">
      <c r="A23" t="s">
        <v>21</v>
      </c>
      <c r="C23" s="6">
        <f t="shared" ref="C23:M23" si="17">C7*C12</f>
        <v>46800</v>
      </c>
      <c r="D23" s="6">
        <f t="shared" si="17"/>
        <v>49168.08</v>
      </c>
      <c r="E23" s="6">
        <f t="shared" si="17"/>
        <v>51655.984848</v>
      </c>
      <c r="F23" s="6">
        <f t="shared" si="17"/>
        <v>54269.777681308806</v>
      </c>
      <c r="G23" s="6">
        <f t="shared" si="17"/>
        <v>57015.828431983035</v>
      </c>
      <c r="H23" s="6">
        <f t="shared" si="17"/>
        <v>59900.829350641376</v>
      </c>
      <c r="I23" s="6">
        <f t="shared" si="17"/>
        <v>62931.811315783831</v>
      </c>
      <c r="J23" s="6">
        <f t="shared" si="17"/>
        <v>66116.160968362499</v>
      </c>
      <c r="K23" s="6">
        <f t="shared" si="17"/>
        <v>69461.638713361637</v>
      </c>
      <c r="L23" s="6">
        <f t="shared" si="17"/>
        <v>72976.397632257736</v>
      </c>
      <c r="M23" s="6">
        <f t="shared" si="17"/>
        <v>76669.003352449989</v>
      </c>
    </row>
    <row r="24" spans="1:13" ht="12.75" customHeight="1" x14ac:dyDescent="0.2">
      <c r="A24" t="s">
        <v>22</v>
      </c>
      <c r="C24" s="6">
        <f t="shared" ref="C24:M24" si="18">C8*C13</f>
        <v>21600</v>
      </c>
      <c r="D24" s="6">
        <f t="shared" si="18"/>
        <v>22692.959999999999</v>
      </c>
      <c r="E24" s="6">
        <f t="shared" si="18"/>
        <v>23841.223775999999</v>
      </c>
      <c r="F24" s="6">
        <f t="shared" si="18"/>
        <v>25047.5896990656</v>
      </c>
      <c r="G24" s="6">
        <f t="shared" si="18"/>
        <v>26314.997737838323</v>
      </c>
      <c r="H24" s="6">
        <f t="shared" si="18"/>
        <v>27646.53662337294</v>
      </c>
      <c r="I24" s="6">
        <f t="shared" si="18"/>
        <v>29045.451376515612</v>
      </c>
      <c r="J24" s="6">
        <f t="shared" si="18"/>
        <v>30515.151216167298</v>
      </c>
      <c r="K24" s="6">
        <f t="shared" si="18"/>
        <v>32059.217867705367</v>
      </c>
      <c r="L24" s="6">
        <f t="shared" si="18"/>
        <v>33681.414291811256</v>
      </c>
      <c r="M24" s="6">
        <f t="shared" si="18"/>
        <v>35385.693854976904</v>
      </c>
    </row>
    <row r="25" spans="1:13" ht="12.75" customHeight="1" x14ac:dyDescent="0.2">
      <c r="A25" t="s">
        <v>23</v>
      </c>
      <c r="C25" s="6">
        <f t="shared" ref="C25:M25" si="19">C9*C14</f>
        <v>23040</v>
      </c>
      <c r="D25" s="6">
        <f t="shared" si="19"/>
        <v>24205.824000000001</v>
      </c>
      <c r="E25" s="6">
        <f t="shared" si="19"/>
        <v>25430.638694400001</v>
      </c>
      <c r="F25" s="6">
        <f t="shared" si="19"/>
        <v>26717.429012336641</v>
      </c>
      <c r="G25" s="6">
        <f t="shared" si="19"/>
        <v>28069.330920360877</v>
      </c>
      <c r="H25" s="6">
        <f t="shared" si="19"/>
        <v>29489.639064931136</v>
      </c>
      <c r="I25" s="6">
        <f t="shared" si="19"/>
        <v>30981.814801616652</v>
      </c>
      <c r="J25" s="6">
        <f t="shared" si="19"/>
        <v>32549.494630578454</v>
      </c>
      <c r="K25" s="6">
        <f t="shared" si="19"/>
        <v>34196.499058885725</v>
      </c>
      <c r="L25" s="6">
        <f t="shared" si="19"/>
        <v>35926.841911265343</v>
      </c>
      <c r="M25" s="6">
        <f t="shared" si="19"/>
        <v>37744.74011197537</v>
      </c>
    </row>
    <row r="27" spans="1:13" ht="12.75" customHeight="1" x14ac:dyDescent="0.2">
      <c r="A27" t="s">
        <v>24</v>
      </c>
      <c r="C27">
        <v>7</v>
      </c>
      <c r="D27">
        <v>7</v>
      </c>
      <c r="E27">
        <v>7</v>
      </c>
      <c r="F27">
        <v>7</v>
      </c>
      <c r="G27">
        <v>7</v>
      </c>
      <c r="H27">
        <v>7</v>
      </c>
      <c r="I27">
        <v>7</v>
      </c>
      <c r="J27">
        <v>7</v>
      </c>
      <c r="K27">
        <v>7</v>
      </c>
      <c r="L27">
        <v>7</v>
      </c>
      <c r="M27">
        <v>7</v>
      </c>
    </row>
    <row r="28" spans="1:13" ht="12.75" customHeight="1" x14ac:dyDescent="0.2">
      <c r="A28" t="s">
        <v>25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</row>
    <row r="29" spans="1:13" ht="12.75" customHeight="1" x14ac:dyDescent="0.2">
      <c r="A29" t="s">
        <v>26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</row>
    <row r="30" spans="1:13" ht="12.75" customHeight="1" x14ac:dyDescent="0.2">
      <c r="A30" t="s">
        <v>27</v>
      </c>
      <c r="B30" s="1">
        <v>0.03</v>
      </c>
      <c r="C30" s="4">
        <f>40000*C28</f>
        <v>40000</v>
      </c>
      <c r="D30" s="2">
        <f t="shared" ref="D30:M30" si="20">C30+($B$30*C30)</f>
        <v>41200</v>
      </c>
      <c r="E30" s="2">
        <f t="shared" si="20"/>
        <v>42436</v>
      </c>
      <c r="F30" s="2">
        <f t="shared" si="20"/>
        <v>43709.08</v>
      </c>
      <c r="G30" s="2">
        <f t="shared" si="20"/>
        <v>45020.352400000003</v>
      </c>
      <c r="H30" s="2">
        <f t="shared" si="20"/>
        <v>46370.962972000001</v>
      </c>
      <c r="I30" s="2">
        <f t="shared" si="20"/>
        <v>47762.091861159999</v>
      </c>
      <c r="J30" s="2">
        <f t="shared" si="20"/>
        <v>49194.954616994801</v>
      </c>
      <c r="K30" s="2">
        <f t="shared" si="20"/>
        <v>50670.803255504645</v>
      </c>
      <c r="L30" s="2">
        <f t="shared" si="20"/>
        <v>52190.927353169784</v>
      </c>
      <c r="M30" s="2">
        <f t="shared" si="20"/>
        <v>53756.655173764877</v>
      </c>
    </row>
    <row r="31" spans="1:13" ht="12.75" customHeight="1" x14ac:dyDescent="0.2">
      <c r="A31" t="s">
        <v>28</v>
      </c>
      <c r="B31" s="1">
        <v>0.01</v>
      </c>
      <c r="C31" s="4">
        <f>((7.25*15)*52)*C27</f>
        <v>39585</v>
      </c>
      <c r="D31" s="2">
        <f t="shared" ref="D31:M31" si="21">C31+($B$31*C31)</f>
        <v>39980.85</v>
      </c>
      <c r="E31" s="2">
        <f t="shared" si="21"/>
        <v>40380.658499999998</v>
      </c>
      <c r="F31" s="2">
        <f t="shared" si="21"/>
        <v>40784.465084999996</v>
      </c>
      <c r="G31" s="2">
        <f t="shared" si="21"/>
        <v>41192.309735849994</v>
      </c>
      <c r="H31" s="2">
        <f t="shared" si="21"/>
        <v>41604.232833208494</v>
      </c>
      <c r="I31" s="2">
        <f t="shared" si="21"/>
        <v>42020.27516154058</v>
      </c>
      <c r="J31" s="2">
        <f t="shared" si="21"/>
        <v>42440.477913155984</v>
      </c>
      <c r="K31" s="2">
        <f t="shared" si="21"/>
        <v>42864.882692287545</v>
      </c>
      <c r="L31" s="2">
        <f t="shared" si="21"/>
        <v>43293.531519210417</v>
      </c>
      <c r="M31" s="2">
        <f t="shared" si="21"/>
        <v>43726.466834402519</v>
      </c>
    </row>
    <row r="32" spans="1:13" ht="12.75" customHeight="1" x14ac:dyDescent="0.2">
      <c r="A32" t="s">
        <v>29</v>
      </c>
      <c r="B32" s="1">
        <v>0.02</v>
      </c>
      <c r="C32" s="4">
        <f>((9*20)*52)*C29</f>
        <v>18720</v>
      </c>
      <c r="D32" s="2">
        <f t="shared" ref="D32:M32" si="22">C32+($B$32*C32)</f>
        <v>19094.400000000001</v>
      </c>
      <c r="E32" s="2">
        <f t="shared" si="22"/>
        <v>19476.288</v>
      </c>
      <c r="F32" s="2">
        <f t="shared" si="22"/>
        <v>19865.813760000001</v>
      </c>
      <c r="G32" s="2">
        <f t="shared" si="22"/>
        <v>20263.1300352</v>
      </c>
      <c r="H32" s="2">
        <f t="shared" si="22"/>
        <v>20668.392635904002</v>
      </c>
      <c r="I32" s="2">
        <f t="shared" si="22"/>
        <v>21081.76048862208</v>
      </c>
      <c r="J32" s="2">
        <f t="shared" si="22"/>
        <v>21503.395698394521</v>
      </c>
      <c r="K32" s="2">
        <f t="shared" si="22"/>
        <v>21933.463612362411</v>
      </c>
      <c r="L32" s="2">
        <f t="shared" si="22"/>
        <v>22372.132884609659</v>
      </c>
      <c r="M32" s="2">
        <f t="shared" si="22"/>
        <v>22819.575542301853</v>
      </c>
    </row>
    <row r="33" spans="1:13" ht="12.75" customHeight="1" x14ac:dyDescent="0.2">
      <c r="A33" t="s">
        <v>30</v>
      </c>
      <c r="B33" s="1">
        <f>+Q75</f>
        <v>0.4</v>
      </c>
    </row>
    <row r="34" spans="1:13" ht="12.75" customHeight="1" x14ac:dyDescent="0.2">
      <c r="A34" t="s">
        <v>31</v>
      </c>
      <c r="B34" s="14">
        <v>4.4999999999999998E-2</v>
      </c>
    </row>
    <row r="35" spans="1:13" ht="12.75" customHeight="1" x14ac:dyDescent="0.2">
      <c r="A35" t="s">
        <v>32</v>
      </c>
      <c r="B35">
        <v>300000</v>
      </c>
    </row>
    <row r="36" spans="1:13" ht="12.75" customHeight="1" x14ac:dyDescent="0.2">
      <c r="A36" t="s">
        <v>33</v>
      </c>
      <c r="B36">
        <v>500000</v>
      </c>
    </row>
    <row r="37" spans="1:13" ht="12.75" customHeight="1" x14ac:dyDescent="0.2">
      <c r="A37" t="s">
        <v>34</v>
      </c>
      <c r="B37">
        <v>100000</v>
      </c>
    </row>
    <row r="39" spans="1:13" ht="12.75" customHeight="1" x14ac:dyDescent="0.2">
      <c r="A39" t="s">
        <v>35</v>
      </c>
    </row>
    <row r="40" spans="1:13" ht="12.75" customHeight="1" x14ac:dyDescent="0.2">
      <c r="A40" t="s">
        <v>36</v>
      </c>
    </row>
    <row r="41" spans="1:13" ht="12.75" customHeight="1" x14ac:dyDescent="0.2">
      <c r="A41" t="s">
        <v>37</v>
      </c>
    </row>
    <row r="42" spans="1:13" ht="12.75" customHeight="1" x14ac:dyDescent="0.2">
      <c r="A42" t="s">
        <v>38</v>
      </c>
    </row>
    <row r="43" spans="1:13" ht="12.75" customHeight="1" x14ac:dyDescent="0.2">
      <c r="A43" t="s">
        <v>39</v>
      </c>
    </row>
    <row r="44" spans="1:13" ht="12.75" customHeight="1" x14ac:dyDescent="0.2">
      <c r="C44">
        <v>2014</v>
      </c>
      <c r="D44">
        <v>2015</v>
      </c>
      <c r="E44">
        <v>2016</v>
      </c>
      <c r="F44">
        <v>2017</v>
      </c>
      <c r="G44">
        <v>2018</v>
      </c>
      <c r="H44">
        <v>2019</v>
      </c>
      <c r="I44">
        <v>2020</v>
      </c>
      <c r="J44">
        <v>2021</v>
      </c>
      <c r="K44">
        <v>2022</v>
      </c>
      <c r="L44">
        <v>2023</v>
      </c>
      <c r="M44">
        <v>2024</v>
      </c>
    </row>
    <row r="45" spans="1:13" ht="12.75" customHeight="1" x14ac:dyDescent="0.2">
      <c r="A45" s="3" t="s">
        <v>40</v>
      </c>
    </row>
    <row r="46" spans="1:13" ht="12.75" customHeight="1" x14ac:dyDescent="0.2">
      <c r="A46" t="s">
        <v>41</v>
      </c>
      <c r="C46" s="4">
        <f t="shared" ref="C46:M46" si="23">SUM(C21:C25)</f>
        <v>386640</v>
      </c>
      <c r="D46" s="4">
        <f t="shared" si="23"/>
        <v>406203.984</v>
      </c>
      <c r="E46" s="4">
        <f t="shared" si="23"/>
        <v>426757.90559040004</v>
      </c>
      <c r="F46" s="4">
        <f t="shared" si="23"/>
        <v>448351.85561327433</v>
      </c>
      <c r="G46" s="4">
        <f t="shared" si="23"/>
        <v>471038.45950730587</v>
      </c>
      <c r="H46" s="4">
        <f t="shared" si="23"/>
        <v>494873.00555837556</v>
      </c>
      <c r="I46" s="4">
        <f t="shared" si="23"/>
        <v>519913.57963962946</v>
      </c>
      <c r="J46" s="4">
        <f t="shared" si="23"/>
        <v>546221.20676939469</v>
      </c>
      <c r="K46" s="4">
        <f t="shared" si="23"/>
        <v>573859.99983192596</v>
      </c>
      <c r="L46" s="4">
        <f t="shared" si="23"/>
        <v>602897.31582342158</v>
      </c>
      <c r="M46" s="4">
        <f t="shared" si="23"/>
        <v>633403.92000408669</v>
      </c>
    </row>
    <row r="47" spans="1:13" ht="12.75" customHeight="1" x14ac:dyDescent="0.2">
      <c r="A47" t="s">
        <v>42</v>
      </c>
      <c r="C47" s="4">
        <f t="shared" ref="C47:M47" si="24">((((C15*C5)+(C16*C6))+(C17*C7))+(C18*C8))+(C19*C9)</f>
        <v>193320</v>
      </c>
      <c r="D47" s="4">
        <f t="shared" si="24"/>
        <v>199873.0656</v>
      </c>
      <c r="E47" s="4">
        <f t="shared" si="24"/>
        <v>206648.849239128</v>
      </c>
      <c r="F47" s="4">
        <f t="shared" si="24"/>
        <v>213654.939449397</v>
      </c>
      <c r="G47" s="4">
        <f t="shared" si="24"/>
        <v>220899.18394042202</v>
      </c>
      <c r="H47" s="4">
        <f t="shared" si="24"/>
        <v>228389.69847136104</v>
      </c>
      <c r="I47" s="4">
        <f t="shared" si="24"/>
        <v>236134.8760271995</v>
      </c>
      <c r="J47" s="4">
        <f t="shared" si="24"/>
        <v>244143.39630984032</v>
      </c>
      <c r="K47" s="4">
        <f t="shared" si="24"/>
        <v>252424.23555481975</v>
      </c>
      <c r="L47" s="4">
        <f t="shared" si="24"/>
        <v>260986.67668484407</v>
      </c>
      <c r="M47" s="4">
        <f t="shared" si="24"/>
        <v>269840.31981172587</v>
      </c>
    </row>
    <row r="50" spans="1:20" ht="12.75" customHeight="1" x14ac:dyDescent="0.2">
      <c r="A50" t="s">
        <v>43</v>
      </c>
    </row>
    <row r="51" spans="1:20" ht="12.75" customHeight="1" x14ac:dyDescent="0.2">
      <c r="A51" t="s">
        <v>44</v>
      </c>
      <c r="C51" s="4">
        <f t="shared" ref="C51:M51" si="25">SUM(C30:C32)</f>
        <v>98305</v>
      </c>
      <c r="D51" s="4">
        <f t="shared" si="25"/>
        <v>100275.25</v>
      </c>
      <c r="E51" s="4">
        <f t="shared" si="25"/>
        <v>102292.94649999999</v>
      </c>
      <c r="F51" s="4">
        <f t="shared" si="25"/>
        <v>104359.358845</v>
      </c>
      <c r="G51" s="4">
        <f t="shared" si="25"/>
        <v>106475.79217104999</v>
      </c>
      <c r="H51" s="4">
        <f t="shared" si="25"/>
        <v>108643.5884411125</v>
      </c>
      <c r="I51" s="4">
        <f t="shared" si="25"/>
        <v>110864.12751132266</v>
      </c>
      <c r="J51" s="4">
        <f t="shared" si="25"/>
        <v>113138.8282285453</v>
      </c>
      <c r="K51" s="4">
        <f t="shared" si="25"/>
        <v>115469.1495601546</v>
      </c>
      <c r="L51" s="4">
        <f t="shared" si="25"/>
        <v>117856.59175698986</v>
      </c>
      <c r="M51" s="4">
        <f t="shared" si="25"/>
        <v>120302.69755046925</v>
      </c>
    </row>
    <row r="52" spans="1:20" ht="12.75" customHeight="1" x14ac:dyDescent="0.2">
      <c r="A52" s="4" t="s">
        <v>45</v>
      </c>
      <c r="B52" s="1">
        <v>0.03</v>
      </c>
      <c r="C52" s="4">
        <f t="shared" ref="C52:M52" si="26">C46*$B$52</f>
        <v>11599.199999999999</v>
      </c>
      <c r="D52" s="4">
        <f t="shared" si="26"/>
        <v>12186.11952</v>
      </c>
      <c r="E52" s="4">
        <f t="shared" si="26"/>
        <v>12802.737167712001</v>
      </c>
      <c r="F52" s="4">
        <f t="shared" si="26"/>
        <v>13450.555668398229</v>
      </c>
      <c r="G52" s="4">
        <f t="shared" si="26"/>
        <v>14131.153785219176</v>
      </c>
      <c r="H52" s="4">
        <f t="shared" si="26"/>
        <v>14846.190166751267</v>
      </c>
      <c r="I52" s="4">
        <f t="shared" si="26"/>
        <v>15597.407389188884</v>
      </c>
      <c r="J52" s="4">
        <f t="shared" si="26"/>
        <v>16386.636203081842</v>
      </c>
      <c r="K52" s="4">
        <f t="shared" si="26"/>
        <v>17215.799994957779</v>
      </c>
      <c r="L52" s="4">
        <f t="shared" si="26"/>
        <v>18086.919474702645</v>
      </c>
      <c r="M52" s="4">
        <f t="shared" si="26"/>
        <v>19002.117600122601</v>
      </c>
      <c r="N52" s="4"/>
      <c r="O52" s="4"/>
      <c r="P52" s="4"/>
      <c r="Q52" s="4"/>
      <c r="R52" s="4"/>
      <c r="S52" s="4"/>
      <c r="T52" s="4"/>
    </row>
    <row r="53" spans="1:20" ht="12.75" customHeight="1" x14ac:dyDescent="0.2">
      <c r="A53" t="s">
        <v>46</v>
      </c>
      <c r="C53">
        <f>OutsideNumber!B37</f>
        <v>6000</v>
      </c>
      <c r="D53">
        <v>6000</v>
      </c>
      <c r="E53">
        <v>6000</v>
      </c>
      <c r="F53">
        <v>6000</v>
      </c>
      <c r="G53">
        <v>6000</v>
      </c>
      <c r="H53">
        <v>6000</v>
      </c>
      <c r="I53">
        <v>6000</v>
      </c>
      <c r="J53">
        <v>6000</v>
      </c>
      <c r="K53">
        <v>6000</v>
      </c>
      <c r="L53">
        <v>6000</v>
      </c>
      <c r="M53">
        <v>6000</v>
      </c>
    </row>
    <row r="54" spans="1:20" ht="12.75" customHeight="1" x14ac:dyDescent="0.2">
      <c r="A54" s="4" t="s">
        <v>47</v>
      </c>
      <c r="B54" s="5">
        <v>0.05</v>
      </c>
      <c r="C54" s="4">
        <f t="shared" ref="C54:M54" si="27">$B$54*C46</f>
        <v>19332</v>
      </c>
      <c r="D54" s="4">
        <f t="shared" si="27"/>
        <v>20310.199200000003</v>
      </c>
      <c r="E54" s="4">
        <f t="shared" si="27"/>
        <v>21337.895279520002</v>
      </c>
      <c r="F54" s="4">
        <f t="shared" si="27"/>
        <v>22417.592780663719</v>
      </c>
      <c r="G54" s="4">
        <f t="shared" si="27"/>
        <v>23551.922975365294</v>
      </c>
      <c r="H54" s="4">
        <f t="shared" si="27"/>
        <v>24743.650277918779</v>
      </c>
      <c r="I54" s="4">
        <f t="shared" si="27"/>
        <v>25995.678981981473</v>
      </c>
      <c r="J54" s="4">
        <f t="shared" si="27"/>
        <v>27311.060338469735</v>
      </c>
      <c r="K54" s="4">
        <f t="shared" si="27"/>
        <v>28692.999991596298</v>
      </c>
      <c r="L54" s="4">
        <f t="shared" si="27"/>
        <v>30144.86579117108</v>
      </c>
      <c r="M54" s="4">
        <f t="shared" si="27"/>
        <v>31670.196000204334</v>
      </c>
      <c r="N54" s="4"/>
      <c r="O54" s="4"/>
      <c r="P54" s="4"/>
      <c r="Q54" s="4"/>
      <c r="R54" s="4"/>
      <c r="S54" s="4"/>
      <c r="T54" s="4"/>
    </row>
    <row r="56" spans="1:20" ht="12.75" customHeight="1" x14ac:dyDescent="0.2">
      <c r="A56" s="4" t="s">
        <v>48</v>
      </c>
      <c r="B56" s="4"/>
      <c r="C56" s="4">
        <f t="shared" ref="C56:M56" si="28">((((C46-C47)-C51)-C52)-C53)-C54</f>
        <v>58083.8</v>
      </c>
      <c r="D56" s="4">
        <f t="shared" si="28"/>
        <v>67559.349679999985</v>
      </c>
      <c r="E56" s="4">
        <f t="shared" si="28"/>
        <v>77675.477404040052</v>
      </c>
      <c r="F56" s="4">
        <f t="shared" si="28"/>
        <v>88469.408869815379</v>
      </c>
      <c r="G56" s="4">
        <f t="shared" si="28"/>
        <v>99980.406635249397</v>
      </c>
      <c r="H56" s="4">
        <f t="shared" si="28"/>
        <v>112249.878201232</v>
      </c>
      <c r="I56" s="4">
        <f t="shared" si="28"/>
        <v>125321.48972993693</v>
      </c>
      <c r="J56" s="4">
        <f t="shared" si="28"/>
        <v>139241.28568945747</v>
      </c>
      <c r="K56" s="4">
        <f t="shared" si="28"/>
        <v>154057.81473039754</v>
      </c>
      <c r="L56" s="4">
        <f t="shared" si="28"/>
        <v>169822.26211571391</v>
      </c>
      <c r="M56" s="4">
        <f t="shared" si="28"/>
        <v>186588.58904156461</v>
      </c>
      <c r="N56" s="4"/>
      <c r="O56" s="4"/>
      <c r="P56" s="4"/>
      <c r="Q56" s="4"/>
      <c r="R56" s="4"/>
      <c r="S56" s="4"/>
      <c r="T56" s="4"/>
    </row>
    <row r="58" spans="1:20" ht="12.75" customHeight="1" x14ac:dyDescent="0.2">
      <c r="A58" s="4" t="s">
        <v>49</v>
      </c>
      <c r="B58" s="4"/>
      <c r="C58" s="4">
        <f>OutsideNumber!B2/39</f>
        <v>3205.1282051282051</v>
      </c>
      <c r="D58" s="4">
        <f t="shared" ref="D58:M58" si="29">C58</f>
        <v>3205.1282051282051</v>
      </c>
      <c r="E58" s="4">
        <f t="shared" si="29"/>
        <v>3205.1282051282051</v>
      </c>
      <c r="F58" s="4">
        <f t="shared" si="29"/>
        <v>3205.1282051282051</v>
      </c>
      <c r="G58" s="4">
        <f t="shared" si="29"/>
        <v>3205.1282051282051</v>
      </c>
      <c r="H58" s="4">
        <f t="shared" si="29"/>
        <v>3205.1282051282051</v>
      </c>
      <c r="I58" s="4">
        <f t="shared" si="29"/>
        <v>3205.1282051282051</v>
      </c>
      <c r="J58" s="4">
        <f t="shared" si="29"/>
        <v>3205.1282051282051</v>
      </c>
      <c r="K58" s="4">
        <f t="shared" si="29"/>
        <v>3205.1282051282051</v>
      </c>
      <c r="L58" s="4">
        <f t="shared" si="29"/>
        <v>3205.1282051282051</v>
      </c>
      <c r="M58" s="4">
        <f t="shared" si="29"/>
        <v>3205.1282051282051</v>
      </c>
      <c r="N58" s="4"/>
      <c r="O58" s="4"/>
      <c r="P58" s="4"/>
      <c r="Q58" s="4"/>
      <c r="R58" s="4"/>
      <c r="S58" s="4"/>
      <c r="T58" s="4"/>
    </row>
    <row r="59" spans="1:20" ht="12.75" customHeight="1" x14ac:dyDescent="0.2">
      <c r="A59" t="s">
        <v>50</v>
      </c>
      <c r="C59" s="4">
        <f t="shared" ref="C59:I59" si="30">$B$37/7</f>
        <v>14285.714285714286</v>
      </c>
      <c r="D59" s="4">
        <f t="shared" si="30"/>
        <v>14285.714285714286</v>
      </c>
      <c r="E59" s="4">
        <f t="shared" si="30"/>
        <v>14285.714285714286</v>
      </c>
      <c r="F59" s="4">
        <f t="shared" si="30"/>
        <v>14285.714285714286</v>
      </c>
      <c r="G59" s="4">
        <f t="shared" si="30"/>
        <v>14285.714285714286</v>
      </c>
      <c r="H59" s="4">
        <f t="shared" si="30"/>
        <v>14285.714285714286</v>
      </c>
      <c r="I59" s="4">
        <f t="shared" si="30"/>
        <v>14285.714285714286</v>
      </c>
    </row>
    <row r="61" spans="1:20" ht="12.75" customHeight="1" x14ac:dyDescent="0.2">
      <c r="A61" t="s">
        <v>51</v>
      </c>
      <c r="C61" s="12">
        <f>C89*$B$34</f>
        <v>1684.4189800387073</v>
      </c>
      <c r="D61" s="12">
        <f t="shared" ref="D61:M61" si="31">D89*$B$34</f>
        <v>2332.4309450922856</v>
      </c>
      <c r="E61" s="12">
        <f t="shared" si="31"/>
        <v>6051.9170032742777</v>
      </c>
      <c r="F61" s="12">
        <f t="shared" si="31"/>
        <v>14068.333634506866</v>
      </c>
      <c r="G61" s="12">
        <f t="shared" si="31"/>
        <v>4316.4733041438431</v>
      </c>
      <c r="H61" s="12">
        <f t="shared" si="31"/>
        <v>11920.72197418131</v>
      </c>
      <c r="I61" s="12">
        <f t="shared" si="31"/>
        <v>2113.0458744584798</v>
      </c>
      <c r="J61">
        <f t="shared" si="31"/>
        <v>794.41576963835928</v>
      </c>
      <c r="K61">
        <f t="shared" si="31"/>
        <v>4010.8096556510186</v>
      </c>
      <c r="L61">
        <f t="shared" si="31"/>
        <v>1763.5219324341831</v>
      </c>
      <c r="M61">
        <f t="shared" si="31"/>
        <v>3412.0456927751593</v>
      </c>
    </row>
    <row r="62" spans="1:20" ht="12.75" customHeight="1" x14ac:dyDescent="0.2">
      <c r="A62" s="4" t="s">
        <v>52</v>
      </c>
      <c r="B62" s="4"/>
      <c r="C62" s="4">
        <f>Mortgage!D14</f>
        <v>13400.991078678175</v>
      </c>
      <c r="D62" s="4">
        <f>Mortgage!D28</f>
        <v>13178.657022777788</v>
      </c>
      <c r="E62" s="4">
        <f>Mortgage!D42</f>
        <v>12946.108979248769</v>
      </c>
      <c r="F62" s="4">
        <f>Mortgage!D56</f>
        <v>12702.877719286495</v>
      </c>
      <c r="G62" s="4">
        <f>Mortgage!D70</f>
        <v>12448.47245779715</v>
      </c>
      <c r="H62" s="4">
        <f>Mortgage!D84</f>
        <v>12182.379863105578</v>
      </c>
      <c r="I62" s="4">
        <f>Mortgage!D98</f>
        <v>11904.063021169282</v>
      </c>
      <c r="J62" s="4">
        <f>Mortgage!D112</f>
        <v>11612.960352208578</v>
      </c>
      <c r="K62" s="4">
        <f>Mortgage!D126</f>
        <v>11308.484477566974</v>
      </c>
      <c r="L62" s="4">
        <f>Mortgage!D140</f>
        <v>10990.021034515254</v>
      </c>
      <c r="M62" s="4">
        <f>+Mortgage!D154</f>
        <v>10656.927436607912</v>
      </c>
      <c r="N62" s="4"/>
      <c r="O62" s="4"/>
      <c r="P62" s="4"/>
      <c r="Q62" s="4"/>
      <c r="R62" s="4"/>
      <c r="S62" s="4"/>
      <c r="T62" s="4"/>
    </row>
    <row r="64" spans="1:20" ht="12.75" customHeight="1" x14ac:dyDescent="0.2">
      <c r="A64" s="4" t="s">
        <v>53</v>
      </c>
      <c r="B64" s="4"/>
      <c r="C64" s="4">
        <f t="shared" ref="C64:M64" si="32">((C56-C58)-C61)-C62</f>
        <v>39793.261736154913</v>
      </c>
      <c r="D64" s="4">
        <f t="shared" si="32"/>
        <v>48843.133507001708</v>
      </c>
      <c r="E64" s="4">
        <f t="shared" si="32"/>
        <v>55472.323216388795</v>
      </c>
      <c r="F64" s="4">
        <f t="shared" si="32"/>
        <v>58493.069310893814</v>
      </c>
      <c r="G64" s="4">
        <f t="shared" si="32"/>
        <v>80010.332668180199</v>
      </c>
      <c r="H64" s="4">
        <f t="shared" si="32"/>
        <v>84941.648158816897</v>
      </c>
      <c r="I64" s="4">
        <f t="shared" si="32"/>
        <v>108099.25262918098</v>
      </c>
      <c r="J64" s="4">
        <f t="shared" si="32"/>
        <v>123628.78136248232</v>
      </c>
      <c r="K64" s="4">
        <f t="shared" si="32"/>
        <v>135533.39239205135</v>
      </c>
      <c r="L64" s="4">
        <f t="shared" si="32"/>
        <v>153863.59094363626</v>
      </c>
      <c r="M64" s="4">
        <f t="shared" si="32"/>
        <v>169314.48770705331</v>
      </c>
      <c r="N64" s="4"/>
      <c r="O64" s="4"/>
      <c r="P64" s="4"/>
      <c r="Q64" s="4"/>
      <c r="R64" s="4"/>
      <c r="S64" s="4"/>
      <c r="T64" s="4"/>
    </row>
    <row r="65" spans="1:20" ht="12.75" customHeight="1" x14ac:dyDescent="0.2">
      <c r="A65" s="4" t="s">
        <v>54</v>
      </c>
      <c r="B65" s="4"/>
      <c r="C65" s="4">
        <f t="shared" ref="C65:M65" si="33">C64*$B$33</f>
        <v>15917.304694461965</v>
      </c>
      <c r="D65" s="4">
        <f t="shared" si="33"/>
        <v>19537.253402800685</v>
      </c>
      <c r="E65" s="4">
        <f t="shared" si="33"/>
        <v>22188.929286555518</v>
      </c>
      <c r="F65" s="4">
        <f t="shared" si="33"/>
        <v>23397.227724357526</v>
      </c>
      <c r="G65" s="4">
        <f t="shared" si="33"/>
        <v>32004.13306727208</v>
      </c>
      <c r="H65" s="4">
        <f t="shared" si="33"/>
        <v>33976.659263526759</v>
      </c>
      <c r="I65" s="4">
        <f t="shared" si="33"/>
        <v>43239.701051672397</v>
      </c>
      <c r="J65" s="4">
        <f t="shared" si="33"/>
        <v>49451.512544992933</v>
      </c>
      <c r="K65" s="4">
        <f t="shared" si="33"/>
        <v>54213.356956820542</v>
      </c>
      <c r="L65" s="4">
        <f t="shared" si="33"/>
        <v>61545.436377454505</v>
      </c>
      <c r="M65" s="4">
        <f t="shared" si="33"/>
        <v>67725.795082821322</v>
      </c>
      <c r="N65" s="4"/>
      <c r="O65" s="4"/>
      <c r="P65" s="4"/>
      <c r="Q65" s="4"/>
      <c r="R65" s="4"/>
      <c r="S65" s="4"/>
      <c r="T65" s="4"/>
    </row>
    <row r="66" spans="1:20" ht="12.75" customHeight="1" x14ac:dyDescent="0.2">
      <c r="A66" s="4" t="s">
        <v>55</v>
      </c>
      <c r="B66" s="4"/>
      <c r="C66" s="4">
        <f t="shared" ref="C66:M66" si="34">C64-C65</f>
        <v>23875.957041692949</v>
      </c>
      <c r="D66" s="4">
        <f t="shared" si="34"/>
        <v>29305.880104201024</v>
      </c>
      <c r="E66" s="4">
        <f t="shared" si="34"/>
        <v>33283.393929833277</v>
      </c>
      <c r="F66" s="4">
        <f t="shared" si="34"/>
        <v>35095.841586536291</v>
      </c>
      <c r="G66" s="4">
        <f t="shared" si="34"/>
        <v>48006.199600908119</v>
      </c>
      <c r="H66" s="4">
        <f t="shared" si="34"/>
        <v>50964.988895290138</v>
      </c>
      <c r="I66" s="4">
        <f t="shared" si="34"/>
        <v>64859.551577508581</v>
      </c>
      <c r="J66" s="4">
        <f t="shared" si="34"/>
        <v>74177.268817489385</v>
      </c>
      <c r="K66" s="4">
        <f t="shared" si="34"/>
        <v>81320.035435230806</v>
      </c>
      <c r="L66" s="4">
        <f t="shared" si="34"/>
        <v>92318.154566181751</v>
      </c>
      <c r="M66" s="4">
        <f t="shared" si="34"/>
        <v>101588.69262423199</v>
      </c>
      <c r="N66" s="4"/>
      <c r="O66" s="4"/>
      <c r="P66" s="4"/>
      <c r="Q66" s="4"/>
      <c r="R66" s="4"/>
      <c r="S66" s="4"/>
      <c r="T66" s="4"/>
    </row>
    <row r="68" spans="1:20" ht="12.75" customHeight="1" x14ac:dyDescent="0.2">
      <c r="A68" s="3" t="s">
        <v>56</v>
      </c>
    </row>
    <row r="69" spans="1:20" ht="12.75" customHeight="1" x14ac:dyDescent="0.2">
      <c r="A69" s="4" t="s">
        <v>57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2.75" customHeight="1" x14ac:dyDescent="0.2">
      <c r="A70" s="4" t="s">
        <v>58</v>
      </c>
      <c r="B70" s="4"/>
      <c r="C70" s="4">
        <v>1000</v>
      </c>
      <c r="D70" s="4">
        <v>1000</v>
      </c>
      <c r="E70" s="4">
        <v>1000</v>
      </c>
      <c r="F70" s="4">
        <v>1000</v>
      </c>
      <c r="G70" s="4">
        <v>1000</v>
      </c>
      <c r="H70" s="4">
        <v>1000</v>
      </c>
      <c r="I70" s="4">
        <v>1000</v>
      </c>
      <c r="J70" s="4">
        <v>1000</v>
      </c>
      <c r="K70" s="4">
        <v>1000</v>
      </c>
      <c r="L70" s="4">
        <v>1000</v>
      </c>
      <c r="M70" s="4">
        <v>1000</v>
      </c>
      <c r="N70" s="4"/>
      <c r="O70" s="4"/>
      <c r="P70" s="4"/>
      <c r="Q70" s="4"/>
      <c r="R70" s="4"/>
      <c r="S70" s="4"/>
      <c r="T70" s="4"/>
    </row>
    <row r="71" spans="1:20" ht="12.75" customHeight="1" x14ac:dyDescent="0.2">
      <c r="A71" s="4" t="s">
        <v>59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2.75" customHeight="1" x14ac:dyDescent="0.2">
      <c r="A72" s="4" t="s">
        <v>60</v>
      </c>
      <c r="B72" s="4"/>
      <c r="C72" s="4">
        <v>13000</v>
      </c>
      <c r="D72" s="4">
        <f>+C72*1.025</f>
        <v>13324.999999999998</v>
      </c>
      <c r="E72" s="4">
        <f t="shared" ref="E72:M72" si="35">+D72*1.025</f>
        <v>13658.124999999996</v>
      </c>
      <c r="F72" s="4">
        <f t="shared" si="35"/>
        <v>13999.578124999995</v>
      </c>
      <c r="G72" s="4">
        <f t="shared" si="35"/>
        <v>14349.567578124994</v>
      </c>
      <c r="H72" s="4">
        <f t="shared" si="35"/>
        <v>14708.306767578117</v>
      </c>
      <c r="I72" s="4">
        <f t="shared" si="35"/>
        <v>15076.014436767568</v>
      </c>
      <c r="J72" s="4">
        <f t="shared" si="35"/>
        <v>15452.914797686755</v>
      </c>
      <c r="K72" s="4">
        <f t="shared" si="35"/>
        <v>15839.237667628922</v>
      </c>
      <c r="L72" s="4">
        <f t="shared" si="35"/>
        <v>16235.218609319643</v>
      </c>
      <c r="M72" s="4">
        <f t="shared" si="35"/>
        <v>16641.099074552632</v>
      </c>
      <c r="N72" s="4"/>
      <c r="O72" s="4"/>
      <c r="P72" s="4"/>
      <c r="Q72" s="4"/>
      <c r="R72" s="4"/>
      <c r="S72" s="4"/>
      <c r="T72" s="4"/>
    </row>
    <row r="73" spans="1:20" ht="12.75" customHeight="1" x14ac:dyDescent="0.2">
      <c r="A73" s="4" t="s">
        <v>61</v>
      </c>
      <c r="B73">
        <v>0.01</v>
      </c>
      <c r="C73" s="4">
        <f>OutsideNumber!B7</f>
        <v>60000</v>
      </c>
      <c r="D73" s="4">
        <f>C73*1.9</f>
        <v>114000</v>
      </c>
      <c r="E73" s="4">
        <f t="shared" ref="E73:F73" si="36">D73*1.9</f>
        <v>216600</v>
      </c>
      <c r="F73" s="4">
        <f t="shared" si="36"/>
        <v>411540</v>
      </c>
      <c r="G73" s="4">
        <f>+E73</f>
        <v>216600</v>
      </c>
      <c r="H73" s="4">
        <f>+F73</f>
        <v>411540</v>
      </c>
      <c r="I73" s="4">
        <f>+E73</f>
        <v>216600</v>
      </c>
      <c r="J73" s="4">
        <f>+I73*0.94</f>
        <v>203604</v>
      </c>
      <c r="K73" s="4">
        <f>+J73*1.4</f>
        <v>285045.59999999998</v>
      </c>
      <c r="L73" s="4">
        <f>+K73*0.86</f>
        <v>245139.21599999999</v>
      </c>
      <c r="M73" s="4">
        <f>+L73*1.2</f>
        <v>294167.05919999996</v>
      </c>
      <c r="N73" s="4"/>
      <c r="O73" s="4"/>
      <c r="P73" s="4"/>
      <c r="Q73" s="4"/>
      <c r="R73" s="4"/>
      <c r="S73" s="4"/>
      <c r="T73" s="4"/>
    </row>
    <row r="74" spans="1:20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2.75" customHeight="1" x14ac:dyDescent="0.2">
      <c r="A75" s="4" t="s">
        <v>33</v>
      </c>
      <c r="B75" s="4"/>
      <c r="C75" s="4">
        <v>100000</v>
      </c>
      <c r="D75" s="4">
        <v>100000</v>
      </c>
      <c r="E75" s="4">
        <v>100000</v>
      </c>
      <c r="F75" s="4">
        <v>100000</v>
      </c>
      <c r="G75" s="4">
        <v>100000</v>
      </c>
      <c r="H75" s="4">
        <v>100000</v>
      </c>
      <c r="I75" s="4">
        <v>100000</v>
      </c>
      <c r="J75" s="4">
        <v>100000</v>
      </c>
      <c r="K75" s="4">
        <v>100000</v>
      </c>
      <c r="L75" s="4">
        <v>100000</v>
      </c>
      <c r="M75" s="4">
        <v>100000</v>
      </c>
      <c r="N75" s="4"/>
      <c r="O75" s="4"/>
      <c r="P75" s="4"/>
      <c r="Q75" s="15">
        <v>0.4</v>
      </c>
      <c r="R75" s="4"/>
      <c r="S75" s="4"/>
      <c r="T75" s="4"/>
    </row>
    <row r="76" spans="1:20" ht="12.75" customHeight="1" x14ac:dyDescent="0.2">
      <c r="A76" s="4" t="s">
        <v>62</v>
      </c>
      <c r="B76" s="4"/>
      <c r="C76" s="4">
        <v>125000</v>
      </c>
      <c r="D76" s="4">
        <f t="shared" ref="D76:M76" si="37">C76</f>
        <v>125000</v>
      </c>
      <c r="E76" s="4">
        <f t="shared" si="37"/>
        <v>125000</v>
      </c>
      <c r="F76" s="4">
        <f t="shared" si="37"/>
        <v>125000</v>
      </c>
      <c r="G76" s="4">
        <f t="shared" si="37"/>
        <v>125000</v>
      </c>
      <c r="H76" s="4">
        <f t="shared" si="37"/>
        <v>125000</v>
      </c>
      <c r="I76" s="4">
        <f t="shared" si="37"/>
        <v>125000</v>
      </c>
      <c r="J76" s="4">
        <f t="shared" si="37"/>
        <v>125000</v>
      </c>
      <c r="K76" s="4">
        <f t="shared" si="37"/>
        <v>125000</v>
      </c>
      <c r="L76" s="4">
        <f t="shared" si="37"/>
        <v>125000</v>
      </c>
      <c r="M76" s="4">
        <f t="shared" si="37"/>
        <v>125000</v>
      </c>
      <c r="N76" s="4"/>
      <c r="O76" s="4"/>
      <c r="P76" s="4"/>
      <c r="Q76" s="4"/>
      <c r="R76" s="4"/>
      <c r="S76" s="4"/>
      <c r="T76" s="4"/>
    </row>
    <row r="77" spans="1:20" ht="12.75" customHeight="1" x14ac:dyDescent="0.2">
      <c r="A77" s="4" t="s">
        <v>34</v>
      </c>
      <c r="B77" s="4"/>
      <c r="C77" s="4">
        <f t="shared" ref="C77:I77" si="38">$B$37</f>
        <v>100000</v>
      </c>
      <c r="D77" s="4">
        <f t="shared" si="38"/>
        <v>100000</v>
      </c>
      <c r="E77" s="4">
        <f t="shared" si="38"/>
        <v>100000</v>
      </c>
      <c r="F77" s="4">
        <f t="shared" si="38"/>
        <v>100000</v>
      </c>
      <c r="G77" s="4">
        <f t="shared" si="38"/>
        <v>100000</v>
      </c>
      <c r="H77" s="4">
        <f t="shared" si="38"/>
        <v>100000</v>
      </c>
      <c r="I77" s="4">
        <f t="shared" si="38"/>
        <v>100000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2.75" customHeight="1" x14ac:dyDescent="0.2">
      <c r="A78" s="13" t="s">
        <v>171</v>
      </c>
      <c r="B78" s="4"/>
      <c r="C78" s="4">
        <f>C58</f>
        <v>3205.1282051282051</v>
      </c>
      <c r="D78" s="4">
        <f>+C78+D58</f>
        <v>6410.2564102564102</v>
      </c>
      <c r="E78" s="4">
        <f t="shared" ref="E78:M78" si="39">+D78+E58</f>
        <v>9615.3846153846152</v>
      </c>
      <c r="F78" s="4">
        <f t="shared" si="39"/>
        <v>12820.51282051282</v>
      </c>
      <c r="G78" s="4">
        <f t="shared" si="39"/>
        <v>16025.641025641025</v>
      </c>
      <c r="H78" s="4">
        <f t="shared" si="39"/>
        <v>19230.76923076923</v>
      </c>
      <c r="I78" s="4">
        <f t="shared" si="39"/>
        <v>22435.897435897437</v>
      </c>
      <c r="J78" s="4">
        <f t="shared" si="39"/>
        <v>25641.025641025641</v>
      </c>
      <c r="K78" s="4">
        <f t="shared" si="39"/>
        <v>28846.153846153844</v>
      </c>
      <c r="L78" s="4">
        <f t="shared" si="39"/>
        <v>32051.282051282047</v>
      </c>
      <c r="M78" s="4">
        <f t="shared" si="39"/>
        <v>35256.41025641025</v>
      </c>
      <c r="N78" s="4"/>
      <c r="O78" s="31" t="s">
        <v>173</v>
      </c>
      <c r="P78" s="31"/>
      <c r="Q78" s="4"/>
      <c r="R78" s="4"/>
      <c r="S78" s="4"/>
      <c r="T78" s="4"/>
    </row>
    <row r="79" spans="1:20" ht="12.75" customHeight="1" x14ac:dyDescent="0.25">
      <c r="A79" s="13" t="s">
        <v>172</v>
      </c>
      <c r="B79" s="4"/>
      <c r="C79" s="4">
        <f>+C59</f>
        <v>14285.714285714286</v>
      </c>
      <c r="D79" s="4">
        <f>+D59+C79</f>
        <v>28571.428571428572</v>
      </c>
      <c r="E79" s="4">
        <f t="shared" ref="E79:I79" si="40">+E59+D79</f>
        <v>42857.142857142855</v>
      </c>
      <c r="F79" s="4">
        <f t="shared" si="40"/>
        <v>57142.857142857145</v>
      </c>
      <c r="G79" s="4">
        <f t="shared" si="40"/>
        <v>71428.571428571435</v>
      </c>
      <c r="H79" s="4">
        <f t="shared" si="40"/>
        <v>85714.285714285725</v>
      </c>
      <c r="I79" s="4">
        <f t="shared" si="40"/>
        <v>100000.00000000001</v>
      </c>
      <c r="J79" s="4"/>
      <c r="K79" s="4"/>
      <c r="L79" s="4"/>
      <c r="M79" s="4"/>
      <c r="N79" s="4"/>
      <c r="O79" s="17" t="s">
        <v>174</v>
      </c>
      <c r="P79" s="2"/>
      <c r="Q79" s="2">
        <v>1.9978554297662419</v>
      </c>
      <c r="R79" s="4"/>
      <c r="S79" s="4"/>
      <c r="T79" s="4"/>
    </row>
    <row r="80" spans="1:20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7" t="s">
        <v>175</v>
      </c>
      <c r="P80" s="15"/>
      <c r="Q80" s="15">
        <v>0.04</v>
      </c>
      <c r="R80" s="4"/>
      <c r="S80" s="4"/>
      <c r="T80" s="4"/>
    </row>
    <row r="81" spans="1:20" ht="12.75" customHeight="1" x14ac:dyDescent="0.25">
      <c r="A81" s="4" t="s">
        <v>63</v>
      </c>
      <c r="B81" s="4"/>
      <c r="C81" s="4">
        <f>SUM(C69:C77)-C78-C79</f>
        <v>381509.15750915755</v>
      </c>
      <c r="D81" s="4">
        <f t="shared" ref="D81:M81" si="41">SUM(D69:D77)-D78-D79</f>
        <v>418343.31501831498</v>
      </c>
      <c r="E81" s="4">
        <f t="shared" si="41"/>
        <v>503785.59752747254</v>
      </c>
      <c r="F81" s="4">
        <f t="shared" si="41"/>
        <v>681576.20816162997</v>
      </c>
      <c r="G81" s="4">
        <f t="shared" si="41"/>
        <v>469495.35512391262</v>
      </c>
      <c r="H81" s="4">
        <f t="shared" si="41"/>
        <v>647303.25182252319</v>
      </c>
      <c r="I81" s="4">
        <f t="shared" si="41"/>
        <v>435240.11700087017</v>
      </c>
      <c r="J81" s="4">
        <f t="shared" si="41"/>
        <v>419415.88915666111</v>
      </c>
      <c r="K81" s="4">
        <f t="shared" si="41"/>
        <v>498038.68382147502</v>
      </c>
      <c r="L81" s="4">
        <f t="shared" si="41"/>
        <v>455323.15255803755</v>
      </c>
      <c r="M81" s="4">
        <f t="shared" si="41"/>
        <v>501551.7480181423</v>
      </c>
      <c r="N81" s="4"/>
      <c r="O81" s="17" t="s">
        <v>176</v>
      </c>
      <c r="P81" s="15"/>
      <c r="Q81" s="15">
        <v>0.12</v>
      </c>
      <c r="R81" s="4"/>
      <c r="S81" s="4"/>
      <c r="T81" s="4"/>
    </row>
    <row r="82" spans="1:20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6"/>
      <c r="P82" s="4"/>
      <c r="Q82" s="4"/>
      <c r="R82" s="4"/>
      <c r="S82" s="4"/>
      <c r="T82" s="4"/>
    </row>
    <row r="83" spans="1:20" ht="12.75" customHeight="1" x14ac:dyDescent="0.25">
      <c r="A83" s="4" t="s">
        <v>64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7" t="s">
        <v>177</v>
      </c>
      <c r="P83" s="4"/>
      <c r="Q83" s="20">
        <f>+Q79*(Q81-Q80)+Q80</f>
        <v>0.19982843438129932</v>
      </c>
      <c r="R83" s="4"/>
      <c r="S83" s="4"/>
      <c r="T83" s="4"/>
    </row>
    <row r="84" spans="1:20" ht="12.75" customHeight="1" x14ac:dyDescent="0.2">
      <c r="A84" s="4" t="s">
        <v>65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6"/>
      <c r="P84" s="4"/>
      <c r="Q84" s="4"/>
      <c r="R84" s="4"/>
      <c r="S84" s="4"/>
      <c r="T84" s="4"/>
    </row>
    <row r="85" spans="1:20" ht="12.75" customHeight="1" x14ac:dyDescent="0.25">
      <c r="A85" s="4" t="s">
        <v>66</v>
      </c>
      <c r="B85" s="4"/>
      <c r="C85" s="4">
        <v>13000</v>
      </c>
      <c r="D85" s="4">
        <v>13000</v>
      </c>
      <c r="E85" s="4">
        <v>13000</v>
      </c>
      <c r="F85" s="4">
        <v>13000</v>
      </c>
      <c r="G85" s="4">
        <v>13000</v>
      </c>
      <c r="H85" s="4">
        <v>13000</v>
      </c>
      <c r="I85" s="4">
        <v>13000</v>
      </c>
      <c r="J85" s="4">
        <v>13000</v>
      </c>
      <c r="K85" s="4">
        <v>13000</v>
      </c>
      <c r="L85" s="4">
        <v>13000</v>
      </c>
      <c r="M85" s="4">
        <v>13000</v>
      </c>
      <c r="N85" s="4"/>
      <c r="O85" s="17"/>
      <c r="P85" s="4"/>
      <c r="Q85" s="4"/>
      <c r="R85" s="4"/>
      <c r="S85" s="4"/>
      <c r="T85" s="4"/>
    </row>
    <row r="86" spans="1:20" ht="12.75" customHeight="1" x14ac:dyDescent="0.2">
      <c r="A86" s="4" t="s">
        <v>67</v>
      </c>
      <c r="B86" s="4"/>
      <c r="C86" s="4">
        <f t="shared" ref="C86:M86" si="42">C65</f>
        <v>15917.304694461965</v>
      </c>
      <c r="D86" s="4">
        <f t="shared" si="42"/>
        <v>19537.253402800685</v>
      </c>
      <c r="E86" s="4">
        <f t="shared" si="42"/>
        <v>22188.929286555518</v>
      </c>
      <c r="F86" s="4">
        <f t="shared" si="42"/>
        <v>23397.227724357526</v>
      </c>
      <c r="G86" s="4">
        <f t="shared" si="42"/>
        <v>32004.13306727208</v>
      </c>
      <c r="H86" s="4">
        <f t="shared" si="42"/>
        <v>33976.659263526759</v>
      </c>
      <c r="I86" s="4">
        <f t="shared" si="42"/>
        <v>43239.701051672397</v>
      </c>
      <c r="J86" s="4">
        <f t="shared" si="42"/>
        <v>49451.512544992933</v>
      </c>
      <c r="K86" s="4">
        <f t="shared" si="42"/>
        <v>54213.356956820542</v>
      </c>
      <c r="L86" s="4">
        <f t="shared" si="42"/>
        <v>61545.436377454505</v>
      </c>
      <c r="M86" s="4">
        <f t="shared" si="42"/>
        <v>67725.795082821322</v>
      </c>
      <c r="N86" s="4"/>
      <c r="O86" s="4"/>
      <c r="P86" s="4"/>
      <c r="Q86" s="4"/>
      <c r="R86" s="4"/>
      <c r="S86" s="4"/>
      <c r="T86" s="4"/>
    </row>
    <row r="87" spans="1:20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8" t="s">
        <v>178</v>
      </c>
      <c r="P87" s="18" t="s">
        <v>179</v>
      </c>
      <c r="Q87" s="18" t="s">
        <v>180</v>
      </c>
      <c r="R87" s="18" t="s">
        <v>181</v>
      </c>
      <c r="S87" s="18" t="s">
        <v>182</v>
      </c>
      <c r="T87" s="4"/>
    </row>
    <row r="88" spans="1:20" ht="12.75" customHeight="1" x14ac:dyDescent="0.2">
      <c r="A88" s="4" t="s">
        <v>68</v>
      </c>
      <c r="B88" s="4"/>
      <c r="C88" s="4">
        <f>Mortgage!F13</f>
        <v>295160.31992494658</v>
      </c>
      <c r="D88" s="4">
        <f>Mortgage!F27</f>
        <v>290098.30579399277</v>
      </c>
      <c r="E88" s="4">
        <f>Mortgage!F41</f>
        <v>284803.7436195098</v>
      </c>
      <c r="F88" s="4">
        <f>Mortgage!F55</f>
        <v>279265.95018506458</v>
      </c>
      <c r="G88" s="4">
        <f>Mortgage!F69</f>
        <v>273473.75148913002</v>
      </c>
      <c r="H88" s="4">
        <f>Mortgage!F83</f>
        <v>267415.46019850386</v>
      </c>
      <c r="I88" s="4">
        <f>Mortgage!F97</f>
        <v>261078.85206594144</v>
      </c>
      <c r="J88" s="4">
        <f>Mortgage!F111</f>
        <v>254451.14126441831</v>
      </c>
      <c r="K88" s="4">
        <f>Mortgage!F125</f>
        <v>247518.95458825355</v>
      </c>
      <c r="L88" s="4">
        <f>Mortgage!F139</f>
        <v>240268.30446903704</v>
      </c>
      <c r="M88" s="4">
        <f>+Mortgage!F153</f>
        <v>232684.56075191326</v>
      </c>
      <c r="N88" s="4"/>
      <c r="O88" s="4">
        <f>+AVERAGE(C88:M88)</f>
        <v>266019.9403955192</v>
      </c>
      <c r="P88" s="14">
        <f>+O88/O95</f>
        <v>0.60391883079257247</v>
      </c>
      <c r="Q88" s="14">
        <f>+B34</f>
        <v>4.4999999999999998E-2</v>
      </c>
      <c r="R88" s="14">
        <f>+Q88*(1-B33)</f>
        <v>2.7E-2</v>
      </c>
      <c r="S88" s="14">
        <f>+R88*P88</f>
        <v>1.6305808431399456E-2</v>
      </c>
      <c r="T88" s="4"/>
    </row>
    <row r="89" spans="1:20" ht="12.75" customHeight="1" x14ac:dyDescent="0.2">
      <c r="A89" s="4" t="s">
        <v>69</v>
      </c>
      <c r="B89" s="4"/>
      <c r="C89" s="4">
        <v>37431.532889749054</v>
      </c>
      <c r="D89" s="4">
        <v>51831.798779828569</v>
      </c>
      <c r="E89" s="4">
        <v>134487.04451720617</v>
      </c>
      <c r="F89" s="4">
        <v>312629.6363223748</v>
      </c>
      <c r="G89" s="4">
        <v>95921.628980974288</v>
      </c>
      <c r="H89" s="4">
        <v>264904.93275958468</v>
      </c>
      <c r="I89" s="4">
        <v>46956.574987966218</v>
      </c>
      <c r="J89" s="4">
        <v>17653.683769741318</v>
      </c>
      <c r="K89" s="4">
        <v>89129.10345891153</v>
      </c>
      <c r="L89" s="4">
        <v>39189.376276315183</v>
      </c>
      <c r="M89" s="4">
        <v>75823.237617225765</v>
      </c>
      <c r="N89" s="4"/>
      <c r="O89" s="4">
        <f t="shared" ref="O89:O93" si="43">+AVERAGE(C89:M89)</f>
        <v>105996.23185089798</v>
      </c>
      <c r="P89" s="14">
        <f>+O89/O95</f>
        <v>0.24063278983010764</v>
      </c>
      <c r="Q89" s="14">
        <f>+B34</f>
        <v>4.4999999999999998E-2</v>
      </c>
      <c r="R89" s="14">
        <f>+Q89*(1-B34)</f>
        <v>4.2974999999999999E-2</v>
      </c>
      <c r="S89" s="14">
        <f>+R89*P89</f>
        <v>1.0341194142948875E-2</v>
      </c>
      <c r="T89" s="4"/>
    </row>
    <row r="90" spans="1:20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"/>
      <c r="Q90" s="1"/>
      <c r="R90" s="1"/>
      <c r="S90" s="14"/>
      <c r="T90" s="4"/>
    </row>
    <row r="91" spans="1:20" ht="12.75" customHeight="1" x14ac:dyDescent="0.2">
      <c r="A91" s="4" t="s">
        <v>70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"/>
      <c r="Q91" s="1"/>
      <c r="R91" s="1"/>
      <c r="S91" s="14"/>
      <c r="T91" s="4"/>
    </row>
    <row r="92" spans="1:20" ht="12.75" customHeight="1" x14ac:dyDescent="0.2">
      <c r="A92" s="4" t="s">
        <v>71</v>
      </c>
      <c r="B92" s="4"/>
      <c r="C92" s="4">
        <v>20000</v>
      </c>
      <c r="D92" s="4">
        <v>20000</v>
      </c>
      <c r="E92" s="4">
        <v>20000</v>
      </c>
      <c r="F92" s="4">
        <v>20000</v>
      </c>
      <c r="G92" s="4">
        <v>20000</v>
      </c>
      <c r="H92" s="4">
        <v>20000</v>
      </c>
      <c r="I92" s="4">
        <v>20000</v>
      </c>
      <c r="J92" s="4">
        <v>20000</v>
      </c>
      <c r="K92" s="4">
        <v>20000</v>
      </c>
      <c r="L92" s="4">
        <v>20000</v>
      </c>
      <c r="M92" s="4">
        <v>20000</v>
      </c>
      <c r="N92" s="4"/>
      <c r="O92" s="4">
        <f t="shared" si="43"/>
        <v>20000</v>
      </c>
      <c r="P92" s="14">
        <f>+(O92+O93)/O95</f>
        <v>0.15544837937732003</v>
      </c>
      <c r="Q92" s="14">
        <f>+Q83</f>
        <v>0.19982843438129932</v>
      </c>
      <c r="R92" s="14">
        <f>+Q92</f>
        <v>0.19982843438129932</v>
      </c>
      <c r="S92" s="14">
        <f t="shared" ref="S92" si="44">+R92*P92</f>
        <v>3.1063006278080119E-2</v>
      </c>
      <c r="T92" s="4"/>
    </row>
    <row r="93" spans="1:20" ht="12.75" customHeight="1" x14ac:dyDescent="0.2">
      <c r="A93" s="4" t="s">
        <v>72</v>
      </c>
      <c r="B93" s="4"/>
      <c r="C93" s="4">
        <f t="shared" ref="C93:M93" si="45">B66</f>
        <v>0</v>
      </c>
      <c r="D93" s="4">
        <f t="shared" si="45"/>
        <v>23875.957041692949</v>
      </c>
      <c r="E93" s="4">
        <f t="shared" si="45"/>
        <v>29305.880104201024</v>
      </c>
      <c r="F93" s="4">
        <f t="shared" si="45"/>
        <v>33283.393929833277</v>
      </c>
      <c r="G93" s="4">
        <f t="shared" si="45"/>
        <v>35095.841586536291</v>
      </c>
      <c r="H93" s="4">
        <f t="shared" si="45"/>
        <v>48006.199600908119</v>
      </c>
      <c r="I93" s="4">
        <f t="shared" si="45"/>
        <v>50964.988895290138</v>
      </c>
      <c r="J93" s="4">
        <f t="shared" si="45"/>
        <v>64859.551577508581</v>
      </c>
      <c r="K93" s="4">
        <f t="shared" si="45"/>
        <v>74177.268817489385</v>
      </c>
      <c r="L93" s="4">
        <f t="shared" si="45"/>
        <v>81320.035435230806</v>
      </c>
      <c r="M93" s="4">
        <f t="shared" si="45"/>
        <v>92318.154566181751</v>
      </c>
      <c r="N93" s="4"/>
      <c r="O93" s="4">
        <f t="shared" si="43"/>
        <v>48473.388323170206</v>
      </c>
      <c r="P93" s="1"/>
      <c r="Q93" s="1"/>
      <c r="R93" s="1"/>
      <c r="S93" s="1"/>
      <c r="T93" s="4"/>
    </row>
    <row r="94" spans="1:20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5">
        <f>(SUM(O88:O89))/O95</f>
        <v>0.84455162062267997</v>
      </c>
      <c r="Q94" s="1"/>
      <c r="R94" s="1"/>
      <c r="S94" s="1"/>
      <c r="T94" s="4"/>
    </row>
    <row r="95" spans="1:20" ht="12.75" customHeight="1" x14ac:dyDescent="0.2">
      <c r="A95" s="4" t="s">
        <v>73</v>
      </c>
      <c r="B95" s="4"/>
      <c r="C95" s="4">
        <f t="shared" ref="C95:M95" si="46">SUM(C84:C93)</f>
        <v>381509.15750915761</v>
      </c>
      <c r="D95" s="4">
        <f t="shared" si="46"/>
        <v>418343.31501831498</v>
      </c>
      <c r="E95" s="4">
        <f t="shared" si="46"/>
        <v>503785.59752747254</v>
      </c>
      <c r="F95" s="4">
        <f t="shared" si="46"/>
        <v>681576.2081616302</v>
      </c>
      <c r="G95" s="4">
        <f t="shared" si="46"/>
        <v>469495.35512391268</v>
      </c>
      <c r="H95" s="4">
        <f t="shared" si="46"/>
        <v>647303.25182252342</v>
      </c>
      <c r="I95" s="4">
        <f t="shared" si="46"/>
        <v>435240.11700087017</v>
      </c>
      <c r="J95" s="4">
        <f t="shared" si="46"/>
        <v>419415.88915666111</v>
      </c>
      <c r="K95" s="4">
        <f t="shared" si="46"/>
        <v>498038.68382147502</v>
      </c>
      <c r="L95" s="4">
        <f t="shared" si="46"/>
        <v>455323.15255803755</v>
      </c>
      <c r="M95" s="4">
        <f t="shared" si="46"/>
        <v>501551.74801814213</v>
      </c>
      <c r="N95" s="4"/>
      <c r="O95" s="4">
        <f>+O88+O89+O92+O93</f>
        <v>440489.56056958734</v>
      </c>
      <c r="P95" s="15">
        <f>(SUM(O92:O93))/O95</f>
        <v>0.15544837937732003</v>
      </c>
      <c r="Q95" s="1"/>
      <c r="R95" s="1"/>
      <c r="S95" s="20">
        <f>+S92+S89+S88</f>
        <v>5.7710008852428447E-2</v>
      </c>
      <c r="T95" s="4" t="s">
        <v>183</v>
      </c>
    </row>
    <row r="96" spans="1:20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2.75" customHeight="1" x14ac:dyDescent="0.2">
      <c r="A97" t="s">
        <v>74</v>
      </c>
      <c r="S97" s="25"/>
    </row>
    <row r="98" spans="1:20" ht="12.75" customHeight="1" x14ac:dyDescent="0.2">
      <c r="S98" s="23"/>
    </row>
    <row r="99" spans="1:20" ht="12.75" customHeight="1" x14ac:dyDescent="0.2">
      <c r="A99" s="4" t="s">
        <v>75</v>
      </c>
      <c r="B99" s="4"/>
      <c r="C99" s="4">
        <f>C81-C95</f>
        <v>0</v>
      </c>
      <c r="D99" s="4">
        <f t="shared" ref="D99:M99" si="47">D81-D95</f>
        <v>0</v>
      </c>
      <c r="E99" s="4">
        <f t="shared" si="47"/>
        <v>0</v>
      </c>
      <c r="F99" s="4">
        <f t="shared" si="47"/>
        <v>0</v>
      </c>
      <c r="G99" s="4">
        <f t="shared" si="47"/>
        <v>0</v>
      </c>
      <c r="H99" s="4">
        <f t="shared" si="47"/>
        <v>0</v>
      </c>
      <c r="I99" s="4">
        <f t="shared" si="47"/>
        <v>0</v>
      </c>
      <c r="J99" s="4">
        <f t="shared" si="47"/>
        <v>0</v>
      </c>
      <c r="K99" s="4">
        <f t="shared" si="47"/>
        <v>0</v>
      </c>
      <c r="L99" s="4">
        <f t="shared" si="47"/>
        <v>0</v>
      </c>
      <c r="M99" s="4">
        <f t="shared" si="47"/>
        <v>0</v>
      </c>
      <c r="N99" s="4"/>
      <c r="O99" s="4"/>
      <c r="P99" s="4"/>
      <c r="Q99" s="4"/>
      <c r="R99" s="4"/>
      <c r="S99" s="4"/>
      <c r="T99" s="4"/>
    </row>
    <row r="100" spans="1:20" ht="12.75" customHeight="1" x14ac:dyDescent="0.2">
      <c r="O100" t="s">
        <v>184</v>
      </c>
      <c r="P100" s="2">
        <f>+Q79</f>
        <v>1.9978554297662419</v>
      </c>
      <c r="S100" s="26"/>
    </row>
    <row r="101" spans="1:20" ht="12.75" customHeight="1" x14ac:dyDescent="0.2">
      <c r="O101" t="s">
        <v>30</v>
      </c>
      <c r="P101" s="15">
        <f>+B33</f>
        <v>0.4</v>
      </c>
      <c r="S101" s="24"/>
    </row>
    <row r="102" spans="1:20" ht="12.75" customHeight="1" x14ac:dyDescent="0.2">
      <c r="A102" s="3" t="s">
        <v>76</v>
      </c>
      <c r="O102" t="s">
        <v>185</v>
      </c>
      <c r="P102" s="19">
        <f>+P100*(1+(1-P101)*(P94/P95))</f>
        <v>8.5104689973223291</v>
      </c>
    </row>
    <row r="103" spans="1:20" ht="12.75" customHeight="1" x14ac:dyDescent="0.2">
      <c r="A103" s="4" t="s">
        <v>77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2.75" customHeight="1" x14ac:dyDescent="0.2">
      <c r="A104" s="4" t="s">
        <v>78</v>
      </c>
      <c r="B104" s="4"/>
      <c r="C104" s="4">
        <f t="shared" ref="C104:M104" si="48">C56</f>
        <v>58083.8</v>
      </c>
      <c r="D104" s="4">
        <f t="shared" si="48"/>
        <v>67559.349679999985</v>
      </c>
      <c r="E104" s="4">
        <f t="shared" si="48"/>
        <v>77675.477404040052</v>
      </c>
      <c r="F104" s="4">
        <f t="shared" si="48"/>
        <v>88469.408869815379</v>
      </c>
      <c r="G104" s="4">
        <f t="shared" si="48"/>
        <v>99980.406635249397</v>
      </c>
      <c r="H104" s="4">
        <f t="shared" si="48"/>
        <v>112249.878201232</v>
      </c>
      <c r="I104" s="4">
        <f t="shared" si="48"/>
        <v>125321.48972993693</v>
      </c>
      <c r="J104" s="4">
        <f t="shared" si="48"/>
        <v>139241.28568945747</v>
      </c>
      <c r="K104" s="4">
        <f t="shared" si="48"/>
        <v>154057.81473039754</v>
      </c>
      <c r="L104" s="4">
        <f t="shared" si="48"/>
        <v>169822.26211571391</v>
      </c>
      <c r="M104" s="4">
        <f t="shared" si="48"/>
        <v>186588.58904156461</v>
      </c>
      <c r="N104" s="4"/>
      <c r="O104" s="4"/>
      <c r="P104" s="4"/>
      <c r="Q104" s="4"/>
      <c r="R104" s="4"/>
      <c r="S104" s="4"/>
      <c r="T104" s="4"/>
    </row>
    <row r="105" spans="1:20" ht="12.75" customHeight="1" x14ac:dyDescent="0.2">
      <c r="A105" s="4" t="s">
        <v>79</v>
      </c>
      <c r="B105" s="4"/>
      <c r="C105" s="4">
        <f t="shared" ref="C105:M105" si="49">C58</f>
        <v>3205.1282051282051</v>
      </c>
      <c r="D105" s="4">
        <f t="shared" si="49"/>
        <v>3205.1282051282051</v>
      </c>
      <c r="E105" s="4">
        <f t="shared" si="49"/>
        <v>3205.1282051282051</v>
      </c>
      <c r="F105" s="4">
        <f t="shared" si="49"/>
        <v>3205.1282051282051</v>
      </c>
      <c r="G105" s="4">
        <f t="shared" si="49"/>
        <v>3205.1282051282051</v>
      </c>
      <c r="H105" s="4">
        <f t="shared" si="49"/>
        <v>3205.1282051282051</v>
      </c>
      <c r="I105" s="4">
        <f t="shared" si="49"/>
        <v>3205.1282051282051</v>
      </c>
      <c r="J105" s="4">
        <f t="shared" si="49"/>
        <v>3205.1282051282051</v>
      </c>
      <c r="K105" s="4">
        <f t="shared" si="49"/>
        <v>3205.1282051282051</v>
      </c>
      <c r="L105" s="4">
        <f t="shared" si="49"/>
        <v>3205.1282051282051</v>
      </c>
      <c r="M105" s="4">
        <f t="shared" si="49"/>
        <v>3205.1282051282051</v>
      </c>
      <c r="N105" s="4"/>
      <c r="O105" s="4"/>
      <c r="P105" s="4"/>
      <c r="Q105" s="4"/>
      <c r="R105" s="4"/>
      <c r="S105" s="4"/>
      <c r="T105" s="4"/>
    </row>
    <row r="106" spans="1:20" ht="12.75" customHeight="1" x14ac:dyDescent="0.2">
      <c r="A106" s="4" t="s">
        <v>80</v>
      </c>
      <c r="B106" s="4"/>
      <c r="C106" s="4">
        <f t="shared" ref="C106:M106" si="50">C104-C105</f>
        <v>54878.6717948718</v>
      </c>
      <c r="D106" s="4">
        <f t="shared" si="50"/>
        <v>64354.221474871782</v>
      </c>
      <c r="E106" s="4">
        <f t="shared" si="50"/>
        <v>74470.349198911848</v>
      </c>
      <c r="F106" s="4">
        <f t="shared" si="50"/>
        <v>85264.280664687176</v>
      </c>
      <c r="G106" s="4">
        <f t="shared" si="50"/>
        <v>96775.278430121194</v>
      </c>
      <c r="H106" s="4">
        <f t="shared" si="50"/>
        <v>109044.7499961038</v>
      </c>
      <c r="I106" s="4">
        <f t="shared" si="50"/>
        <v>122116.36152480873</v>
      </c>
      <c r="J106" s="4">
        <f t="shared" si="50"/>
        <v>136036.15748432925</v>
      </c>
      <c r="K106" s="4">
        <f t="shared" si="50"/>
        <v>150852.68652526932</v>
      </c>
      <c r="L106" s="4">
        <f t="shared" si="50"/>
        <v>166617.13391058569</v>
      </c>
      <c r="M106" s="4">
        <f t="shared" si="50"/>
        <v>183383.4608364364</v>
      </c>
      <c r="N106" s="4"/>
      <c r="O106" s="4"/>
      <c r="P106" s="4"/>
      <c r="Q106" s="4"/>
      <c r="R106" s="4"/>
      <c r="S106" s="4"/>
      <c r="T106" s="4"/>
    </row>
    <row r="107" spans="1:20" ht="12.75" customHeight="1" x14ac:dyDescent="0.2">
      <c r="A107" s="4" t="s">
        <v>81</v>
      </c>
      <c r="B107" s="4"/>
      <c r="C107" s="4">
        <f t="shared" ref="C107:M107" si="51">C106*0.4</f>
        <v>21951.468717948723</v>
      </c>
      <c r="D107" s="4">
        <f t="shared" si="51"/>
        <v>25741.688589948713</v>
      </c>
      <c r="E107" s="4">
        <f t="shared" si="51"/>
        <v>29788.139679564742</v>
      </c>
      <c r="F107" s="4">
        <f t="shared" si="51"/>
        <v>34105.71226587487</v>
      </c>
      <c r="G107" s="4">
        <f t="shared" si="51"/>
        <v>38710.111372048479</v>
      </c>
      <c r="H107" s="4">
        <f t="shared" si="51"/>
        <v>43617.89999844152</v>
      </c>
      <c r="I107" s="4">
        <f t="shared" si="51"/>
        <v>48846.544609923498</v>
      </c>
      <c r="J107" s="4">
        <f t="shared" si="51"/>
        <v>54414.4629937317</v>
      </c>
      <c r="K107" s="4">
        <f t="shared" si="51"/>
        <v>60341.074610107731</v>
      </c>
      <c r="L107" s="4">
        <f t="shared" si="51"/>
        <v>66646.853564234276</v>
      </c>
      <c r="M107" s="4">
        <f t="shared" si="51"/>
        <v>73353.384334574555</v>
      </c>
      <c r="N107" s="4"/>
      <c r="O107" s="4"/>
      <c r="P107" s="4"/>
      <c r="Q107" s="4"/>
      <c r="R107" s="4"/>
      <c r="S107" s="4"/>
      <c r="T107" s="4"/>
    </row>
    <row r="108" spans="1:20" ht="12.75" customHeight="1" x14ac:dyDescent="0.2">
      <c r="A108" s="4" t="s">
        <v>82</v>
      </c>
      <c r="B108" s="4"/>
      <c r="C108" s="4">
        <f t="shared" ref="C108:M108" si="52">C106-C107</f>
        <v>32927.203076923077</v>
      </c>
      <c r="D108" s="4">
        <f t="shared" si="52"/>
        <v>38612.532884923072</v>
      </c>
      <c r="E108" s="4">
        <f t="shared" si="52"/>
        <v>44682.209519347103</v>
      </c>
      <c r="F108" s="4">
        <f t="shared" si="52"/>
        <v>51158.568398812306</v>
      </c>
      <c r="G108" s="4">
        <f t="shared" si="52"/>
        <v>58065.167058072715</v>
      </c>
      <c r="H108" s="4">
        <f t="shared" si="52"/>
        <v>65426.849997662277</v>
      </c>
      <c r="I108" s="4">
        <f t="shared" si="52"/>
        <v>73269.816914885232</v>
      </c>
      <c r="J108" s="4">
        <f t="shared" si="52"/>
        <v>81621.694490597554</v>
      </c>
      <c r="K108" s="4">
        <f t="shared" si="52"/>
        <v>90511.6119151616</v>
      </c>
      <c r="L108" s="4">
        <f t="shared" si="52"/>
        <v>99970.280346351414</v>
      </c>
      <c r="M108" s="4">
        <f t="shared" si="52"/>
        <v>110030.07650186184</v>
      </c>
      <c r="N108" s="4"/>
      <c r="O108" s="4"/>
      <c r="P108" s="4"/>
      <c r="Q108" s="4"/>
      <c r="R108" s="4"/>
      <c r="S108" s="4"/>
      <c r="T108" s="4"/>
    </row>
    <row r="109" spans="1:20" ht="12.75" customHeight="1" x14ac:dyDescent="0.2">
      <c r="A109" s="4" t="s">
        <v>83</v>
      </c>
      <c r="B109" s="4"/>
      <c r="C109" s="4">
        <f t="shared" ref="C109:M109" si="53">C105</f>
        <v>3205.1282051282051</v>
      </c>
      <c r="D109" s="4">
        <f t="shared" si="53"/>
        <v>3205.1282051282051</v>
      </c>
      <c r="E109" s="4">
        <f t="shared" si="53"/>
        <v>3205.1282051282051</v>
      </c>
      <c r="F109" s="4">
        <f t="shared" si="53"/>
        <v>3205.1282051282051</v>
      </c>
      <c r="G109" s="4">
        <f t="shared" si="53"/>
        <v>3205.1282051282051</v>
      </c>
      <c r="H109" s="4">
        <f t="shared" si="53"/>
        <v>3205.1282051282051</v>
      </c>
      <c r="I109" s="4">
        <f t="shared" si="53"/>
        <v>3205.1282051282051</v>
      </c>
      <c r="J109" s="4">
        <f t="shared" si="53"/>
        <v>3205.1282051282051</v>
      </c>
      <c r="K109" s="4">
        <f t="shared" si="53"/>
        <v>3205.1282051282051</v>
      </c>
      <c r="L109" s="4">
        <f t="shared" si="53"/>
        <v>3205.1282051282051</v>
      </c>
      <c r="M109" s="4">
        <f t="shared" si="53"/>
        <v>3205.1282051282051</v>
      </c>
      <c r="N109" s="4"/>
      <c r="O109" s="4"/>
      <c r="P109" s="4"/>
      <c r="Q109" s="4"/>
      <c r="R109" s="4"/>
      <c r="S109" s="4"/>
      <c r="T109" s="4"/>
    </row>
    <row r="110" spans="1:20" ht="12.75" customHeight="1" x14ac:dyDescent="0.2">
      <c r="A110" s="4" t="s">
        <v>84</v>
      </c>
      <c r="B110" s="4"/>
      <c r="C110" s="4">
        <f t="shared" ref="C110:M110" si="54">C109+C108</f>
        <v>36132.33128205128</v>
      </c>
      <c r="D110" s="4">
        <f t="shared" si="54"/>
        <v>41817.661090051275</v>
      </c>
      <c r="E110" s="4">
        <f t="shared" si="54"/>
        <v>47887.337724475306</v>
      </c>
      <c r="F110" s="4">
        <f t="shared" si="54"/>
        <v>54363.696603940509</v>
      </c>
      <c r="G110" s="4">
        <f t="shared" si="54"/>
        <v>61270.295263200918</v>
      </c>
      <c r="H110" s="4">
        <f t="shared" si="54"/>
        <v>68631.978202790488</v>
      </c>
      <c r="I110" s="4">
        <f t="shared" si="54"/>
        <v>76474.945120013435</v>
      </c>
      <c r="J110" s="4">
        <f t="shared" si="54"/>
        <v>84826.822695725758</v>
      </c>
      <c r="K110" s="4">
        <f t="shared" si="54"/>
        <v>93716.740120289804</v>
      </c>
      <c r="L110" s="4">
        <f t="shared" si="54"/>
        <v>103175.40855147962</v>
      </c>
      <c r="M110" s="4">
        <f t="shared" si="54"/>
        <v>113235.20470699004</v>
      </c>
      <c r="N110" s="4"/>
      <c r="O110" s="4"/>
      <c r="P110" s="4"/>
      <c r="Q110" s="4"/>
      <c r="R110" s="4"/>
      <c r="S110" s="4"/>
      <c r="T110" s="4"/>
    </row>
    <row r="112" spans="1:20" ht="12.75" customHeight="1" x14ac:dyDescent="0.2">
      <c r="A112" t="s">
        <v>85</v>
      </c>
    </row>
    <row r="113" spans="1:19" ht="12.75" customHeight="1" x14ac:dyDescent="0.2">
      <c r="A113" t="s">
        <v>86</v>
      </c>
      <c r="B113">
        <f>+-B35</f>
        <v>-300000</v>
      </c>
      <c r="S113" s="4"/>
    </row>
    <row r="114" spans="1:19" ht="12.75" customHeight="1" x14ac:dyDescent="0.2">
      <c r="A114" t="s">
        <v>87</v>
      </c>
      <c r="M114">
        <f>N114*P114</f>
        <v>175000</v>
      </c>
      <c r="N114">
        <v>1.75</v>
      </c>
      <c r="O114" t="s">
        <v>88</v>
      </c>
      <c r="P114" s="4">
        <f>M75</f>
        <v>100000</v>
      </c>
    </row>
    <row r="115" spans="1:19" ht="12.75" customHeight="1" x14ac:dyDescent="0.2">
      <c r="A115" t="s">
        <v>89</v>
      </c>
      <c r="B115">
        <f>+-B36</f>
        <v>-500000</v>
      </c>
      <c r="O115" s="11" t="s">
        <v>168</v>
      </c>
      <c r="P115">
        <f>M114-P114</f>
        <v>75000</v>
      </c>
    </row>
    <row r="116" spans="1:19" ht="12.75" customHeight="1" x14ac:dyDescent="0.2">
      <c r="A116" t="s">
        <v>90</v>
      </c>
      <c r="M116" s="12">
        <f>N116*P116</f>
        <v>125641.02564102564</v>
      </c>
      <c r="N116">
        <v>1.4</v>
      </c>
      <c r="O116" t="s">
        <v>88</v>
      </c>
      <c r="P116" s="4">
        <f>+M76-M78</f>
        <v>89743.58974358975</v>
      </c>
    </row>
    <row r="117" spans="1:19" ht="12.75" customHeight="1" x14ac:dyDescent="0.2">
      <c r="A117" t="s">
        <v>91</v>
      </c>
      <c r="M117" s="12">
        <f>-((P115+P117)*N117)</f>
        <v>-22179.48717948718</v>
      </c>
      <c r="N117" s="5">
        <v>0.2</v>
      </c>
      <c r="O117" s="11" t="s">
        <v>168</v>
      </c>
      <c r="P117" s="12">
        <f>M116-P116</f>
        <v>35897.435897435891</v>
      </c>
    </row>
    <row r="119" spans="1:19" ht="12.75" customHeight="1" x14ac:dyDescent="0.2">
      <c r="A119" t="s">
        <v>92</v>
      </c>
    </row>
    <row r="120" spans="1:19" ht="12.75" customHeight="1" x14ac:dyDescent="0.2">
      <c r="A120" t="s">
        <v>60</v>
      </c>
      <c r="C120">
        <f t="shared" ref="C120:M120" si="55">C72-B72</f>
        <v>13000</v>
      </c>
      <c r="D120">
        <f t="shared" si="55"/>
        <v>324.99999999999818</v>
      </c>
      <c r="E120">
        <f t="shared" si="55"/>
        <v>333.12499999999818</v>
      </c>
      <c r="F120">
        <f t="shared" si="55"/>
        <v>341.45312499999818</v>
      </c>
      <c r="G120">
        <f t="shared" si="55"/>
        <v>349.98945312499927</v>
      </c>
      <c r="H120">
        <f t="shared" si="55"/>
        <v>358.73918945312289</v>
      </c>
      <c r="I120">
        <f t="shared" si="55"/>
        <v>367.70766918945083</v>
      </c>
      <c r="J120">
        <f t="shared" si="55"/>
        <v>376.90036091918773</v>
      </c>
      <c r="K120">
        <f t="shared" si="55"/>
        <v>386.32286994216702</v>
      </c>
      <c r="L120">
        <f t="shared" si="55"/>
        <v>395.98094169072101</v>
      </c>
      <c r="M120">
        <f t="shared" si="55"/>
        <v>405.88046523298908</v>
      </c>
    </row>
    <row r="121" spans="1:19" ht="12.75" customHeight="1" x14ac:dyDescent="0.2">
      <c r="A121" t="s">
        <v>61</v>
      </c>
      <c r="C121" s="4">
        <f>-(C73-0)</f>
        <v>-60000</v>
      </c>
      <c r="D121" s="4">
        <f>-(D73-C73)</f>
        <v>-54000</v>
      </c>
      <c r="E121" s="4">
        <f t="shared" ref="E121:M121" si="56">-(E73-D73)</f>
        <v>-102600</v>
      </c>
      <c r="F121" s="4">
        <f t="shared" si="56"/>
        <v>-194940</v>
      </c>
      <c r="G121" s="4">
        <f t="shared" si="56"/>
        <v>194940</v>
      </c>
      <c r="H121" s="4">
        <f t="shared" si="56"/>
        <v>-194940</v>
      </c>
      <c r="I121" s="4">
        <f t="shared" si="56"/>
        <v>194940</v>
      </c>
      <c r="J121" s="4">
        <f t="shared" si="56"/>
        <v>12996</v>
      </c>
      <c r="K121" s="4">
        <f t="shared" si="56"/>
        <v>-81441.599999999977</v>
      </c>
      <c r="L121" s="4">
        <f t="shared" si="56"/>
        <v>39906.383999999991</v>
      </c>
      <c r="M121" s="4">
        <f t="shared" si="56"/>
        <v>-49027.843199999974</v>
      </c>
    </row>
    <row r="122" spans="1:19" ht="12.75" customHeight="1" x14ac:dyDescent="0.2">
      <c r="A122" t="s">
        <v>66</v>
      </c>
      <c r="C122" s="4">
        <f>C85-B85</f>
        <v>13000</v>
      </c>
      <c r="D122" s="4">
        <f>D85-C85</f>
        <v>0</v>
      </c>
      <c r="E122">
        <f t="shared" ref="E122:M122" si="57">E85-D85</f>
        <v>0</v>
      </c>
      <c r="F122">
        <f t="shared" si="57"/>
        <v>0</v>
      </c>
      <c r="G122">
        <f t="shared" si="57"/>
        <v>0</v>
      </c>
      <c r="H122">
        <f t="shared" si="57"/>
        <v>0</v>
      </c>
      <c r="I122">
        <f t="shared" si="57"/>
        <v>0</v>
      </c>
      <c r="J122">
        <f t="shared" si="57"/>
        <v>0</v>
      </c>
      <c r="K122">
        <f t="shared" si="57"/>
        <v>0</v>
      </c>
      <c r="L122">
        <f t="shared" si="57"/>
        <v>0</v>
      </c>
      <c r="M122">
        <f t="shared" si="57"/>
        <v>0</v>
      </c>
    </row>
    <row r="123" spans="1:19" ht="12.75" customHeight="1" x14ac:dyDescent="0.2">
      <c r="A123" t="s">
        <v>93</v>
      </c>
      <c r="C123" s="4">
        <f t="shared" ref="C123:K123" si="58">C107-B107</f>
        <v>21951.468717948723</v>
      </c>
      <c r="D123" s="4">
        <f>D107-C107</f>
        <v>3790.2198719999906</v>
      </c>
      <c r="E123" s="4">
        <f t="shared" si="58"/>
        <v>4046.4510896160282</v>
      </c>
      <c r="F123" s="4">
        <f t="shared" si="58"/>
        <v>4317.5725863101288</v>
      </c>
      <c r="G123" s="4">
        <f t="shared" si="58"/>
        <v>4604.3991061736087</v>
      </c>
      <c r="H123" s="4">
        <f t="shared" si="58"/>
        <v>4907.7886263930413</v>
      </c>
      <c r="I123" s="4">
        <f t="shared" si="58"/>
        <v>5228.6446114819773</v>
      </c>
      <c r="J123" s="4">
        <f t="shared" si="58"/>
        <v>5567.9183838082026</v>
      </c>
      <c r="K123" s="4">
        <f t="shared" si="58"/>
        <v>5926.6116163760307</v>
      </c>
      <c r="L123" s="4">
        <f>L107-K107</f>
        <v>6305.7789541265447</v>
      </c>
      <c r="M123" s="4">
        <f>M107-L107</f>
        <v>6706.5307703402796</v>
      </c>
    </row>
    <row r="125" spans="1:19" ht="12.75" customHeight="1" x14ac:dyDescent="0.2">
      <c r="A125" t="s">
        <v>94</v>
      </c>
    </row>
    <row r="126" spans="1:19" ht="12.75" customHeight="1" x14ac:dyDescent="0.2">
      <c r="A126" t="s">
        <v>60</v>
      </c>
      <c r="L126" s="4"/>
      <c r="M126">
        <f>M72</f>
        <v>16641.099074552632</v>
      </c>
    </row>
    <row r="127" spans="1:19" ht="12.75" customHeight="1" x14ac:dyDescent="0.2">
      <c r="A127" t="s">
        <v>61</v>
      </c>
      <c r="L127" s="4"/>
      <c r="M127" s="4">
        <v>600000</v>
      </c>
    </row>
    <row r="128" spans="1:19" ht="12.75" customHeight="1" x14ac:dyDescent="0.2">
      <c r="A128" t="s">
        <v>66</v>
      </c>
      <c r="L128" s="4"/>
      <c r="M128" s="4">
        <f>-M85</f>
        <v>-13000</v>
      </c>
    </row>
    <row r="129" spans="1:13" ht="12.75" customHeight="1" x14ac:dyDescent="0.2">
      <c r="A129" t="s">
        <v>67</v>
      </c>
      <c r="L129" s="4"/>
      <c r="M129" s="4">
        <f>-M107</f>
        <v>-73353.384334574555</v>
      </c>
    </row>
    <row r="131" spans="1:13" ht="12.75" customHeight="1" x14ac:dyDescent="0.2">
      <c r="A131" t="s">
        <v>95</v>
      </c>
      <c r="B131" s="4">
        <f t="shared" ref="B131:M131" si="59">SUM(B110:B130)</f>
        <v>-800000</v>
      </c>
      <c r="C131" s="4">
        <f>SUM(C110:C130)</f>
        <v>24083.800000000003</v>
      </c>
      <c r="D131" s="4">
        <f t="shared" si="59"/>
        <v>-8067.1190379487343</v>
      </c>
      <c r="E131" s="4">
        <f t="shared" si="59"/>
        <v>-50333.086185908665</v>
      </c>
      <c r="F131" s="4">
        <f t="shared" si="59"/>
        <v>-135917.27768474937</v>
      </c>
      <c r="G131" s="4">
        <f t="shared" si="59"/>
        <v>261164.68382249953</v>
      </c>
      <c r="H131" s="4">
        <f t="shared" si="59"/>
        <v>-121041.49398136335</v>
      </c>
      <c r="I131" s="4">
        <f t="shared" si="59"/>
        <v>277011.29740068485</v>
      </c>
      <c r="J131" s="4">
        <f t="shared" si="59"/>
        <v>103767.64144045315</v>
      </c>
      <c r="K131" s="4">
        <f t="shared" si="59"/>
        <v>18588.074606608017</v>
      </c>
      <c r="L131" s="4">
        <f t="shared" si="59"/>
        <v>149783.55244729688</v>
      </c>
      <c r="M131" s="4">
        <f t="shared" si="59"/>
        <v>880069.02594407985</v>
      </c>
    </row>
    <row r="132" spans="1:13" ht="12.75" customHeight="1" x14ac:dyDescent="0.2">
      <c r="A132" s="11" t="s">
        <v>166</v>
      </c>
      <c r="B132" s="4">
        <v>0</v>
      </c>
      <c r="C132" s="4">
        <v>1</v>
      </c>
      <c r="D132" s="4">
        <v>2</v>
      </c>
      <c r="E132" s="4">
        <v>3</v>
      </c>
      <c r="F132" s="4">
        <v>4</v>
      </c>
      <c r="G132" s="4">
        <v>5</v>
      </c>
      <c r="H132" s="4">
        <v>6</v>
      </c>
      <c r="I132" s="4">
        <v>7</v>
      </c>
      <c r="J132" s="4">
        <v>8</v>
      </c>
      <c r="K132" s="4">
        <v>9</v>
      </c>
      <c r="L132" s="4">
        <v>10</v>
      </c>
      <c r="M132" s="4">
        <v>11</v>
      </c>
    </row>
    <row r="133" spans="1:13" ht="12.75" customHeight="1" x14ac:dyDescent="0.2">
      <c r="A133" s="11" t="s">
        <v>167</v>
      </c>
      <c r="B133" s="4">
        <f>-PV($B$135,B132,,B131)</f>
        <v>-800000</v>
      </c>
      <c r="C133" s="4">
        <f t="shared" ref="C133:M133" si="60">-PV($B$135,C132,,C131)</f>
        <v>22299.814814814818</v>
      </c>
      <c r="D133" s="4">
        <f t="shared" si="60"/>
        <v>-6916.2543192290241</v>
      </c>
      <c r="E133" s="4">
        <f t="shared" si="60"/>
        <v>-39956.026604421219</v>
      </c>
      <c r="F133" s="4">
        <f t="shared" si="60"/>
        <v>-99903.256609115982</v>
      </c>
      <c r="G133" s="4">
        <f t="shared" si="60"/>
        <v>177744.29546822602</v>
      </c>
      <c r="H133" s="4">
        <f t="shared" si="60"/>
        <v>-76276.673099609296</v>
      </c>
      <c r="I133" s="4">
        <f t="shared" si="60"/>
        <v>161633.4314124021</v>
      </c>
      <c r="J133" s="4">
        <f t="shared" si="60"/>
        <v>56062.42788843462</v>
      </c>
      <c r="K133" s="4">
        <f t="shared" si="60"/>
        <v>9298.6651229181625</v>
      </c>
      <c r="L133" s="4">
        <f t="shared" si="60"/>
        <v>69378.766115778693</v>
      </c>
      <c r="M133" s="4">
        <f t="shared" si="60"/>
        <v>377446.52026141557</v>
      </c>
    </row>
    <row r="134" spans="1:13" ht="12.75" customHeight="1" x14ac:dyDescent="0.2">
      <c r="A134" t="s">
        <v>96</v>
      </c>
      <c r="B134" s="5">
        <f>IRR(B131:M131)</f>
        <v>5.7710008852429162E-2</v>
      </c>
    </row>
    <row r="135" spans="1:13" ht="12.75" customHeight="1" x14ac:dyDescent="0.2">
      <c r="A135" t="s">
        <v>97</v>
      </c>
      <c r="B135" s="5">
        <v>0.08</v>
      </c>
    </row>
    <row r="136" spans="1:13" ht="12.75" customHeight="1" x14ac:dyDescent="0.2">
      <c r="A136" t="s">
        <v>98</v>
      </c>
      <c r="B136" s="4">
        <f>SUM(B133:M133)</f>
        <v>-149188.2895483856</v>
      </c>
    </row>
    <row r="138" spans="1:13" ht="12.75" customHeight="1" x14ac:dyDescent="0.2">
      <c r="B138" s="1"/>
    </row>
    <row r="139" spans="1:13" ht="12.75" customHeight="1" x14ac:dyDescent="0.2">
      <c r="B139" s="4"/>
    </row>
    <row r="141" spans="1:13" ht="12.75" customHeight="1" x14ac:dyDescent="0.2">
      <c r="D141" s="4"/>
      <c r="E141" s="4"/>
    </row>
    <row r="142" spans="1:13" ht="12.75" customHeight="1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2.75" customHeight="1" x14ac:dyDescent="0.2">
      <c r="A143" s="1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2.75" customHeight="1" x14ac:dyDescent="0.2">
      <c r="A144" s="1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2:2" ht="12.75" customHeight="1" x14ac:dyDescent="0.2">
      <c r="B145" s="1"/>
    </row>
  </sheetData>
  <mergeCells count="1">
    <mergeCell ref="O78:P7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54"/>
  <sheetViews>
    <sheetView topLeftCell="F1" workbookViewId="0">
      <selection activeCell="J2" sqref="J2"/>
    </sheetView>
  </sheetViews>
  <sheetFormatPr defaultColWidth="17.140625" defaultRowHeight="12.75" customHeight="1" x14ac:dyDescent="0.2"/>
  <sheetData>
    <row r="1" spans="1:20" x14ac:dyDescent="0.2">
      <c r="A1" s="2"/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/>
      <c r="H1" s="2" t="s">
        <v>104</v>
      </c>
      <c r="I1" s="2"/>
      <c r="J1" s="2">
        <f>PapaMurphys!B35</f>
        <v>300000</v>
      </c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 t="s">
        <v>105</v>
      </c>
      <c r="B2" s="2">
        <f>J1</f>
        <v>300000</v>
      </c>
      <c r="C2" s="2">
        <f t="shared" ref="C2:C13" si="0">E2-D2</f>
        <v>395.05592947764194</v>
      </c>
      <c r="D2" s="2">
        <f t="shared" ref="D2:D13" si="1">B2*$J$3</f>
        <v>1125</v>
      </c>
      <c r="E2" s="2">
        <f t="shared" ref="E2:E13" si="2">-$J$6</f>
        <v>1520.0559294776419</v>
      </c>
      <c r="F2" s="2">
        <f t="shared" ref="F2:F27" si="3">B2-C2</f>
        <v>299604.94407052238</v>
      </c>
      <c r="G2" s="2"/>
      <c r="H2" s="2" t="s">
        <v>106</v>
      </c>
      <c r="I2" s="2"/>
      <c r="J2" s="1">
        <f>PapaMurphys!B34</f>
        <v>4.4999999999999998E-2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>
        <f t="shared" ref="B3:B13" si="4">F2</f>
        <v>299604.94407052238</v>
      </c>
      <c r="C3" s="2">
        <f t="shared" si="0"/>
        <v>396.53738921318313</v>
      </c>
      <c r="D3" s="2">
        <f t="shared" si="1"/>
        <v>1123.5185402644588</v>
      </c>
      <c r="E3" s="2">
        <f t="shared" si="2"/>
        <v>1520.0559294776419</v>
      </c>
      <c r="F3" s="2">
        <f t="shared" si="3"/>
        <v>299208.40668130922</v>
      </c>
      <c r="G3" s="2"/>
      <c r="H3" s="2" t="s">
        <v>107</v>
      </c>
      <c r="I3" s="2"/>
      <c r="J3" s="1">
        <f>J2/12</f>
        <v>3.7499999999999999E-3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2"/>
      <c r="B4" s="2">
        <f t="shared" si="4"/>
        <v>299208.40668130922</v>
      </c>
      <c r="C4" s="2">
        <f t="shared" si="0"/>
        <v>398.02440442273246</v>
      </c>
      <c r="D4" s="2">
        <f t="shared" si="1"/>
        <v>1122.0315250549095</v>
      </c>
      <c r="E4" s="2">
        <f t="shared" si="2"/>
        <v>1520.0559294776419</v>
      </c>
      <c r="F4" s="2">
        <f t="shared" si="3"/>
        <v>298810.38227688649</v>
      </c>
      <c r="G4" s="2"/>
      <c r="H4" s="2" t="s">
        <v>108</v>
      </c>
      <c r="I4" s="2"/>
      <c r="J4" s="2">
        <v>30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">
      <c r="A5" s="2"/>
      <c r="B5" s="2">
        <f t="shared" si="4"/>
        <v>298810.38227688649</v>
      </c>
      <c r="C5" s="2">
        <f t="shared" si="0"/>
        <v>399.51699593931767</v>
      </c>
      <c r="D5" s="2">
        <f t="shared" si="1"/>
        <v>1120.5389335383243</v>
      </c>
      <c r="E5" s="2">
        <f t="shared" si="2"/>
        <v>1520.0559294776419</v>
      </c>
      <c r="F5" s="2">
        <f t="shared" si="3"/>
        <v>298410.86528094718</v>
      </c>
      <c r="G5" s="2"/>
      <c r="H5" s="2" t="s">
        <v>109</v>
      </c>
      <c r="I5" s="2"/>
      <c r="J5" s="2">
        <v>360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2"/>
      <c r="B6" s="2">
        <f t="shared" si="4"/>
        <v>298410.86528094718</v>
      </c>
      <c r="C6" s="2">
        <f t="shared" si="0"/>
        <v>401.01518467409005</v>
      </c>
      <c r="D6" s="2">
        <f t="shared" si="1"/>
        <v>1119.0407448035519</v>
      </c>
      <c r="E6" s="2">
        <f t="shared" si="2"/>
        <v>1520.0559294776419</v>
      </c>
      <c r="F6" s="2">
        <f t="shared" si="3"/>
        <v>298009.85009627312</v>
      </c>
      <c r="G6" s="2"/>
      <c r="H6" s="2" t="s">
        <v>102</v>
      </c>
      <c r="I6" s="2"/>
      <c r="J6" s="2">
        <f>PMT(J3,J5,J1,0)</f>
        <v>-1520.0559294776419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2"/>
      <c r="B7" s="2">
        <f t="shared" si="4"/>
        <v>298009.85009627312</v>
      </c>
      <c r="C7" s="2">
        <f t="shared" si="0"/>
        <v>402.51899161661777</v>
      </c>
      <c r="D7" s="2">
        <f t="shared" si="1"/>
        <v>1117.5369378610242</v>
      </c>
      <c r="E7" s="2">
        <f t="shared" si="2"/>
        <v>1520.0559294776419</v>
      </c>
      <c r="F7" s="2">
        <f t="shared" si="3"/>
        <v>297607.33110465651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A8" s="2"/>
      <c r="B8" s="2">
        <f t="shared" si="4"/>
        <v>297607.33110465651</v>
      </c>
      <c r="C8" s="2">
        <f t="shared" si="0"/>
        <v>404.02843783518006</v>
      </c>
      <c r="D8" s="2">
        <f t="shared" si="1"/>
        <v>1116.0274916424619</v>
      </c>
      <c r="E8" s="2">
        <f t="shared" si="2"/>
        <v>1520.0559294776419</v>
      </c>
      <c r="F8" s="2">
        <f t="shared" si="3"/>
        <v>297203.30266682134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2"/>
      <c r="B9" s="2">
        <f t="shared" si="4"/>
        <v>297203.30266682134</v>
      </c>
      <c r="C9" s="2">
        <f t="shared" si="0"/>
        <v>405.54354447706191</v>
      </c>
      <c r="D9" s="2">
        <f t="shared" si="1"/>
        <v>1114.51238500058</v>
      </c>
      <c r="E9" s="2">
        <f t="shared" si="2"/>
        <v>1520.0559294776419</v>
      </c>
      <c r="F9" s="2">
        <f t="shared" si="3"/>
        <v>296797.75912234426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2"/>
      <c r="B10" s="2">
        <f t="shared" si="4"/>
        <v>296797.75912234426</v>
      </c>
      <c r="C10" s="2">
        <f t="shared" si="0"/>
        <v>407.06433276885105</v>
      </c>
      <c r="D10" s="2">
        <f t="shared" si="1"/>
        <v>1112.9915967087909</v>
      </c>
      <c r="E10" s="2">
        <f t="shared" si="2"/>
        <v>1520.0559294776419</v>
      </c>
      <c r="F10" s="2">
        <f t="shared" si="3"/>
        <v>296390.69478957541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2"/>
      <c r="B11" s="2">
        <f t="shared" si="4"/>
        <v>296390.69478957541</v>
      </c>
      <c r="C11" s="2">
        <f t="shared" si="0"/>
        <v>408.59082401673413</v>
      </c>
      <c r="D11" s="2">
        <f t="shared" si="1"/>
        <v>1111.4651054609078</v>
      </c>
      <c r="E11" s="2">
        <f t="shared" si="2"/>
        <v>1520.0559294776419</v>
      </c>
      <c r="F11" s="2">
        <f t="shared" si="3"/>
        <v>295982.10396555869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2"/>
      <c r="B12" s="2">
        <f t="shared" si="4"/>
        <v>295982.10396555869</v>
      </c>
      <c r="C12" s="2">
        <f t="shared" si="0"/>
        <v>410.12303960679697</v>
      </c>
      <c r="D12" s="2">
        <f t="shared" si="1"/>
        <v>1109.932889870845</v>
      </c>
      <c r="E12" s="2">
        <f t="shared" si="2"/>
        <v>1520.0559294776419</v>
      </c>
      <c r="F12" s="2">
        <f t="shared" si="3"/>
        <v>295571.98092595191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2" t="s">
        <v>110</v>
      </c>
      <c r="B13" s="2">
        <f t="shared" si="4"/>
        <v>295571.98092595191</v>
      </c>
      <c r="C13" s="2">
        <f t="shared" si="0"/>
        <v>411.6610010053223</v>
      </c>
      <c r="D13" s="2">
        <f t="shared" si="1"/>
        <v>1108.3949284723196</v>
      </c>
      <c r="E13" s="2">
        <f t="shared" si="2"/>
        <v>1520.0559294776419</v>
      </c>
      <c r="F13" s="2">
        <f t="shared" si="3"/>
        <v>295160.31992494658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2" t="s">
        <v>111</v>
      </c>
      <c r="B14" s="2"/>
      <c r="C14" s="2"/>
      <c r="D14" s="2">
        <f>SUM(D2:D13)</f>
        <v>13400.991078678175</v>
      </c>
      <c r="E14" s="2"/>
      <c r="F14" s="2">
        <f t="shared" si="3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2"/>
      <c r="B15" s="2"/>
      <c r="C15" s="2"/>
      <c r="D15" s="2"/>
      <c r="E15" s="2"/>
      <c r="F15" s="2">
        <f t="shared" si="3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2" t="s">
        <v>112</v>
      </c>
      <c r="B16" s="2">
        <f>F13</f>
        <v>295160.31992494658</v>
      </c>
      <c r="C16" s="2">
        <f t="shared" ref="C16:C27" si="5">E16-D16</f>
        <v>413.20472975909229</v>
      </c>
      <c r="D16" s="2">
        <f t="shared" ref="D16:D27" si="6">B16*$J$3</f>
        <v>1106.8511997185497</v>
      </c>
      <c r="E16" s="2">
        <f t="shared" ref="E16:E27" si="7">-$J$6</f>
        <v>1520.0559294776419</v>
      </c>
      <c r="F16" s="2">
        <f t="shared" si="3"/>
        <v>294747.11519518751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2"/>
      <c r="B17" s="2">
        <f t="shared" ref="B17:B27" si="8">F16</f>
        <v>294747.11519518751</v>
      </c>
      <c r="C17" s="2">
        <f t="shared" si="5"/>
        <v>414.75424749568879</v>
      </c>
      <c r="D17" s="2">
        <f t="shared" si="6"/>
        <v>1105.3016819819532</v>
      </c>
      <c r="E17" s="2">
        <f t="shared" si="7"/>
        <v>1520.0559294776419</v>
      </c>
      <c r="F17" s="2">
        <f t="shared" si="3"/>
        <v>294332.36094769184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2"/>
      <c r="B18" s="2">
        <f t="shared" si="8"/>
        <v>294332.36094769184</v>
      </c>
      <c r="C18" s="2">
        <f t="shared" si="5"/>
        <v>416.30957592379764</v>
      </c>
      <c r="D18" s="2">
        <f t="shared" si="6"/>
        <v>1103.7463535538443</v>
      </c>
      <c r="E18" s="2">
        <f t="shared" si="7"/>
        <v>1520.0559294776419</v>
      </c>
      <c r="F18" s="2">
        <f t="shared" si="3"/>
        <v>293916.05137176806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2"/>
      <c r="B19" s="2">
        <f t="shared" si="8"/>
        <v>293916.05137176806</v>
      </c>
      <c r="C19" s="2">
        <f t="shared" si="5"/>
        <v>417.87073683351173</v>
      </c>
      <c r="D19" s="2">
        <f t="shared" si="6"/>
        <v>1102.1851926441302</v>
      </c>
      <c r="E19" s="2">
        <f t="shared" si="7"/>
        <v>1520.0559294776419</v>
      </c>
      <c r="F19" s="2">
        <f t="shared" si="3"/>
        <v>293498.18063493457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2"/>
      <c r="B20" s="2">
        <f t="shared" si="8"/>
        <v>293498.18063493457</v>
      </c>
      <c r="C20" s="2">
        <f t="shared" si="5"/>
        <v>419.43775209663727</v>
      </c>
      <c r="D20" s="2">
        <f t="shared" si="6"/>
        <v>1100.6181773810047</v>
      </c>
      <c r="E20" s="2">
        <f t="shared" si="7"/>
        <v>1520.0559294776419</v>
      </c>
      <c r="F20" s="2">
        <f t="shared" si="3"/>
        <v>293078.74288283795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2"/>
      <c r="B21" s="2">
        <f t="shared" si="8"/>
        <v>293078.74288283795</v>
      </c>
      <c r="C21" s="2">
        <f t="shared" si="5"/>
        <v>421.01064366699961</v>
      </c>
      <c r="D21" s="2">
        <f t="shared" si="6"/>
        <v>1099.0452858106423</v>
      </c>
      <c r="E21" s="2">
        <f t="shared" si="7"/>
        <v>1520.0559294776419</v>
      </c>
      <c r="F21" s="2">
        <f t="shared" si="3"/>
        <v>292657.73223917093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2"/>
      <c r="B22" s="2">
        <f t="shared" si="8"/>
        <v>292657.73223917093</v>
      </c>
      <c r="C22" s="2">
        <f t="shared" si="5"/>
        <v>422.58943358075089</v>
      </c>
      <c r="D22" s="2">
        <f t="shared" si="6"/>
        <v>1097.466495896891</v>
      </c>
      <c r="E22" s="2">
        <f t="shared" si="7"/>
        <v>1520.0559294776419</v>
      </c>
      <c r="F22" s="2">
        <f t="shared" si="3"/>
        <v>292235.14280559018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2"/>
      <c r="B23" s="2">
        <f t="shared" si="8"/>
        <v>292235.14280559018</v>
      </c>
      <c r="C23" s="2">
        <f t="shared" si="5"/>
        <v>424.17414395667879</v>
      </c>
      <c r="D23" s="2">
        <f t="shared" si="6"/>
        <v>1095.8817855209631</v>
      </c>
      <c r="E23" s="2">
        <f t="shared" si="7"/>
        <v>1520.0559294776419</v>
      </c>
      <c r="F23" s="2">
        <f t="shared" si="3"/>
        <v>291810.96866163349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2"/>
      <c r="B24" s="2">
        <f t="shared" si="8"/>
        <v>291810.96866163349</v>
      </c>
      <c r="C24" s="2">
        <f t="shared" si="5"/>
        <v>425.76479699651645</v>
      </c>
      <c r="D24" s="2">
        <f t="shared" si="6"/>
        <v>1094.2911324811255</v>
      </c>
      <c r="E24" s="2">
        <f t="shared" si="7"/>
        <v>1520.0559294776419</v>
      </c>
      <c r="F24" s="2">
        <f t="shared" si="3"/>
        <v>291385.20386463701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2"/>
      <c r="B25" s="2">
        <f t="shared" si="8"/>
        <v>291385.20386463701</v>
      </c>
      <c r="C25" s="2">
        <f t="shared" si="5"/>
        <v>427.3614149852533</v>
      </c>
      <c r="D25" s="2">
        <f t="shared" si="6"/>
        <v>1092.6945144923886</v>
      </c>
      <c r="E25" s="2">
        <f t="shared" si="7"/>
        <v>1520.0559294776419</v>
      </c>
      <c r="F25" s="2">
        <f t="shared" si="3"/>
        <v>290957.84244965174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2"/>
      <c r="B26" s="2">
        <f t="shared" si="8"/>
        <v>290957.84244965174</v>
      </c>
      <c r="C26" s="2">
        <f t="shared" si="5"/>
        <v>428.96402029144792</v>
      </c>
      <c r="D26" s="2">
        <f t="shared" si="6"/>
        <v>1091.091909186194</v>
      </c>
      <c r="E26" s="2">
        <f t="shared" si="7"/>
        <v>1520.0559294776419</v>
      </c>
      <c r="F26" s="2">
        <f t="shared" si="3"/>
        <v>290528.87842936028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2" t="s">
        <v>113</v>
      </c>
      <c r="B27" s="2">
        <f t="shared" si="8"/>
        <v>290528.87842936028</v>
      </c>
      <c r="C27" s="2">
        <f t="shared" si="5"/>
        <v>430.5726353675409</v>
      </c>
      <c r="D27" s="2">
        <f t="shared" si="6"/>
        <v>1089.483294110101</v>
      </c>
      <c r="E27" s="2">
        <f t="shared" si="7"/>
        <v>1520.0559294776419</v>
      </c>
      <c r="F27" s="2">
        <f t="shared" si="3"/>
        <v>290098.30579399277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2" t="s">
        <v>111</v>
      </c>
      <c r="B28" s="2"/>
      <c r="C28" s="2"/>
      <c r="D28" s="2">
        <f>SUM(D16:D27)</f>
        <v>13178.657022777788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2" t="s">
        <v>114</v>
      </c>
      <c r="B30" s="2">
        <f>F27</f>
        <v>290098.30579399277</v>
      </c>
      <c r="C30" s="2">
        <f t="shared" ref="C30:C41" si="9">E30-D30</f>
        <v>432.18728275016906</v>
      </c>
      <c r="D30" s="2">
        <f t="shared" ref="D30:D41" si="10">B30*$J$3</f>
        <v>1087.8686467274729</v>
      </c>
      <c r="E30" s="2">
        <f t="shared" ref="E30:E41" si="11">-$J$6</f>
        <v>1520.0559294776419</v>
      </c>
      <c r="F30" s="2">
        <f t="shared" ref="F30:F41" si="12">B30-C30</f>
        <v>289666.11851124262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2"/>
      <c r="B31" s="2">
        <f t="shared" ref="B31:B41" si="13">F30</f>
        <v>289666.11851124262</v>
      </c>
      <c r="C31" s="2">
        <f t="shared" si="9"/>
        <v>433.80798506048222</v>
      </c>
      <c r="D31" s="2">
        <f t="shared" si="10"/>
        <v>1086.2479444171597</v>
      </c>
      <c r="E31" s="2">
        <f t="shared" si="11"/>
        <v>1520.0559294776419</v>
      </c>
      <c r="F31" s="2">
        <f t="shared" si="12"/>
        <v>289232.31052618212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2"/>
      <c r="B32" s="2">
        <f t="shared" si="13"/>
        <v>289232.31052618212</v>
      </c>
      <c r="C32" s="2">
        <f t="shared" si="9"/>
        <v>435.434765004459</v>
      </c>
      <c r="D32" s="2">
        <f t="shared" si="10"/>
        <v>1084.6211644731829</v>
      </c>
      <c r="E32" s="2">
        <f t="shared" si="11"/>
        <v>1520.0559294776419</v>
      </c>
      <c r="F32" s="2">
        <f t="shared" si="12"/>
        <v>288796.87576117768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2"/>
      <c r="B33" s="2">
        <f t="shared" si="13"/>
        <v>288796.87576117768</v>
      </c>
      <c r="C33" s="2">
        <f t="shared" si="9"/>
        <v>437.06764537322556</v>
      </c>
      <c r="D33" s="2">
        <f t="shared" si="10"/>
        <v>1082.9882841044164</v>
      </c>
      <c r="E33" s="2">
        <f t="shared" si="11"/>
        <v>1520.0559294776419</v>
      </c>
      <c r="F33" s="2">
        <f t="shared" si="12"/>
        <v>288359.80811580445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2"/>
      <c r="B34" s="2">
        <f t="shared" si="13"/>
        <v>288359.80811580445</v>
      </c>
      <c r="C34" s="2">
        <f t="shared" si="9"/>
        <v>438.70664904337536</v>
      </c>
      <c r="D34" s="2">
        <f t="shared" si="10"/>
        <v>1081.3492804342666</v>
      </c>
      <c r="E34" s="2">
        <f t="shared" si="11"/>
        <v>1520.0559294776419</v>
      </c>
      <c r="F34" s="2">
        <f t="shared" si="12"/>
        <v>287921.10146676109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2"/>
      <c r="B35" s="2">
        <f t="shared" si="13"/>
        <v>287921.10146676109</v>
      </c>
      <c r="C35" s="2">
        <f t="shared" si="9"/>
        <v>440.3517989772879</v>
      </c>
      <c r="D35" s="2">
        <f t="shared" si="10"/>
        <v>1079.704130500354</v>
      </c>
      <c r="E35" s="2">
        <f t="shared" si="11"/>
        <v>1520.0559294776419</v>
      </c>
      <c r="F35" s="2">
        <f t="shared" si="12"/>
        <v>287480.74966778379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2"/>
      <c r="B36" s="2">
        <f t="shared" si="13"/>
        <v>287480.74966778379</v>
      </c>
      <c r="C36" s="2">
        <f t="shared" si="9"/>
        <v>442.0031182234527</v>
      </c>
      <c r="D36" s="2">
        <f t="shared" si="10"/>
        <v>1078.0528112541892</v>
      </c>
      <c r="E36" s="2">
        <f t="shared" si="11"/>
        <v>1520.0559294776419</v>
      </c>
      <c r="F36" s="2">
        <f t="shared" si="12"/>
        <v>287038.74654956034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2"/>
      <c r="B37" s="2">
        <f t="shared" si="13"/>
        <v>287038.74654956034</v>
      </c>
      <c r="C37" s="2">
        <f t="shared" si="9"/>
        <v>443.66062991679064</v>
      </c>
      <c r="D37" s="2">
        <f t="shared" si="10"/>
        <v>1076.3952995608513</v>
      </c>
      <c r="E37" s="2">
        <f t="shared" si="11"/>
        <v>1520.0559294776419</v>
      </c>
      <c r="F37" s="2">
        <f t="shared" si="12"/>
        <v>286595.08591964352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>
        <f t="shared" si="13"/>
        <v>286595.08591964352</v>
      </c>
      <c r="C38" s="2">
        <f t="shared" si="9"/>
        <v>445.32435727897882</v>
      </c>
      <c r="D38" s="2">
        <f t="shared" si="10"/>
        <v>1074.7315721986631</v>
      </c>
      <c r="E38" s="2">
        <f t="shared" si="11"/>
        <v>1520.0559294776419</v>
      </c>
      <c r="F38" s="2">
        <f t="shared" si="12"/>
        <v>286149.76156236453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>
        <f t="shared" si="13"/>
        <v>286149.76156236453</v>
      </c>
      <c r="C39" s="2">
        <f t="shared" si="9"/>
        <v>446.99432361877507</v>
      </c>
      <c r="D39" s="2">
        <f t="shared" si="10"/>
        <v>1073.0616058588669</v>
      </c>
      <c r="E39" s="2">
        <f t="shared" si="11"/>
        <v>1520.0559294776419</v>
      </c>
      <c r="F39" s="2">
        <f t="shared" si="12"/>
        <v>285702.76723874576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>
        <f t="shared" si="13"/>
        <v>285702.76723874576</v>
      </c>
      <c r="C40" s="2">
        <f t="shared" si="9"/>
        <v>448.67055233234532</v>
      </c>
      <c r="D40" s="2">
        <f t="shared" si="10"/>
        <v>1071.3853771452966</v>
      </c>
      <c r="E40" s="2">
        <f t="shared" si="11"/>
        <v>1520.0559294776419</v>
      </c>
      <c r="F40" s="2">
        <f t="shared" si="12"/>
        <v>285254.0966864134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 t="s">
        <v>115</v>
      </c>
      <c r="B41" s="2">
        <f t="shared" si="13"/>
        <v>285254.0966864134</v>
      </c>
      <c r="C41" s="2">
        <f t="shared" si="9"/>
        <v>450.35306690359175</v>
      </c>
      <c r="D41" s="2">
        <f t="shared" si="10"/>
        <v>1069.7028625740502</v>
      </c>
      <c r="E41" s="2">
        <f t="shared" si="11"/>
        <v>1520.0559294776419</v>
      </c>
      <c r="F41" s="2">
        <f t="shared" si="12"/>
        <v>284803.7436195098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 t="s">
        <v>111</v>
      </c>
      <c r="B42" s="2"/>
      <c r="C42" s="2"/>
      <c r="D42" s="2">
        <f>SUM(D30:D41)</f>
        <v>12946.108979248769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 t="s">
        <v>116</v>
      </c>
      <c r="B44" s="2">
        <f>F41</f>
        <v>284803.7436195098</v>
      </c>
      <c r="C44" s="2">
        <f t="shared" ref="C44:C55" si="14">E44-D44</f>
        <v>452.04189090448017</v>
      </c>
      <c r="D44" s="2">
        <f t="shared" ref="D44:D55" si="15">B44*$J$3</f>
        <v>1068.0140385731618</v>
      </c>
      <c r="E44" s="2">
        <f t="shared" ref="E44:E55" si="16">-$J$6</f>
        <v>1520.0559294776419</v>
      </c>
      <c r="F44" s="2">
        <f t="shared" ref="F44:F55" si="17">B44-C44</f>
        <v>284351.70172860532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>
        <f t="shared" ref="B45:B55" si="18">F44</f>
        <v>284351.70172860532</v>
      </c>
      <c r="C45" s="2">
        <f t="shared" si="14"/>
        <v>453.737047995372</v>
      </c>
      <c r="D45" s="2">
        <f t="shared" si="15"/>
        <v>1066.3188814822699</v>
      </c>
      <c r="E45" s="2">
        <f t="shared" si="16"/>
        <v>1520.0559294776419</v>
      </c>
      <c r="F45" s="2">
        <f t="shared" si="17"/>
        <v>283897.96468060993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>
        <f t="shared" si="18"/>
        <v>283897.96468060993</v>
      </c>
      <c r="C46" s="2">
        <f t="shared" si="14"/>
        <v>455.43856192535463</v>
      </c>
      <c r="D46" s="2">
        <f t="shared" si="15"/>
        <v>1064.6173675522873</v>
      </c>
      <c r="E46" s="2">
        <f t="shared" si="16"/>
        <v>1520.0559294776419</v>
      </c>
      <c r="F46" s="2">
        <f t="shared" si="17"/>
        <v>283442.52611868456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>
        <f t="shared" si="18"/>
        <v>283442.52611868456</v>
      </c>
      <c r="C47" s="2">
        <f t="shared" si="14"/>
        <v>457.1464565325748</v>
      </c>
      <c r="D47" s="2">
        <f t="shared" si="15"/>
        <v>1062.9094729450671</v>
      </c>
      <c r="E47" s="2">
        <f t="shared" si="16"/>
        <v>1520.0559294776419</v>
      </c>
      <c r="F47" s="2">
        <f t="shared" si="17"/>
        <v>282985.37966215197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>
        <f t="shared" si="18"/>
        <v>282985.37966215197</v>
      </c>
      <c r="C48" s="2">
        <f t="shared" si="14"/>
        <v>458.86075574457209</v>
      </c>
      <c r="D48" s="2">
        <f t="shared" si="15"/>
        <v>1061.1951737330699</v>
      </c>
      <c r="E48" s="2">
        <f t="shared" si="16"/>
        <v>1520.0559294776419</v>
      </c>
      <c r="F48" s="2">
        <f t="shared" si="17"/>
        <v>282526.51890640741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>
        <f t="shared" si="18"/>
        <v>282526.51890640741</v>
      </c>
      <c r="C49" s="2">
        <f t="shared" si="14"/>
        <v>460.5814835786141</v>
      </c>
      <c r="D49" s="2">
        <f t="shared" si="15"/>
        <v>1059.4744458990278</v>
      </c>
      <c r="E49" s="2">
        <f t="shared" si="16"/>
        <v>1520.0559294776419</v>
      </c>
      <c r="F49" s="2">
        <f t="shared" si="17"/>
        <v>282065.93742282881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>
        <f t="shared" si="18"/>
        <v>282065.93742282881</v>
      </c>
      <c r="C50" s="2">
        <f t="shared" si="14"/>
        <v>462.30866414203388</v>
      </c>
      <c r="D50" s="2">
        <f t="shared" si="15"/>
        <v>1057.7472653356081</v>
      </c>
      <c r="E50" s="2">
        <f t="shared" si="16"/>
        <v>1520.0559294776419</v>
      </c>
      <c r="F50" s="2">
        <f t="shared" si="17"/>
        <v>281603.62875868677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2"/>
      <c r="B51" s="2">
        <f t="shared" si="18"/>
        <v>281603.62875868677</v>
      </c>
      <c r="C51" s="2">
        <f t="shared" si="14"/>
        <v>464.04232163256665</v>
      </c>
      <c r="D51" s="2">
        <f t="shared" si="15"/>
        <v>1056.0136078450753</v>
      </c>
      <c r="E51" s="2">
        <f t="shared" si="16"/>
        <v>1520.0559294776419</v>
      </c>
      <c r="F51" s="2">
        <f t="shared" si="17"/>
        <v>281139.58643705421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2"/>
      <c r="B52" s="2">
        <f t="shared" si="18"/>
        <v>281139.58643705421</v>
      </c>
      <c r="C52" s="2">
        <f t="shared" si="14"/>
        <v>465.78248033868863</v>
      </c>
      <c r="D52" s="2">
        <f t="shared" si="15"/>
        <v>1054.2734491389533</v>
      </c>
      <c r="E52" s="2">
        <f t="shared" si="16"/>
        <v>1520.0559294776419</v>
      </c>
      <c r="F52" s="2">
        <f t="shared" si="17"/>
        <v>280673.80395671551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2"/>
      <c r="B53" s="2">
        <f t="shared" si="18"/>
        <v>280673.80395671551</v>
      </c>
      <c r="C53" s="2">
        <f t="shared" si="14"/>
        <v>467.52916463995894</v>
      </c>
      <c r="D53" s="2">
        <f t="shared" si="15"/>
        <v>1052.526764837683</v>
      </c>
      <c r="E53" s="2">
        <f t="shared" si="16"/>
        <v>1520.0559294776419</v>
      </c>
      <c r="F53" s="2">
        <f t="shared" si="17"/>
        <v>280206.27479207556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2"/>
      <c r="B54" s="2">
        <f t="shared" si="18"/>
        <v>280206.27479207556</v>
      </c>
      <c r="C54" s="2">
        <f t="shared" si="14"/>
        <v>469.28239900735866</v>
      </c>
      <c r="D54" s="2">
        <f t="shared" si="15"/>
        <v>1050.7735304702833</v>
      </c>
      <c r="E54" s="2">
        <f t="shared" si="16"/>
        <v>1520.0559294776419</v>
      </c>
      <c r="F54" s="2">
        <f t="shared" si="17"/>
        <v>279736.99239306821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2" t="s">
        <v>117</v>
      </c>
      <c r="B55" s="2">
        <f t="shared" si="18"/>
        <v>279736.99239306821</v>
      </c>
      <c r="C55" s="2">
        <f t="shared" si="14"/>
        <v>471.04220800363623</v>
      </c>
      <c r="D55" s="2">
        <f t="shared" si="15"/>
        <v>1049.0137214740057</v>
      </c>
      <c r="E55" s="2">
        <f t="shared" si="16"/>
        <v>1520.0559294776419</v>
      </c>
      <c r="F55" s="2">
        <f t="shared" si="17"/>
        <v>279265.95018506458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2" t="s">
        <v>111</v>
      </c>
      <c r="B56" s="2"/>
      <c r="C56" s="2"/>
      <c r="D56" s="2">
        <f>SUM(D44:D55)</f>
        <v>12702.877719286495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2" t="s">
        <v>118</v>
      </c>
      <c r="B58" s="2">
        <f>F55</f>
        <v>279265.95018506458</v>
      </c>
      <c r="C58" s="2">
        <f t="shared" ref="C58:C69" si="19">E58-D58</f>
        <v>472.80861628364983</v>
      </c>
      <c r="D58" s="2">
        <f t="shared" ref="D58:D69" si="20">B58*$J$3</f>
        <v>1047.2473131939921</v>
      </c>
      <c r="E58" s="2">
        <f t="shared" ref="E58:E69" si="21">-$J$6</f>
        <v>1520.0559294776419</v>
      </c>
      <c r="F58" s="2">
        <f t="shared" ref="F58:F69" si="22">B58-C58</f>
        <v>278793.14156878093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2"/>
      <c r="B59" s="2">
        <f t="shared" ref="B59:B69" si="23">F58</f>
        <v>278793.14156878093</v>
      </c>
      <c r="C59" s="2">
        <f t="shared" si="19"/>
        <v>474.58164859471344</v>
      </c>
      <c r="D59" s="2">
        <f t="shared" si="20"/>
        <v>1045.4742808829285</v>
      </c>
      <c r="E59" s="2">
        <f t="shared" si="21"/>
        <v>1520.0559294776419</v>
      </c>
      <c r="F59" s="2">
        <f t="shared" si="22"/>
        <v>278318.55992018624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2"/>
      <c r="B60" s="2">
        <f t="shared" si="23"/>
        <v>278318.55992018624</v>
      </c>
      <c r="C60" s="2">
        <f t="shared" si="19"/>
        <v>476.36132977694365</v>
      </c>
      <c r="D60" s="2">
        <f t="shared" si="20"/>
        <v>1043.6945997006983</v>
      </c>
      <c r="E60" s="2">
        <f t="shared" si="21"/>
        <v>1520.0559294776419</v>
      </c>
      <c r="F60" s="2">
        <f t="shared" si="22"/>
        <v>277842.1985904093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2"/>
      <c r="B61" s="2">
        <f t="shared" si="23"/>
        <v>277842.1985904093</v>
      </c>
      <c r="C61" s="2">
        <f t="shared" si="19"/>
        <v>478.147684763607</v>
      </c>
      <c r="D61" s="2">
        <f t="shared" si="20"/>
        <v>1041.9082447140349</v>
      </c>
      <c r="E61" s="2">
        <f t="shared" si="21"/>
        <v>1520.0559294776419</v>
      </c>
      <c r="F61" s="2">
        <f t="shared" si="22"/>
        <v>277364.05090564571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>
        <f t="shared" si="23"/>
        <v>277364.05090564571</v>
      </c>
      <c r="C62" s="2">
        <f t="shared" si="19"/>
        <v>479.94073858147067</v>
      </c>
      <c r="D62" s="2">
        <f t="shared" si="20"/>
        <v>1040.1151908961713</v>
      </c>
      <c r="E62" s="2">
        <f t="shared" si="21"/>
        <v>1520.0559294776419</v>
      </c>
      <c r="F62" s="2">
        <f t="shared" si="22"/>
        <v>276884.11016706424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>
        <f t="shared" si="23"/>
        <v>276884.11016706424</v>
      </c>
      <c r="C63" s="2">
        <f t="shared" si="19"/>
        <v>481.74051635115097</v>
      </c>
      <c r="D63" s="2">
        <f t="shared" si="20"/>
        <v>1038.315413126491</v>
      </c>
      <c r="E63" s="2">
        <f t="shared" si="21"/>
        <v>1520.0559294776419</v>
      </c>
      <c r="F63" s="2">
        <f t="shared" si="22"/>
        <v>276402.36965071311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>
        <f t="shared" si="23"/>
        <v>276402.36965071311</v>
      </c>
      <c r="C64" s="2">
        <f t="shared" si="19"/>
        <v>483.54704328746789</v>
      </c>
      <c r="D64" s="2">
        <f t="shared" si="20"/>
        <v>1036.5088861901741</v>
      </c>
      <c r="E64" s="2">
        <f t="shared" si="21"/>
        <v>1520.0559294776419</v>
      </c>
      <c r="F64" s="2">
        <f t="shared" si="22"/>
        <v>275918.82260742562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>
        <f t="shared" si="23"/>
        <v>275918.82260742562</v>
      </c>
      <c r="C65" s="2">
        <f t="shared" si="19"/>
        <v>485.36034469979586</v>
      </c>
      <c r="D65" s="2">
        <f t="shared" si="20"/>
        <v>1034.6955847778461</v>
      </c>
      <c r="E65" s="2">
        <f t="shared" si="21"/>
        <v>1520.0559294776419</v>
      </c>
      <c r="F65" s="2">
        <f t="shared" si="22"/>
        <v>275433.46226272581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>
        <f t="shared" si="23"/>
        <v>275433.46226272581</v>
      </c>
      <c r="C66" s="2">
        <f t="shared" si="19"/>
        <v>487.18044599242012</v>
      </c>
      <c r="D66" s="2">
        <f t="shared" si="20"/>
        <v>1032.8754834852218</v>
      </c>
      <c r="E66" s="2">
        <f t="shared" si="21"/>
        <v>1520.0559294776419</v>
      </c>
      <c r="F66" s="2">
        <f t="shared" si="22"/>
        <v>274946.28181673336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>
        <f t="shared" si="23"/>
        <v>274946.28181673336</v>
      </c>
      <c r="C67" s="2">
        <f t="shared" si="19"/>
        <v>489.00737266489182</v>
      </c>
      <c r="D67" s="2">
        <f t="shared" si="20"/>
        <v>1031.0485568127501</v>
      </c>
      <c r="E67" s="2">
        <f t="shared" si="21"/>
        <v>1520.0559294776419</v>
      </c>
      <c r="F67" s="2">
        <f t="shared" si="22"/>
        <v>274457.27444406849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>
        <f t="shared" si="23"/>
        <v>274457.27444406849</v>
      </c>
      <c r="C68" s="2">
        <f t="shared" si="19"/>
        <v>490.84115031238503</v>
      </c>
      <c r="D68" s="2">
        <f t="shared" si="20"/>
        <v>1029.2147791652569</v>
      </c>
      <c r="E68" s="2">
        <f t="shared" si="21"/>
        <v>1520.0559294776419</v>
      </c>
      <c r="F68" s="2">
        <f t="shared" si="22"/>
        <v>273966.4332937561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 t="s">
        <v>119</v>
      </c>
      <c r="B69" s="2">
        <f t="shared" si="23"/>
        <v>273966.4332937561</v>
      </c>
      <c r="C69" s="2">
        <f t="shared" si="19"/>
        <v>492.68180462605665</v>
      </c>
      <c r="D69" s="2">
        <f t="shared" si="20"/>
        <v>1027.3741248515853</v>
      </c>
      <c r="E69" s="2">
        <f t="shared" si="21"/>
        <v>1520.0559294776419</v>
      </c>
      <c r="F69" s="2">
        <f t="shared" si="22"/>
        <v>273473.75148913002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 t="s">
        <v>111</v>
      </c>
      <c r="B70" s="2"/>
      <c r="C70" s="2"/>
      <c r="D70" s="2">
        <f>SUM(D58:D69)</f>
        <v>12448.47245779715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 t="s">
        <v>120</v>
      </c>
      <c r="B72" s="2">
        <f>F69</f>
        <v>273473.75148913002</v>
      </c>
      <c r="C72" s="2">
        <f t="shared" ref="C72:C83" si="24">E72-D72</f>
        <v>494.52936139340432</v>
      </c>
      <c r="D72" s="2">
        <f t="shared" ref="D72:D83" si="25">B72*$J$3</f>
        <v>1025.5265680842376</v>
      </c>
      <c r="E72" s="2">
        <f t="shared" ref="E72:E83" si="26">-$J$6</f>
        <v>1520.0559294776419</v>
      </c>
      <c r="F72" s="2">
        <f t="shared" ref="F72:F83" si="27">B72-C72</f>
        <v>272979.2221277366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>
        <f t="shared" ref="B73:B83" si="28">F72</f>
        <v>272979.2221277366</v>
      </c>
      <c r="C73" s="2">
        <f t="shared" si="24"/>
        <v>496.38384649862974</v>
      </c>
      <c r="D73" s="2">
        <f t="shared" si="25"/>
        <v>1023.6720829790122</v>
      </c>
      <c r="E73" s="2">
        <f t="shared" si="26"/>
        <v>1520.0559294776419</v>
      </c>
      <c r="F73" s="2">
        <f t="shared" si="27"/>
        <v>272482.83828123799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>
        <f t="shared" si="28"/>
        <v>272482.83828123799</v>
      </c>
      <c r="C74" s="2">
        <f t="shared" si="24"/>
        <v>498.24528592299953</v>
      </c>
      <c r="D74" s="2">
        <f t="shared" si="25"/>
        <v>1021.8106435546424</v>
      </c>
      <c r="E74" s="2">
        <f t="shared" si="26"/>
        <v>1520.0559294776419</v>
      </c>
      <c r="F74" s="2">
        <f t="shared" si="27"/>
        <v>271984.59299531498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>
        <f t="shared" si="28"/>
        <v>271984.59299531498</v>
      </c>
      <c r="C75" s="2">
        <f t="shared" si="24"/>
        <v>500.11370574521084</v>
      </c>
      <c r="D75" s="2">
        <f t="shared" si="25"/>
        <v>1019.9422237324311</v>
      </c>
      <c r="E75" s="2">
        <f t="shared" si="26"/>
        <v>1520.0559294776419</v>
      </c>
      <c r="F75" s="2">
        <f t="shared" si="27"/>
        <v>271484.47928956978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>
        <f t="shared" si="28"/>
        <v>271484.47928956978</v>
      </c>
      <c r="C76" s="2">
        <f t="shared" si="24"/>
        <v>501.98913214175536</v>
      </c>
      <c r="D76" s="2">
        <f t="shared" si="25"/>
        <v>1018.0667973358866</v>
      </c>
      <c r="E76" s="2">
        <f t="shared" si="26"/>
        <v>1520.0559294776419</v>
      </c>
      <c r="F76" s="2">
        <f t="shared" si="27"/>
        <v>270982.49015742802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>
        <f t="shared" si="28"/>
        <v>270982.49015742802</v>
      </c>
      <c r="C77" s="2">
        <f t="shared" si="24"/>
        <v>503.87159138728691</v>
      </c>
      <c r="D77" s="2">
        <f t="shared" si="25"/>
        <v>1016.184338090355</v>
      </c>
      <c r="E77" s="2">
        <f t="shared" si="26"/>
        <v>1520.0559294776419</v>
      </c>
      <c r="F77" s="2">
        <f t="shared" si="27"/>
        <v>270478.61856604076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>
        <f t="shared" si="28"/>
        <v>270478.61856604076</v>
      </c>
      <c r="C78" s="2">
        <f t="shared" si="24"/>
        <v>505.76110985498906</v>
      </c>
      <c r="D78" s="2">
        <f t="shared" si="25"/>
        <v>1014.2948196226529</v>
      </c>
      <c r="E78" s="2">
        <f t="shared" si="26"/>
        <v>1520.0559294776419</v>
      </c>
      <c r="F78" s="2">
        <f t="shared" si="27"/>
        <v>269972.8574561858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>
        <f t="shared" si="28"/>
        <v>269972.8574561858</v>
      </c>
      <c r="C79" s="2">
        <f t="shared" si="24"/>
        <v>507.65771401694519</v>
      </c>
      <c r="D79" s="2">
        <f t="shared" si="25"/>
        <v>1012.3982154606967</v>
      </c>
      <c r="E79" s="2">
        <f t="shared" si="26"/>
        <v>1520.0559294776419</v>
      </c>
      <c r="F79" s="2">
        <f t="shared" si="27"/>
        <v>269465.19974216883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>
        <f t="shared" si="28"/>
        <v>269465.19974216883</v>
      </c>
      <c r="C80" s="2">
        <f t="shared" si="24"/>
        <v>509.56143044450891</v>
      </c>
      <c r="D80" s="2">
        <f t="shared" si="25"/>
        <v>1010.494499033133</v>
      </c>
      <c r="E80" s="2">
        <f t="shared" si="26"/>
        <v>1520.0559294776419</v>
      </c>
      <c r="F80" s="2">
        <f t="shared" si="27"/>
        <v>268955.63831172429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>
        <f t="shared" si="28"/>
        <v>268955.63831172429</v>
      </c>
      <c r="C81" s="2">
        <f t="shared" si="24"/>
        <v>511.47228580867591</v>
      </c>
      <c r="D81" s="2">
        <f t="shared" si="25"/>
        <v>1008.583643668966</v>
      </c>
      <c r="E81" s="2">
        <f t="shared" si="26"/>
        <v>1520.0559294776419</v>
      </c>
      <c r="F81" s="2">
        <f t="shared" si="27"/>
        <v>268444.16602591559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>
        <f t="shared" si="28"/>
        <v>268444.16602591559</v>
      </c>
      <c r="C82" s="2">
        <f t="shared" si="24"/>
        <v>513.39030688045852</v>
      </c>
      <c r="D82" s="2">
        <f t="shared" si="25"/>
        <v>1006.6656225971834</v>
      </c>
      <c r="E82" s="2">
        <f t="shared" si="26"/>
        <v>1520.0559294776419</v>
      </c>
      <c r="F82" s="2">
        <f t="shared" si="27"/>
        <v>267930.77571903513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 t="s">
        <v>121</v>
      </c>
      <c r="B83" s="2">
        <f t="shared" si="28"/>
        <v>267930.77571903513</v>
      </c>
      <c r="C83" s="2">
        <f t="shared" si="24"/>
        <v>515.31552053126029</v>
      </c>
      <c r="D83" s="2">
        <f t="shared" si="25"/>
        <v>1004.7404089463816</v>
      </c>
      <c r="E83" s="2">
        <f t="shared" si="26"/>
        <v>1520.0559294776419</v>
      </c>
      <c r="F83" s="2">
        <f t="shared" si="27"/>
        <v>267415.46019850386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 t="s">
        <v>111</v>
      </c>
      <c r="B84" s="2"/>
      <c r="C84" s="2"/>
      <c r="D84" s="2">
        <f>SUM(D72:D83)</f>
        <v>12182.379863105578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 t="s">
        <v>122</v>
      </c>
      <c r="B86" s="2">
        <f>F83</f>
        <v>267415.46019850386</v>
      </c>
      <c r="C86" s="2">
        <f t="shared" ref="C86:C97" si="29">E86-D86</f>
        <v>517.24795373325253</v>
      </c>
      <c r="D86" s="2">
        <f t="shared" ref="D86:D97" si="30">B86*$J$3</f>
        <v>1002.8079757443894</v>
      </c>
      <c r="E86" s="2">
        <f t="shared" ref="E86:E97" si="31">-$J$6</f>
        <v>1520.0559294776419</v>
      </c>
      <c r="F86" s="2">
        <f t="shared" ref="F86:F97" si="32">B86-C86</f>
        <v>266898.21224477061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>
        <f t="shared" ref="B87:B97" si="33">F86</f>
        <v>266898.21224477061</v>
      </c>
      <c r="C87" s="2">
        <f t="shared" si="29"/>
        <v>519.18763355975216</v>
      </c>
      <c r="D87" s="2">
        <f t="shared" si="30"/>
        <v>1000.8682959178898</v>
      </c>
      <c r="E87" s="2">
        <f t="shared" si="31"/>
        <v>1520.0559294776419</v>
      </c>
      <c r="F87" s="2">
        <f t="shared" si="32"/>
        <v>266379.02461121086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>
        <f t="shared" si="33"/>
        <v>266379.02461121086</v>
      </c>
      <c r="C88" s="2">
        <f t="shared" si="29"/>
        <v>521.13458718560128</v>
      </c>
      <c r="D88" s="2">
        <f t="shared" si="30"/>
        <v>998.92134229204066</v>
      </c>
      <c r="E88" s="2">
        <f t="shared" si="31"/>
        <v>1520.0559294776419</v>
      </c>
      <c r="F88" s="2">
        <f t="shared" si="32"/>
        <v>265857.89002402528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>
        <f t="shared" si="33"/>
        <v>265857.89002402528</v>
      </c>
      <c r="C89" s="2">
        <f t="shared" si="29"/>
        <v>523.08884188754712</v>
      </c>
      <c r="D89" s="2">
        <f t="shared" si="30"/>
        <v>996.96708759009482</v>
      </c>
      <c r="E89" s="2">
        <f t="shared" si="31"/>
        <v>1520.0559294776419</v>
      </c>
      <c r="F89" s="2">
        <f t="shared" si="32"/>
        <v>265334.80118213774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>
        <f t="shared" si="33"/>
        <v>265334.80118213774</v>
      </c>
      <c r="C90" s="2">
        <f t="shared" si="29"/>
        <v>525.0504250446254</v>
      </c>
      <c r="D90" s="2">
        <f t="shared" si="30"/>
        <v>995.00550443301654</v>
      </c>
      <c r="E90" s="2">
        <f t="shared" si="31"/>
        <v>1520.0559294776419</v>
      </c>
      <c r="F90" s="2">
        <f t="shared" si="32"/>
        <v>264809.75075709313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>
        <f t="shared" si="33"/>
        <v>264809.75075709313</v>
      </c>
      <c r="C91" s="2">
        <f t="shared" si="29"/>
        <v>527.01936413854276</v>
      </c>
      <c r="D91" s="2">
        <f t="shared" si="30"/>
        <v>993.03656533909918</v>
      </c>
      <c r="E91" s="2">
        <f t="shared" si="31"/>
        <v>1520.0559294776419</v>
      </c>
      <c r="F91" s="2">
        <f t="shared" si="32"/>
        <v>264282.73139295459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>
        <f t="shared" si="33"/>
        <v>264282.73139295459</v>
      </c>
      <c r="C92" s="2">
        <f t="shared" si="29"/>
        <v>528.99568675406226</v>
      </c>
      <c r="D92" s="2">
        <f t="shared" si="30"/>
        <v>991.06024272357968</v>
      </c>
      <c r="E92" s="2">
        <f t="shared" si="31"/>
        <v>1520.0559294776419</v>
      </c>
      <c r="F92" s="2">
        <f t="shared" si="32"/>
        <v>263753.73570620053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">
      <c r="A93" s="2"/>
      <c r="B93" s="2">
        <f t="shared" si="33"/>
        <v>263753.73570620053</v>
      </c>
      <c r="C93" s="2">
        <f t="shared" si="29"/>
        <v>530.97942057938997</v>
      </c>
      <c r="D93" s="2">
        <f t="shared" si="30"/>
        <v>989.07650889825197</v>
      </c>
      <c r="E93" s="2">
        <f t="shared" si="31"/>
        <v>1520.0559294776419</v>
      </c>
      <c r="F93" s="2">
        <f t="shared" si="32"/>
        <v>263222.75628562114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">
      <c r="A94" s="2"/>
      <c r="B94" s="2">
        <f t="shared" si="33"/>
        <v>263222.75628562114</v>
      </c>
      <c r="C94" s="2">
        <f t="shared" si="29"/>
        <v>532.97059340656267</v>
      </c>
      <c r="D94" s="2">
        <f t="shared" si="30"/>
        <v>987.08533607107927</v>
      </c>
      <c r="E94" s="2">
        <f t="shared" si="31"/>
        <v>1520.0559294776419</v>
      </c>
      <c r="F94" s="2">
        <f t="shared" si="32"/>
        <v>262689.78569221456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">
      <c r="A95" s="2"/>
      <c r="B95" s="2">
        <f t="shared" si="33"/>
        <v>262689.78569221456</v>
      </c>
      <c r="C95" s="2">
        <f t="shared" si="29"/>
        <v>534.96923313183743</v>
      </c>
      <c r="D95" s="2">
        <f t="shared" si="30"/>
        <v>985.08669634580451</v>
      </c>
      <c r="E95" s="2">
        <f t="shared" si="31"/>
        <v>1520.0559294776419</v>
      </c>
      <c r="F95" s="2">
        <f t="shared" si="32"/>
        <v>262154.81645908271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">
      <c r="A96" s="2"/>
      <c r="B96" s="2">
        <f t="shared" si="33"/>
        <v>262154.81645908271</v>
      </c>
      <c r="C96" s="2">
        <f t="shared" si="29"/>
        <v>536.97536775608182</v>
      </c>
      <c r="D96" s="2">
        <f t="shared" si="30"/>
        <v>983.08056172156012</v>
      </c>
      <c r="E96" s="2">
        <f t="shared" si="31"/>
        <v>1520.0559294776419</v>
      </c>
      <c r="F96" s="2">
        <f t="shared" si="32"/>
        <v>261617.84109132661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">
      <c r="A97" s="2" t="s">
        <v>123</v>
      </c>
      <c r="B97" s="2">
        <f t="shared" si="33"/>
        <v>261617.84109132661</v>
      </c>
      <c r="C97" s="2">
        <f t="shared" si="29"/>
        <v>538.98902538516722</v>
      </c>
      <c r="D97" s="2">
        <f t="shared" si="30"/>
        <v>981.06690409247472</v>
      </c>
      <c r="E97" s="2">
        <f t="shared" si="31"/>
        <v>1520.0559294776419</v>
      </c>
      <c r="F97" s="2">
        <f t="shared" si="32"/>
        <v>261078.85206594144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">
      <c r="A98" s="2" t="s">
        <v>111</v>
      </c>
      <c r="B98" s="2"/>
      <c r="C98" s="2"/>
      <c r="D98" s="2">
        <f>SUM(D86:D97)</f>
        <v>11904.063021169282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">
      <c r="A100" s="2" t="s">
        <v>124</v>
      </c>
      <c r="B100" s="2">
        <f>F97</f>
        <v>261078.85206594144</v>
      </c>
      <c r="C100" s="2">
        <f t="shared" ref="C100:C111" si="34">E100-D100</f>
        <v>541.01023423036156</v>
      </c>
      <c r="D100" s="2">
        <f t="shared" ref="D100:D111" si="35">B100*$J$3</f>
        <v>979.04569524728038</v>
      </c>
      <c r="E100" s="2">
        <f t="shared" ref="E100:E111" si="36">-$J$6</f>
        <v>1520.0559294776419</v>
      </c>
      <c r="F100" s="2">
        <f t="shared" ref="F100:F111" si="37">B100-C100</f>
        <v>260537.84183171106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">
      <c r="A101" s="2"/>
      <c r="B101" s="2">
        <f t="shared" ref="B101:B111" si="38">F100</f>
        <v>260537.84183171106</v>
      </c>
      <c r="C101" s="2">
        <f t="shared" si="34"/>
        <v>543.03902260872553</v>
      </c>
      <c r="D101" s="2">
        <f t="shared" si="35"/>
        <v>977.01690686891641</v>
      </c>
      <c r="E101" s="2">
        <f t="shared" si="36"/>
        <v>1520.0559294776419</v>
      </c>
      <c r="F101" s="2">
        <f t="shared" si="37"/>
        <v>259994.80280910234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">
      <c r="A102" s="2"/>
      <c r="B102" s="2">
        <f t="shared" si="38"/>
        <v>259994.80280910234</v>
      </c>
      <c r="C102" s="2">
        <f t="shared" si="34"/>
        <v>545.07541894350823</v>
      </c>
      <c r="D102" s="2">
        <f t="shared" si="35"/>
        <v>974.98051053413371</v>
      </c>
      <c r="E102" s="2">
        <f t="shared" si="36"/>
        <v>1520.0559294776419</v>
      </c>
      <c r="F102" s="2">
        <f t="shared" si="37"/>
        <v>259449.72739015883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">
      <c r="A103" s="2"/>
      <c r="B103" s="2">
        <f t="shared" si="38"/>
        <v>259449.72739015883</v>
      </c>
      <c r="C103" s="2">
        <f t="shared" si="34"/>
        <v>547.1194517645464</v>
      </c>
      <c r="D103" s="2">
        <f t="shared" si="35"/>
        <v>972.93647771309554</v>
      </c>
      <c r="E103" s="2">
        <f t="shared" si="36"/>
        <v>1520.0559294776419</v>
      </c>
      <c r="F103" s="2">
        <f t="shared" si="37"/>
        <v>258902.6079383943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">
      <c r="A104" s="2"/>
      <c r="B104" s="2">
        <f t="shared" si="38"/>
        <v>258902.6079383943</v>
      </c>
      <c r="C104" s="2">
        <f t="shared" si="34"/>
        <v>549.17114970866339</v>
      </c>
      <c r="D104" s="2">
        <f t="shared" si="35"/>
        <v>970.88477976897855</v>
      </c>
      <c r="E104" s="2">
        <f t="shared" si="36"/>
        <v>1520.0559294776419</v>
      </c>
      <c r="F104" s="2">
        <f t="shared" si="37"/>
        <v>258353.43678868565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">
      <c r="A105" s="2"/>
      <c r="B105" s="2">
        <f t="shared" si="38"/>
        <v>258353.43678868565</v>
      </c>
      <c r="C105" s="2">
        <f t="shared" si="34"/>
        <v>551.2305415200708</v>
      </c>
      <c r="D105" s="2">
        <f t="shared" si="35"/>
        <v>968.82538795757114</v>
      </c>
      <c r="E105" s="2">
        <f t="shared" si="36"/>
        <v>1520.0559294776419</v>
      </c>
      <c r="F105" s="2">
        <f t="shared" si="37"/>
        <v>257802.20624716557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">
      <c r="A106" s="2"/>
      <c r="B106" s="2">
        <f t="shared" si="38"/>
        <v>257802.20624716557</v>
      </c>
      <c r="C106" s="2">
        <f t="shared" si="34"/>
        <v>553.29765605077114</v>
      </c>
      <c r="D106" s="2">
        <f t="shared" si="35"/>
        <v>966.7582734268708</v>
      </c>
      <c r="E106" s="2">
        <f t="shared" si="36"/>
        <v>1520.0559294776419</v>
      </c>
      <c r="F106" s="2">
        <f t="shared" si="37"/>
        <v>257248.9085911148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">
      <c r="A107" s="2"/>
      <c r="B107" s="2">
        <f t="shared" si="38"/>
        <v>257248.9085911148</v>
      </c>
      <c r="C107" s="2">
        <f t="shared" si="34"/>
        <v>555.37252226096143</v>
      </c>
      <c r="D107" s="2">
        <f t="shared" si="35"/>
        <v>964.68340721668051</v>
      </c>
      <c r="E107" s="2">
        <f t="shared" si="36"/>
        <v>1520.0559294776419</v>
      </c>
      <c r="F107" s="2">
        <f t="shared" si="37"/>
        <v>256693.53606885383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">
      <c r="A108" s="2"/>
      <c r="B108" s="2">
        <f t="shared" si="38"/>
        <v>256693.53606885383</v>
      </c>
      <c r="C108" s="2">
        <f t="shared" si="34"/>
        <v>557.45516921944011</v>
      </c>
      <c r="D108" s="2">
        <f t="shared" si="35"/>
        <v>962.60076025820183</v>
      </c>
      <c r="E108" s="2">
        <f t="shared" si="36"/>
        <v>1520.0559294776419</v>
      </c>
      <c r="F108" s="2">
        <f t="shared" si="37"/>
        <v>256136.0808996344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">
      <c r="A109" s="2"/>
      <c r="B109" s="2">
        <f t="shared" si="38"/>
        <v>256136.0808996344</v>
      </c>
      <c r="C109" s="2">
        <f t="shared" si="34"/>
        <v>559.54562610401297</v>
      </c>
      <c r="D109" s="2">
        <f t="shared" si="35"/>
        <v>960.51030337362897</v>
      </c>
      <c r="E109" s="2">
        <f t="shared" si="36"/>
        <v>1520.0559294776419</v>
      </c>
      <c r="F109" s="2">
        <f t="shared" si="37"/>
        <v>255576.53527353037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">
      <c r="A110" s="2"/>
      <c r="B110" s="2">
        <f t="shared" si="38"/>
        <v>255576.53527353037</v>
      </c>
      <c r="C110" s="2">
        <f t="shared" si="34"/>
        <v>561.64392220190302</v>
      </c>
      <c r="D110" s="2">
        <f t="shared" si="35"/>
        <v>958.41200727573892</v>
      </c>
      <c r="E110" s="2">
        <f t="shared" si="36"/>
        <v>1520.0559294776419</v>
      </c>
      <c r="F110" s="2">
        <f t="shared" si="37"/>
        <v>255014.89135132846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">
      <c r="A111" s="2" t="s">
        <v>125</v>
      </c>
      <c r="B111" s="2">
        <f t="shared" si="38"/>
        <v>255014.89135132846</v>
      </c>
      <c r="C111" s="2">
        <f t="shared" si="34"/>
        <v>563.75008691016023</v>
      </c>
      <c r="D111" s="2">
        <f t="shared" si="35"/>
        <v>956.3058425674817</v>
      </c>
      <c r="E111" s="2">
        <f t="shared" si="36"/>
        <v>1520.0559294776419</v>
      </c>
      <c r="F111" s="2">
        <f t="shared" si="37"/>
        <v>254451.14126441831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">
      <c r="A112" s="2" t="s">
        <v>111</v>
      </c>
      <c r="B112" s="2"/>
      <c r="C112" s="2"/>
      <c r="D112" s="2">
        <f>SUM(D100:D111)</f>
        <v>11612.960352208578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">
      <c r="A114" s="2" t="s">
        <v>126</v>
      </c>
      <c r="B114" s="2">
        <f>F111</f>
        <v>254451.14126441831</v>
      </c>
      <c r="C114" s="2">
        <f t="shared" ref="C114:C125" si="39">E114-D114</f>
        <v>565.86414973607327</v>
      </c>
      <c r="D114" s="2">
        <f t="shared" ref="D114:D125" si="40">B114*$J$3</f>
        <v>954.19177974156867</v>
      </c>
      <c r="E114" s="2">
        <f t="shared" ref="E114:E125" si="41">-$J$6</f>
        <v>1520.0559294776419</v>
      </c>
      <c r="F114" s="2">
        <f t="shared" ref="F114:F125" si="42">B114-C114</f>
        <v>253885.27711468225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">
      <c r="A115" s="2"/>
      <c r="B115" s="2">
        <f t="shared" ref="B115:B125" si="43">F114</f>
        <v>253885.27711468225</v>
      </c>
      <c r="C115" s="2">
        <f t="shared" si="39"/>
        <v>567.98614029758357</v>
      </c>
      <c r="D115" s="2">
        <f t="shared" si="40"/>
        <v>952.06978918005836</v>
      </c>
      <c r="E115" s="2">
        <f t="shared" si="41"/>
        <v>1520.0559294776419</v>
      </c>
      <c r="F115" s="2">
        <f t="shared" si="42"/>
        <v>253317.29097438467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">
      <c r="A116" s="2"/>
      <c r="B116" s="2">
        <f t="shared" si="43"/>
        <v>253317.29097438467</v>
      </c>
      <c r="C116" s="2">
        <f t="shared" si="39"/>
        <v>570.1160883236995</v>
      </c>
      <c r="D116" s="2">
        <f t="shared" si="40"/>
        <v>949.93984115394244</v>
      </c>
      <c r="E116" s="2">
        <f t="shared" si="41"/>
        <v>1520.0559294776419</v>
      </c>
      <c r="F116" s="2">
        <f t="shared" si="42"/>
        <v>252747.17488606097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">
      <c r="A117" s="2"/>
      <c r="B117" s="2">
        <f t="shared" si="43"/>
        <v>252747.17488606097</v>
      </c>
      <c r="C117" s="2">
        <f t="shared" si="39"/>
        <v>572.25402365491334</v>
      </c>
      <c r="D117" s="2">
        <f t="shared" si="40"/>
        <v>947.8019058227286</v>
      </c>
      <c r="E117" s="2">
        <f t="shared" si="41"/>
        <v>1520.0559294776419</v>
      </c>
      <c r="F117" s="2">
        <f t="shared" si="42"/>
        <v>252174.92086240606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">
      <c r="A118" s="2"/>
      <c r="B118" s="2">
        <f t="shared" si="43"/>
        <v>252174.92086240606</v>
      </c>
      <c r="C118" s="2">
        <f t="shared" si="39"/>
        <v>574.39997624361922</v>
      </c>
      <c r="D118" s="2">
        <f t="shared" si="40"/>
        <v>945.65595323402272</v>
      </c>
      <c r="E118" s="2">
        <f t="shared" si="41"/>
        <v>1520.0559294776419</v>
      </c>
      <c r="F118" s="2">
        <f t="shared" si="42"/>
        <v>251600.52088616244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">
      <c r="A119" s="2"/>
      <c r="B119" s="2">
        <f t="shared" si="43"/>
        <v>251600.52088616244</v>
      </c>
      <c r="C119" s="2">
        <f t="shared" si="39"/>
        <v>576.55397615453285</v>
      </c>
      <c r="D119" s="2">
        <f t="shared" si="40"/>
        <v>943.50195332310909</v>
      </c>
      <c r="E119" s="2">
        <f t="shared" si="41"/>
        <v>1520.0559294776419</v>
      </c>
      <c r="F119" s="2">
        <f t="shared" si="42"/>
        <v>251023.9669100079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">
      <c r="A120" s="2"/>
      <c r="B120" s="2">
        <f t="shared" si="43"/>
        <v>251023.9669100079</v>
      </c>
      <c r="C120" s="2">
        <f t="shared" si="39"/>
        <v>578.71605356511236</v>
      </c>
      <c r="D120" s="2">
        <f t="shared" si="40"/>
        <v>941.33987591252958</v>
      </c>
      <c r="E120" s="2">
        <f t="shared" si="41"/>
        <v>1520.0559294776419</v>
      </c>
      <c r="F120" s="2">
        <f t="shared" si="42"/>
        <v>250445.25085644278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">
      <c r="A121" s="2"/>
      <c r="B121" s="2">
        <f t="shared" si="43"/>
        <v>250445.25085644278</v>
      </c>
      <c r="C121" s="2">
        <f t="shared" si="39"/>
        <v>580.88623876598149</v>
      </c>
      <c r="D121" s="2">
        <f t="shared" si="40"/>
        <v>939.16969071166045</v>
      </c>
      <c r="E121" s="2">
        <f t="shared" si="41"/>
        <v>1520.0559294776419</v>
      </c>
      <c r="F121" s="2">
        <f t="shared" si="42"/>
        <v>249864.36461767679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">
      <c r="A122" s="2"/>
      <c r="B122" s="2">
        <f t="shared" si="43"/>
        <v>249864.36461767679</v>
      </c>
      <c r="C122" s="2">
        <f t="shared" si="39"/>
        <v>583.06456216135405</v>
      </c>
      <c r="D122" s="2">
        <f t="shared" si="40"/>
        <v>936.99136731628789</v>
      </c>
      <c r="E122" s="2">
        <f t="shared" si="41"/>
        <v>1520.0559294776419</v>
      </c>
      <c r="F122" s="2">
        <f t="shared" si="42"/>
        <v>249281.30005551543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">
      <c r="A123" s="2"/>
      <c r="B123" s="2">
        <f t="shared" si="43"/>
        <v>249281.30005551543</v>
      </c>
      <c r="C123" s="2">
        <f t="shared" si="39"/>
        <v>585.25105426945913</v>
      </c>
      <c r="D123" s="2">
        <f t="shared" si="40"/>
        <v>934.80487520818281</v>
      </c>
      <c r="E123" s="2">
        <f t="shared" si="41"/>
        <v>1520.0559294776419</v>
      </c>
      <c r="F123" s="2">
        <f t="shared" si="42"/>
        <v>248696.04900124596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2"/>
      <c r="B124" s="2">
        <f t="shared" si="43"/>
        <v>248696.04900124596</v>
      </c>
      <c r="C124" s="2">
        <f t="shared" si="39"/>
        <v>587.4457457229696</v>
      </c>
      <c r="D124" s="2">
        <f t="shared" si="40"/>
        <v>932.61018375467233</v>
      </c>
      <c r="E124" s="2">
        <f t="shared" si="41"/>
        <v>1520.0559294776419</v>
      </c>
      <c r="F124" s="2">
        <f t="shared" si="42"/>
        <v>248108.60325552299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">
      <c r="A125" s="2" t="s">
        <v>127</v>
      </c>
      <c r="B125" s="2">
        <f t="shared" si="43"/>
        <v>248108.60325552299</v>
      </c>
      <c r="C125" s="2">
        <f t="shared" si="39"/>
        <v>589.6486672694308</v>
      </c>
      <c r="D125" s="2">
        <f t="shared" si="40"/>
        <v>930.40726220821114</v>
      </c>
      <c r="E125" s="2">
        <f t="shared" si="41"/>
        <v>1520.0559294776419</v>
      </c>
      <c r="F125" s="2">
        <f t="shared" si="42"/>
        <v>247518.95458825355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">
      <c r="A126" s="2" t="s">
        <v>111</v>
      </c>
      <c r="B126" s="2"/>
      <c r="C126" s="2"/>
      <c r="D126" s="2">
        <f>SUM(D114:D125)</f>
        <v>11308.484477566974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2" t="s">
        <v>128</v>
      </c>
      <c r="B128" s="2">
        <f>F125</f>
        <v>247518.95458825355</v>
      </c>
      <c r="C128" s="2">
        <f t="shared" ref="C128:C153" si="44">E128-D128</f>
        <v>591.85984977169119</v>
      </c>
      <c r="D128" s="2">
        <f t="shared" ref="D128:D138" si="45">B128*$J$3</f>
        <v>928.19607970595075</v>
      </c>
      <c r="E128" s="2">
        <f t="shared" ref="E128:E153" si="46">-$J$6</f>
        <v>1520.0559294776419</v>
      </c>
      <c r="F128" s="2">
        <f t="shared" ref="F128:F153" si="47">B128-C128</f>
        <v>246927.09473848186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">
      <c r="A129" s="2"/>
      <c r="B129" s="2">
        <f t="shared" ref="B129:B139" si="48">F128</f>
        <v>246927.09473848186</v>
      </c>
      <c r="C129" s="2">
        <f t="shared" si="44"/>
        <v>594.07932420833504</v>
      </c>
      <c r="D129" s="2">
        <f t="shared" si="45"/>
        <v>925.9766052693069</v>
      </c>
      <c r="E129" s="2">
        <f t="shared" si="46"/>
        <v>1520.0559294776419</v>
      </c>
      <c r="F129" s="2">
        <f t="shared" si="47"/>
        <v>246333.01541427351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">
      <c r="A130" s="2"/>
      <c r="B130" s="2">
        <f t="shared" si="48"/>
        <v>246333.01541427351</v>
      </c>
      <c r="C130" s="2">
        <f t="shared" si="44"/>
        <v>596.30712167411627</v>
      </c>
      <c r="D130" s="2">
        <f t="shared" si="45"/>
        <v>923.74880780352566</v>
      </c>
      <c r="E130" s="2">
        <f t="shared" si="46"/>
        <v>1520.0559294776419</v>
      </c>
      <c r="F130" s="2">
        <f t="shared" si="47"/>
        <v>245736.70829259939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">
      <c r="A131" s="2"/>
      <c r="B131" s="2">
        <f t="shared" si="48"/>
        <v>245736.70829259939</v>
      </c>
      <c r="C131" s="2">
        <f t="shared" si="44"/>
        <v>598.54327338039423</v>
      </c>
      <c r="D131" s="2">
        <f t="shared" si="45"/>
        <v>921.51265609724771</v>
      </c>
      <c r="E131" s="2">
        <f t="shared" si="46"/>
        <v>1520.0559294776419</v>
      </c>
      <c r="F131" s="2">
        <f t="shared" si="47"/>
        <v>245138.16501921898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2"/>
      <c r="B132" s="2">
        <f t="shared" si="48"/>
        <v>245138.16501921898</v>
      </c>
      <c r="C132" s="2">
        <f t="shared" si="44"/>
        <v>600.78781065557075</v>
      </c>
      <c r="D132" s="2">
        <f t="shared" si="45"/>
        <v>919.26811882207119</v>
      </c>
      <c r="E132" s="2">
        <f t="shared" si="46"/>
        <v>1520.0559294776419</v>
      </c>
      <c r="F132" s="2">
        <f t="shared" si="47"/>
        <v>244537.37720856341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">
      <c r="A133" s="2"/>
      <c r="B133" s="2">
        <f t="shared" si="48"/>
        <v>244537.37720856341</v>
      </c>
      <c r="C133" s="2">
        <f t="shared" si="44"/>
        <v>603.04076494552919</v>
      </c>
      <c r="D133" s="2">
        <f t="shared" si="45"/>
        <v>917.01516453211275</v>
      </c>
      <c r="E133" s="2">
        <f t="shared" si="46"/>
        <v>1520.0559294776419</v>
      </c>
      <c r="F133" s="2">
        <f t="shared" si="47"/>
        <v>243934.33644361788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">
      <c r="A134" s="2"/>
      <c r="B134" s="2">
        <f t="shared" si="48"/>
        <v>243934.33644361788</v>
      </c>
      <c r="C134" s="2">
        <f t="shared" si="44"/>
        <v>605.30216781407489</v>
      </c>
      <c r="D134" s="2">
        <f t="shared" si="45"/>
        <v>914.75376166356705</v>
      </c>
      <c r="E134" s="2">
        <f t="shared" si="46"/>
        <v>1520.0559294776419</v>
      </c>
      <c r="F134" s="2">
        <f t="shared" si="47"/>
        <v>243329.0342758038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">
      <c r="A135" s="2"/>
      <c r="B135" s="2">
        <f t="shared" si="48"/>
        <v>243329.0342758038</v>
      </c>
      <c r="C135" s="2">
        <f t="shared" si="44"/>
        <v>607.57205094337769</v>
      </c>
      <c r="D135" s="2">
        <f t="shared" si="45"/>
        <v>912.48387853426425</v>
      </c>
      <c r="E135" s="2">
        <f t="shared" si="46"/>
        <v>1520.0559294776419</v>
      </c>
      <c r="F135" s="2">
        <f t="shared" si="47"/>
        <v>242721.46222486041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2"/>
      <c r="B136" s="2">
        <f t="shared" si="48"/>
        <v>242721.46222486041</v>
      </c>
      <c r="C136" s="2">
        <f t="shared" si="44"/>
        <v>609.85044613441539</v>
      </c>
      <c r="D136" s="2">
        <f t="shared" si="45"/>
        <v>910.20548334322655</v>
      </c>
      <c r="E136" s="2">
        <f t="shared" si="46"/>
        <v>1520.0559294776419</v>
      </c>
      <c r="F136" s="2">
        <f t="shared" si="47"/>
        <v>242111.61177872599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2"/>
      <c r="B137" s="2">
        <f t="shared" si="48"/>
        <v>242111.61177872599</v>
      </c>
      <c r="C137" s="2">
        <f t="shared" si="44"/>
        <v>612.13738530741955</v>
      </c>
      <c r="D137" s="2">
        <f t="shared" si="45"/>
        <v>907.91854417022239</v>
      </c>
      <c r="E137" s="2">
        <f t="shared" si="46"/>
        <v>1520.0559294776419</v>
      </c>
      <c r="F137" s="2">
        <f t="shared" si="47"/>
        <v>241499.47439341855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2"/>
      <c r="B138" s="2">
        <f t="shared" si="48"/>
        <v>241499.47439341855</v>
      </c>
      <c r="C138" s="2">
        <f t="shared" si="44"/>
        <v>614.43290050232235</v>
      </c>
      <c r="D138" s="2">
        <f t="shared" si="45"/>
        <v>905.62302897531958</v>
      </c>
      <c r="E138" s="2">
        <f t="shared" si="46"/>
        <v>1520.0559294776419</v>
      </c>
      <c r="F138" s="2">
        <f t="shared" si="47"/>
        <v>240885.04149291624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">
      <c r="A139" s="2" t="s">
        <v>129</v>
      </c>
      <c r="B139" s="2">
        <f t="shared" si="48"/>
        <v>240885.04149291624</v>
      </c>
      <c r="C139" s="2">
        <f t="shared" si="44"/>
        <v>616.73702387920605</v>
      </c>
      <c r="D139" s="2">
        <f>B139*$J$3</f>
        <v>903.31890559843589</v>
      </c>
      <c r="E139" s="2">
        <f t="shared" si="46"/>
        <v>1520.0559294776419</v>
      </c>
      <c r="F139" s="2">
        <f t="shared" si="47"/>
        <v>240268.30446903704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2" t="s">
        <v>111</v>
      </c>
      <c r="B140" s="2"/>
      <c r="C140" s="2"/>
      <c r="D140" s="2">
        <f>SUM(D128:D139)</f>
        <v>10990.021034515254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 x14ac:dyDescent="0.2">
      <c r="C141" s="2"/>
      <c r="D141" s="2"/>
      <c r="E141" s="2"/>
      <c r="F141" s="2"/>
    </row>
    <row r="142" spans="1:20" ht="12.75" customHeight="1" x14ac:dyDescent="0.2">
      <c r="A142" s="11" t="s">
        <v>169</v>
      </c>
      <c r="B142" s="2">
        <f>+F139</f>
        <v>240268.30446903704</v>
      </c>
      <c r="C142" s="2">
        <f t="shared" si="44"/>
        <v>619.04978771875301</v>
      </c>
      <c r="D142" s="2">
        <f t="shared" ref="D142:D153" si="49">B142*$J$3</f>
        <v>901.00614175888893</v>
      </c>
      <c r="E142" s="2">
        <f t="shared" si="46"/>
        <v>1520.0559294776419</v>
      </c>
      <c r="F142" s="2">
        <f t="shared" si="47"/>
        <v>239649.2546813183</v>
      </c>
    </row>
    <row r="143" spans="1:20" ht="12.75" customHeight="1" x14ac:dyDescent="0.2">
      <c r="B143">
        <f>+F142</f>
        <v>239649.2546813183</v>
      </c>
      <c r="C143" s="2">
        <f t="shared" si="44"/>
        <v>621.37122442269833</v>
      </c>
      <c r="D143" s="2">
        <f t="shared" si="49"/>
        <v>898.68470505494361</v>
      </c>
      <c r="E143" s="2">
        <f t="shared" si="46"/>
        <v>1520.0559294776419</v>
      </c>
      <c r="F143" s="2">
        <f t="shared" si="47"/>
        <v>239027.88345689559</v>
      </c>
    </row>
    <row r="144" spans="1:20" ht="12.75" customHeight="1" x14ac:dyDescent="0.2">
      <c r="B144">
        <f t="shared" ref="B144:B153" si="50">+F143</f>
        <v>239027.88345689559</v>
      </c>
      <c r="C144" s="2">
        <f t="shared" si="44"/>
        <v>623.70136651428345</v>
      </c>
      <c r="D144" s="2">
        <f t="shared" si="49"/>
        <v>896.35456296335849</v>
      </c>
      <c r="E144" s="2">
        <f t="shared" si="46"/>
        <v>1520.0559294776419</v>
      </c>
      <c r="F144" s="2">
        <f t="shared" si="47"/>
        <v>238404.18209038131</v>
      </c>
    </row>
    <row r="145" spans="1:6" ht="12.75" customHeight="1" x14ac:dyDescent="0.2">
      <c r="B145">
        <f t="shared" si="50"/>
        <v>238404.18209038131</v>
      </c>
      <c r="C145" s="2">
        <f t="shared" si="44"/>
        <v>626.04024663871212</v>
      </c>
      <c r="D145" s="2">
        <f t="shared" si="49"/>
        <v>894.01568283892982</v>
      </c>
      <c r="E145" s="2">
        <f t="shared" si="46"/>
        <v>1520.0559294776419</v>
      </c>
      <c r="F145" s="2">
        <f t="shared" si="47"/>
        <v>237778.1418437426</v>
      </c>
    </row>
    <row r="146" spans="1:6" ht="12.75" customHeight="1" x14ac:dyDescent="0.2">
      <c r="B146">
        <f t="shared" si="50"/>
        <v>237778.1418437426</v>
      </c>
      <c r="C146" s="2">
        <f t="shared" si="44"/>
        <v>628.38789756360723</v>
      </c>
      <c r="D146" s="2">
        <f t="shared" si="49"/>
        <v>891.66803191403471</v>
      </c>
      <c r="E146" s="2">
        <f t="shared" si="46"/>
        <v>1520.0559294776419</v>
      </c>
      <c r="F146" s="2">
        <f t="shared" si="47"/>
        <v>237149.753946179</v>
      </c>
    </row>
    <row r="147" spans="1:6" ht="12.75" customHeight="1" x14ac:dyDescent="0.2">
      <c r="B147">
        <f t="shared" si="50"/>
        <v>237149.753946179</v>
      </c>
      <c r="C147" s="2">
        <f t="shared" si="44"/>
        <v>630.74435217947075</v>
      </c>
      <c r="D147" s="2">
        <f t="shared" si="49"/>
        <v>889.31157729817119</v>
      </c>
      <c r="E147" s="2">
        <f t="shared" si="46"/>
        <v>1520.0559294776419</v>
      </c>
      <c r="F147" s="2">
        <f t="shared" si="47"/>
        <v>236519.00959399954</v>
      </c>
    </row>
    <row r="148" spans="1:6" ht="12.75" customHeight="1" x14ac:dyDescent="0.2">
      <c r="B148">
        <f t="shared" si="50"/>
        <v>236519.00959399954</v>
      </c>
      <c r="C148" s="2">
        <f t="shared" si="44"/>
        <v>633.10964350014376</v>
      </c>
      <c r="D148" s="2">
        <f t="shared" si="49"/>
        <v>886.94628597749818</v>
      </c>
      <c r="E148" s="2">
        <f t="shared" si="46"/>
        <v>1520.0559294776419</v>
      </c>
      <c r="F148" s="2">
        <f t="shared" si="47"/>
        <v>235885.89995049938</v>
      </c>
    </row>
    <row r="149" spans="1:6" ht="12.75" customHeight="1" x14ac:dyDescent="0.2">
      <c r="B149">
        <f t="shared" si="50"/>
        <v>235885.89995049938</v>
      </c>
      <c r="C149" s="2">
        <f t="shared" si="44"/>
        <v>635.48380466326932</v>
      </c>
      <c r="D149" s="2">
        <f t="shared" si="49"/>
        <v>884.57212481437261</v>
      </c>
      <c r="E149" s="2">
        <f t="shared" si="46"/>
        <v>1520.0559294776419</v>
      </c>
      <c r="F149" s="2">
        <f t="shared" si="47"/>
        <v>235250.41614583612</v>
      </c>
    </row>
    <row r="150" spans="1:6" ht="12.75" customHeight="1" x14ac:dyDescent="0.2">
      <c r="B150">
        <f t="shared" si="50"/>
        <v>235250.41614583612</v>
      </c>
      <c r="C150" s="2">
        <f t="shared" si="44"/>
        <v>637.86686893075648</v>
      </c>
      <c r="D150" s="2">
        <f t="shared" si="49"/>
        <v>882.18906054688546</v>
      </c>
      <c r="E150" s="2">
        <f t="shared" si="46"/>
        <v>1520.0559294776419</v>
      </c>
      <c r="F150" s="2">
        <f t="shared" si="47"/>
        <v>234612.54927690537</v>
      </c>
    </row>
    <row r="151" spans="1:6" ht="12.75" customHeight="1" x14ac:dyDescent="0.2">
      <c r="B151">
        <f t="shared" si="50"/>
        <v>234612.54927690537</v>
      </c>
      <c r="C151" s="2">
        <f t="shared" si="44"/>
        <v>640.25886968924681</v>
      </c>
      <c r="D151" s="2">
        <f t="shared" si="49"/>
        <v>879.79705978839513</v>
      </c>
      <c r="E151" s="2">
        <f t="shared" si="46"/>
        <v>1520.0559294776419</v>
      </c>
      <c r="F151" s="2">
        <f t="shared" si="47"/>
        <v>233972.29040721612</v>
      </c>
    </row>
    <row r="152" spans="1:6" ht="12.75" customHeight="1" x14ac:dyDescent="0.2">
      <c r="B152">
        <f t="shared" si="50"/>
        <v>233972.29040721612</v>
      </c>
      <c r="C152" s="2">
        <f t="shared" si="44"/>
        <v>642.65984045058156</v>
      </c>
      <c r="D152" s="2">
        <f t="shared" si="49"/>
        <v>877.39608902706038</v>
      </c>
      <c r="E152" s="2">
        <f t="shared" si="46"/>
        <v>1520.0559294776419</v>
      </c>
      <c r="F152" s="2">
        <f t="shared" si="47"/>
        <v>233329.63056676553</v>
      </c>
    </row>
    <row r="153" spans="1:6" ht="12.75" customHeight="1" x14ac:dyDescent="0.2">
      <c r="A153" s="11" t="s">
        <v>170</v>
      </c>
      <c r="B153">
        <f t="shared" si="50"/>
        <v>233329.63056676553</v>
      </c>
      <c r="C153" s="2">
        <f t="shared" si="44"/>
        <v>645.06981485227129</v>
      </c>
      <c r="D153" s="2">
        <f t="shared" si="49"/>
        <v>874.98611462537065</v>
      </c>
      <c r="E153" s="2">
        <f t="shared" si="46"/>
        <v>1520.0559294776419</v>
      </c>
      <c r="F153" s="2">
        <f t="shared" si="47"/>
        <v>232684.56075191326</v>
      </c>
    </row>
    <row r="154" spans="1:6" ht="12.75" customHeight="1" x14ac:dyDescent="0.2">
      <c r="A154" s="11" t="s">
        <v>111</v>
      </c>
      <c r="C154" s="2"/>
      <c r="D154" s="2">
        <f>SUM(D142:D153)</f>
        <v>10656.927436607912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8"/>
  <sheetViews>
    <sheetView workbookViewId="0">
      <selection activeCell="C23" sqref="C23"/>
    </sheetView>
  </sheetViews>
  <sheetFormatPr defaultColWidth="17.140625" defaultRowHeight="12.75" customHeight="1" x14ac:dyDescent="0.2"/>
  <cols>
    <col min="5" max="5" width="18.28515625" customWidth="1"/>
  </cols>
  <sheetData>
    <row r="1" spans="1:7" ht="12.75" customHeight="1" x14ac:dyDescent="0.2">
      <c r="A1" t="s">
        <v>130</v>
      </c>
    </row>
    <row r="2" spans="1:7" ht="12.75" customHeight="1" x14ac:dyDescent="0.2">
      <c r="A2" t="s">
        <v>131</v>
      </c>
      <c r="B2">
        <v>125000</v>
      </c>
    </row>
    <row r="3" spans="1:7" ht="12.75" customHeight="1" x14ac:dyDescent="0.2">
      <c r="A3" t="s">
        <v>132</v>
      </c>
      <c r="B3">
        <v>385000</v>
      </c>
      <c r="C3">
        <v>32083</v>
      </c>
      <c r="D3" t="s">
        <v>133</v>
      </c>
    </row>
    <row r="4" spans="1:7" ht="12.75" customHeight="1" x14ac:dyDescent="0.2">
      <c r="A4" t="s">
        <v>134</v>
      </c>
      <c r="B4">
        <v>40000</v>
      </c>
    </row>
    <row r="6" spans="1:7" ht="12.75" customHeight="1" x14ac:dyDescent="0.2">
      <c r="A6" t="s">
        <v>135</v>
      </c>
      <c r="B6">
        <v>100000</v>
      </c>
    </row>
    <row r="7" spans="1:7" ht="12.75" customHeight="1" x14ac:dyDescent="0.2">
      <c r="A7" t="s">
        <v>136</v>
      </c>
      <c r="B7">
        <v>60000</v>
      </c>
    </row>
    <row r="8" spans="1:7" ht="12.75" customHeight="1" x14ac:dyDescent="0.2">
      <c r="A8" t="s">
        <v>137</v>
      </c>
      <c r="B8">
        <v>10</v>
      </c>
    </row>
    <row r="10" spans="1:7" ht="12.75" customHeight="1" x14ac:dyDescent="0.2">
      <c r="A10" t="s">
        <v>138</v>
      </c>
    </row>
    <row r="11" spans="1:7" ht="12.75" customHeight="1" x14ac:dyDescent="0.2">
      <c r="A11" t="s">
        <v>139</v>
      </c>
      <c r="B11" t="s">
        <v>140</v>
      </c>
      <c r="C11" t="s">
        <v>141</v>
      </c>
      <c r="D11" t="s">
        <v>142</v>
      </c>
      <c r="E11" t="s">
        <v>143</v>
      </c>
      <c r="F11" t="s">
        <v>144</v>
      </c>
      <c r="G11" t="s">
        <v>145</v>
      </c>
    </row>
    <row r="12" spans="1:7" ht="12.75" customHeight="1" x14ac:dyDescent="0.2">
      <c r="A12" t="s">
        <v>146</v>
      </c>
      <c r="B12">
        <v>10</v>
      </c>
      <c r="C12">
        <v>70</v>
      </c>
      <c r="D12">
        <v>700</v>
      </c>
      <c r="E12">
        <v>21000</v>
      </c>
      <c r="F12">
        <v>252000</v>
      </c>
      <c r="G12">
        <v>25200</v>
      </c>
    </row>
    <row r="13" spans="1:7" ht="12.75" customHeight="1" x14ac:dyDescent="0.2">
      <c r="A13" t="s">
        <v>147</v>
      </c>
      <c r="B13">
        <v>2</v>
      </c>
      <c r="C13">
        <v>65</v>
      </c>
      <c r="D13">
        <v>130</v>
      </c>
      <c r="E13">
        <v>3900</v>
      </c>
      <c r="F13">
        <v>46800</v>
      </c>
      <c r="G13">
        <v>23400</v>
      </c>
    </row>
    <row r="14" spans="1:7" ht="12.75" customHeight="1" x14ac:dyDescent="0.2">
      <c r="A14" t="s">
        <v>148</v>
      </c>
      <c r="B14">
        <v>8</v>
      </c>
      <c r="C14">
        <v>8</v>
      </c>
      <c r="D14">
        <v>64</v>
      </c>
      <c r="E14">
        <v>1920</v>
      </c>
      <c r="F14">
        <v>23040</v>
      </c>
      <c r="G14">
        <v>2880</v>
      </c>
    </row>
    <row r="15" spans="1:7" ht="12.75" customHeight="1" x14ac:dyDescent="0.2">
      <c r="A15" t="s">
        <v>149</v>
      </c>
      <c r="B15">
        <v>4</v>
      </c>
      <c r="C15">
        <v>30</v>
      </c>
      <c r="D15">
        <v>120</v>
      </c>
      <c r="E15">
        <v>3600</v>
      </c>
      <c r="F15">
        <v>43200</v>
      </c>
      <c r="G15">
        <v>10800</v>
      </c>
    </row>
    <row r="16" spans="1:7" ht="12.75" customHeight="1" x14ac:dyDescent="0.2">
      <c r="A16" t="s">
        <v>150</v>
      </c>
      <c r="B16">
        <v>6</v>
      </c>
      <c r="C16">
        <v>10</v>
      </c>
      <c r="D16">
        <v>60</v>
      </c>
      <c r="E16">
        <v>1800</v>
      </c>
      <c r="F16">
        <v>21600</v>
      </c>
      <c r="G16">
        <v>3600</v>
      </c>
    </row>
    <row r="17" spans="1:6" ht="12.75" customHeight="1" x14ac:dyDescent="0.2">
      <c r="E17">
        <v>32220</v>
      </c>
      <c r="F17">
        <v>386640</v>
      </c>
    </row>
    <row r="18" spans="1:6" ht="12.75" customHeight="1" x14ac:dyDescent="0.2">
      <c r="A18" t="s">
        <v>151</v>
      </c>
    </row>
    <row r="19" spans="1:6" ht="12.75" customHeight="1" x14ac:dyDescent="0.2">
      <c r="E19">
        <v>10500</v>
      </c>
      <c r="F19">
        <v>126000</v>
      </c>
    </row>
    <row r="20" spans="1:6" ht="12.75" customHeight="1" x14ac:dyDescent="0.2">
      <c r="E20">
        <v>1950</v>
      </c>
      <c r="F20">
        <v>23400</v>
      </c>
    </row>
    <row r="21" spans="1:6" ht="12.75" customHeight="1" x14ac:dyDescent="0.2">
      <c r="E21">
        <v>960</v>
      </c>
      <c r="F21">
        <v>11520</v>
      </c>
    </row>
    <row r="22" spans="1:6" ht="12.75" customHeight="1" x14ac:dyDescent="0.2">
      <c r="E22">
        <v>1800</v>
      </c>
      <c r="F22">
        <v>21600</v>
      </c>
    </row>
    <row r="23" spans="1:6" ht="12.75" customHeight="1" x14ac:dyDescent="0.2">
      <c r="E23">
        <v>900</v>
      </c>
      <c r="F23">
        <v>10800</v>
      </c>
    </row>
    <row r="24" spans="1:6" ht="12.75" customHeight="1" x14ac:dyDescent="0.2">
      <c r="E24">
        <v>16110</v>
      </c>
      <c r="F24">
        <v>193320</v>
      </c>
    </row>
    <row r="27" spans="1:6" ht="12.75" customHeight="1" x14ac:dyDescent="0.2">
      <c r="A27" s="3" t="s">
        <v>152</v>
      </c>
      <c r="B27" s="3" t="s">
        <v>153</v>
      </c>
      <c r="C27" s="3" t="s">
        <v>154</v>
      </c>
      <c r="D27" s="3" t="s">
        <v>155</v>
      </c>
      <c r="E27" s="3" t="s">
        <v>156</v>
      </c>
    </row>
    <row r="28" spans="1:6" ht="12.75" customHeight="1" x14ac:dyDescent="0.2">
      <c r="A28" t="s">
        <v>157</v>
      </c>
      <c r="B28">
        <v>1</v>
      </c>
      <c r="C28">
        <v>40000</v>
      </c>
      <c r="D28">
        <v>40</v>
      </c>
      <c r="E28">
        <v>40000</v>
      </c>
    </row>
    <row r="29" spans="1:6" ht="12.75" customHeight="1" x14ac:dyDescent="0.2">
      <c r="A29" t="s">
        <v>158</v>
      </c>
      <c r="B29">
        <v>2</v>
      </c>
      <c r="C29">
        <v>9</v>
      </c>
      <c r="D29">
        <v>20</v>
      </c>
      <c r="E29">
        <v>18720</v>
      </c>
    </row>
    <row r="30" spans="1:6" ht="12.75" customHeight="1" x14ac:dyDescent="0.2">
      <c r="A30" t="s">
        <v>159</v>
      </c>
      <c r="B30">
        <v>7</v>
      </c>
      <c r="C30">
        <v>7.25</v>
      </c>
      <c r="D30">
        <v>15</v>
      </c>
      <c r="E30">
        <v>39585</v>
      </c>
    </row>
    <row r="31" spans="1:6" ht="12.75" customHeight="1" x14ac:dyDescent="0.2">
      <c r="A31" t="s">
        <v>160</v>
      </c>
      <c r="E31">
        <v>98305</v>
      </c>
    </row>
    <row r="33" spans="1:2" ht="12.75" customHeight="1" x14ac:dyDescent="0.2">
      <c r="A33" t="s">
        <v>161</v>
      </c>
    </row>
    <row r="34" spans="1:2" ht="12.75" customHeight="1" x14ac:dyDescent="0.2">
      <c r="A34" t="s">
        <v>162</v>
      </c>
    </row>
    <row r="35" spans="1:2" ht="12.75" customHeight="1" x14ac:dyDescent="0.2">
      <c r="A35">
        <v>0.05</v>
      </c>
      <c r="B35">
        <v>19332</v>
      </c>
    </row>
    <row r="36" spans="1:2" ht="12.75" customHeight="1" x14ac:dyDescent="0.2">
      <c r="A36" t="s">
        <v>163</v>
      </c>
      <c r="B36">
        <v>10000</v>
      </c>
    </row>
    <row r="37" spans="1:2" ht="12.75" customHeight="1" x14ac:dyDescent="0.2">
      <c r="A37" t="s">
        <v>164</v>
      </c>
      <c r="B37">
        <v>6000</v>
      </c>
    </row>
    <row r="38" spans="1:2" ht="12.75" customHeight="1" x14ac:dyDescent="0.2">
      <c r="A38" t="s">
        <v>165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54"/>
  <sheetViews>
    <sheetView topLeftCell="A17" zoomScale="70" zoomScaleNormal="70" workbookViewId="0">
      <selection activeCell="C44" sqref="C44"/>
    </sheetView>
  </sheetViews>
  <sheetFormatPr defaultColWidth="17.140625" defaultRowHeight="12.75" x14ac:dyDescent="0.2"/>
  <cols>
    <col min="1" max="1" width="42.85546875" bestFit="1" customWidth="1"/>
    <col min="2" max="5" width="12" bestFit="1" customWidth="1"/>
    <col min="7" max="13" width="12" bestFit="1" customWidth="1"/>
    <col min="14" max="14" width="7" customWidth="1"/>
    <col min="15" max="15" width="17.7109375" customWidth="1"/>
    <col min="16" max="16" width="13.42578125" bestFit="1" customWidth="1"/>
    <col min="17" max="17" width="6.7109375" customWidth="1"/>
    <col min="18" max="18" width="9.5703125" bestFit="1" customWidth="1"/>
    <col min="19" max="19" width="10.7109375" bestFit="1" customWidth="1"/>
    <col min="20" max="20" width="7" bestFit="1" customWidth="1"/>
  </cols>
  <sheetData>
    <row r="1" spans="1:20" ht="12.75" customHeight="1" x14ac:dyDescent="0.2">
      <c r="P1" s="15"/>
    </row>
    <row r="2" spans="1:20" ht="12.75" customHeight="1" x14ac:dyDescent="0.2">
      <c r="A2" s="3" t="s">
        <v>76</v>
      </c>
      <c r="P2" s="19"/>
    </row>
    <row r="3" spans="1:20" ht="12.75" customHeight="1" x14ac:dyDescent="0.2">
      <c r="A3" s="4" t="s">
        <v>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12.75" customHeight="1" x14ac:dyDescent="0.2">
      <c r="A4" s="4" t="s">
        <v>78</v>
      </c>
      <c r="B4" s="4"/>
      <c r="C4" s="4">
        <v>100000</v>
      </c>
      <c r="D4" s="4">
        <v>100000</v>
      </c>
      <c r="E4" s="4">
        <v>100000</v>
      </c>
      <c r="F4" s="4">
        <v>100000</v>
      </c>
      <c r="G4" s="4">
        <v>100000</v>
      </c>
      <c r="H4" s="4">
        <v>100000</v>
      </c>
      <c r="I4" s="4">
        <v>100000</v>
      </c>
      <c r="J4" s="4">
        <v>100000</v>
      </c>
      <c r="K4" s="4">
        <v>100000</v>
      </c>
      <c r="L4" s="4">
        <v>100000</v>
      </c>
      <c r="M4" s="4">
        <v>100000</v>
      </c>
      <c r="N4" s="4"/>
      <c r="O4" s="4"/>
      <c r="P4" s="4"/>
    </row>
    <row r="5" spans="1:20" ht="12.75" customHeight="1" x14ac:dyDescent="0.2">
      <c r="A5" s="4" t="s">
        <v>79</v>
      </c>
      <c r="B5" s="4"/>
      <c r="C5" s="4">
        <v>3205.1282051282051</v>
      </c>
      <c r="D5" s="4">
        <v>3205.1282051282051</v>
      </c>
      <c r="E5" s="4">
        <v>3205.1282051282051</v>
      </c>
      <c r="F5" s="4">
        <v>3205.1282051282051</v>
      </c>
      <c r="G5" s="4">
        <v>3205.1282051282051</v>
      </c>
      <c r="H5" s="4">
        <v>3205.1282051282051</v>
      </c>
      <c r="I5" s="4">
        <v>3205.1282051282051</v>
      </c>
      <c r="J5" s="4">
        <v>3205.1282051282051</v>
      </c>
      <c r="K5" s="4">
        <v>3205.1282051282051</v>
      </c>
      <c r="L5" s="4">
        <v>3205.1282051282051</v>
      </c>
      <c r="M5" s="4">
        <v>3205.1282051282051</v>
      </c>
      <c r="N5" s="4"/>
      <c r="O5" s="4" t="e">
        <f>+sum</f>
        <v>#NAME?</v>
      </c>
      <c r="P5" s="4"/>
      <c r="Q5" s="4"/>
      <c r="R5" s="4"/>
      <c r="S5" s="4"/>
      <c r="T5" s="4"/>
    </row>
    <row r="6" spans="1:20" ht="12.75" customHeight="1" x14ac:dyDescent="0.2">
      <c r="A6" s="4" t="s">
        <v>80</v>
      </c>
      <c r="B6" s="4"/>
      <c r="C6" s="4">
        <f>+C4-C5</f>
        <v>96794.871794871797</v>
      </c>
      <c r="D6" s="4">
        <f t="shared" ref="D6:M6" si="0">+D4-D5</f>
        <v>96794.871794871797</v>
      </c>
      <c r="E6" s="4">
        <f t="shared" si="0"/>
        <v>96794.871794871797</v>
      </c>
      <c r="F6" s="4">
        <f t="shared" si="0"/>
        <v>96794.871794871797</v>
      </c>
      <c r="G6" s="4">
        <f t="shared" si="0"/>
        <v>96794.871794871797</v>
      </c>
      <c r="H6" s="4">
        <f t="shared" si="0"/>
        <v>96794.871794871797</v>
      </c>
      <c r="I6" s="4">
        <f t="shared" si="0"/>
        <v>96794.871794871797</v>
      </c>
      <c r="J6" s="4">
        <f t="shared" si="0"/>
        <v>96794.871794871797</v>
      </c>
      <c r="K6" s="4">
        <f t="shared" si="0"/>
        <v>96794.871794871797</v>
      </c>
      <c r="L6" s="4">
        <f t="shared" si="0"/>
        <v>96794.871794871797</v>
      </c>
      <c r="M6" s="4">
        <f t="shared" si="0"/>
        <v>96794.871794871797</v>
      </c>
      <c r="N6" s="4"/>
      <c r="O6" s="4"/>
      <c r="P6" s="4"/>
      <c r="Q6" s="4"/>
      <c r="R6" s="4"/>
      <c r="S6" s="4"/>
      <c r="T6" s="4"/>
    </row>
    <row r="7" spans="1:20" ht="12.75" customHeight="1" x14ac:dyDescent="0.2">
      <c r="A7" s="4" t="s">
        <v>81</v>
      </c>
      <c r="B7" s="4"/>
      <c r="C7" s="4">
        <f>+C6*0.2</f>
        <v>19358.974358974359</v>
      </c>
      <c r="D7" s="4">
        <f t="shared" ref="D7:L7" si="1">+D6*0.2</f>
        <v>19358.974358974359</v>
      </c>
      <c r="E7" s="4">
        <f t="shared" si="1"/>
        <v>19358.974358974359</v>
      </c>
      <c r="F7" s="4">
        <f t="shared" si="1"/>
        <v>19358.974358974359</v>
      </c>
      <c r="G7" s="4">
        <f t="shared" si="1"/>
        <v>19358.974358974359</v>
      </c>
      <c r="H7" s="4">
        <f t="shared" si="1"/>
        <v>19358.974358974359</v>
      </c>
      <c r="I7" s="4">
        <f t="shared" si="1"/>
        <v>19358.974358974359</v>
      </c>
      <c r="J7" s="4">
        <f t="shared" si="1"/>
        <v>19358.974358974359</v>
      </c>
      <c r="K7" s="4">
        <f t="shared" si="1"/>
        <v>19358.974358974359</v>
      </c>
      <c r="L7" s="4">
        <f t="shared" si="1"/>
        <v>19358.974358974359</v>
      </c>
      <c r="M7" s="4">
        <f>+M6*0.2</f>
        <v>19358.974358974359</v>
      </c>
      <c r="N7" s="4"/>
      <c r="O7" s="4"/>
      <c r="P7" s="4"/>
      <c r="Q7" s="4"/>
      <c r="R7" s="4"/>
      <c r="S7" s="4"/>
      <c r="T7" s="4"/>
    </row>
    <row r="8" spans="1:20" ht="12.75" customHeight="1" x14ac:dyDescent="0.2">
      <c r="A8" s="4" t="s">
        <v>82</v>
      </c>
      <c r="B8" s="4"/>
      <c r="C8" s="4">
        <f>+C6-C7</f>
        <v>77435.897435897437</v>
      </c>
      <c r="D8" s="4">
        <f t="shared" ref="D8:M8" si="2">+D6-D7</f>
        <v>77435.897435897437</v>
      </c>
      <c r="E8" s="4">
        <f t="shared" si="2"/>
        <v>77435.897435897437</v>
      </c>
      <c r="F8" s="4">
        <f t="shared" si="2"/>
        <v>77435.897435897437</v>
      </c>
      <c r="G8" s="4">
        <f t="shared" si="2"/>
        <v>77435.897435897437</v>
      </c>
      <c r="H8" s="4">
        <f t="shared" si="2"/>
        <v>77435.897435897437</v>
      </c>
      <c r="I8" s="4">
        <f t="shared" si="2"/>
        <v>77435.897435897437</v>
      </c>
      <c r="J8" s="4">
        <f t="shared" si="2"/>
        <v>77435.897435897437</v>
      </c>
      <c r="K8" s="4">
        <f t="shared" si="2"/>
        <v>77435.897435897437</v>
      </c>
      <c r="L8" s="4">
        <f t="shared" si="2"/>
        <v>77435.897435897437</v>
      </c>
      <c r="M8" s="4">
        <f t="shared" si="2"/>
        <v>77435.897435897437</v>
      </c>
      <c r="N8" s="4"/>
      <c r="O8" s="4"/>
      <c r="P8" s="4"/>
      <c r="Q8" s="4"/>
      <c r="R8" s="4"/>
      <c r="S8" s="4"/>
      <c r="T8" s="4"/>
    </row>
    <row r="9" spans="1:20" ht="12.75" customHeight="1" x14ac:dyDescent="0.2">
      <c r="A9" s="4" t="s">
        <v>83</v>
      </c>
      <c r="B9" s="4"/>
      <c r="C9" s="4">
        <v>3205.1282051282051</v>
      </c>
      <c r="D9" s="4">
        <v>3205.1282051282051</v>
      </c>
      <c r="E9" s="4">
        <v>3205.1282051282051</v>
      </c>
      <c r="F9" s="4">
        <v>3205.1282051282051</v>
      </c>
      <c r="G9" s="4">
        <v>3205.1282051282051</v>
      </c>
      <c r="H9" s="4">
        <v>3205.1282051282051</v>
      </c>
      <c r="I9" s="4">
        <v>3205.1282051282051</v>
      </c>
      <c r="J9" s="4">
        <v>3205.1282051282051</v>
      </c>
      <c r="K9" s="4">
        <v>3205.1282051282051</v>
      </c>
      <c r="L9" s="4">
        <v>3205.1282051282051</v>
      </c>
      <c r="M9" s="4">
        <v>3205.1282051282051</v>
      </c>
      <c r="N9" s="4"/>
      <c r="O9" s="4"/>
      <c r="P9" s="4"/>
      <c r="Q9" s="7"/>
      <c r="R9" s="7"/>
      <c r="S9" s="7"/>
      <c r="T9" s="7"/>
    </row>
    <row r="10" spans="1:20" s="8" customFormat="1" ht="12.75" customHeight="1" x14ac:dyDescent="0.2">
      <c r="A10" s="4" t="s">
        <v>84</v>
      </c>
      <c r="B10" s="4"/>
      <c r="C10" s="4">
        <f>+C8+C9</f>
        <v>80641.025641025641</v>
      </c>
      <c r="D10" s="4">
        <f t="shared" ref="D10:M10" si="3">+D8+D9</f>
        <v>80641.025641025641</v>
      </c>
      <c r="E10" s="4">
        <f t="shared" si="3"/>
        <v>80641.025641025641</v>
      </c>
      <c r="F10" s="4">
        <f t="shared" si="3"/>
        <v>80641.025641025641</v>
      </c>
      <c r="G10" s="4">
        <f t="shared" si="3"/>
        <v>80641.025641025641</v>
      </c>
      <c r="H10" s="4">
        <f t="shared" si="3"/>
        <v>80641.025641025641</v>
      </c>
      <c r="I10" s="4">
        <f t="shared" si="3"/>
        <v>80641.025641025641</v>
      </c>
      <c r="J10" s="4">
        <f t="shared" si="3"/>
        <v>80641.025641025641</v>
      </c>
      <c r="K10" s="4">
        <f t="shared" si="3"/>
        <v>80641.025641025641</v>
      </c>
      <c r="L10" s="4">
        <f t="shared" si="3"/>
        <v>80641.025641025641</v>
      </c>
      <c r="M10" s="4">
        <f t="shared" si="3"/>
        <v>80641.025641025641</v>
      </c>
      <c r="N10" s="4"/>
      <c r="O10" s="4"/>
      <c r="P10" s="4"/>
    </row>
    <row r="11" spans="1:20" s="8" customFormat="1" ht="12.7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20" s="8" customFormat="1" ht="12.75" customHeight="1" x14ac:dyDescent="0.2">
      <c r="A12" t="s">
        <v>85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20" s="8" customFormat="1" ht="12.75" customHeight="1" x14ac:dyDescent="0.2">
      <c r="A13" t="s">
        <v>86</v>
      </c>
      <c r="B13">
        <v>-300000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20" s="8" customFormat="1" ht="12.75" customHeight="1" x14ac:dyDescent="0.2">
      <c r="A14" t="s">
        <v>87</v>
      </c>
      <c r="B14"/>
      <c r="C14"/>
      <c r="D14"/>
      <c r="E14"/>
      <c r="F14"/>
      <c r="G14"/>
      <c r="H14"/>
      <c r="I14"/>
      <c r="J14"/>
      <c r="K14"/>
      <c r="L14"/>
      <c r="M14">
        <f>N14*P14</f>
        <v>813301.28205128235</v>
      </c>
      <c r="N14">
        <v>1.75</v>
      </c>
      <c r="O14" t="s">
        <v>88</v>
      </c>
      <c r="P14" s="4">
        <f>-B15-C5-D5-E5-F5-G5-H5-I5-J5-K5-L5-M5</f>
        <v>464743.58974358992</v>
      </c>
    </row>
    <row r="15" spans="1:20" ht="12.75" customHeight="1" x14ac:dyDescent="0.2">
      <c r="A15" t="s">
        <v>89</v>
      </c>
      <c r="B15">
        <v>-500000</v>
      </c>
      <c r="O15" s="11" t="s">
        <v>168</v>
      </c>
      <c r="P15">
        <f>M14-P14</f>
        <v>348557.69230769243</v>
      </c>
      <c r="Q15" s="8"/>
      <c r="R15" s="8"/>
      <c r="S15" s="8"/>
      <c r="T15" s="8"/>
    </row>
    <row r="16" spans="1:20" ht="12.75" customHeight="1" x14ac:dyDescent="0.2">
      <c r="A16" t="s">
        <v>90</v>
      </c>
      <c r="M16" s="12">
        <f>N16*P16</f>
        <v>420000</v>
      </c>
      <c r="N16">
        <v>1.4</v>
      </c>
      <c r="O16" t="s">
        <v>88</v>
      </c>
      <c r="P16" s="4">
        <f>+-B13</f>
        <v>300000</v>
      </c>
    </row>
    <row r="17" spans="1:16" x14ac:dyDescent="0.2">
      <c r="A17" t="s">
        <v>91</v>
      </c>
      <c r="M17" s="12">
        <f>-((P15+P17+P19)*N17)</f>
        <v>-148583.3333333334</v>
      </c>
      <c r="N17" s="5">
        <v>0.2</v>
      </c>
      <c r="O17" s="11" t="s">
        <v>168</v>
      </c>
      <c r="P17" s="12">
        <f>M16-P16</f>
        <v>120000</v>
      </c>
    </row>
    <row r="18" spans="1:16" x14ac:dyDescent="0.2">
      <c r="A18" t="s">
        <v>189</v>
      </c>
      <c r="E18">
        <v>-500000</v>
      </c>
      <c r="M18" s="12"/>
      <c r="N18" s="5"/>
      <c r="O18" s="11"/>
      <c r="P18" s="12"/>
    </row>
    <row r="19" spans="1:16" x14ac:dyDescent="0.2">
      <c r="A19" t="s">
        <v>190</v>
      </c>
      <c r="F19">
        <v>-300000</v>
      </c>
      <c r="M19" s="12">
        <f>+P19-N19</f>
        <v>274358.9623589745</v>
      </c>
      <c r="N19" s="5">
        <v>1.2E-2</v>
      </c>
      <c r="O19" s="11"/>
      <c r="P19" s="12">
        <f>+-F19-G9-H9-I9-J9-F9-K9-L9-M9</f>
        <v>274358.97435897449</v>
      </c>
    </row>
    <row r="20" spans="1:16" x14ac:dyDescent="0.2">
      <c r="A20" t="s">
        <v>191</v>
      </c>
      <c r="G20">
        <v>-100000</v>
      </c>
      <c r="H20">
        <v>-100000</v>
      </c>
      <c r="I20">
        <v>-100000</v>
      </c>
      <c r="J20">
        <v>-100000</v>
      </c>
      <c r="K20">
        <v>-100000</v>
      </c>
      <c r="L20">
        <v>-100000</v>
      </c>
      <c r="M20">
        <v>-100000</v>
      </c>
      <c r="N20" s="5"/>
      <c r="O20" s="11"/>
      <c r="P20" s="12"/>
    </row>
    <row r="21" spans="1:16" x14ac:dyDescent="0.2">
      <c r="A21" t="s">
        <v>192</v>
      </c>
      <c r="G21">
        <v>150000</v>
      </c>
      <c r="H21">
        <v>150000</v>
      </c>
      <c r="I21">
        <v>150000</v>
      </c>
      <c r="J21">
        <v>150000</v>
      </c>
      <c r="K21">
        <v>150000</v>
      </c>
      <c r="L21">
        <v>150000</v>
      </c>
      <c r="M21">
        <v>150000</v>
      </c>
      <c r="N21" s="5"/>
      <c r="O21" s="11"/>
      <c r="P21" s="12"/>
    </row>
    <row r="22" spans="1:16" x14ac:dyDescent="0.2">
      <c r="M22" s="12"/>
      <c r="N22" s="5"/>
      <c r="O22" s="11"/>
      <c r="P22" s="12"/>
    </row>
    <row r="23" spans="1:16" x14ac:dyDescent="0.2">
      <c r="M23" s="12"/>
      <c r="N23" s="5"/>
      <c r="O23" s="11"/>
      <c r="P23" s="12"/>
    </row>
    <row r="25" spans="1:16" x14ac:dyDescent="0.2">
      <c r="A25" t="s">
        <v>92</v>
      </c>
    </row>
    <row r="26" spans="1:16" x14ac:dyDescent="0.2">
      <c r="A26" t="s">
        <v>60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6" x14ac:dyDescent="0.2">
      <c r="A27" t="s">
        <v>61</v>
      </c>
      <c r="C27" s="4">
        <v>-60000</v>
      </c>
      <c r="D27" s="4">
        <v>-54000</v>
      </c>
      <c r="E27" s="4">
        <v>-102600</v>
      </c>
      <c r="F27" s="4">
        <v>-194940</v>
      </c>
      <c r="G27" s="4">
        <v>194940</v>
      </c>
      <c r="H27" s="4">
        <v>-194940</v>
      </c>
      <c r="I27" s="4">
        <v>194940</v>
      </c>
      <c r="J27" s="4">
        <v>12996</v>
      </c>
      <c r="K27" s="4">
        <v>-81441.599999999977</v>
      </c>
      <c r="L27" s="4">
        <v>39906.383999999991</v>
      </c>
      <c r="M27" s="4">
        <v>-49027.843199999974</v>
      </c>
    </row>
    <row r="28" spans="1:16" x14ac:dyDescent="0.2">
      <c r="A28" t="s">
        <v>66</v>
      </c>
      <c r="C28" s="4">
        <v>13000</v>
      </c>
      <c r="D28" s="4">
        <v>13000</v>
      </c>
      <c r="E28" s="4">
        <v>13000</v>
      </c>
      <c r="F28" s="4">
        <v>13000</v>
      </c>
      <c r="G28" s="4">
        <v>13000</v>
      </c>
      <c r="H28" s="4">
        <v>13000</v>
      </c>
      <c r="I28" s="4">
        <v>13000</v>
      </c>
      <c r="J28" s="4">
        <v>13000</v>
      </c>
      <c r="K28" s="4">
        <v>13000</v>
      </c>
      <c r="L28" s="4">
        <v>13000</v>
      </c>
      <c r="M28" s="4">
        <v>13000</v>
      </c>
    </row>
    <row r="29" spans="1:16" x14ac:dyDescent="0.2">
      <c r="A29" t="s">
        <v>93</v>
      </c>
      <c r="C29" s="4">
        <v>21951.468717948723</v>
      </c>
      <c r="D29" s="4">
        <v>3790.2198719999906</v>
      </c>
      <c r="E29" s="4">
        <v>4046.4510896160282</v>
      </c>
      <c r="F29" s="4">
        <v>4317.5725863101288</v>
      </c>
      <c r="G29" s="4">
        <v>4604.3991061736087</v>
      </c>
      <c r="H29" s="4">
        <v>4907.7886263930413</v>
      </c>
      <c r="I29" s="4">
        <v>5228.6446114819773</v>
      </c>
      <c r="J29" s="4">
        <v>5567.9183838082026</v>
      </c>
      <c r="K29" s="4">
        <v>5926.6116163760307</v>
      </c>
      <c r="L29" s="4">
        <v>6305.7789541265447</v>
      </c>
      <c r="M29" s="4">
        <v>6706.5307703402796</v>
      </c>
    </row>
    <row r="31" spans="1:16" x14ac:dyDescent="0.2">
      <c r="A31" t="s">
        <v>94</v>
      </c>
    </row>
    <row r="32" spans="1:16" x14ac:dyDescent="0.2">
      <c r="A32" t="s">
        <v>60</v>
      </c>
      <c r="L32" s="4"/>
      <c r="M32">
        <v>0</v>
      </c>
    </row>
    <row r="33" spans="1:13" x14ac:dyDescent="0.2">
      <c r="A33" t="s">
        <v>61</v>
      </c>
      <c r="L33" s="4"/>
      <c r="M33" s="4">
        <v>600000</v>
      </c>
    </row>
    <row r="34" spans="1:13" x14ac:dyDescent="0.2">
      <c r="A34" t="s">
        <v>66</v>
      </c>
      <c r="L34" s="4"/>
      <c r="M34" s="4">
        <v>-13000</v>
      </c>
    </row>
    <row r="35" spans="1:13" x14ac:dyDescent="0.2">
      <c r="A35" t="s">
        <v>67</v>
      </c>
      <c r="L35" s="4"/>
      <c r="M35" s="4">
        <v>-73353.384334574555</v>
      </c>
    </row>
    <row r="37" spans="1:13" x14ac:dyDescent="0.2">
      <c r="A37" t="s">
        <v>95</v>
      </c>
      <c r="B37" s="4">
        <f>+SUM(B10:B36)</f>
        <v>-800000</v>
      </c>
      <c r="C37" s="4">
        <f t="shared" ref="C37:M37" si="4">+SUM(C10:C36)</f>
        <v>55592.494358974363</v>
      </c>
      <c r="D37" s="4">
        <f t="shared" si="4"/>
        <v>43431.245513025628</v>
      </c>
      <c r="E37" s="4">
        <f t="shared" si="4"/>
        <v>-504912.52326935832</v>
      </c>
      <c r="F37" s="4">
        <f t="shared" si="4"/>
        <v>-396981.40177266422</v>
      </c>
      <c r="G37" s="4">
        <f t="shared" si="4"/>
        <v>343185.42474719923</v>
      </c>
      <c r="H37" s="4">
        <f t="shared" si="4"/>
        <v>-46391.185732581318</v>
      </c>
      <c r="I37" s="4">
        <f t="shared" si="4"/>
        <v>343809.67025250761</v>
      </c>
      <c r="J37" s="4">
        <f t="shared" si="4"/>
        <v>162204.94402483382</v>
      </c>
      <c r="K37" s="4">
        <f t="shared" si="4"/>
        <v>68126.037257401695</v>
      </c>
      <c r="L37" s="4">
        <f t="shared" si="4"/>
        <v>189853.1885951522</v>
      </c>
      <c r="M37" s="4">
        <f t="shared" si="4"/>
        <v>1974043.2399537147</v>
      </c>
    </row>
    <row r="38" spans="1:13" x14ac:dyDescent="0.2">
      <c r="A38" s="11" t="s">
        <v>166</v>
      </c>
      <c r="B38" s="4">
        <v>0</v>
      </c>
      <c r="C38" s="4">
        <v>1</v>
      </c>
      <c r="D38" s="4">
        <v>2</v>
      </c>
      <c r="E38" s="4">
        <v>3</v>
      </c>
      <c r="F38" s="4">
        <v>4</v>
      </c>
      <c r="G38" s="4">
        <v>5</v>
      </c>
      <c r="H38" s="4">
        <v>6</v>
      </c>
      <c r="I38" s="4">
        <v>7</v>
      </c>
      <c r="J38" s="4">
        <v>8</v>
      </c>
      <c r="K38" s="4">
        <v>9</v>
      </c>
      <c r="L38" s="4">
        <v>10</v>
      </c>
      <c r="M38" s="4">
        <v>11</v>
      </c>
    </row>
    <row r="39" spans="1:13" x14ac:dyDescent="0.2">
      <c r="A39" s="11" t="s">
        <v>167</v>
      </c>
      <c r="B39" s="4">
        <f>-PV($B$141,B38,,B37)</f>
        <v>-800000</v>
      </c>
      <c r="C39" s="4">
        <f t="shared" ref="C39:M39" si="5">-PV($B$141,C38,,C37)</f>
        <v>55592.494358974363</v>
      </c>
      <c r="D39" s="4">
        <f t="shared" si="5"/>
        <v>43431.245513025628</v>
      </c>
      <c r="E39" s="4">
        <f t="shared" si="5"/>
        <v>-504912.52326935832</v>
      </c>
      <c r="F39" s="4">
        <f t="shared" si="5"/>
        <v>-396981.40177266422</v>
      </c>
      <c r="G39" s="4">
        <f t="shared" si="5"/>
        <v>343185.42474719923</v>
      </c>
      <c r="H39" s="4">
        <f t="shared" si="5"/>
        <v>-46391.185732581318</v>
      </c>
      <c r="I39" s="4">
        <f t="shared" si="5"/>
        <v>343809.67025250761</v>
      </c>
      <c r="J39" s="4">
        <f t="shared" si="5"/>
        <v>162204.94402483382</v>
      </c>
      <c r="K39" s="4">
        <f t="shared" si="5"/>
        <v>68126.037257401695</v>
      </c>
      <c r="L39" s="4">
        <f t="shared" si="5"/>
        <v>189853.1885951522</v>
      </c>
      <c r="M39" s="4">
        <f t="shared" si="5"/>
        <v>1974043.2399537147</v>
      </c>
    </row>
    <row r="40" spans="1:13" x14ac:dyDescent="0.2">
      <c r="A40" t="s">
        <v>96</v>
      </c>
      <c r="B40" s="5">
        <v>0.06</v>
      </c>
    </row>
    <row r="41" spans="1:13" x14ac:dyDescent="0.2">
      <c r="A41" t="s">
        <v>97</v>
      </c>
      <c r="B41" s="5">
        <v>0.08</v>
      </c>
    </row>
    <row r="42" spans="1:13" x14ac:dyDescent="0.2">
      <c r="A42" t="s">
        <v>98</v>
      </c>
      <c r="B42" s="4">
        <f>SUM(B39:M39)</f>
        <v>1431961.1339282054</v>
      </c>
    </row>
    <row r="51" spans="1:20" x14ac:dyDescent="0.2">
      <c r="A51" s="3"/>
    </row>
    <row r="52" spans="1:20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20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6" spans="1:20" ht="12.75" customHeight="1" x14ac:dyDescent="0.2"/>
    <row r="57" spans="1:20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20" ht="12.75" customHeight="1" x14ac:dyDescent="0.2">
      <c r="A58" s="4"/>
      <c r="B58" s="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2.75" customHeight="1" x14ac:dyDescent="0.2"/>
    <row r="60" spans="1:20" ht="12.75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2" spans="1:20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4" spans="1:20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2.75" customHeight="1" x14ac:dyDescent="0.2">
      <c r="C65" s="4"/>
      <c r="D65" s="4"/>
      <c r="E65" s="4"/>
      <c r="F65" s="4"/>
      <c r="G65" s="4"/>
      <c r="H65" s="4"/>
      <c r="I65" s="4"/>
    </row>
    <row r="67" spans="1:20" ht="12.75" customHeight="1" x14ac:dyDescent="0.2">
      <c r="C67" s="12"/>
      <c r="D67" s="12"/>
      <c r="E67" s="12"/>
      <c r="F67" s="12"/>
      <c r="G67" s="12"/>
      <c r="H67" s="12"/>
      <c r="I67" s="12"/>
    </row>
    <row r="68" spans="1:20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70" spans="1:20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4" spans="1:20" ht="12.75" customHeight="1" x14ac:dyDescent="0.2">
      <c r="A74" s="3"/>
    </row>
    <row r="75" spans="1:20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2.75" customHeight="1" x14ac:dyDescent="0.2">
      <c r="A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2.75" customHeight="1" x14ac:dyDescent="0.2">
      <c r="A84" s="1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1"/>
      <c r="P84" s="31"/>
      <c r="Q84" s="4"/>
      <c r="R84" s="4"/>
      <c r="S84" s="4"/>
      <c r="T84" s="4"/>
    </row>
    <row r="85" spans="1:20" ht="12.75" customHeight="1" x14ac:dyDescent="0.25">
      <c r="A85" s="1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8"/>
      <c r="P85" s="2"/>
      <c r="Q85" s="2"/>
      <c r="R85" s="4"/>
      <c r="S85" s="4"/>
      <c r="T85" s="4"/>
    </row>
    <row r="86" spans="1:20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8"/>
      <c r="P86" s="15"/>
      <c r="Q86" s="15"/>
      <c r="R86" s="4"/>
      <c r="S86" s="4"/>
      <c r="T86" s="4"/>
    </row>
    <row r="87" spans="1:20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8"/>
      <c r="P87" s="15"/>
      <c r="Q87" s="15"/>
      <c r="R87" s="4"/>
      <c r="S87" s="4"/>
      <c r="T87" s="4"/>
    </row>
    <row r="88" spans="1:20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6"/>
      <c r="P88" s="4"/>
      <c r="Q88" s="4"/>
      <c r="R88" s="4"/>
      <c r="S88" s="4"/>
      <c r="T88" s="4"/>
    </row>
    <row r="89" spans="1:20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8"/>
      <c r="P89" s="4"/>
      <c r="Q89" s="14"/>
      <c r="R89" s="4"/>
      <c r="S89" s="4"/>
      <c r="T89" s="4"/>
    </row>
    <row r="90" spans="1:20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6"/>
      <c r="P90" s="4"/>
      <c r="Q90" s="4"/>
      <c r="R90" s="4"/>
      <c r="S90" s="4"/>
      <c r="T90" s="4"/>
    </row>
    <row r="91" spans="1:20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8"/>
      <c r="P91" s="4"/>
      <c r="Q91" s="4"/>
      <c r="R91" s="4"/>
      <c r="S91" s="4"/>
      <c r="T91" s="4"/>
    </row>
    <row r="92" spans="1:20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8"/>
      <c r="P93" s="18"/>
      <c r="Q93" s="18"/>
      <c r="R93" s="18"/>
      <c r="S93" s="18"/>
      <c r="T93" s="4"/>
    </row>
    <row r="94" spans="1:20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4"/>
      <c r="Q94" s="14"/>
      <c r="R94" s="14"/>
      <c r="S94" s="14"/>
      <c r="T94" s="4"/>
    </row>
    <row r="95" spans="1:20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4"/>
      <c r="Q95" s="14"/>
      <c r="R95" s="14"/>
      <c r="S95" s="14"/>
      <c r="T95" s="4"/>
    </row>
    <row r="96" spans="1:20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"/>
      <c r="Q96" s="1"/>
      <c r="R96" s="1"/>
      <c r="S96" s="14"/>
      <c r="T96" s="4"/>
    </row>
    <row r="97" spans="1:20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"/>
      <c r="Q97" s="1"/>
      <c r="R97" s="1"/>
      <c r="S97" s="14"/>
      <c r="T97" s="4"/>
    </row>
    <row r="98" spans="1:20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4"/>
      <c r="Q98" s="14"/>
      <c r="R98" s="14"/>
      <c r="S98" s="14"/>
      <c r="T98" s="4"/>
    </row>
    <row r="99" spans="1:20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"/>
      <c r="Q99" s="1"/>
      <c r="R99" s="1"/>
      <c r="S99" s="1"/>
      <c r="T99" s="4"/>
    </row>
    <row r="100" spans="1:20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5"/>
      <c r="Q100" s="1"/>
      <c r="R100" s="1"/>
      <c r="S100" s="1"/>
      <c r="T100" s="4"/>
    </row>
    <row r="101" spans="1:20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5"/>
      <c r="Q101" s="1"/>
      <c r="R101" s="1"/>
      <c r="S101" s="20"/>
      <c r="T101" s="4"/>
    </row>
    <row r="102" spans="1:20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2.75" customHeight="1" x14ac:dyDescent="0.2"/>
    <row r="105" spans="1:20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2.75" customHeight="1" x14ac:dyDescent="0.2">
      <c r="P106" s="2"/>
    </row>
    <row r="107" spans="1:20" ht="12.75" customHeight="1" x14ac:dyDescent="0.2">
      <c r="P107" s="15"/>
    </row>
    <row r="108" spans="1:20" ht="12.75" customHeight="1" x14ac:dyDescent="0.2">
      <c r="A108" s="3"/>
      <c r="P108" s="19"/>
    </row>
    <row r="109" spans="1:20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9" spans="1:20" ht="12.75" customHeight="1" x14ac:dyDescent="0.2"/>
    <row r="120" spans="1:20" x14ac:dyDescent="0.2">
      <c r="B120" s="21"/>
    </row>
    <row r="121" spans="1:20" x14ac:dyDescent="0.2">
      <c r="B121" s="21"/>
      <c r="P121" s="4"/>
    </row>
    <row r="122" spans="1:20" x14ac:dyDescent="0.2">
      <c r="B122" s="21"/>
      <c r="O122" s="11"/>
    </row>
    <row r="123" spans="1:20" x14ac:dyDescent="0.2">
      <c r="B123" s="21"/>
      <c r="M123" s="12"/>
      <c r="P123" s="4"/>
    </row>
    <row r="124" spans="1:20" x14ac:dyDescent="0.2">
      <c r="B124" s="21"/>
      <c r="M124" s="12"/>
      <c r="N124" s="5"/>
      <c r="O124" s="11"/>
      <c r="P124" s="12"/>
    </row>
    <row r="125" spans="1:20" x14ac:dyDescent="0.2">
      <c r="B125" s="21"/>
      <c r="M125" s="12"/>
      <c r="N125" s="5"/>
      <c r="O125" s="11"/>
      <c r="P125" s="12"/>
    </row>
    <row r="130" spans="1:16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6" x14ac:dyDescent="0.2">
      <c r="C131" s="4"/>
      <c r="D131" s="4"/>
    </row>
    <row r="132" spans="1:16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5" spans="1:16" x14ac:dyDescent="0.2">
      <c r="L135" s="4"/>
    </row>
    <row r="136" spans="1:16" x14ac:dyDescent="0.2">
      <c r="L136" s="4"/>
      <c r="M136" s="4"/>
    </row>
    <row r="137" spans="1:16" x14ac:dyDescent="0.2">
      <c r="L137" s="4"/>
      <c r="M137" s="4"/>
    </row>
    <row r="138" spans="1:16" x14ac:dyDescent="0.2">
      <c r="L138" s="4"/>
      <c r="M138" s="4"/>
    </row>
    <row r="140" spans="1:16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6" x14ac:dyDescent="0.2">
      <c r="A141" s="1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P141" s="5"/>
    </row>
    <row r="142" spans="1:16" x14ac:dyDescent="0.2">
      <c r="A142" s="1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6" x14ac:dyDescent="0.2">
      <c r="B143" s="5"/>
    </row>
    <row r="144" spans="1:16" x14ac:dyDescent="0.2">
      <c r="B144" s="5"/>
    </row>
    <row r="145" spans="1:13" x14ac:dyDescent="0.2">
      <c r="B145" s="4"/>
    </row>
    <row r="147" spans="1:13" x14ac:dyDescent="0.2">
      <c r="B147" s="1"/>
    </row>
    <row r="148" spans="1:13" x14ac:dyDescent="0.2">
      <c r="B148" s="4"/>
    </row>
    <row r="150" spans="1:13" x14ac:dyDescent="0.2">
      <c r="D150" s="4"/>
      <c r="E150" s="4"/>
    </row>
    <row r="151" spans="1:13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1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1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B154" s="1"/>
    </row>
  </sheetData>
  <mergeCells count="1">
    <mergeCell ref="O84:P8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54"/>
  <sheetViews>
    <sheetView topLeftCell="A67" zoomScale="70" zoomScaleNormal="70" workbookViewId="0">
      <selection activeCell="A90" sqref="A90"/>
    </sheetView>
  </sheetViews>
  <sheetFormatPr defaultColWidth="17.140625" defaultRowHeight="12.75" x14ac:dyDescent="0.2"/>
  <cols>
    <col min="1" max="1" width="42.85546875" bestFit="1" customWidth="1"/>
    <col min="2" max="2" width="12.85546875" customWidth="1"/>
    <col min="3" max="5" width="12" bestFit="1" customWidth="1"/>
    <col min="7" max="13" width="12" bestFit="1" customWidth="1"/>
    <col min="14" max="14" width="9" customWidth="1"/>
    <col min="15" max="15" width="17.7109375" customWidth="1"/>
    <col min="16" max="16" width="13.42578125" bestFit="1" customWidth="1"/>
    <col min="17" max="17" width="6.7109375" customWidth="1"/>
    <col min="18" max="18" width="9.5703125" bestFit="1" customWidth="1"/>
    <col min="19" max="19" width="21.7109375" bestFit="1" customWidth="1"/>
    <col min="20" max="20" width="7" bestFit="1" customWidth="1"/>
  </cols>
  <sheetData>
    <row r="1" spans="1:20" ht="12.75" customHeight="1" x14ac:dyDescent="0.2">
      <c r="A1" t="s">
        <v>0</v>
      </c>
    </row>
    <row r="2" spans="1:20" ht="12.75" customHeight="1" x14ac:dyDescent="0.2">
      <c r="A2" s="3" t="s">
        <v>1</v>
      </c>
    </row>
    <row r="3" spans="1:20" ht="12.75" customHeight="1" x14ac:dyDescent="0.2">
      <c r="B3" t="s">
        <v>2</v>
      </c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</row>
    <row r="4" spans="1:20" ht="12.75" customHeight="1" x14ac:dyDescent="0.2">
      <c r="A4" t="s">
        <v>3</v>
      </c>
    </row>
    <row r="5" spans="1:20" ht="12.75" customHeight="1" x14ac:dyDescent="0.2">
      <c r="A5" s="4" t="s">
        <v>4</v>
      </c>
      <c r="B5" s="1">
        <f>3/100</f>
        <v>0.03</v>
      </c>
      <c r="C5" s="4">
        <f>(OutsideNumber!C12*30)*12</f>
        <v>25200</v>
      </c>
      <c r="D5" s="4">
        <f t="shared" ref="D5:H9" si="0">(C5*$B$5)+C5</f>
        <v>25956</v>
      </c>
      <c r="E5" s="4">
        <f t="shared" si="0"/>
        <v>26734.68</v>
      </c>
      <c r="F5" s="4">
        <f t="shared" si="0"/>
        <v>27536.720400000002</v>
      </c>
      <c r="G5" s="4">
        <f t="shared" si="0"/>
        <v>28362.822012000001</v>
      </c>
      <c r="H5" s="4">
        <f t="shared" si="0"/>
        <v>29213.70667236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.75" customHeight="1" x14ac:dyDescent="0.2">
      <c r="A6" s="4" t="s">
        <v>5</v>
      </c>
      <c r="C6" s="4">
        <f>(OutsideNumber!C15*30)*12</f>
        <v>10800</v>
      </c>
      <c r="D6" s="4">
        <f t="shared" si="0"/>
        <v>11124</v>
      </c>
      <c r="E6" s="4">
        <f t="shared" si="0"/>
        <v>11457.72</v>
      </c>
      <c r="F6" s="4">
        <f t="shared" si="0"/>
        <v>11801.451599999999</v>
      </c>
      <c r="G6" s="4">
        <f t="shared" si="0"/>
        <v>12155.495147999998</v>
      </c>
      <c r="H6" s="4">
        <f t="shared" si="0"/>
        <v>12520.160002439998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2.75" customHeight="1" x14ac:dyDescent="0.2">
      <c r="A7" s="4" t="s">
        <v>6</v>
      </c>
      <c r="B7" s="4"/>
      <c r="C7" s="4">
        <f>(OutsideNumber!C13*30)*12</f>
        <v>23400</v>
      </c>
      <c r="D7" s="4">
        <f t="shared" si="0"/>
        <v>24102</v>
      </c>
      <c r="E7" s="4">
        <f t="shared" si="0"/>
        <v>24825.06</v>
      </c>
      <c r="F7" s="4">
        <f t="shared" si="0"/>
        <v>25569.811800000003</v>
      </c>
      <c r="G7" s="4">
        <f t="shared" si="0"/>
        <v>26336.906154000004</v>
      </c>
      <c r="H7" s="4">
        <f t="shared" si="0"/>
        <v>27127.013338620003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2">
      <c r="A8" s="4" t="s">
        <v>7</v>
      </c>
      <c r="B8" s="4"/>
      <c r="C8" s="4">
        <f>(OutsideNumber!C16*30)*12</f>
        <v>3600</v>
      </c>
      <c r="D8" s="4">
        <f t="shared" si="0"/>
        <v>3708</v>
      </c>
      <c r="E8" s="4">
        <f t="shared" si="0"/>
        <v>3819.24</v>
      </c>
      <c r="F8" s="4">
        <f t="shared" si="0"/>
        <v>3933.8172</v>
      </c>
      <c r="G8" s="4">
        <f t="shared" si="0"/>
        <v>4051.8317160000001</v>
      </c>
      <c r="H8" s="4">
        <f t="shared" si="0"/>
        <v>4173.3866674800001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75" customHeight="1" x14ac:dyDescent="0.2">
      <c r="A9" s="7" t="s">
        <v>8</v>
      </c>
      <c r="B9" s="7"/>
      <c r="C9" s="7">
        <f>(OutsideNumber!C14*30)*12</f>
        <v>2880</v>
      </c>
      <c r="D9" s="7">
        <f t="shared" si="0"/>
        <v>2966.4</v>
      </c>
      <c r="E9" s="7">
        <f t="shared" si="0"/>
        <v>3055.3920000000003</v>
      </c>
      <c r="F9" s="7">
        <f t="shared" si="0"/>
        <v>3147.0537600000002</v>
      </c>
      <c r="G9" s="7">
        <f t="shared" si="0"/>
        <v>3241.4653728000003</v>
      </c>
      <c r="H9" s="7">
        <f t="shared" si="0"/>
        <v>3338.7093339840003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8" customFormat="1" ht="12.75" customHeight="1" x14ac:dyDescent="0.2">
      <c r="A10" s="8" t="s">
        <v>9</v>
      </c>
      <c r="B10" s="10">
        <v>0.02</v>
      </c>
      <c r="C10" s="9">
        <v>10</v>
      </c>
      <c r="D10" s="9">
        <f t="shared" ref="D10:H14" si="1">C10+($B$10*C10)</f>
        <v>10.199999999999999</v>
      </c>
      <c r="E10" s="9">
        <f t="shared" si="1"/>
        <v>10.404</v>
      </c>
      <c r="F10" s="9">
        <f t="shared" si="1"/>
        <v>10.612080000000001</v>
      </c>
      <c r="G10" s="9">
        <f t="shared" si="1"/>
        <v>10.824321600000001</v>
      </c>
      <c r="H10" s="9">
        <f t="shared" si="1"/>
        <v>11.040808032000001</v>
      </c>
      <c r="I10" s="9"/>
      <c r="J10" s="9"/>
      <c r="K10" s="9"/>
      <c r="L10" s="9"/>
      <c r="M10" s="9"/>
    </row>
    <row r="11" spans="1:20" s="8" customFormat="1" ht="12.75" customHeight="1" x14ac:dyDescent="0.2">
      <c r="A11" s="8" t="s">
        <v>10</v>
      </c>
      <c r="C11" s="9">
        <v>4</v>
      </c>
      <c r="D11" s="9">
        <f t="shared" si="1"/>
        <v>4.08</v>
      </c>
      <c r="E11" s="9">
        <f t="shared" si="1"/>
        <v>4.1616</v>
      </c>
      <c r="F11" s="9">
        <f t="shared" si="1"/>
        <v>4.2448319999999997</v>
      </c>
      <c r="G11" s="9">
        <f t="shared" si="1"/>
        <v>4.3297286399999999</v>
      </c>
      <c r="H11" s="9">
        <f t="shared" si="1"/>
        <v>4.4163232128000001</v>
      </c>
      <c r="I11" s="9"/>
      <c r="J11" s="9"/>
      <c r="K11" s="9"/>
      <c r="L11" s="9"/>
      <c r="M11" s="9"/>
    </row>
    <row r="12" spans="1:20" s="8" customFormat="1" ht="12.75" customHeight="1" x14ac:dyDescent="0.2">
      <c r="A12" s="8" t="s">
        <v>11</v>
      </c>
      <c r="C12" s="9">
        <v>2</v>
      </c>
      <c r="D12" s="9">
        <f t="shared" si="1"/>
        <v>2.04</v>
      </c>
      <c r="E12" s="9">
        <f t="shared" si="1"/>
        <v>2.0808</v>
      </c>
      <c r="F12" s="9">
        <f t="shared" si="1"/>
        <v>2.1224159999999999</v>
      </c>
      <c r="G12" s="9">
        <f t="shared" si="1"/>
        <v>2.16486432</v>
      </c>
      <c r="H12" s="9">
        <f t="shared" si="1"/>
        <v>2.2081616064</v>
      </c>
      <c r="I12" s="9"/>
      <c r="J12" s="9"/>
      <c r="K12" s="9"/>
      <c r="L12" s="9"/>
      <c r="M12" s="9"/>
    </row>
    <row r="13" spans="1:20" s="8" customFormat="1" ht="12.75" customHeight="1" x14ac:dyDescent="0.2">
      <c r="A13" s="8" t="s">
        <v>12</v>
      </c>
      <c r="C13" s="9">
        <v>6</v>
      </c>
      <c r="D13" s="9">
        <f t="shared" si="1"/>
        <v>6.12</v>
      </c>
      <c r="E13" s="9">
        <f t="shared" si="1"/>
        <v>6.2423999999999999</v>
      </c>
      <c r="F13" s="9">
        <f t="shared" si="1"/>
        <v>6.367248</v>
      </c>
      <c r="G13" s="9">
        <f t="shared" si="1"/>
        <v>6.4945929600000003</v>
      </c>
      <c r="H13" s="9">
        <f t="shared" si="1"/>
        <v>6.6244848192000001</v>
      </c>
      <c r="I13" s="9"/>
      <c r="J13" s="9"/>
      <c r="K13" s="9"/>
      <c r="L13" s="9"/>
      <c r="M13" s="9"/>
    </row>
    <row r="14" spans="1:20" s="8" customFormat="1" ht="12.75" customHeight="1" x14ac:dyDescent="0.2">
      <c r="A14" s="8" t="s">
        <v>13</v>
      </c>
      <c r="C14" s="9">
        <v>8</v>
      </c>
      <c r="D14" s="9">
        <f t="shared" si="1"/>
        <v>8.16</v>
      </c>
      <c r="E14" s="9">
        <f t="shared" si="1"/>
        <v>8.3231999999999999</v>
      </c>
      <c r="F14" s="9">
        <f t="shared" si="1"/>
        <v>8.4896639999999994</v>
      </c>
      <c r="G14" s="9">
        <f t="shared" si="1"/>
        <v>8.6594572799999998</v>
      </c>
      <c r="H14" s="9">
        <f t="shared" si="1"/>
        <v>8.8326464256000001</v>
      </c>
      <c r="I14" s="9"/>
      <c r="J14" s="9"/>
      <c r="K14" s="9"/>
      <c r="L14" s="9"/>
      <c r="M14" s="9"/>
    </row>
    <row r="15" spans="1:20" ht="12.75" customHeight="1" x14ac:dyDescent="0.2">
      <c r="A15" s="8" t="s">
        <v>14</v>
      </c>
      <c r="B15" s="8">
        <v>5.0000000000000001E-3</v>
      </c>
      <c r="C15" s="9">
        <f>C10/2</f>
        <v>5</v>
      </c>
      <c r="D15" s="9">
        <f t="shared" ref="D15:H15" si="2">(C15*$B$15)+C15</f>
        <v>5.0250000000000004</v>
      </c>
      <c r="E15" s="9">
        <f t="shared" si="2"/>
        <v>5.0501250000000004</v>
      </c>
      <c r="F15" s="9">
        <f t="shared" si="2"/>
        <v>5.0753756250000004</v>
      </c>
      <c r="G15" s="9">
        <f t="shared" si="2"/>
        <v>5.1007525031250003</v>
      </c>
      <c r="H15" s="9">
        <f t="shared" si="2"/>
        <v>5.1262562656406256</v>
      </c>
      <c r="I15" s="9"/>
      <c r="J15" s="9"/>
      <c r="K15" s="9"/>
      <c r="L15" s="9"/>
      <c r="M15" s="9"/>
      <c r="N15" s="8"/>
      <c r="O15" s="8"/>
      <c r="P15" s="8"/>
      <c r="Q15" s="8"/>
      <c r="R15" s="8"/>
      <c r="S15" s="8"/>
      <c r="T15" s="8"/>
    </row>
    <row r="16" spans="1:20" ht="12.75" customHeight="1" x14ac:dyDescent="0.2">
      <c r="A16" t="s">
        <v>15</v>
      </c>
      <c r="B16">
        <v>1E-3</v>
      </c>
      <c r="C16" s="6">
        <f>C11/2</f>
        <v>2</v>
      </c>
      <c r="D16" s="6">
        <f t="shared" ref="D16:H16" si="3">(C16*$B$16)+C16</f>
        <v>2.0019999999999998</v>
      </c>
      <c r="E16" s="6">
        <f t="shared" si="3"/>
        <v>2.0040019999999998</v>
      </c>
      <c r="F16" s="6">
        <f t="shared" si="3"/>
        <v>2.0060060019999999</v>
      </c>
      <c r="G16" s="6">
        <f t="shared" si="3"/>
        <v>2.0080120080019999</v>
      </c>
      <c r="H16" s="6">
        <f t="shared" si="3"/>
        <v>2.010020020010002</v>
      </c>
      <c r="I16" s="6"/>
      <c r="J16" s="6"/>
      <c r="K16" s="6"/>
      <c r="L16" s="6"/>
      <c r="M16" s="6"/>
    </row>
    <row r="17" spans="1:13" x14ac:dyDescent="0.2">
      <c r="A17" t="s">
        <v>16</v>
      </c>
      <c r="B17">
        <v>2E-3</v>
      </c>
      <c r="C17" s="6">
        <f>C12/2</f>
        <v>1</v>
      </c>
      <c r="D17" s="6">
        <f t="shared" ref="D17:H17" si="4">(C17*$B$17)+C17</f>
        <v>1.002</v>
      </c>
      <c r="E17" s="6">
        <f t="shared" si="4"/>
        <v>1.0040039999999999</v>
      </c>
      <c r="F17" s="6">
        <f t="shared" si="4"/>
        <v>1.0060120079999999</v>
      </c>
      <c r="G17" s="6">
        <f t="shared" si="4"/>
        <v>1.0080240320159999</v>
      </c>
      <c r="H17" s="6">
        <f t="shared" si="4"/>
        <v>1.010040080080032</v>
      </c>
      <c r="I17" s="6"/>
      <c r="J17" s="6"/>
      <c r="K17" s="6"/>
      <c r="L17" s="6"/>
      <c r="M17" s="6"/>
    </row>
    <row r="18" spans="1:13" x14ac:dyDescent="0.2">
      <c r="A18" t="s">
        <v>17</v>
      </c>
      <c r="B18">
        <v>2E-3</v>
      </c>
      <c r="C18" s="6">
        <f>C13/2</f>
        <v>3</v>
      </c>
      <c r="D18" s="6">
        <f t="shared" ref="D18:H18" si="5">C18+($B$18*C18)</f>
        <v>3.0059999999999998</v>
      </c>
      <c r="E18" s="6">
        <f t="shared" si="5"/>
        <v>3.0120119999999999</v>
      </c>
      <c r="F18" s="6">
        <f t="shared" si="5"/>
        <v>3.0180360239999997</v>
      </c>
      <c r="G18" s="6">
        <f t="shared" si="5"/>
        <v>3.0240720960479996</v>
      </c>
      <c r="H18" s="6">
        <f t="shared" si="5"/>
        <v>3.0301202402400955</v>
      </c>
      <c r="I18" s="6"/>
      <c r="J18" s="6"/>
      <c r="K18" s="6"/>
      <c r="L18" s="6"/>
      <c r="M18" s="6"/>
    </row>
    <row r="19" spans="1:13" x14ac:dyDescent="0.2">
      <c r="A19" t="s">
        <v>18</v>
      </c>
      <c r="B19">
        <v>1E-3</v>
      </c>
      <c r="C19" s="6">
        <f>C14/2</f>
        <v>4</v>
      </c>
      <c r="D19" s="6">
        <f t="shared" ref="D19:H19" si="6">C19+($B$19*C19)</f>
        <v>4.0039999999999996</v>
      </c>
      <c r="E19" s="6">
        <f t="shared" si="6"/>
        <v>4.0080039999999997</v>
      </c>
      <c r="F19" s="6">
        <f t="shared" si="6"/>
        <v>4.0120120039999998</v>
      </c>
      <c r="G19" s="6">
        <f t="shared" si="6"/>
        <v>4.0160240160039997</v>
      </c>
      <c r="H19" s="6">
        <f t="shared" si="6"/>
        <v>4.020040040020004</v>
      </c>
      <c r="I19" s="6"/>
      <c r="J19" s="6"/>
      <c r="K19" s="6"/>
      <c r="L19" s="6"/>
      <c r="M19" s="6"/>
    </row>
    <row r="21" spans="1:13" x14ac:dyDescent="0.2">
      <c r="A21" t="s">
        <v>19</v>
      </c>
      <c r="C21" s="6">
        <f t="shared" ref="C21:H25" si="7">C5*C10</f>
        <v>252000</v>
      </c>
      <c r="D21" s="6">
        <f t="shared" si="7"/>
        <v>264751.19999999995</v>
      </c>
      <c r="E21" s="6">
        <f t="shared" si="7"/>
        <v>278147.61072</v>
      </c>
      <c r="F21" s="6">
        <f t="shared" si="7"/>
        <v>292221.87982243206</v>
      </c>
      <c r="G21" s="6">
        <f t="shared" si="7"/>
        <v>307008.30694144708</v>
      </c>
      <c r="H21" s="6">
        <f t="shared" si="7"/>
        <v>322542.92727268429</v>
      </c>
      <c r="I21" s="6"/>
      <c r="J21" s="6"/>
      <c r="K21" s="6"/>
      <c r="L21" s="6"/>
      <c r="M21" s="6"/>
    </row>
    <row r="22" spans="1:13" x14ac:dyDescent="0.2">
      <c r="A22" t="s">
        <v>20</v>
      </c>
      <c r="C22" s="6">
        <f t="shared" si="7"/>
        <v>43200</v>
      </c>
      <c r="D22" s="6">
        <f t="shared" si="7"/>
        <v>45385.919999999998</v>
      </c>
      <c r="E22" s="6">
        <f t="shared" si="7"/>
        <v>47682.447551999998</v>
      </c>
      <c r="F22" s="6">
        <f t="shared" si="7"/>
        <v>50095.179398131193</v>
      </c>
      <c r="G22" s="6">
        <f t="shared" si="7"/>
        <v>52629.995475676631</v>
      </c>
      <c r="H22" s="6">
        <f t="shared" si="7"/>
        <v>55293.073246745866</v>
      </c>
      <c r="I22" s="6"/>
      <c r="J22" s="6"/>
      <c r="K22" s="6"/>
      <c r="L22" s="6"/>
      <c r="M22" s="6"/>
    </row>
    <row r="23" spans="1:13" x14ac:dyDescent="0.2">
      <c r="A23" t="s">
        <v>21</v>
      </c>
      <c r="C23" s="6">
        <f t="shared" si="7"/>
        <v>46800</v>
      </c>
      <c r="D23" s="6">
        <f t="shared" si="7"/>
        <v>49168.08</v>
      </c>
      <c r="E23" s="6">
        <f t="shared" si="7"/>
        <v>51655.984848</v>
      </c>
      <c r="F23" s="6">
        <f t="shared" si="7"/>
        <v>54269.777681308806</v>
      </c>
      <c r="G23" s="6">
        <f t="shared" si="7"/>
        <v>57015.828431983035</v>
      </c>
      <c r="H23" s="6">
        <f t="shared" si="7"/>
        <v>59900.829350641376</v>
      </c>
      <c r="I23" s="6"/>
      <c r="J23" s="6"/>
      <c r="K23" s="6"/>
      <c r="L23" s="6"/>
      <c r="M23" s="6"/>
    </row>
    <row r="24" spans="1:13" x14ac:dyDescent="0.2">
      <c r="A24" t="s">
        <v>22</v>
      </c>
      <c r="C24" s="6">
        <f t="shared" si="7"/>
        <v>21600</v>
      </c>
      <c r="D24" s="6">
        <f t="shared" si="7"/>
        <v>22692.959999999999</v>
      </c>
      <c r="E24" s="6">
        <f t="shared" si="7"/>
        <v>23841.223775999999</v>
      </c>
      <c r="F24" s="6">
        <f t="shared" si="7"/>
        <v>25047.5896990656</v>
      </c>
      <c r="G24" s="6">
        <f t="shared" si="7"/>
        <v>26314.997737838323</v>
      </c>
      <c r="H24" s="6">
        <f t="shared" si="7"/>
        <v>27646.53662337294</v>
      </c>
      <c r="I24" s="6"/>
      <c r="J24" s="6"/>
      <c r="K24" s="6"/>
      <c r="L24" s="6"/>
      <c r="M24" s="6"/>
    </row>
    <row r="25" spans="1:13" x14ac:dyDescent="0.2">
      <c r="A25" t="s">
        <v>23</v>
      </c>
      <c r="C25" s="6">
        <f t="shared" si="7"/>
        <v>23040</v>
      </c>
      <c r="D25" s="6">
        <f t="shared" si="7"/>
        <v>24205.824000000001</v>
      </c>
      <c r="E25" s="6">
        <f t="shared" si="7"/>
        <v>25430.638694400001</v>
      </c>
      <c r="F25" s="6">
        <f t="shared" si="7"/>
        <v>26717.429012336641</v>
      </c>
      <c r="G25" s="6">
        <f t="shared" si="7"/>
        <v>28069.330920360877</v>
      </c>
      <c r="H25" s="6">
        <f t="shared" si="7"/>
        <v>29489.639064931136</v>
      </c>
      <c r="I25" s="6"/>
      <c r="J25" s="6"/>
      <c r="K25" s="6"/>
      <c r="L25" s="6"/>
      <c r="M25" s="6"/>
    </row>
    <row r="27" spans="1:13" x14ac:dyDescent="0.2">
      <c r="A27" t="s">
        <v>24</v>
      </c>
      <c r="C27">
        <v>7</v>
      </c>
      <c r="D27">
        <v>7</v>
      </c>
      <c r="E27">
        <v>7</v>
      </c>
      <c r="F27">
        <v>7</v>
      </c>
      <c r="G27">
        <v>7</v>
      </c>
      <c r="H27">
        <v>7</v>
      </c>
    </row>
    <row r="28" spans="1:13" x14ac:dyDescent="0.2">
      <c r="A28" t="s">
        <v>25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</row>
    <row r="29" spans="1:13" x14ac:dyDescent="0.2">
      <c r="A29" t="s">
        <v>26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</row>
    <row r="30" spans="1:13" x14ac:dyDescent="0.2">
      <c r="A30" t="s">
        <v>27</v>
      </c>
      <c r="B30" s="1">
        <v>0.03</v>
      </c>
      <c r="C30" s="4">
        <f>40000*C28</f>
        <v>40000</v>
      </c>
      <c r="D30" s="2">
        <f t="shared" ref="D30:H30" si="8">C30+($B$30*C30)</f>
        <v>41200</v>
      </c>
      <c r="E30" s="2">
        <f t="shared" si="8"/>
        <v>42436</v>
      </c>
      <c r="F30" s="2">
        <f t="shared" si="8"/>
        <v>43709.08</v>
      </c>
      <c r="G30" s="2">
        <f t="shared" si="8"/>
        <v>45020.352400000003</v>
      </c>
      <c r="H30" s="2">
        <f t="shared" si="8"/>
        <v>46370.962972000001</v>
      </c>
      <c r="I30" s="2"/>
      <c r="J30" s="2"/>
      <c r="K30" s="2"/>
      <c r="L30" s="2"/>
      <c r="M30" s="2"/>
    </row>
    <row r="31" spans="1:13" x14ac:dyDescent="0.2">
      <c r="A31" t="s">
        <v>28</v>
      </c>
      <c r="B31" s="1">
        <v>0.01</v>
      </c>
      <c r="C31" s="4">
        <f>((7.25*15)*52)*C27</f>
        <v>39585</v>
      </c>
      <c r="D31" s="2">
        <f t="shared" ref="D31:H31" si="9">C31+($B$31*C31)</f>
        <v>39980.85</v>
      </c>
      <c r="E31" s="2">
        <f t="shared" si="9"/>
        <v>40380.658499999998</v>
      </c>
      <c r="F31" s="2">
        <f t="shared" si="9"/>
        <v>40784.465084999996</v>
      </c>
      <c r="G31" s="2">
        <f t="shared" si="9"/>
        <v>41192.309735849994</v>
      </c>
      <c r="H31" s="2">
        <f t="shared" si="9"/>
        <v>41604.232833208494</v>
      </c>
      <c r="I31" s="2"/>
      <c r="J31" s="2"/>
      <c r="K31" s="2"/>
      <c r="L31" s="2"/>
      <c r="M31" s="2"/>
    </row>
    <row r="32" spans="1:13" x14ac:dyDescent="0.2">
      <c r="A32" t="s">
        <v>29</v>
      </c>
      <c r="B32" s="1">
        <v>0.02</v>
      </c>
      <c r="C32" s="4">
        <f>((9*20)*52)*C29</f>
        <v>18720</v>
      </c>
      <c r="D32" s="2">
        <f t="shared" ref="D32:H32" si="10">C32+($B$32*C32)</f>
        <v>19094.400000000001</v>
      </c>
      <c r="E32" s="2">
        <f t="shared" si="10"/>
        <v>19476.288</v>
      </c>
      <c r="F32" s="2">
        <f t="shared" si="10"/>
        <v>19865.813760000001</v>
      </c>
      <c r="G32" s="2">
        <f t="shared" si="10"/>
        <v>20263.1300352</v>
      </c>
      <c r="H32" s="2">
        <f t="shared" si="10"/>
        <v>20668.392635904002</v>
      </c>
      <c r="I32" s="2"/>
      <c r="J32" s="2"/>
      <c r="K32" s="2"/>
      <c r="L32" s="2"/>
      <c r="M32" s="2"/>
    </row>
    <row r="33" spans="1:13" x14ac:dyDescent="0.2">
      <c r="A33" t="s">
        <v>30</v>
      </c>
      <c r="B33" s="1">
        <f>+Q75</f>
        <v>0.4</v>
      </c>
    </row>
    <row r="34" spans="1:13" x14ac:dyDescent="0.2">
      <c r="A34" t="s">
        <v>31</v>
      </c>
      <c r="B34" s="14">
        <v>4.4999999999999998E-2</v>
      </c>
    </row>
    <row r="35" spans="1:13" x14ac:dyDescent="0.2">
      <c r="A35" t="s">
        <v>32</v>
      </c>
      <c r="B35">
        <v>300000</v>
      </c>
    </row>
    <row r="36" spans="1:13" x14ac:dyDescent="0.2">
      <c r="A36" t="s">
        <v>33</v>
      </c>
      <c r="B36">
        <v>500000</v>
      </c>
    </row>
    <row r="37" spans="1:13" x14ac:dyDescent="0.2">
      <c r="A37" t="s">
        <v>34</v>
      </c>
      <c r="B37">
        <v>100000</v>
      </c>
    </row>
    <row r="39" spans="1:13" x14ac:dyDescent="0.2">
      <c r="A39" t="s">
        <v>35</v>
      </c>
    </row>
    <row r="40" spans="1:13" x14ac:dyDescent="0.2">
      <c r="A40" t="s">
        <v>36</v>
      </c>
    </row>
    <row r="41" spans="1:13" x14ac:dyDescent="0.2">
      <c r="A41" t="s">
        <v>37</v>
      </c>
    </row>
    <row r="42" spans="1:13" x14ac:dyDescent="0.2">
      <c r="A42" t="s">
        <v>38</v>
      </c>
    </row>
    <row r="43" spans="1:13" x14ac:dyDescent="0.2">
      <c r="A43" t="s">
        <v>39</v>
      </c>
    </row>
    <row r="44" spans="1:13" x14ac:dyDescent="0.2">
      <c r="C44">
        <v>2014</v>
      </c>
      <c r="D44">
        <v>2015</v>
      </c>
      <c r="E44">
        <v>2016</v>
      </c>
      <c r="F44">
        <v>2017</v>
      </c>
      <c r="G44">
        <v>2018</v>
      </c>
      <c r="H44">
        <v>2019</v>
      </c>
    </row>
    <row r="45" spans="1:13" x14ac:dyDescent="0.2">
      <c r="A45" s="3" t="s">
        <v>40</v>
      </c>
    </row>
    <row r="46" spans="1:13" x14ac:dyDescent="0.2">
      <c r="A46" t="s">
        <v>41</v>
      </c>
      <c r="C46" s="4">
        <f t="shared" ref="C46:H46" si="11">SUM(C21:C25)</f>
        <v>386640</v>
      </c>
      <c r="D46" s="4">
        <f t="shared" si="11"/>
        <v>406203.984</v>
      </c>
      <c r="E46" s="4">
        <f t="shared" si="11"/>
        <v>426757.90559040004</v>
      </c>
      <c r="F46" s="4">
        <f t="shared" si="11"/>
        <v>448351.85561327433</v>
      </c>
      <c r="G46" s="4">
        <f t="shared" si="11"/>
        <v>471038.45950730587</v>
      </c>
      <c r="H46" s="4">
        <f t="shared" si="11"/>
        <v>494873.00555837556</v>
      </c>
      <c r="I46" s="4"/>
      <c r="J46" s="4"/>
      <c r="K46" s="4"/>
      <c r="L46" s="4"/>
      <c r="M46" s="4"/>
    </row>
    <row r="47" spans="1:13" x14ac:dyDescent="0.2">
      <c r="A47" t="s">
        <v>42</v>
      </c>
      <c r="C47" s="4">
        <f t="shared" ref="C47:H47" si="12">((((C15*C5)+(C16*C6))+(C17*C7))+(C18*C8))+(C19*C9)</f>
        <v>193320</v>
      </c>
      <c r="D47" s="4">
        <f t="shared" si="12"/>
        <v>199873.0656</v>
      </c>
      <c r="E47" s="4">
        <f t="shared" si="12"/>
        <v>206648.849239128</v>
      </c>
      <c r="F47" s="4">
        <f t="shared" si="12"/>
        <v>213654.939449397</v>
      </c>
      <c r="G47" s="4">
        <f t="shared" si="12"/>
        <v>220899.18394042202</v>
      </c>
      <c r="H47" s="4">
        <f t="shared" si="12"/>
        <v>228389.69847136104</v>
      </c>
      <c r="I47" s="4"/>
      <c r="J47" s="4"/>
      <c r="K47" s="4"/>
      <c r="L47" s="4"/>
      <c r="M47" s="4"/>
    </row>
    <row r="50" spans="1:20" ht="12.75" customHeight="1" x14ac:dyDescent="0.2">
      <c r="A50" t="s">
        <v>43</v>
      </c>
    </row>
    <row r="51" spans="1:20" ht="12.75" customHeight="1" x14ac:dyDescent="0.2">
      <c r="A51" t="s">
        <v>44</v>
      </c>
      <c r="C51" s="4">
        <f t="shared" ref="C51:H51" si="13">SUM(C30:C32)</f>
        <v>98305</v>
      </c>
      <c r="D51" s="4">
        <f t="shared" si="13"/>
        <v>100275.25</v>
      </c>
      <c r="E51" s="4">
        <f t="shared" si="13"/>
        <v>102292.94649999999</v>
      </c>
      <c r="F51" s="4">
        <f t="shared" si="13"/>
        <v>104359.358845</v>
      </c>
      <c r="G51" s="4">
        <f t="shared" si="13"/>
        <v>106475.79217104999</v>
      </c>
      <c r="H51" s="4">
        <f t="shared" si="13"/>
        <v>108643.5884411125</v>
      </c>
      <c r="I51" s="4"/>
      <c r="J51" s="4"/>
      <c r="K51" s="4"/>
      <c r="L51" s="4"/>
      <c r="M51" s="4"/>
    </row>
    <row r="52" spans="1:20" ht="12.75" customHeight="1" x14ac:dyDescent="0.2">
      <c r="A52" s="4" t="s">
        <v>45</v>
      </c>
      <c r="B52" s="1">
        <v>0.03</v>
      </c>
      <c r="C52" s="4">
        <f t="shared" ref="C52:H52" si="14">C46*$B$52</f>
        <v>11599.199999999999</v>
      </c>
      <c r="D52" s="4">
        <f t="shared" si="14"/>
        <v>12186.11952</v>
      </c>
      <c r="E52" s="4">
        <f t="shared" si="14"/>
        <v>12802.737167712001</v>
      </c>
      <c r="F52" s="4">
        <f t="shared" si="14"/>
        <v>13450.555668398229</v>
      </c>
      <c r="G52" s="4">
        <f t="shared" si="14"/>
        <v>14131.153785219176</v>
      </c>
      <c r="H52" s="4">
        <f t="shared" si="14"/>
        <v>14846.190166751267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2.75" customHeight="1" x14ac:dyDescent="0.2">
      <c r="A53" t="s">
        <v>46</v>
      </c>
      <c r="C53">
        <f>OutsideNumber!B37</f>
        <v>6000</v>
      </c>
      <c r="D53">
        <v>6000</v>
      </c>
      <c r="E53">
        <v>6000</v>
      </c>
      <c r="F53">
        <v>6000</v>
      </c>
      <c r="G53">
        <v>6000</v>
      </c>
      <c r="H53">
        <v>6000</v>
      </c>
    </row>
    <row r="54" spans="1:20" ht="12.75" customHeight="1" x14ac:dyDescent="0.2">
      <c r="A54" s="4" t="s">
        <v>47</v>
      </c>
      <c r="B54" s="5">
        <v>0.05</v>
      </c>
      <c r="C54" s="4">
        <f t="shared" ref="C54:H54" si="15">$B$54*C46</f>
        <v>19332</v>
      </c>
      <c r="D54" s="4">
        <f t="shared" si="15"/>
        <v>20310.199200000003</v>
      </c>
      <c r="E54" s="4">
        <f t="shared" si="15"/>
        <v>21337.895279520002</v>
      </c>
      <c r="F54" s="4">
        <f t="shared" si="15"/>
        <v>22417.592780663719</v>
      </c>
      <c r="G54" s="4">
        <f t="shared" si="15"/>
        <v>23551.922975365294</v>
      </c>
      <c r="H54" s="4">
        <f t="shared" si="15"/>
        <v>24743.650277918779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6" spans="1:20" ht="12.75" customHeight="1" x14ac:dyDescent="0.2">
      <c r="A56" s="4" t="s">
        <v>48</v>
      </c>
      <c r="B56" s="4"/>
      <c r="C56" s="4">
        <f t="shared" ref="C56:H56" si="16">((((C46-C47)-C51)-C52)-C53)-C54</f>
        <v>58083.8</v>
      </c>
      <c r="D56" s="4">
        <f t="shared" si="16"/>
        <v>67559.349679999985</v>
      </c>
      <c r="E56" s="4">
        <f t="shared" si="16"/>
        <v>77675.477404040052</v>
      </c>
      <c r="F56" s="4">
        <f t="shared" si="16"/>
        <v>88469.408869815379</v>
      </c>
      <c r="G56" s="4">
        <f t="shared" si="16"/>
        <v>99980.406635249397</v>
      </c>
      <c r="H56" s="4">
        <f t="shared" si="16"/>
        <v>112249.878201232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8" spans="1:20" ht="12.75" customHeight="1" x14ac:dyDescent="0.2">
      <c r="A58" s="4" t="s">
        <v>49</v>
      </c>
      <c r="B58" s="4"/>
      <c r="C58" s="4">
        <f>OutsideNumber!B2/39</f>
        <v>3205.1282051282051</v>
      </c>
      <c r="D58" s="4">
        <f t="shared" ref="D58:H58" si="17">C58</f>
        <v>3205.1282051282051</v>
      </c>
      <c r="E58" s="4">
        <f t="shared" si="17"/>
        <v>3205.1282051282051</v>
      </c>
      <c r="F58" s="4">
        <f t="shared" si="17"/>
        <v>3205.1282051282051</v>
      </c>
      <c r="G58" s="4">
        <f t="shared" si="17"/>
        <v>3205.1282051282051</v>
      </c>
      <c r="H58" s="4">
        <f t="shared" si="17"/>
        <v>3205.1282051282051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2.75" customHeight="1" x14ac:dyDescent="0.2">
      <c r="A59" t="s">
        <v>50</v>
      </c>
      <c r="C59" s="4">
        <f t="shared" ref="C59:H59" si="18">$B$37/7</f>
        <v>14285.714285714286</v>
      </c>
      <c r="D59" s="4">
        <f t="shared" si="18"/>
        <v>14285.714285714286</v>
      </c>
      <c r="E59" s="4">
        <f t="shared" si="18"/>
        <v>14285.714285714286</v>
      </c>
      <c r="F59" s="4">
        <f t="shared" si="18"/>
        <v>14285.714285714286</v>
      </c>
      <c r="G59" s="4">
        <f t="shared" si="18"/>
        <v>14285.714285714286</v>
      </c>
      <c r="H59" s="4">
        <f t="shared" si="18"/>
        <v>14285.714285714286</v>
      </c>
      <c r="I59" s="4"/>
    </row>
    <row r="61" spans="1:20" ht="12.75" customHeight="1" x14ac:dyDescent="0.2">
      <c r="A61" t="s">
        <v>51</v>
      </c>
      <c r="C61" s="12">
        <f>C89*$B$34</f>
        <v>1684.4189800387073</v>
      </c>
      <c r="D61" s="12">
        <f t="shared" ref="D61:H61" si="19">D89*$B$34</f>
        <v>2332.4309450922856</v>
      </c>
      <c r="E61" s="12">
        <f t="shared" si="19"/>
        <v>6051.9170032742777</v>
      </c>
      <c r="F61" s="12">
        <f t="shared" si="19"/>
        <v>14068.333634506866</v>
      </c>
      <c r="G61" s="12">
        <f t="shared" si="19"/>
        <v>4316.4733041438431</v>
      </c>
      <c r="H61" s="12">
        <f t="shared" si="19"/>
        <v>11920.72197418131</v>
      </c>
      <c r="I61" s="12"/>
    </row>
    <row r="62" spans="1:20" ht="12.75" customHeight="1" x14ac:dyDescent="0.2">
      <c r="A62" s="4" t="s">
        <v>52</v>
      </c>
      <c r="B62" s="4"/>
      <c r="C62" s="4">
        <f>Mortgage!D14</f>
        <v>13400.991078678175</v>
      </c>
      <c r="D62" s="4">
        <f>Mortgage!D28</f>
        <v>13178.657022777788</v>
      </c>
      <c r="E62" s="4">
        <f>Mortgage!D42</f>
        <v>12946.108979248769</v>
      </c>
      <c r="F62" s="4">
        <f>Mortgage!D56</f>
        <v>12702.877719286495</v>
      </c>
      <c r="G62" s="4">
        <f>Mortgage!D70</f>
        <v>12448.47245779715</v>
      </c>
      <c r="H62" s="4">
        <f>Mortgage!D84</f>
        <v>12182.379863105578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4" spans="1:20" ht="12.75" customHeight="1" x14ac:dyDescent="0.2">
      <c r="A64" s="4" t="s">
        <v>53</v>
      </c>
      <c r="B64" s="4"/>
      <c r="C64" s="4">
        <f t="shared" ref="C64:H64" si="20">((C56-C58)-C61)-C62</f>
        <v>39793.261736154913</v>
      </c>
      <c r="D64" s="4">
        <f t="shared" si="20"/>
        <v>48843.133507001708</v>
      </c>
      <c r="E64" s="4">
        <f t="shared" si="20"/>
        <v>55472.323216388795</v>
      </c>
      <c r="F64" s="4">
        <f t="shared" si="20"/>
        <v>58493.069310893814</v>
      </c>
      <c r="G64" s="4">
        <f t="shared" si="20"/>
        <v>80010.332668180199</v>
      </c>
      <c r="H64" s="4">
        <f t="shared" si="20"/>
        <v>84941.648158816897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2.75" customHeight="1" x14ac:dyDescent="0.2">
      <c r="A65" s="4" t="s">
        <v>54</v>
      </c>
      <c r="B65" s="4"/>
      <c r="C65" s="4">
        <f t="shared" ref="C65:H65" si="21">C64*$B$33</f>
        <v>15917.304694461965</v>
      </c>
      <c r="D65" s="4">
        <f t="shared" si="21"/>
        <v>19537.253402800685</v>
      </c>
      <c r="E65" s="4">
        <f t="shared" si="21"/>
        <v>22188.929286555518</v>
      </c>
      <c r="F65" s="4">
        <f t="shared" si="21"/>
        <v>23397.227724357526</v>
      </c>
      <c r="G65" s="4">
        <f t="shared" si="21"/>
        <v>32004.13306727208</v>
      </c>
      <c r="H65" s="4">
        <f t="shared" si="21"/>
        <v>33976.659263526759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2.75" customHeight="1" x14ac:dyDescent="0.2">
      <c r="A66" s="4" t="s">
        <v>55</v>
      </c>
      <c r="B66" s="4"/>
      <c r="C66" s="4">
        <f t="shared" ref="C66:H66" si="22">C64-C65</f>
        <v>23875.957041692949</v>
      </c>
      <c r="D66" s="4">
        <f t="shared" si="22"/>
        <v>29305.880104201024</v>
      </c>
      <c r="E66" s="4">
        <f t="shared" si="22"/>
        <v>33283.393929833277</v>
      </c>
      <c r="F66" s="4">
        <f t="shared" si="22"/>
        <v>35095.841586536291</v>
      </c>
      <c r="G66" s="4">
        <f t="shared" si="22"/>
        <v>48006.199600908119</v>
      </c>
      <c r="H66" s="4">
        <f t="shared" si="22"/>
        <v>50964.988895290138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8" spans="1:20" ht="12.75" customHeight="1" x14ac:dyDescent="0.2">
      <c r="A68" s="3" t="s">
        <v>56</v>
      </c>
    </row>
    <row r="69" spans="1:20" ht="12.75" customHeight="1" x14ac:dyDescent="0.2">
      <c r="A69" s="4" t="s">
        <v>57</v>
      </c>
      <c r="B69" s="4"/>
      <c r="C69" s="4"/>
      <c r="D69" s="4"/>
      <c r="E69" s="4"/>
      <c r="F69" s="4"/>
      <c r="G69" s="4"/>
      <c r="H69" s="4"/>
      <c r="I69" s="4"/>
      <c r="J69" s="2">
        <v>0.8</v>
      </c>
      <c r="K69" s="2"/>
      <c r="L69" s="2">
        <v>0.4</v>
      </c>
      <c r="M69" s="4"/>
      <c r="N69" s="4"/>
      <c r="O69" s="4"/>
      <c r="P69" s="4"/>
      <c r="Q69" s="4"/>
      <c r="R69" s="4"/>
      <c r="S69" s="4"/>
      <c r="T69" s="4"/>
    </row>
    <row r="70" spans="1:20" ht="12.75" customHeight="1" x14ac:dyDescent="0.2">
      <c r="A70" s="4" t="s">
        <v>58</v>
      </c>
      <c r="B70" s="4"/>
      <c r="C70" s="4">
        <v>1000</v>
      </c>
      <c r="D70" s="4">
        <v>1000</v>
      </c>
      <c r="E70" s="4">
        <v>1000</v>
      </c>
      <c r="F70" s="4">
        <v>1000</v>
      </c>
      <c r="G70" s="4">
        <v>1000</v>
      </c>
      <c r="H70" s="4">
        <v>1000</v>
      </c>
      <c r="I70" s="4"/>
      <c r="J70" s="4"/>
      <c r="K70" s="4"/>
      <c r="L70" s="4">
        <f>+H70</f>
        <v>1000</v>
      </c>
      <c r="M70" s="4"/>
      <c r="N70" s="4"/>
      <c r="O70" s="4"/>
      <c r="P70" s="4"/>
      <c r="Q70" s="4"/>
      <c r="R70" s="4"/>
      <c r="S70" s="4"/>
      <c r="T70" s="4"/>
    </row>
    <row r="71" spans="1:20" ht="12.75" customHeight="1" x14ac:dyDescent="0.2">
      <c r="A71" s="4" t="s">
        <v>59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2.75" customHeight="1" x14ac:dyDescent="0.2">
      <c r="A72" s="4" t="s">
        <v>60</v>
      </c>
      <c r="B72" s="4"/>
      <c r="C72" s="4">
        <v>13000</v>
      </c>
      <c r="D72" s="4">
        <f>+C72*1.025</f>
        <v>13324.999999999998</v>
      </c>
      <c r="E72" s="4">
        <f t="shared" ref="E72:H72" si="23">+D72*1.025</f>
        <v>13658.124999999996</v>
      </c>
      <c r="F72" s="4">
        <f t="shared" si="23"/>
        <v>13999.578124999995</v>
      </c>
      <c r="G72" s="4">
        <f t="shared" si="23"/>
        <v>14349.567578124994</v>
      </c>
      <c r="H72" s="4">
        <f t="shared" si="23"/>
        <v>14708.306767578117</v>
      </c>
      <c r="I72" s="4"/>
      <c r="J72" s="4"/>
      <c r="K72" s="4"/>
      <c r="L72" s="4">
        <f>+L69*H72</f>
        <v>5883.3227070312469</v>
      </c>
      <c r="M72" s="4"/>
      <c r="N72" s="4"/>
      <c r="O72" s="4"/>
      <c r="P72" s="4"/>
      <c r="Q72" s="4"/>
      <c r="R72" s="4"/>
      <c r="S72" s="4"/>
      <c r="T72" s="4"/>
    </row>
    <row r="73" spans="1:20" ht="12.75" customHeight="1" x14ac:dyDescent="0.2">
      <c r="A73" s="4" t="s">
        <v>61</v>
      </c>
      <c r="B73">
        <v>0.01</v>
      </c>
      <c r="C73" s="4">
        <f>OutsideNumber!B7</f>
        <v>60000</v>
      </c>
      <c r="D73" s="4">
        <f>C73*1.9</f>
        <v>114000</v>
      </c>
      <c r="E73" s="4">
        <f t="shared" ref="E73:F73" si="24">D73*1.9</f>
        <v>216600</v>
      </c>
      <c r="F73" s="4">
        <f t="shared" si="24"/>
        <v>411540</v>
      </c>
      <c r="G73" s="4">
        <f>+E73</f>
        <v>216600</v>
      </c>
      <c r="H73" s="4">
        <f>+F73</f>
        <v>411540</v>
      </c>
      <c r="I73" s="4"/>
      <c r="J73" s="4"/>
      <c r="K73" s="4"/>
      <c r="L73" s="4">
        <f>+H73*L69</f>
        <v>164616</v>
      </c>
      <c r="M73" s="4"/>
      <c r="N73" s="4"/>
      <c r="O73" s="4"/>
      <c r="P73" s="4"/>
      <c r="Q73" s="4"/>
      <c r="R73" s="4"/>
      <c r="S73" s="4"/>
      <c r="T73" s="4"/>
    </row>
    <row r="74" spans="1:20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2.75" customHeight="1" x14ac:dyDescent="0.2">
      <c r="A75" s="4" t="s">
        <v>33</v>
      </c>
      <c r="B75" s="4"/>
      <c r="C75" s="4">
        <v>100000</v>
      </c>
      <c r="D75" s="4">
        <v>100000</v>
      </c>
      <c r="E75" s="4">
        <v>100000</v>
      </c>
      <c r="F75" s="4">
        <v>100000</v>
      </c>
      <c r="G75" s="4">
        <v>100000</v>
      </c>
      <c r="H75" s="4">
        <v>100000</v>
      </c>
      <c r="I75" s="4"/>
      <c r="J75" s="4">
        <f>+H75*J69</f>
        <v>80000</v>
      </c>
      <c r="K75" s="4"/>
      <c r="L75" s="4"/>
      <c r="M75" s="4"/>
      <c r="N75" s="4"/>
      <c r="O75" s="4"/>
      <c r="P75" s="4"/>
      <c r="Q75" s="15">
        <v>0.4</v>
      </c>
      <c r="R75" s="4"/>
      <c r="S75" s="4"/>
      <c r="T75" s="4"/>
    </row>
    <row r="76" spans="1:20" ht="12.75" customHeight="1" x14ac:dyDescent="0.2">
      <c r="A76" s="4" t="s">
        <v>62</v>
      </c>
      <c r="B76" s="4"/>
      <c r="C76" s="4">
        <v>125000</v>
      </c>
      <c r="D76" s="4">
        <f t="shared" ref="D76:H76" si="25">C76</f>
        <v>125000</v>
      </c>
      <c r="E76" s="4">
        <f t="shared" si="25"/>
        <v>125000</v>
      </c>
      <c r="F76" s="4">
        <f t="shared" si="25"/>
        <v>125000</v>
      </c>
      <c r="G76" s="4">
        <f t="shared" si="25"/>
        <v>125000</v>
      </c>
      <c r="H76" s="4">
        <f t="shared" si="25"/>
        <v>125000</v>
      </c>
      <c r="I76" s="4"/>
      <c r="J76" s="4">
        <f>+H76*J69</f>
        <v>100000</v>
      </c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2.75" customHeight="1" x14ac:dyDescent="0.2">
      <c r="A77" s="4" t="s">
        <v>34</v>
      </c>
      <c r="B77" s="4"/>
      <c r="C77" s="4">
        <f t="shared" ref="C77:H77" si="26">$B$37</f>
        <v>100000</v>
      </c>
      <c r="D77" s="4">
        <f t="shared" si="26"/>
        <v>100000</v>
      </c>
      <c r="E77" s="4">
        <f t="shared" si="26"/>
        <v>100000</v>
      </c>
      <c r="F77" s="4">
        <f t="shared" si="26"/>
        <v>100000</v>
      </c>
      <c r="G77" s="4">
        <f t="shared" si="26"/>
        <v>100000</v>
      </c>
      <c r="H77" s="4">
        <f t="shared" si="26"/>
        <v>100000</v>
      </c>
      <c r="I77" s="4"/>
      <c r="J77" s="4">
        <f>+H77*J69</f>
        <v>80000</v>
      </c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2.75" customHeight="1" x14ac:dyDescent="0.2">
      <c r="A78" s="13" t="s">
        <v>171</v>
      </c>
      <c r="B78" s="4"/>
      <c r="C78" s="4">
        <f>C58</f>
        <v>3205.1282051282051</v>
      </c>
      <c r="D78" s="4">
        <f>+C78+D58</f>
        <v>6410.2564102564102</v>
      </c>
      <c r="E78" s="4">
        <f t="shared" ref="E78:H78" si="27">+D78+E58</f>
        <v>9615.3846153846152</v>
      </c>
      <c r="F78" s="4">
        <f t="shared" si="27"/>
        <v>12820.51282051282</v>
      </c>
      <c r="G78" s="4">
        <f t="shared" si="27"/>
        <v>16025.641025641025</v>
      </c>
      <c r="H78" s="4">
        <f t="shared" si="27"/>
        <v>19230.76923076923</v>
      </c>
      <c r="I78" s="4"/>
      <c r="J78" s="4"/>
      <c r="K78" s="4"/>
      <c r="L78" s="4"/>
      <c r="M78" s="4"/>
      <c r="N78" s="4"/>
      <c r="O78" s="31" t="s">
        <v>173</v>
      </c>
      <c r="P78" s="31"/>
      <c r="Q78" s="4"/>
      <c r="R78" s="4"/>
      <c r="S78" s="4"/>
      <c r="T78" s="4"/>
    </row>
    <row r="79" spans="1:20" ht="12.75" customHeight="1" x14ac:dyDescent="0.25">
      <c r="A79" s="13" t="s">
        <v>172</v>
      </c>
      <c r="B79" s="4"/>
      <c r="C79" s="4">
        <f>+C59</f>
        <v>14285.714285714286</v>
      </c>
      <c r="D79" s="4">
        <f>+D59+C79</f>
        <v>28571.428571428572</v>
      </c>
      <c r="E79" s="4">
        <f t="shared" ref="E79:H79" si="28">+E59+D79</f>
        <v>42857.142857142855</v>
      </c>
      <c r="F79" s="4">
        <f t="shared" si="28"/>
        <v>57142.857142857145</v>
      </c>
      <c r="G79" s="4">
        <f t="shared" si="28"/>
        <v>71428.571428571435</v>
      </c>
      <c r="H79" s="4">
        <f t="shared" si="28"/>
        <v>85714.285714285725</v>
      </c>
      <c r="I79" s="4"/>
      <c r="J79" s="4"/>
      <c r="K79" s="4"/>
      <c r="L79" s="4"/>
      <c r="M79" s="4"/>
      <c r="N79" s="4"/>
      <c r="O79" s="18" t="s">
        <v>174</v>
      </c>
      <c r="P79" s="2"/>
      <c r="Q79" s="2">
        <v>1.9978554297662419</v>
      </c>
      <c r="R79" s="4"/>
      <c r="S79" s="4"/>
      <c r="T79" s="4"/>
    </row>
    <row r="80" spans="1:20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 t="s">
        <v>195</v>
      </c>
      <c r="K80" s="4"/>
      <c r="L80" s="4" t="s">
        <v>193</v>
      </c>
      <c r="M80" s="4"/>
      <c r="N80" s="4"/>
      <c r="O80" s="18" t="s">
        <v>175</v>
      </c>
      <c r="P80" s="15"/>
      <c r="Q80" s="15">
        <v>0.04</v>
      </c>
      <c r="R80" s="4"/>
      <c r="S80" s="4"/>
      <c r="T80" s="4"/>
    </row>
    <row r="81" spans="1:20" ht="12.75" customHeight="1" x14ac:dyDescent="0.25">
      <c r="A81" s="4" t="s">
        <v>63</v>
      </c>
      <c r="B81" s="4"/>
      <c r="C81" s="4">
        <f>SUM(C69:C77)-C78-C79</f>
        <v>381509.15750915755</v>
      </c>
      <c r="D81" s="4">
        <f t="shared" ref="D81:H81" si="29">SUM(D69:D77)-D78-D79</f>
        <v>418343.31501831498</v>
      </c>
      <c r="E81" s="4">
        <f t="shared" si="29"/>
        <v>503785.59752747254</v>
      </c>
      <c r="F81" s="4">
        <f t="shared" si="29"/>
        <v>681576.20816162997</v>
      </c>
      <c r="G81" s="4">
        <f t="shared" si="29"/>
        <v>469495.35512391262</v>
      </c>
      <c r="H81" s="4">
        <f t="shared" si="29"/>
        <v>647303.25182252319</v>
      </c>
      <c r="I81" s="4"/>
      <c r="J81" s="22">
        <f>+J77+J76+J75</f>
        <v>260000</v>
      </c>
      <c r="K81" s="4"/>
      <c r="L81" s="22">
        <f>+L73+L72+L70</f>
        <v>171499.32270703124</v>
      </c>
      <c r="M81" s="4"/>
      <c r="N81" s="4"/>
      <c r="O81" s="18" t="s">
        <v>176</v>
      </c>
      <c r="P81" s="15"/>
      <c r="Q81" s="15">
        <v>0.12</v>
      </c>
      <c r="R81" s="4"/>
      <c r="S81" s="4"/>
      <c r="T81" s="4"/>
    </row>
    <row r="82" spans="1:20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6"/>
      <c r="P82" s="4"/>
      <c r="Q82" s="4"/>
      <c r="R82" s="4"/>
      <c r="S82" s="4"/>
      <c r="T82" s="4"/>
    </row>
    <row r="83" spans="1:20" ht="12.75" customHeight="1" x14ac:dyDescent="0.25">
      <c r="A83" s="4" t="s">
        <v>64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8" t="s">
        <v>177</v>
      </c>
      <c r="P83" s="4"/>
      <c r="Q83" s="20">
        <f>+Q79*(Q81-Q80)+Q80</f>
        <v>0.19982843438129932</v>
      </c>
      <c r="R83" s="4"/>
      <c r="S83" s="4"/>
      <c r="T83" s="4"/>
    </row>
    <row r="84" spans="1:20" ht="12.75" customHeight="1" x14ac:dyDescent="0.2">
      <c r="A84" s="4" t="s">
        <v>65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6"/>
      <c r="P84" s="4"/>
      <c r="Q84" s="4"/>
      <c r="R84" s="4"/>
      <c r="S84" s="4"/>
      <c r="T84" s="4"/>
    </row>
    <row r="85" spans="1:20" ht="12.75" customHeight="1" x14ac:dyDescent="0.25">
      <c r="A85" s="4" t="s">
        <v>66</v>
      </c>
      <c r="B85" s="4"/>
      <c r="C85" s="4">
        <v>13000</v>
      </c>
      <c r="D85" s="4">
        <v>13000</v>
      </c>
      <c r="E85" s="4">
        <v>13000</v>
      </c>
      <c r="F85" s="4">
        <v>13000</v>
      </c>
      <c r="G85" s="4">
        <v>13000</v>
      </c>
      <c r="H85" s="4">
        <v>13000</v>
      </c>
      <c r="I85" s="4"/>
      <c r="J85" s="4"/>
      <c r="K85" s="4"/>
      <c r="L85" s="4">
        <f>+-H85</f>
        <v>-13000</v>
      </c>
      <c r="M85" s="4"/>
      <c r="N85" s="4"/>
      <c r="O85" s="18"/>
      <c r="P85" s="4"/>
      <c r="Q85" s="4"/>
      <c r="R85" s="4"/>
      <c r="S85" s="4"/>
      <c r="T85" s="4"/>
    </row>
    <row r="86" spans="1:20" ht="12.75" customHeight="1" x14ac:dyDescent="0.2">
      <c r="A86" s="4" t="s">
        <v>67</v>
      </c>
      <c r="B86" s="4"/>
      <c r="C86" s="4">
        <f t="shared" ref="C86:H86" si="30">C65</f>
        <v>15917.304694461965</v>
      </c>
      <c r="D86" s="4">
        <f t="shared" si="30"/>
        <v>19537.253402800685</v>
      </c>
      <c r="E86" s="4">
        <f t="shared" si="30"/>
        <v>22188.929286555518</v>
      </c>
      <c r="F86" s="4">
        <f t="shared" si="30"/>
        <v>23397.227724357526</v>
      </c>
      <c r="G86" s="4">
        <f t="shared" si="30"/>
        <v>32004.13306727208</v>
      </c>
      <c r="H86" s="4">
        <f t="shared" si="30"/>
        <v>33976.659263526759</v>
      </c>
      <c r="I86" s="4"/>
      <c r="J86" s="4"/>
      <c r="K86" s="4"/>
      <c r="L86" s="4">
        <f>+-H86</f>
        <v>-33976.659263526759</v>
      </c>
      <c r="M86" s="4"/>
      <c r="N86" s="4"/>
      <c r="O86" s="4"/>
      <c r="P86" s="4"/>
      <c r="Q86" s="4"/>
      <c r="R86" s="4"/>
      <c r="S86" s="4"/>
      <c r="T86" s="4"/>
    </row>
    <row r="87" spans="1:20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>
        <f>+J81</f>
        <v>260000</v>
      </c>
      <c r="K87" s="4"/>
      <c r="L87" s="22">
        <f>+L86+L85+L81</f>
        <v>124522.66344350448</v>
      </c>
      <c r="M87" s="4"/>
      <c r="N87" s="4"/>
      <c r="O87" s="18" t="s">
        <v>178</v>
      </c>
      <c r="P87" s="18" t="s">
        <v>179</v>
      </c>
      <c r="Q87" s="18" t="s">
        <v>180</v>
      </c>
      <c r="R87" s="18" t="s">
        <v>181</v>
      </c>
      <c r="S87" s="18" t="s">
        <v>182</v>
      </c>
      <c r="T87" s="4"/>
    </row>
    <row r="88" spans="1:20" ht="12.75" customHeight="1" x14ac:dyDescent="0.2">
      <c r="A88" s="4" t="s">
        <v>68</v>
      </c>
      <c r="B88" s="4"/>
      <c r="C88" s="4">
        <f>Mortgage!F13</f>
        <v>295160.31992494658</v>
      </c>
      <c r="D88" s="4">
        <f>Mortgage!F27</f>
        <v>290098.30579399277</v>
      </c>
      <c r="E88" s="4">
        <f>Mortgage!F41</f>
        <v>284803.7436195098</v>
      </c>
      <c r="F88" s="4">
        <f>Mortgage!F55</f>
        <v>279265.95018506458</v>
      </c>
      <c r="G88" s="4">
        <f>Mortgage!F69</f>
        <v>273473.75148913002</v>
      </c>
      <c r="H88" s="4">
        <f>Mortgage!F83</f>
        <v>267415.46019850386</v>
      </c>
      <c r="I88" s="4"/>
      <c r="J88" s="4"/>
      <c r="K88" s="4"/>
      <c r="L88" s="4"/>
      <c r="M88" s="4"/>
      <c r="N88" s="4"/>
      <c r="O88" s="4">
        <f>+AVERAGE(C88:M88)</f>
        <v>281702.92186852463</v>
      </c>
      <c r="P88" s="14">
        <f>+O88/O95</f>
        <v>0.55639276436372986</v>
      </c>
      <c r="Q88" s="14">
        <f>+B34</f>
        <v>4.4999999999999998E-2</v>
      </c>
      <c r="R88" s="14">
        <f>+Q88*(1-B33)</f>
        <v>2.7E-2</v>
      </c>
      <c r="S88" s="14">
        <f>+R88*P88</f>
        <v>1.5022604637820706E-2</v>
      </c>
      <c r="T88" s="4"/>
    </row>
    <row r="89" spans="1:20" ht="12.75" customHeight="1" x14ac:dyDescent="0.2">
      <c r="A89" s="4" t="s">
        <v>69</v>
      </c>
      <c r="B89" s="4"/>
      <c r="C89" s="4">
        <v>37431.532889749054</v>
      </c>
      <c r="D89" s="4">
        <v>51831.798779828569</v>
      </c>
      <c r="E89" s="4">
        <v>134487.04451720617</v>
      </c>
      <c r="F89" s="4">
        <v>312629.6363223748</v>
      </c>
      <c r="G89" s="4">
        <v>95921.628980974288</v>
      </c>
      <c r="H89" s="4">
        <v>264904.93275958468</v>
      </c>
      <c r="I89" s="4"/>
      <c r="J89" s="4">
        <f>+H88</f>
        <v>267415.46019850386</v>
      </c>
      <c r="K89" s="4">
        <f>+J87</f>
        <v>260000</v>
      </c>
      <c r="L89" s="4">
        <f>+J89-K89</f>
        <v>7415.4601985038607</v>
      </c>
      <c r="M89" s="15">
        <f>+L89/L91</f>
        <v>2.7230645923917777E-2</v>
      </c>
      <c r="N89" s="4">
        <f>+L89*M89</f>
        <v>201.92777102836365</v>
      </c>
      <c r="O89" s="4">
        <f t="shared" ref="O89:O93" si="31">+AVERAGE(C89:M89)</f>
        <v>143203.75218773715</v>
      </c>
      <c r="P89" s="14">
        <f>+O89/O95</f>
        <v>0.28284240368717373</v>
      </c>
      <c r="Q89" s="14">
        <f>+B34</f>
        <v>4.4999999999999998E-2</v>
      </c>
      <c r="R89" s="14">
        <f>+Q89*(1-B34)</f>
        <v>4.2974999999999999E-2</v>
      </c>
      <c r="S89" s="14">
        <f>+R89*P89</f>
        <v>1.215515229845629E-2</v>
      </c>
      <c r="T89" s="4"/>
    </row>
    <row r="90" spans="1:20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>
        <f>+H89</f>
        <v>264904.93275958468</v>
      </c>
      <c r="K90" s="4"/>
      <c r="L90" s="4">
        <f>+J90</f>
        <v>264904.93275958468</v>
      </c>
      <c r="M90" s="15">
        <f>+L90/L91</f>
        <v>0.97276935407608223</v>
      </c>
      <c r="N90" s="4">
        <f>+M90*L90</f>
        <v>257691.40033210919</v>
      </c>
      <c r="O90" s="4"/>
      <c r="P90" s="1"/>
      <c r="Q90" s="1"/>
      <c r="R90" s="1"/>
      <c r="S90" s="14"/>
      <c r="T90" s="4"/>
    </row>
    <row r="91" spans="1:20" ht="12.75" customHeight="1" x14ac:dyDescent="0.2">
      <c r="A91" s="4" t="s">
        <v>70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>
        <f>+L90+L89</f>
        <v>272320.39295808855</v>
      </c>
      <c r="M91" s="4"/>
      <c r="N91" s="4"/>
      <c r="O91" s="4"/>
      <c r="P91" s="1"/>
      <c r="Q91" s="1"/>
      <c r="R91" s="1"/>
      <c r="S91" s="14"/>
      <c r="T91" s="4"/>
    </row>
    <row r="92" spans="1:20" ht="12.75" customHeight="1" x14ac:dyDescent="0.2">
      <c r="A92" s="4" t="s">
        <v>71</v>
      </c>
      <c r="B92" s="4"/>
      <c r="C92" s="4">
        <v>20000</v>
      </c>
      <c r="D92" s="4">
        <v>20000</v>
      </c>
      <c r="E92" s="4">
        <v>20000</v>
      </c>
      <c r="F92" s="4">
        <v>20000</v>
      </c>
      <c r="G92" s="4">
        <v>20000</v>
      </c>
      <c r="H92" s="4">
        <v>20000</v>
      </c>
      <c r="I92" s="4"/>
      <c r="J92" s="4"/>
      <c r="K92" s="4"/>
      <c r="L92" s="4"/>
      <c r="M92" s="4"/>
      <c r="N92" s="4"/>
      <c r="O92" s="4">
        <f t="shared" si="31"/>
        <v>20000</v>
      </c>
      <c r="P92" s="14">
        <f>+(O92+O93)/O95</f>
        <v>0.16076483194909641</v>
      </c>
      <c r="Q92" s="14">
        <f>+Q83</f>
        <v>0.19982843438129932</v>
      </c>
      <c r="R92" s="14">
        <f>+Q92</f>
        <v>0.19982843438129932</v>
      </c>
      <c r="S92" s="14">
        <f t="shared" ref="S92" si="32">+R92*P92</f>
        <v>3.2125384671960626E-2</v>
      </c>
      <c r="T92" s="4"/>
    </row>
    <row r="93" spans="1:20" ht="12.75" customHeight="1" x14ac:dyDescent="0.2">
      <c r="A93" s="4" t="s">
        <v>72</v>
      </c>
      <c r="B93" s="4"/>
      <c r="C93" s="4">
        <f t="shared" ref="C93:H93" si="33">B66</f>
        <v>0</v>
      </c>
      <c r="D93" s="4">
        <f t="shared" si="33"/>
        <v>23875.957041692949</v>
      </c>
      <c r="E93" s="4">
        <f t="shared" si="33"/>
        <v>29305.880104201024</v>
      </c>
      <c r="F93" s="4">
        <f t="shared" si="33"/>
        <v>33283.393929833277</v>
      </c>
      <c r="G93" s="4">
        <f t="shared" si="33"/>
        <v>35095.841586536291</v>
      </c>
      <c r="H93" s="4">
        <f t="shared" si="33"/>
        <v>48006.199600908119</v>
      </c>
      <c r="I93" s="4"/>
      <c r="J93" s="22" t="s">
        <v>186</v>
      </c>
      <c r="K93" s="22">
        <f>+J87+N89</f>
        <v>260201.92777102836</v>
      </c>
      <c r="L93" s="4"/>
      <c r="M93" s="4"/>
      <c r="N93" s="4"/>
      <c r="O93" s="4">
        <f t="shared" si="31"/>
        <v>61395.600004885717</v>
      </c>
      <c r="P93" s="1"/>
      <c r="Q93" s="1"/>
      <c r="R93" s="1"/>
      <c r="S93" s="1"/>
      <c r="T93" s="4"/>
    </row>
    <row r="94" spans="1:20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22" t="s">
        <v>194</v>
      </c>
      <c r="K94" s="22">
        <f>+N90</f>
        <v>257691.40033210919</v>
      </c>
      <c r="L94" s="4"/>
      <c r="M94" s="4"/>
      <c r="N94" s="4"/>
      <c r="O94" s="4"/>
      <c r="P94" s="15">
        <f>(SUM(O88:O89))/O95</f>
        <v>0.8392351680509037</v>
      </c>
      <c r="Q94" s="1"/>
      <c r="R94" s="1"/>
      <c r="S94" s="1"/>
      <c r="T94" s="4"/>
    </row>
    <row r="95" spans="1:20" ht="12.75" customHeight="1" x14ac:dyDescent="0.2">
      <c r="A95" s="4" t="s">
        <v>73</v>
      </c>
      <c r="B95" s="4"/>
      <c r="C95" s="4">
        <f t="shared" ref="C95:H95" si="34">SUM(C84:C93)</f>
        <v>381509.15750915761</v>
      </c>
      <c r="D95" s="4">
        <f t="shared" si="34"/>
        <v>418343.31501831498</v>
      </c>
      <c r="E95" s="4">
        <f t="shared" si="34"/>
        <v>503785.59752747254</v>
      </c>
      <c r="F95" s="4">
        <f t="shared" si="34"/>
        <v>681576.2081616302</v>
      </c>
      <c r="G95" s="4">
        <f t="shared" si="34"/>
        <v>469495.35512391268</v>
      </c>
      <c r="H95" s="4">
        <f t="shared" si="34"/>
        <v>647303.25182252342</v>
      </c>
      <c r="I95" s="4"/>
      <c r="J95" s="4"/>
      <c r="K95" s="4"/>
      <c r="L95" s="4"/>
      <c r="M95" s="4"/>
      <c r="N95" s="4"/>
      <c r="O95" s="4">
        <f>+O88+O89+O92+O93</f>
        <v>506302.27406114747</v>
      </c>
      <c r="P95" s="15">
        <f>(SUM(O92:O93))/O95</f>
        <v>0.16076483194909641</v>
      </c>
      <c r="Q95" s="1"/>
      <c r="R95" s="1"/>
      <c r="S95" s="20">
        <f>+S92+S89+S88</f>
        <v>5.9303141608237624E-2</v>
      </c>
      <c r="T95" s="4" t="s">
        <v>183</v>
      </c>
    </row>
    <row r="96" spans="1:20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2.75" customHeight="1" x14ac:dyDescent="0.2">
      <c r="A97" t="s">
        <v>74</v>
      </c>
      <c r="S97" s="25"/>
    </row>
    <row r="98" spans="1:20" ht="12.75" customHeight="1" x14ac:dyDescent="0.2">
      <c r="S98" s="23"/>
    </row>
    <row r="99" spans="1:20" ht="12.75" customHeight="1" x14ac:dyDescent="0.2">
      <c r="A99" s="4" t="s">
        <v>75</v>
      </c>
      <c r="B99" s="4"/>
      <c r="C99" s="4">
        <f>C81-C95</f>
        <v>0</v>
      </c>
      <c r="D99" s="4">
        <f t="shared" ref="D99:H99" si="35">D81-D95</f>
        <v>0</v>
      </c>
      <c r="E99" s="4">
        <f t="shared" si="35"/>
        <v>0</v>
      </c>
      <c r="F99" s="4">
        <f t="shared" si="35"/>
        <v>0</v>
      </c>
      <c r="G99" s="4">
        <f t="shared" si="35"/>
        <v>0</v>
      </c>
      <c r="H99" s="4">
        <f t="shared" si="35"/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2.75" customHeight="1" x14ac:dyDescent="0.2">
      <c r="O100" t="s">
        <v>184</v>
      </c>
      <c r="P100" s="2">
        <f>+Q79</f>
        <v>1.9978554297662419</v>
      </c>
      <c r="S100" s="26"/>
    </row>
    <row r="101" spans="1:20" ht="12.75" customHeight="1" x14ac:dyDescent="0.2">
      <c r="O101" t="s">
        <v>30</v>
      </c>
      <c r="P101" s="15">
        <f>+B33</f>
        <v>0.4</v>
      </c>
      <c r="S101" s="24"/>
    </row>
    <row r="102" spans="1:20" ht="12.75" customHeight="1" x14ac:dyDescent="0.2">
      <c r="A102" s="3" t="s">
        <v>76</v>
      </c>
      <c r="O102" t="s">
        <v>185</v>
      </c>
      <c r="P102" s="19">
        <f>+P100*(1+(1-P101)*(P94/P95))</f>
        <v>8.2554573580493127</v>
      </c>
    </row>
    <row r="103" spans="1:20" ht="12.75" customHeight="1" x14ac:dyDescent="0.2">
      <c r="A103" s="4" t="s">
        <v>77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2.75" customHeight="1" x14ac:dyDescent="0.2">
      <c r="A104" s="4" t="s">
        <v>78</v>
      </c>
      <c r="B104" s="4"/>
      <c r="C104" s="4">
        <f t="shared" ref="C104:H104" si="36">C56</f>
        <v>58083.8</v>
      </c>
      <c r="D104" s="4">
        <f t="shared" si="36"/>
        <v>67559.349679999985</v>
      </c>
      <c r="E104" s="4">
        <f t="shared" si="36"/>
        <v>77675.477404040052</v>
      </c>
      <c r="F104" s="4">
        <f t="shared" si="36"/>
        <v>88469.408869815379</v>
      </c>
      <c r="G104" s="4">
        <f t="shared" si="36"/>
        <v>99980.406635249397</v>
      </c>
      <c r="H104" s="4">
        <f t="shared" si="36"/>
        <v>112249.878201232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2.75" customHeight="1" x14ac:dyDescent="0.2">
      <c r="A105" s="4" t="s">
        <v>79</v>
      </c>
      <c r="B105" s="4"/>
      <c r="C105" s="4">
        <f t="shared" ref="C105:H105" si="37">C58</f>
        <v>3205.1282051282051</v>
      </c>
      <c r="D105" s="4">
        <f t="shared" si="37"/>
        <v>3205.1282051282051</v>
      </c>
      <c r="E105" s="4">
        <f t="shared" si="37"/>
        <v>3205.1282051282051</v>
      </c>
      <c r="F105" s="4">
        <f t="shared" si="37"/>
        <v>3205.1282051282051</v>
      </c>
      <c r="G105" s="4">
        <f t="shared" si="37"/>
        <v>3205.1282051282051</v>
      </c>
      <c r="H105" s="4">
        <f t="shared" si="37"/>
        <v>3205.1282051282051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2.75" customHeight="1" x14ac:dyDescent="0.2">
      <c r="A106" s="4" t="s">
        <v>80</v>
      </c>
      <c r="B106" s="4"/>
      <c r="C106" s="4">
        <f t="shared" ref="C106:H106" si="38">C104-C105</f>
        <v>54878.6717948718</v>
      </c>
      <c r="D106" s="4">
        <f t="shared" si="38"/>
        <v>64354.221474871782</v>
      </c>
      <c r="E106" s="4">
        <f t="shared" si="38"/>
        <v>74470.349198911848</v>
      </c>
      <c r="F106" s="4">
        <f t="shared" si="38"/>
        <v>85264.280664687176</v>
      </c>
      <c r="G106" s="4">
        <f t="shared" si="38"/>
        <v>96775.278430121194</v>
      </c>
      <c r="H106" s="4">
        <f t="shared" si="38"/>
        <v>109044.7499961038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2.75" customHeight="1" x14ac:dyDescent="0.2">
      <c r="A107" s="4" t="s">
        <v>81</v>
      </c>
      <c r="B107" s="4"/>
      <c r="C107" s="4">
        <f t="shared" ref="C107:H107" si="39">C106*0.4</f>
        <v>21951.468717948723</v>
      </c>
      <c r="D107" s="4">
        <f t="shared" si="39"/>
        <v>25741.688589948713</v>
      </c>
      <c r="E107" s="4">
        <f t="shared" si="39"/>
        <v>29788.139679564742</v>
      </c>
      <c r="F107" s="4">
        <f t="shared" si="39"/>
        <v>34105.71226587487</v>
      </c>
      <c r="G107" s="4">
        <f t="shared" si="39"/>
        <v>38710.111372048479</v>
      </c>
      <c r="H107" s="4">
        <f t="shared" si="39"/>
        <v>43617.89999844152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2.75" customHeight="1" x14ac:dyDescent="0.2">
      <c r="A108" s="4" t="s">
        <v>82</v>
      </c>
      <c r="B108" s="4"/>
      <c r="C108" s="4">
        <f t="shared" ref="C108:H108" si="40">C106-C107</f>
        <v>32927.203076923077</v>
      </c>
      <c r="D108" s="4">
        <f t="shared" si="40"/>
        <v>38612.532884923072</v>
      </c>
      <c r="E108" s="4">
        <f t="shared" si="40"/>
        <v>44682.209519347103</v>
      </c>
      <c r="F108" s="4">
        <f t="shared" si="40"/>
        <v>51158.568398812306</v>
      </c>
      <c r="G108" s="4">
        <f t="shared" si="40"/>
        <v>58065.167058072715</v>
      </c>
      <c r="H108" s="4">
        <f t="shared" si="40"/>
        <v>65426.849997662277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2.75" customHeight="1" x14ac:dyDescent="0.2">
      <c r="A109" s="4" t="s">
        <v>83</v>
      </c>
      <c r="B109" s="4"/>
      <c r="C109" s="4">
        <f t="shared" ref="C109:H109" si="41">C105</f>
        <v>3205.1282051282051</v>
      </c>
      <c r="D109" s="4">
        <f t="shared" si="41"/>
        <v>3205.1282051282051</v>
      </c>
      <c r="E109" s="4">
        <f t="shared" si="41"/>
        <v>3205.1282051282051</v>
      </c>
      <c r="F109" s="4">
        <f t="shared" si="41"/>
        <v>3205.1282051282051</v>
      </c>
      <c r="G109" s="4">
        <f t="shared" si="41"/>
        <v>3205.1282051282051</v>
      </c>
      <c r="H109" s="4">
        <f t="shared" si="41"/>
        <v>3205.1282051282051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2.75" customHeight="1" x14ac:dyDescent="0.2">
      <c r="A110" s="4" t="s">
        <v>84</v>
      </c>
      <c r="B110" s="4"/>
      <c r="C110" s="4">
        <f t="shared" ref="C110:H110" si="42">C109+C108</f>
        <v>36132.33128205128</v>
      </c>
      <c r="D110" s="4">
        <f t="shared" si="42"/>
        <v>41817.661090051275</v>
      </c>
      <c r="E110" s="4">
        <f t="shared" si="42"/>
        <v>47887.337724475306</v>
      </c>
      <c r="F110" s="4">
        <f t="shared" si="42"/>
        <v>54363.696603940509</v>
      </c>
      <c r="G110" s="4">
        <f t="shared" si="42"/>
        <v>61270.295263200918</v>
      </c>
      <c r="H110" s="4">
        <f t="shared" si="42"/>
        <v>68631.978202790488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2.75" customHeight="1" x14ac:dyDescent="0.2"/>
    <row r="112" spans="1:20" ht="12.75" customHeight="1" x14ac:dyDescent="0.2">
      <c r="A112" t="s">
        <v>85</v>
      </c>
    </row>
    <row r="113" spans="1:19" x14ac:dyDescent="0.2">
      <c r="A113" t="s">
        <v>86</v>
      </c>
      <c r="B113">
        <f>+-B35</f>
        <v>-300000</v>
      </c>
      <c r="S113" s="4"/>
    </row>
    <row r="114" spans="1:19" x14ac:dyDescent="0.2">
      <c r="A114" t="s">
        <v>87</v>
      </c>
      <c r="N114">
        <v>1.75</v>
      </c>
      <c r="O114" t="s">
        <v>88</v>
      </c>
      <c r="P114" s="4">
        <f>M75</f>
        <v>0</v>
      </c>
    </row>
    <row r="115" spans="1:19" x14ac:dyDescent="0.2">
      <c r="A115" t="s">
        <v>89</v>
      </c>
      <c r="B115">
        <f>+-B36</f>
        <v>-500000</v>
      </c>
      <c r="O115" s="11" t="s">
        <v>168</v>
      </c>
      <c r="P115">
        <f>M114-P114</f>
        <v>0</v>
      </c>
    </row>
    <row r="116" spans="1:19" x14ac:dyDescent="0.2">
      <c r="A116" t="s">
        <v>90</v>
      </c>
      <c r="M116" s="12"/>
      <c r="N116">
        <v>1.4</v>
      </c>
      <c r="O116" t="s">
        <v>88</v>
      </c>
      <c r="P116" s="4">
        <f>+M76-M78</f>
        <v>0</v>
      </c>
    </row>
    <row r="117" spans="1:19" x14ac:dyDescent="0.2">
      <c r="A117" t="s">
        <v>91</v>
      </c>
      <c r="M117" s="12"/>
      <c r="N117" s="5">
        <v>0.2</v>
      </c>
      <c r="O117" s="11" t="s">
        <v>168</v>
      </c>
      <c r="P117" s="12">
        <f>M116-P116</f>
        <v>0</v>
      </c>
    </row>
    <row r="119" spans="1:19" x14ac:dyDescent="0.2">
      <c r="A119" t="s">
        <v>92</v>
      </c>
    </row>
    <row r="120" spans="1:19" x14ac:dyDescent="0.2">
      <c r="A120" t="s">
        <v>60</v>
      </c>
      <c r="C120">
        <f t="shared" ref="C120:H120" si="43">C72-B72</f>
        <v>13000</v>
      </c>
      <c r="D120">
        <f t="shared" si="43"/>
        <v>324.99999999999818</v>
      </c>
      <c r="E120">
        <f t="shared" si="43"/>
        <v>333.12499999999818</v>
      </c>
      <c r="F120">
        <f t="shared" si="43"/>
        <v>341.45312499999818</v>
      </c>
      <c r="G120">
        <f t="shared" si="43"/>
        <v>349.98945312499927</v>
      </c>
      <c r="H120">
        <f t="shared" si="43"/>
        <v>358.73918945312289</v>
      </c>
    </row>
    <row r="121" spans="1:19" x14ac:dyDescent="0.2">
      <c r="A121" t="s">
        <v>61</v>
      </c>
      <c r="C121" s="4">
        <f>-(C73-0)</f>
        <v>-60000</v>
      </c>
      <c r="D121" s="4">
        <f>-(D73-C73)</f>
        <v>-54000</v>
      </c>
      <c r="E121" s="4">
        <f t="shared" ref="E121:H121" si="44">-(E73-D73)</f>
        <v>-102600</v>
      </c>
      <c r="F121" s="4">
        <f t="shared" si="44"/>
        <v>-194940</v>
      </c>
      <c r="G121" s="4">
        <f t="shared" si="44"/>
        <v>194940</v>
      </c>
      <c r="H121" s="4">
        <f t="shared" si="44"/>
        <v>-194940</v>
      </c>
      <c r="I121" s="4"/>
      <c r="J121" s="4"/>
      <c r="K121" s="4"/>
      <c r="L121" s="4"/>
      <c r="M121" s="4"/>
    </row>
    <row r="122" spans="1:19" x14ac:dyDescent="0.2">
      <c r="A122" t="s">
        <v>66</v>
      </c>
      <c r="C122" s="4">
        <f>C85-B85</f>
        <v>13000</v>
      </c>
      <c r="D122" s="4">
        <f>D85-C85</f>
        <v>0</v>
      </c>
      <c r="E122">
        <f t="shared" ref="E122:H122" si="45">E85-D85</f>
        <v>0</v>
      </c>
      <c r="F122">
        <f t="shared" si="45"/>
        <v>0</v>
      </c>
      <c r="G122">
        <f t="shared" si="45"/>
        <v>0</v>
      </c>
      <c r="H122">
        <f t="shared" si="45"/>
        <v>0</v>
      </c>
    </row>
    <row r="123" spans="1:19" x14ac:dyDescent="0.2">
      <c r="A123" t="s">
        <v>93</v>
      </c>
      <c r="C123" s="4">
        <f t="shared" ref="C123:H123" si="46">C107-B107</f>
        <v>21951.468717948723</v>
      </c>
      <c r="D123" s="4">
        <f>D107-C107</f>
        <v>3790.2198719999906</v>
      </c>
      <c r="E123" s="4">
        <f t="shared" si="46"/>
        <v>4046.4510896160282</v>
      </c>
      <c r="F123" s="4">
        <f t="shared" si="46"/>
        <v>4317.5725863101288</v>
      </c>
      <c r="G123" s="4">
        <f t="shared" si="46"/>
        <v>4604.3991061736087</v>
      </c>
      <c r="H123" s="4">
        <f t="shared" si="46"/>
        <v>4907.7886263930413</v>
      </c>
      <c r="I123" s="4"/>
      <c r="J123" s="4"/>
      <c r="K123" s="4"/>
      <c r="L123" s="4"/>
      <c r="M123" s="4"/>
    </row>
    <row r="125" spans="1:19" x14ac:dyDescent="0.2">
      <c r="A125" t="s">
        <v>94</v>
      </c>
    </row>
    <row r="126" spans="1:19" x14ac:dyDescent="0.2">
      <c r="A126" t="s">
        <v>60</v>
      </c>
      <c r="L126" s="4"/>
    </row>
    <row r="127" spans="1:19" x14ac:dyDescent="0.2">
      <c r="A127" t="s">
        <v>61</v>
      </c>
      <c r="L127" s="4"/>
      <c r="M127" s="4"/>
    </row>
    <row r="128" spans="1:19" x14ac:dyDescent="0.2">
      <c r="A128" t="s">
        <v>66</v>
      </c>
      <c r="L128" s="4"/>
      <c r="M128" s="4"/>
    </row>
    <row r="129" spans="1:13" x14ac:dyDescent="0.2">
      <c r="A129" t="s">
        <v>67</v>
      </c>
      <c r="L129" s="4"/>
      <c r="M129" s="4"/>
    </row>
    <row r="131" spans="1:13" x14ac:dyDescent="0.2">
      <c r="A131" t="s">
        <v>95</v>
      </c>
      <c r="B131" s="4">
        <f t="shared" ref="B131:H131" si="47">SUM(B110:B130)</f>
        <v>-800000</v>
      </c>
      <c r="C131" s="4">
        <f>SUM(C110:C130)</f>
        <v>24083.800000000003</v>
      </c>
      <c r="D131" s="4">
        <f t="shared" si="47"/>
        <v>-8067.1190379487343</v>
      </c>
      <c r="E131" s="4">
        <f t="shared" si="47"/>
        <v>-50333.086185908665</v>
      </c>
      <c r="F131" s="4">
        <f t="shared" si="47"/>
        <v>-135917.27768474937</v>
      </c>
      <c r="G131" s="4">
        <f t="shared" si="47"/>
        <v>261164.68382249953</v>
      </c>
      <c r="H131" s="4">
        <f t="shared" si="47"/>
        <v>-121041.49398136335</v>
      </c>
      <c r="I131" s="4"/>
      <c r="J131" s="4"/>
      <c r="K131" s="4"/>
      <c r="L131" s="4"/>
      <c r="M131" s="4"/>
    </row>
    <row r="132" spans="1:13" x14ac:dyDescent="0.2">
      <c r="A132" s="11" t="s">
        <v>166</v>
      </c>
      <c r="B132" s="4">
        <v>0</v>
      </c>
      <c r="C132" s="4">
        <v>1</v>
      </c>
      <c r="D132" s="4">
        <v>2</v>
      </c>
      <c r="E132" s="4">
        <v>3</v>
      </c>
      <c r="F132" s="4">
        <v>4</v>
      </c>
      <c r="G132" s="4">
        <v>5</v>
      </c>
      <c r="H132" s="4">
        <v>6</v>
      </c>
      <c r="I132" s="4"/>
      <c r="J132" s="4"/>
      <c r="K132" s="4"/>
      <c r="L132" s="4"/>
      <c r="M132" s="4"/>
    </row>
    <row r="133" spans="1:13" x14ac:dyDescent="0.2">
      <c r="A133" s="11" t="s">
        <v>167</v>
      </c>
      <c r="B133" s="4">
        <f>-PV($B$135,B132,,B131)</f>
        <v>-800000</v>
      </c>
      <c r="C133" s="4">
        <f t="shared" ref="C133:H133" si="48">-PV($B$135,C132,,C131)</f>
        <v>22299.814814814818</v>
      </c>
      <c r="D133" s="4">
        <f t="shared" si="48"/>
        <v>-6916.2543192290241</v>
      </c>
      <c r="E133" s="4">
        <f t="shared" si="48"/>
        <v>-39956.026604421219</v>
      </c>
      <c r="F133" s="4">
        <f t="shared" si="48"/>
        <v>-99903.256609115982</v>
      </c>
      <c r="G133" s="4">
        <f t="shared" si="48"/>
        <v>177744.29546822602</v>
      </c>
      <c r="H133" s="4">
        <f t="shared" si="48"/>
        <v>-76276.673099609296</v>
      </c>
      <c r="I133" s="4"/>
      <c r="J133" s="4"/>
      <c r="K133" s="4"/>
      <c r="L133" s="4"/>
      <c r="M133" s="4"/>
    </row>
    <row r="134" spans="1:13" x14ac:dyDescent="0.2">
      <c r="A134" t="s">
        <v>96</v>
      </c>
      <c r="B134" s="5">
        <v>0.08</v>
      </c>
    </row>
    <row r="135" spans="1:13" x14ac:dyDescent="0.2">
      <c r="A135" t="s">
        <v>97</v>
      </c>
      <c r="B135" s="5">
        <v>0.08</v>
      </c>
    </row>
    <row r="136" spans="1:13" x14ac:dyDescent="0.2">
      <c r="A136" t="s">
        <v>98</v>
      </c>
      <c r="B136" s="4">
        <f>SUM(B133:M133)</f>
        <v>-823008.10034933477</v>
      </c>
    </row>
    <row r="138" spans="1:13" x14ac:dyDescent="0.2">
      <c r="B138" s="1"/>
    </row>
    <row r="139" spans="1:13" x14ac:dyDescent="0.2">
      <c r="A139" t="s">
        <v>186</v>
      </c>
      <c r="B139" s="4"/>
    </row>
    <row r="140" spans="1:13" x14ac:dyDescent="0.2">
      <c r="A140" s="27" t="s">
        <v>187</v>
      </c>
      <c r="B140" s="4">
        <f>+-C88</f>
        <v>-295160.31992494658</v>
      </c>
    </row>
    <row r="141" spans="1:13" x14ac:dyDescent="0.2">
      <c r="A141" s="27" t="s">
        <v>102</v>
      </c>
      <c r="C141" s="4">
        <f>+C88-D88</f>
        <v>5062.0141309538158</v>
      </c>
      <c r="D141" s="4">
        <f t="shared" ref="D141:G141" si="49">+D88-E88</f>
        <v>5294.5621744829696</v>
      </c>
      <c r="E141" s="4">
        <f t="shared" si="49"/>
        <v>5537.7934344452224</v>
      </c>
      <c r="F141" s="4">
        <f t="shared" si="49"/>
        <v>5792.1986959345522</v>
      </c>
      <c r="G141" s="4">
        <f t="shared" si="49"/>
        <v>6058.2912906261627</v>
      </c>
    </row>
    <row r="142" spans="1:13" x14ac:dyDescent="0.2">
      <c r="A142" s="27" t="s">
        <v>101</v>
      </c>
      <c r="B142" s="4"/>
      <c r="C142" s="4">
        <f>+C62</f>
        <v>13400.991078678175</v>
      </c>
      <c r="D142" s="4">
        <f t="shared" ref="D142:G142" si="50">+D62</f>
        <v>13178.657022777788</v>
      </c>
      <c r="E142" s="4">
        <f t="shared" si="50"/>
        <v>12946.108979248769</v>
      </c>
      <c r="F142" s="4">
        <f t="shared" si="50"/>
        <v>12702.877719286495</v>
      </c>
      <c r="G142" s="4">
        <f t="shared" si="50"/>
        <v>12448.47245779715</v>
      </c>
      <c r="H142" s="4"/>
      <c r="I142" s="4"/>
      <c r="J142" s="4"/>
      <c r="K142" s="4"/>
      <c r="L142" s="4"/>
      <c r="M142" s="4"/>
    </row>
    <row r="143" spans="1:13" x14ac:dyDescent="0.2">
      <c r="A143" s="28" t="s">
        <v>188</v>
      </c>
      <c r="B143" s="4"/>
      <c r="C143" s="4"/>
      <c r="D143" s="4"/>
      <c r="E143" s="4"/>
      <c r="F143" s="4"/>
      <c r="G143" s="4"/>
      <c r="H143" s="4">
        <f>+K93</f>
        <v>260201.92777102836</v>
      </c>
      <c r="I143" s="4"/>
      <c r="J143" s="4"/>
      <c r="K143" s="4"/>
      <c r="L143" s="4"/>
      <c r="M143" s="4"/>
    </row>
    <row r="144" spans="1:13" x14ac:dyDescent="0.2">
      <c r="A144" s="28" t="s">
        <v>160</v>
      </c>
      <c r="B144" s="4">
        <f>+SUM(B140:B143)</f>
        <v>-295160.31992494658</v>
      </c>
      <c r="C144" s="4">
        <f t="shared" ref="C144:H144" si="51">+SUM(C140:C143)</f>
        <v>18463.005209631992</v>
      </c>
      <c r="D144" s="4">
        <f t="shared" si="51"/>
        <v>18473.219197260758</v>
      </c>
      <c r="E144" s="4">
        <f t="shared" si="51"/>
        <v>18483.902413693992</v>
      </c>
      <c r="F144" s="4">
        <f t="shared" si="51"/>
        <v>18495.076415221047</v>
      </c>
      <c r="G144" s="4">
        <f t="shared" si="51"/>
        <v>18506.763748423313</v>
      </c>
      <c r="H144" s="4">
        <f t="shared" si="51"/>
        <v>260201.92777102836</v>
      </c>
      <c r="I144" s="4"/>
      <c r="J144" s="4"/>
      <c r="K144" s="4"/>
      <c r="L144" s="4"/>
      <c r="M144" s="4"/>
    </row>
    <row r="145" spans="1:8" x14ac:dyDescent="0.2">
      <c r="A145" s="27" t="s">
        <v>96</v>
      </c>
      <c r="B145" s="29">
        <f>+IRR(B144:H144)</f>
        <v>3.4978632919894448E-2</v>
      </c>
    </row>
    <row r="148" spans="1:8" x14ac:dyDescent="0.2">
      <c r="A148" t="s">
        <v>194</v>
      </c>
    </row>
    <row r="149" spans="1:8" x14ac:dyDescent="0.2">
      <c r="A149" s="27" t="s">
        <v>187</v>
      </c>
      <c r="B149" s="4">
        <f>+-C89</f>
        <v>-37431.532889749054</v>
      </c>
    </row>
    <row r="150" spans="1:8" x14ac:dyDescent="0.2">
      <c r="A150" s="27" t="s">
        <v>102</v>
      </c>
      <c r="C150" s="4">
        <f>+C89-D89</f>
        <v>-14400.265890079514</v>
      </c>
      <c r="D150" s="4">
        <f t="shared" ref="D150:G150" si="52">+D89-E89</f>
        <v>-82655.245737377612</v>
      </c>
      <c r="E150" s="4">
        <f t="shared" si="52"/>
        <v>-178142.59180516863</v>
      </c>
      <c r="F150" s="4">
        <f t="shared" si="52"/>
        <v>216708.00734140052</v>
      </c>
      <c r="G150" s="4">
        <f t="shared" si="52"/>
        <v>-168983.3037786104</v>
      </c>
    </row>
    <row r="151" spans="1:8" x14ac:dyDescent="0.2">
      <c r="A151" s="27" t="s">
        <v>101</v>
      </c>
      <c r="C151" s="4">
        <f>+C61</f>
        <v>1684.4189800387073</v>
      </c>
      <c r="D151" s="4">
        <f t="shared" ref="D151:H151" si="53">+D61</f>
        <v>2332.4309450922856</v>
      </c>
      <c r="E151" s="4">
        <f t="shared" si="53"/>
        <v>6051.9170032742777</v>
      </c>
      <c r="F151" s="4">
        <f t="shared" si="53"/>
        <v>14068.333634506866</v>
      </c>
      <c r="G151" s="4">
        <f t="shared" si="53"/>
        <v>4316.4733041438431</v>
      </c>
      <c r="H151" s="4">
        <f t="shared" si="53"/>
        <v>11920.72197418131</v>
      </c>
    </row>
    <row r="152" spans="1:8" x14ac:dyDescent="0.2">
      <c r="A152" s="28" t="s">
        <v>188</v>
      </c>
      <c r="H152" s="4">
        <f>+K94</f>
        <v>257691.40033210919</v>
      </c>
    </row>
    <row r="153" spans="1:8" x14ac:dyDescent="0.2">
      <c r="A153" s="28" t="s">
        <v>160</v>
      </c>
      <c r="B153" s="4">
        <f>+SUM(B149:B152)</f>
        <v>-37431.532889749054</v>
      </c>
      <c r="C153" s="4">
        <f t="shared" ref="C153:H153" si="54">+SUM(C149:C152)</f>
        <v>-12715.846910040807</v>
      </c>
      <c r="D153" s="4">
        <f t="shared" si="54"/>
        <v>-80322.814792285324</v>
      </c>
      <c r="E153" s="4">
        <f t="shared" si="54"/>
        <v>-172090.67480189435</v>
      </c>
      <c r="F153" s="4">
        <f t="shared" si="54"/>
        <v>230776.34097590737</v>
      </c>
      <c r="G153" s="4">
        <f t="shared" si="54"/>
        <v>-164666.83047446655</v>
      </c>
      <c r="H153" s="4">
        <f t="shared" si="54"/>
        <v>269612.12230629049</v>
      </c>
    </row>
    <row r="154" spans="1:8" x14ac:dyDescent="0.2">
      <c r="A154" s="27" t="s">
        <v>96</v>
      </c>
      <c r="B154" s="30">
        <f>+IRR(B153:H153)</f>
        <v>3.7455332913162831E-2</v>
      </c>
    </row>
  </sheetData>
  <mergeCells count="1">
    <mergeCell ref="O78:P7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PapaMurphys</vt:lpstr>
      <vt:lpstr>Mortgage</vt:lpstr>
      <vt:lpstr>OutsideNumber</vt:lpstr>
      <vt:lpstr>Optimistic</vt:lpstr>
      <vt:lpstr>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2013-12-20T19:31:51Z</dcterms:created>
  <dcterms:modified xsi:type="dcterms:W3CDTF">2019-08-14T22:01:08Z</dcterms:modified>
</cp:coreProperties>
</file>