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0" yWindow="0" windowWidth="15600" windowHeight="8190" tabRatio="555"/>
  </bookViews>
  <sheets>
    <sheet name="Realistic Option" sheetId="1" r:id="rId1"/>
    <sheet name="Mortgage" sheetId="2" r:id="rId2"/>
    <sheet name="Expansion" sheetId="8" r:id="rId3"/>
    <sheet name="Bankruptcy" sheetId="9" r:id="rId4"/>
  </sheets>
  <calcPr calcId="145621" iterate="1" iterateDelta="1E-4"/>
</workbook>
</file>

<file path=xl/calcChain.xml><?xml version="1.0" encoding="utf-8"?>
<calcChain xmlns="http://schemas.openxmlformats.org/spreadsheetml/2006/main">
  <c r="H52" i="9" l="1"/>
  <c r="U4" i="8"/>
  <c r="C171" i="9"/>
  <c r="E171" i="9" s="1"/>
  <c r="C162" i="9"/>
  <c r="D170" i="9"/>
  <c r="D171" i="9"/>
  <c r="D162" i="9"/>
  <c r="H51" i="9"/>
  <c r="H47" i="9"/>
  <c r="H46" i="9"/>
  <c r="H60" i="9"/>
  <c r="H44" i="9"/>
  <c r="J133" i="9"/>
  <c r="K133" i="9"/>
  <c r="A133" i="9"/>
  <c r="J132" i="9"/>
  <c r="K132" i="9" s="1"/>
  <c r="A132" i="9"/>
  <c r="C127" i="9"/>
  <c r="C126" i="9"/>
  <c r="C119" i="9"/>
  <c r="L117" i="9"/>
  <c r="G106" i="9"/>
  <c r="F106" i="9"/>
  <c r="E106" i="9"/>
  <c r="D106" i="9"/>
  <c r="C106" i="9"/>
  <c r="C100" i="9"/>
  <c r="G94" i="9"/>
  <c r="F94" i="9"/>
  <c r="E94" i="9"/>
  <c r="D94" i="9"/>
  <c r="D70" i="9"/>
  <c r="E70" i="9"/>
  <c r="O51" i="9"/>
  <c r="O50" i="9" s="1"/>
  <c r="O49" i="9"/>
  <c r="O48" i="9" s="1"/>
  <c r="P45" i="9"/>
  <c r="Q45" i="9" s="1"/>
  <c r="R45" i="9" s="1"/>
  <c r="E44" i="9"/>
  <c r="F44" i="9" s="1"/>
  <c r="G44" i="9" s="1"/>
  <c r="J44" i="9" s="1"/>
  <c r="P38" i="9"/>
  <c r="E25" i="9" s="1"/>
  <c r="P32" i="9"/>
  <c r="Q32" i="9"/>
  <c r="R32" i="9" s="1"/>
  <c r="O29" i="9"/>
  <c r="D19" i="9" s="1"/>
  <c r="O28" i="9"/>
  <c r="D18" i="9" s="1"/>
  <c r="O27" i="9"/>
  <c r="D17" i="9" s="1"/>
  <c r="O26" i="9"/>
  <c r="P26" i="9" s="1"/>
  <c r="O25" i="9"/>
  <c r="D15" i="9" s="1"/>
  <c r="D25" i="9"/>
  <c r="P22" i="9"/>
  <c r="Q22" i="9"/>
  <c r="R22" i="9" s="1"/>
  <c r="P20" i="9"/>
  <c r="Q20" i="9" s="1"/>
  <c r="R20" i="9" s="1"/>
  <c r="P18" i="9"/>
  <c r="P17" i="9"/>
  <c r="Q17" i="9" s="1"/>
  <c r="F18" i="9" s="1"/>
  <c r="P16" i="9"/>
  <c r="Q16" i="9" s="1"/>
  <c r="P15" i="9"/>
  <c r="P14" i="9"/>
  <c r="Q14" i="9"/>
  <c r="D12" i="9"/>
  <c r="P11" i="9"/>
  <c r="D11" i="9"/>
  <c r="P10" i="9"/>
  <c r="Q10" i="9" s="1"/>
  <c r="R10" i="9" s="1"/>
  <c r="D9" i="9"/>
  <c r="D8" i="9"/>
  <c r="P7" i="9"/>
  <c r="Q7" i="9" s="1"/>
  <c r="R7" i="9" s="1"/>
  <c r="D7" i="9"/>
  <c r="P6" i="9"/>
  <c r="D6" i="9"/>
  <c r="P5" i="9"/>
  <c r="Q5" i="9" s="1"/>
  <c r="R5" i="9" s="1"/>
  <c r="D5" i="9"/>
  <c r="P4" i="9"/>
  <c r="Q4" i="9" s="1"/>
  <c r="R4" i="9" s="1"/>
  <c r="P3" i="9"/>
  <c r="Q3" i="9" s="1"/>
  <c r="R3" i="9" s="1"/>
  <c r="V4" i="8"/>
  <c r="V8" i="8" s="1"/>
  <c r="V26" i="8" s="1"/>
  <c r="W4" i="8"/>
  <c r="W8" i="8"/>
  <c r="W26" i="8" s="1"/>
  <c r="X4" i="8"/>
  <c r="X8" i="8" s="1"/>
  <c r="X26" i="8" s="1"/>
  <c r="Y4" i="8"/>
  <c r="Y8" i="8" s="1"/>
  <c r="Y26" i="8" s="1"/>
  <c r="Z4" i="8"/>
  <c r="Z8" i="8" s="1"/>
  <c r="Z26" i="8" s="1"/>
  <c r="AA4" i="8"/>
  <c r="U8" i="8"/>
  <c r="U26" i="8" s="1"/>
  <c r="AA7" i="8"/>
  <c r="R26" i="8"/>
  <c r="D33" i="8"/>
  <c r="E33" i="8"/>
  <c r="F33" i="8"/>
  <c r="G33" i="8"/>
  <c r="H33" i="8"/>
  <c r="I33" i="8"/>
  <c r="J33" i="8"/>
  <c r="K33" i="8"/>
  <c r="L33" i="8"/>
  <c r="M33" i="8"/>
  <c r="C33" i="8"/>
  <c r="R8" i="8"/>
  <c r="S8" i="8"/>
  <c r="S26" i="8" s="1"/>
  <c r="T8" i="8"/>
  <c r="T26" i="8" s="1"/>
  <c r="Q8" i="8"/>
  <c r="Q26" i="8" s="1"/>
  <c r="Q31" i="8" s="1"/>
  <c r="P133" i="1"/>
  <c r="Q133" i="1" s="1"/>
  <c r="P132" i="1"/>
  <c r="Q132" i="1" s="1"/>
  <c r="C119" i="1"/>
  <c r="O117" i="1"/>
  <c r="A133" i="1"/>
  <c r="A132" i="1"/>
  <c r="C127" i="1"/>
  <c r="C126" i="1"/>
  <c r="S45" i="1"/>
  <c r="T45" i="1" s="1"/>
  <c r="U45" i="1" s="1"/>
  <c r="V45" i="1" s="1"/>
  <c r="W45" i="1" s="1"/>
  <c r="X45" i="1" s="1"/>
  <c r="Y45" i="1" s="1"/>
  <c r="Z45" i="1" s="1"/>
  <c r="AA45" i="1" s="1"/>
  <c r="S38" i="1"/>
  <c r="T38" i="1" s="1"/>
  <c r="D94" i="1"/>
  <c r="E94" i="1"/>
  <c r="F94" i="1"/>
  <c r="G94" i="1"/>
  <c r="H94" i="1"/>
  <c r="I94" i="1"/>
  <c r="J94" i="1"/>
  <c r="K94" i="1"/>
  <c r="L94" i="1"/>
  <c r="S32" i="1"/>
  <c r="T32" i="1" s="1"/>
  <c r="U32" i="1" s="1"/>
  <c r="V32" i="1" s="1"/>
  <c r="W32" i="1" s="1"/>
  <c r="X32" i="1" s="1"/>
  <c r="Y32" i="1" s="1"/>
  <c r="Z32" i="1" s="1"/>
  <c r="AA32" i="1" s="1"/>
  <c r="D12" i="2"/>
  <c r="R49" i="1"/>
  <c r="R48" i="1" s="1"/>
  <c r="R51" i="1"/>
  <c r="R53" i="1"/>
  <c r="E44" i="1"/>
  <c r="F44" i="1" s="1"/>
  <c r="G44" i="1" s="1"/>
  <c r="H44" i="1" s="1"/>
  <c r="I44" i="1" s="1"/>
  <c r="J44" i="1" s="1"/>
  <c r="K44" i="1" s="1"/>
  <c r="L44" i="1" s="1"/>
  <c r="M44" i="1" s="1"/>
  <c r="D25" i="1"/>
  <c r="D6" i="1"/>
  <c r="D7" i="1"/>
  <c r="D8" i="1"/>
  <c r="D9" i="1"/>
  <c r="D5" i="1"/>
  <c r="D28" i="1" s="1"/>
  <c r="S4" i="1"/>
  <c r="T4" i="1" s="1"/>
  <c r="S5" i="1"/>
  <c r="T5" i="1"/>
  <c r="S6" i="1"/>
  <c r="S7" i="1"/>
  <c r="T7" i="1"/>
  <c r="S3" i="1"/>
  <c r="T3" i="1" s="1"/>
  <c r="S11" i="1"/>
  <c r="T11" i="1"/>
  <c r="S10" i="1"/>
  <c r="T10" i="1" s="1"/>
  <c r="S15" i="1"/>
  <c r="E6" i="1"/>
  <c r="S16" i="1"/>
  <c r="E17" i="1" s="1"/>
  <c r="S17" i="1"/>
  <c r="S18" i="1"/>
  <c r="S14" i="1"/>
  <c r="R26" i="1"/>
  <c r="D16" i="1"/>
  <c r="R27" i="1"/>
  <c r="D17" i="1" s="1"/>
  <c r="R28" i="1"/>
  <c r="S28" i="1"/>
  <c r="E18" i="1" s="1"/>
  <c r="R29" i="1"/>
  <c r="D19" i="1" s="1"/>
  <c r="R25" i="1"/>
  <c r="S25" i="1"/>
  <c r="E15" i="1" s="1"/>
  <c r="S22" i="1"/>
  <c r="E12" i="1" s="1"/>
  <c r="F106" i="1"/>
  <c r="E106" i="1"/>
  <c r="D106" i="1"/>
  <c r="C100" i="1"/>
  <c r="D70" i="1"/>
  <c r="E70" i="1"/>
  <c r="E139" i="1" s="1"/>
  <c r="S20" i="1"/>
  <c r="T20" i="1"/>
  <c r="U20" i="1"/>
  <c r="V20" i="1" s="1"/>
  <c r="W20" i="1" s="1"/>
  <c r="X20" i="1" s="1"/>
  <c r="Y20" i="1" s="1"/>
  <c r="Z20" i="1" s="1"/>
  <c r="AA20" i="1" s="1"/>
  <c r="C79" i="2"/>
  <c r="C116" i="2"/>
  <c r="D36" i="2"/>
  <c r="C72" i="2"/>
  <c r="E41" i="2"/>
  <c r="C102" i="2"/>
  <c r="D4" i="2"/>
  <c r="D74" i="2"/>
  <c r="D103" i="2"/>
  <c r="D20" i="2"/>
  <c r="D86" i="2"/>
  <c r="E94" i="2"/>
  <c r="C90" i="2"/>
  <c r="C20" i="2"/>
  <c r="D27" i="2"/>
  <c r="C77" i="2"/>
  <c r="E125" i="2"/>
  <c r="E72" i="2"/>
  <c r="D54" i="2"/>
  <c r="E5" i="2"/>
  <c r="D32" i="2"/>
  <c r="C89" i="2"/>
  <c r="E137" i="2"/>
  <c r="C92" i="2"/>
  <c r="D123" i="2"/>
  <c r="E74" i="2"/>
  <c r="D26" i="2"/>
  <c r="E2" i="2"/>
  <c r="C30" i="2"/>
  <c r="E6" i="2"/>
  <c r="D60" i="2"/>
  <c r="E83" i="2"/>
  <c r="C109" i="2"/>
  <c r="D134" i="2"/>
  <c r="C106" i="2"/>
  <c r="D137" i="2"/>
  <c r="E88" i="2"/>
  <c r="C41" i="2"/>
  <c r="C25" i="2"/>
  <c r="D16" i="2"/>
  <c r="D21" i="2"/>
  <c r="C17" i="2"/>
  <c r="E77" i="2"/>
  <c r="C103" i="2"/>
  <c r="D128" i="2"/>
  <c r="C106" i="1"/>
  <c r="H106" i="1"/>
  <c r="I106" i="1"/>
  <c r="G106" i="1"/>
  <c r="J106" i="1"/>
  <c r="K106" i="1"/>
  <c r="L106" i="1"/>
  <c r="D12" i="1"/>
  <c r="E105" i="2"/>
  <c r="C39" i="2"/>
  <c r="D46" i="2"/>
  <c r="D38" i="2"/>
  <c r="D81" i="2"/>
  <c r="C132" i="2"/>
  <c r="E100" i="2"/>
  <c r="C137" i="2"/>
  <c r="E111" i="2"/>
  <c r="D88" i="2"/>
  <c r="C63" i="2"/>
  <c r="D13" i="2"/>
  <c r="D47" i="2"/>
  <c r="D35" i="2"/>
  <c r="D67" i="2"/>
  <c r="C118" i="2"/>
  <c r="E86" i="2"/>
  <c r="D135" i="2"/>
  <c r="D94" i="2"/>
  <c r="C24" i="2"/>
  <c r="E33" i="2"/>
  <c r="C12" i="2"/>
  <c r="C60" i="2"/>
  <c r="C133" i="2"/>
  <c r="D82" i="2"/>
  <c r="C8" i="2"/>
  <c r="C55" i="2"/>
  <c r="D77" i="2"/>
  <c r="C82" i="2"/>
  <c r="C97" i="2"/>
  <c r="D3" i="2"/>
  <c r="C78" i="2"/>
  <c r="C87" i="2"/>
  <c r="E20" i="2"/>
  <c r="E76" i="2"/>
  <c r="C27" i="2"/>
  <c r="D24" i="2"/>
  <c r="D104" i="2"/>
  <c r="E96" i="2"/>
  <c r="D9" i="2"/>
  <c r="E115" i="2"/>
  <c r="D90" i="2"/>
  <c r="C65" i="2"/>
  <c r="E45" i="2"/>
  <c r="C4" i="2"/>
  <c r="C5" i="2"/>
  <c r="C36" i="2"/>
  <c r="D63" i="2"/>
  <c r="C114" i="2"/>
  <c r="E80" i="2"/>
  <c r="D131" i="2"/>
  <c r="E121" i="2"/>
  <c r="D96" i="2"/>
  <c r="C73" i="2"/>
  <c r="E13" i="2"/>
  <c r="D8" i="2"/>
  <c r="D51" i="2"/>
  <c r="C31" i="2"/>
  <c r="C34" i="2"/>
  <c r="C100" i="2"/>
  <c r="E66" i="2"/>
  <c r="D117" i="2"/>
  <c r="D114" i="2"/>
  <c r="E63" i="2"/>
  <c r="E31" i="2"/>
  <c r="E37" i="2"/>
  <c r="C104" i="2"/>
  <c r="D121" i="2"/>
  <c r="D102" i="2"/>
  <c r="D6" i="2"/>
  <c r="D40" i="2"/>
  <c r="C21" i="2"/>
  <c r="E138" i="2"/>
  <c r="C135" i="2"/>
  <c r="C47" i="2"/>
  <c r="C86" i="2"/>
  <c r="C123" i="2"/>
  <c r="E32" i="2"/>
  <c r="E82" i="2"/>
  <c r="D92" i="2"/>
  <c r="D25" i="2"/>
  <c r="D89" i="2"/>
  <c r="E91" i="2"/>
  <c r="C122" i="2"/>
  <c r="C7" i="2"/>
  <c r="E90" i="2"/>
  <c r="C40" i="2"/>
  <c r="E50" i="2"/>
  <c r="E114" i="2"/>
  <c r="D95" i="2"/>
  <c r="E35" i="2"/>
  <c r="E8" i="2"/>
  <c r="E79" i="2"/>
  <c r="D130" i="2"/>
  <c r="C108" i="2"/>
  <c r="E4" i="2"/>
  <c r="D53" i="2"/>
  <c r="E61" i="2"/>
  <c r="D110" i="2"/>
  <c r="E128" i="2"/>
  <c r="D109" i="2"/>
  <c r="D37" i="2"/>
  <c r="E16" i="2"/>
  <c r="E73" i="2"/>
  <c r="D122" i="2"/>
  <c r="D107" i="2"/>
  <c r="E58" i="2"/>
  <c r="E102" i="2"/>
  <c r="E36" i="2"/>
  <c r="E55" i="2"/>
  <c r="C50" i="2"/>
  <c r="D34" i="2"/>
  <c r="D45" i="2"/>
  <c r="E69" i="2"/>
  <c r="C95" i="2"/>
  <c r="D120" i="2"/>
  <c r="C134" i="2"/>
  <c r="D83" i="2"/>
  <c r="E116" i="2"/>
  <c r="C66" i="2"/>
  <c r="C3" i="2"/>
  <c r="E38" i="2"/>
  <c r="C18" i="2"/>
  <c r="C53" i="2"/>
  <c r="D58" i="2"/>
  <c r="E81" i="2"/>
  <c r="C107" i="2"/>
  <c r="D132" i="2"/>
  <c r="E122" i="2"/>
  <c r="D97" i="2"/>
  <c r="C74" i="2"/>
  <c r="E130" i="2"/>
  <c r="D105" i="2"/>
  <c r="C80" i="2"/>
  <c r="D22" i="2"/>
  <c r="E24" i="2"/>
  <c r="E19" i="2"/>
  <c r="C37" i="2"/>
  <c r="C32" i="2"/>
  <c r="D52" i="2"/>
  <c r="C51" i="2"/>
  <c r="E25" i="2"/>
  <c r="E30" i="2"/>
  <c r="D139" i="2"/>
  <c r="D68" i="2"/>
  <c r="C81" i="2"/>
  <c r="E93" i="2"/>
  <c r="D106" i="2"/>
  <c r="C119" i="2"/>
  <c r="E131" i="2"/>
  <c r="E136" i="2"/>
  <c r="D111" i="2"/>
  <c r="C88" i="2"/>
  <c r="E62" i="2"/>
  <c r="D119" i="2"/>
  <c r="C94" i="2"/>
  <c r="E68" i="2"/>
  <c r="E21" i="2"/>
  <c r="C48" i="2"/>
  <c r="D39" i="2"/>
  <c r="E46" i="2"/>
  <c r="C52" i="2"/>
  <c r="E18" i="2"/>
  <c r="E47" i="2"/>
  <c r="D23" i="2"/>
  <c r="D11" i="2"/>
  <c r="D62" i="2"/>
  <c r="C75" i="2"/>
  <c r="E87" i="2"/>
  <c r="D100" i="2"/>
  <c r="C111" i="2"/>
  <c r="E123" i="2"/>
  <c r="D136" i="2"/>
  <c r="C139" i="2"/>
  <c r="E7" i="2"/>
  <c r="D65" i="2"/>
  <c r="C117" i="2"/>
  <c r="E12" i="2"/>
  <c r="D49" i="2"/>
  <c r="C138" i="2"/>
  <c r="E120" i="2"/>
  <c r="D19" i="2"/>
  <c r="D31" i="2"/>
  <c r="C67" i="2"/>
  <c r="E117" i="2"/>
  <c r="D133" i="2"/>
  <c r="D5" i="2"/>
  <c r="E3" i="2"/>
  <c r="D48" i="2"/>
  <c r="E97" i="2"/>
  <c r="D125" i="2"/>
  <c r="E134" i="2"/>
  <c r="D44" i="2"/>
  <c r="C19" i="2"/>
  <c r="C61" i="2"/>
  <c r="E109" i="2"/>
  <c r="C120" i="2"/>
  <c r="D69" i="2"/>
  <c r="D115" i="2"/>
  <c r="E64" i="2"/>
  <c r="C26" i="2"/>
  <c r="D18" i="2"/>
  <c r="E27" i="2"/>
  <c r="C16" i="2"/>
  <c r="D64" i="2"/>
  <c r="E89" i="2"/>
  <c r="C115" i="2"/>
  <c r="D138" i="2"/>
  <c r="C96" i="2"/>
  <c r="D129" i="2"/>
  <c r="E78" i="2"/>
  <c r="E44" i="2"/>
  <c r="E53" i="2"/>
  <c r="C33" i="2"/>
  <c r="C11" i="2"/>
  <c r="C22" i="2"/>
  <c r="D76" i="2"/>
  <c r="E101" i="2"/>
  <c r="E112" i="2" s="1"/>
  <c r="Y63" i="1" s="1"/>
  <c r="K33" i="1" s="1"/>
  <c r="C125" i="2"/>
  <c r="C130" i="2"/>
  <c r="E104" i="2"/>
  <c r="D79" i="2"/>
  <c r="C136" i="2"/>
  <c r="E110" i="2"/>
  <c r="D87" i="2"/>
  <c r="C62" i="2"/>
  <c r="D10" i="2"/>
  <c r="C54" i="2"/>
  <c r="E17" i="2"/>
  <c r="C38" i="2"/>
  <c r="E9" i="2"/>
  <c r="C13" i="2"/>
  <c r="C49" i="2"/>
  <c r="E11" i="2"/>
  <c r="E40" i="2"/>
  <c r="E65" i="2"/>
  <c r="D78" i="2"/>
  <c r="C91" i="2"/>
  <c r="E103" i="2"/>
  <c r="D116" i="2"/>
  <c r="C129" i="2"/>
  <c r="E139" i="2"/>
  <c r="E118" i="2"/>
  <c r="D93" i="2"/>
  <c r="C68" i="2"/>
  <c r="E124" i="2"/>
  <c r="D101" i="2"/>
  <c r="C76" i="2"/>
  <c r="D2" i="2"/>
  <c r="C45" i="2"/>
  <c r="E26" i="2"/>
  <c r="C2" i="2"/>
  <c r="E51" i="2"/>
  <c r="D7" i="2"/>
  <c r="C9" i="2"/>
  <c r="E22" i="2"/>
  <c r="D41" i="2"/>
  <c r="E59" i="2"/>
  <c r="D72" i="2"/>
  <c r="C83" i="2"/>
  <c r="E95" i="2"/>
  <c r="D108" i="2"/>
  <c r="C121" i="2"/>
  <c r="E133" i="2"/>
  <c r="C131" i="2"/>
  <c r="D80" i="2"/>
  <c r="D30" i="2"/>
  <c r="E10" i="2"/>
  <c r="C35" i="2"/>
  <c r="E25" i="1"/>
  <c r="D118" i="2"/>
  <c r="C93" i="2"/>
  <c r="E67" i="2"/>
  <c r="C6" i="2"/>
  <c r="E52" i="2"/>
  <c r="D33" i="2"/>
  <c r="D55" i="2"/>
  <c r="C58" i="2"/>
  <c r="E106" i="2"/>
  <c r="D75" i="2"/>
  <c r="C124" i="2"/>
  <c r="D124" i="2"/>
  <c r="C101" i="2"/>
  <c r="E75" i="2"/>
  <c r="C44" i="2"/>
  <c r="C46" i="2"/>
  <c r="C23" i="2"/>
  <c r="E54" i="2"/>
  <c r="E39" i="2"/>
  <c r="E92" i="2"/>
  <c r="D61" i="2"/>
  <c r="C110" i="2"/>
  <c r="E119" i="2"/>
  <c r="C69" i="2"/>
  <c r="D17" i="2"/>
  <c r="D28" i="2" s="1"/>
  <c r="E65" i="1" s="1"/>
  <c r="D50" i="2"/>
  <c r="D91" i="2"/>
  <c r="E108" i="2"/>
  <c r="E107" i="2"/>
  <c r="C59" i="2"/>
  <c r="E34" i="2"/>
  <c r="C10" i="2"/>
  <c r="C128" i="2"/>
  <c r="E132" i="2"/>
  <c r="E23" i="2"/>
  <c r="E60" i="2"/>
  <c r="E135" i="2"/>
  <c r="E48" i="2"/>
  <c r="D59" i="2"/>
  <c r="C105" i="2"/>
  <c r="E49" i="2"/>
  <c r="C64" i="2"/>
  <c r="D73" i="2"/>
  <c r="D66" i="2"/>
  <c r="E129" i="2"/>
  <c r="F70" i="1"/>
  <c r="F139" i="1"/>
  <c r="S26" i="1"/>
  <c r="T26" i="1" s="1"/>
  <c r="D11" i="1"/>
  <c r="G70" i="1"/>
  <c r="J70" i="1"/>
  <c r="M70" i="1" s="1"/>
  <c r="M139" i="1" s="1"/>
  <c r="D139" i="1"/>
  <c r="S29" i="1"/>
  <c r="E19" i="1" s="1"/>
  <c r="D18" i="1"/>
  <c r="T25" i="1"/>
  <c r="U25" i="1" s="1"/>
  <c r="T28" i="1"/>
  <c r="U28" i="1" s="1"/>
  <c r="V28" i="1" s="1"/>
  <c r="D52" i="1"/>
  <c r="E52" i="1" s="1"/>
  <c r="F52" i="1" s="1"/>
  <c r="G52" i="1" s="1"/>
  <c r="H52" i="1" s="1"/>
  <c r="I52" i="1" s="1"/>
  <c r="J52" i="1" s="1"/>
  <c r="K52" i="1" s="1"/>
  <c r="L52" i="1" s="1"/>
  <c r="M52" i="1" s="1"/>
  <c r="R55" i="1"/>
  <c r="C88" i="1"/>
  <c r="S27" i="1"/>
  <c r="T27" i="1" s="1"/>
  <c r="D15" i="1"/>
  <c r="R50" i="1"/>
  <c r="R52" i="1" s="1"/>
  <c r="G139" i="1"/>
  <c r="J139" i="1"/>
  <c r="H70" i="1"/>
  <c r="H139" i="1" s="1"/>
  <c r="I70" i="1"/>
  <c r="I139" i="1" s="1"/>
  <c r="T55" i="1"/>
  <c r="F32" i="1" s="1"/>
  <c r="Z55" i="1"/>
  <c r="L32" i="1" s="1"/>
  <c r="AA55" i="1"/>
  <c r="M32" i="1" s="1"/>
  <c r="Y55" i="1"/>
  <c r="K32" i="1" s="1"/>
  <c r="V55" i="1"/>
  <c r="H32" i="1" s="1"/>
  <c r="U55" i="1"/>
  <c r="G32" i="1" s="1"/>
  <c r="D32" i="1"/>
  <c r="S55" i="1"/>
  <c r="E32" i="1"/>
  <c r="E53" i="1" s="1"/>
  <c r="X55" i="1"/>
  <c r="J32" i="1" s="1"/>
  <c r="W55" i="1"/>
  <c r="I32" i="1"/>
  <c r="L70" i="1"/>
  <c r="L139" i="1" s="1"/>
  <c r="K70" i="1"/>
  <c r="K139" i="1" s="1"/>
  <c r="D53" i="1"/>
  <c r="D80" i="1"/>
  <c r="D84" i="1"/>
  <c r="E80" i="1"/>
  <c r="E84" i="1" s="1"/>
  <c r="I80" i="1"/>
  <c r="I84" i="1" s="1"/>
  <c r="E162" i="9"/>
  <c r="E12" i="9"/>
  <c r="Q11" i="9"/>
  <c r="F12" i="9"/>
  <c r="P25" i="9"/>
  <c r="Q25" i="9" s="1"/>
  <c r="R25" i="9" s="1"/>
  <c r="D16" i="9"/>
  <c r="P29" i="9"/>
  <c r="Q29" i="9" s="1"/>
  <c r="R29" i="9" s="1"/>
  <c r="Q15" i="9"/>
  <c r="R15" i="9"/>
  <c r="E139" i="9"/>
  <c r="O53" i="9"/>
  <c r="D52" i="9"/>
  <c r="E52" i="9"/>
  <c r="F52" i="9" s="1"/>
  <c r="G52" i="9" s="1"/>
  <c r="I52" i="9" s="1"/>
  <c r="P28" i="9"/>
  <c r="Q6" i="9"/>
  <c r="R6" i="9" s="1"/>
  <c r="E11" i="9"/>
  <c r="G70" i="9"/>
  <c r="D139" i="9"/>
  <c r="F70" i="9"/>
  <c r="F139" i="9" s="1"/>
  <c r="C28" i="2"/>
  <c r="E140" i="2"/>
  <c r="D98" i="2"/>
  <c r="C98" i="2"/>
  <c r="E70" i="2"/>
  <c r="V63" i="1" s="1"/>
  <c r="H33" i="1" s="1"/>
  <c r="C112" i="2"/>
  <c r="D14" i="2"/>
  <c r="D65" i="9" s="1"/>
  <c r="D132" i="9" s="1"/>
  <c r="E126" i="2"/>
  <c r="C84" i="2"/>
  <c r="D42" i="2"/>
  <c r="E28" i="2"/>
  <c r="P63" i="9" s="1"/>
  <c r="E33" i="9" s="1"/>
  <c r="E157" i="9" s="1"/>
  <c r="D112" i="2"/>
  <c r="C14" i="2"/>
  <c r="E98" i="2"/>
  <c r="AA8" i="8"/>
  <c r="AA26" i="8"/>
  <c r="Z63" i="1"/>
  <c r="L33" i="1" s="1"/>
  <c r="X63" i="1"/>
  <c r="J33" i="1" s="1"/>
  <c r="E56" i="2"/>
  <c r="R63" i="9" s="1"/>
  <c r="G33" i="9" s="1"/>
  <c r="G157" i="9" s="1"/>
  <c r="D70" i="2"/>
  <c r="E42" i="2"/>
  <c r="Q63" i="9" s="1"/>
  <c r="F33" i="9" s="1"/>
  <c r="F157" i="9" s="1"/>
  <c r="C126" i="2"/>
  <c r="D140" i="2"/>
  <c r="E84" i="2"/>
  <c r="C70" i="2"/>
  <c r="D84" i="2"/>
  <c r="D56" i="2"/>
  <c r="C42" i="2"/>
  <c r="AA63" i="1"/>
  <c r="M33" i="1" s="1"/>
  <c r="C140" i="2"/>
  <c r="D126" i="2"/>
  <c r="E14" i="2"/>
  <c r="O63" i="9" s="1"/>
  <c r="D33" i="9" s="1"/>
  <c r="D157" i="9" s="1"/>
  <c r="C56" i="2"/>
  <c r="Q28" i="9"/>
  <c r="G139" i="9"/>
  <c r="S63" i="1"/>
  <c r="E33" i="1" s="1"/>
  <c r="D65" i="1"/>
  <c r="D132" i="1" s="1"/>
  <c r="U63" i="1"/>
  <c r="G33" i="1" s="1"/>
  <c r="W63" i="1"/>
  <c r="I33" i="1" s="1"/>
  <c r="R28" i="9"/>
  <c r="O55" i="9"/>
  <c r="C88" i="9"/>
  <c r="R11" i="9"/>
  <c r="G12" i="9" s="1"/>
  <c r="Q38" i="9"/>
  <c r="F25" i="9" s="1"/>
  <c r="P27" i="9"/>
  <c r="Q27" i="9" s="1"/>
  <c r="R27" i="9" s="1"/>
  <c r="C156" i="9"/>
  <c r="C160" i="9" s="1"/>
  <c r="D32" i="9"/>
  <c r="D80" i="9" s="1"/>
  <c r="Q55" i="9"/>
  <c r="F32" i="9"/>
  <c r="R55" i="9"/>
  <c r="G32" i="9"/>
  <c r="P55" i="9"/>
  <c r="E32" i="9"/>
  <c r="R38" i="9"/>
  <c r="G25" i="9"/>
  <c r="E80" i="9"/>
  <c r="E84" i="9"/>
  <c r="D84" i="9"/>
  <c r="D53" i="9"/>
  <c r="E53" i="9" s="1"/>
  <c r="F80" i="9"/>
  <c r="F84" i="9" s="1"/>
  <c r="G80" i="9"/>
  <c r="G84" i="9" s="1"/>
  <c r="F11" i="9"/>
  <c r="G11" i="9"/>
  <c r="E6" i="9"/>
  <c r="E7" i="9"/>
  <c r="E9" i="9"/>
  <c r="F15" i="9"/>
  <c r="F5" i="9"/>
  <c r="R14" i="9"/>
  <c r="E15" i="9"/>
  <c r="E5" i="9"/>
  <c r="E13" i="9" s="1"/>
  <c r="E18" i="9"/>
  <c r="E8" i="9"/>
  <c r="Q18" i="9"/>
  <c r="R18" i="9"/>
  <c r="G19" i="9" s="1"/>
  <c r="E19" i="9"/>
  <c r="D13" i="9"/>
  <c r="O36" i="9"/>
  <c r="D27" i="9" s="1"/>
  <c r="F8" i="9"/>
  <c r="R17" i="9"/>
  <c r="D20" i="9"/>
  <c r="O44" i="9" s="1"/>
  <c r="D47" i="9" s="1"/>
  <c r="R16" i="9"/>
  <c r="G7" i="9" s="1"/>
  <c r="F7" i="9"/>
  <c r="E17" i="9"/>
  <c r="G6" i="9"/>
  <c r="F6" i="9"/>
  <c r="Q36" i="9" s="1"/>
  <c r="F27" i="9" s="1"/>
  <c r="D28" i="9"/>
  <c r="T18" i="1"/>
  <c r="U18" i="1"/>
  <c r="V18" i="1" s="1"/>
  <c r="W18" i="1" s="1"/>
  <c r="X18" i="1" s="1"/>
  <c r="Y18" i="1" s="1"/>
  <c r="Z18" i="1" s="1"/>
  <c r="AA18" i="1" s="1"/>
  <c r="G15" i="9"/>
  <c r="G5" i="9"/>
  <c r="D22" i="9"/>
  <c r="D26" i="9"/>
  <c r="D46" i="9"/>
  <c r="D96" i="9" s="1"/>
  <c r="F9" i="9"/>
  <c r="F19" i="9"/>
  <c r="G18" i="9"/>
  <c r="G8" i="9"/>
  <c r="F28" i="9"/>
  <c r="D13" i="1"/>
  <c r="D26" i="1" s="1"/>
  <c r="D29" i="1" s="1"/>
  <c r="R36" i="1"/>
  <c r="D27" i="1"/>
  <c r="D20" i="1"/>
  <c r="D22" i="1" s="1"/>
  <c r="D79" i="1"/>
  <c r="D81" i="1" s="1"/>
  <c r="D82" i="1" s="1"/>
  <c r="D99" i="1" s="1"/>
  <c r="D46" i="1"/>
  <c r="D96" i="1" s="1"/>
  <c r="E7" i="1"/>
  <c r="T14" i="1"/>
  <c r="T16" i="1"/>
  <c r="U16" i="1" s="1"/>
  <c r="E5" i="1"/>
  <c r="T17" i="1"/>
  <c r="U17" i="1" s="1"/>
  <c r="G8" i="1" s="1"/>
  <c r="T15" i="1"/>
  <c r="U15" i="1"/>
  <c r="V15" i="1"/>
  <c r="W15" i="1" s="1"/>
  <c r="X15" i="1" s="1"/>
  <c r="E8" i="1"/>
  <c r="U3" i="1"/>
  <c r="V3" i="1"/>
  <c r="W3" i="1" s="1"/>
  <c r="E9" i="1"/>
  <c r="U26" i="1"/>
  <c r="W28" i="1"/>
  <c r="X28" i="1" s="1"/>
  <c r="Y28" i="1" s="1"/>
  <c r="V25" i="1"/>
  <c r="E16" i="1"/>
  <c r="E20" i="1"/>
  <c r="E60" i="1" s="1"/>
  <c r="U27" i="1"/>
  <c r="T29" i="1"/>
  <c r="T22" i="1"/>
  <c r="U22" i="1"/>
  <c r="V22" i="1"/>
  <c r="W22" i="1" s="1"/>
  <c r="X22" i="1" s="1"/>
  <c r="Y22" i="1"/>
  <c r="Z22" i="1" s="1"/>
  <c r="AA22" i="1" s="1"/>
  <c r="E11" i="1"/>
  <c r="U11" i="1"/>
  <c r="U10" i="1"/>
  <c r="F11" i="1"/>
  <c r="U5" i="1"/>
  <c r="U7" i="1"/>
  <c r="F9" i="1"/>
  <c r="U4" i="1"/>
  <c r="V5" i="1"/>
  <c r="T6" i="1"/>
  <c r="F17" i="1"/>
  <c r="F7" i="1"/>
  <c r="F6" i="1"/>
  <c r="F18" i="1"/>
  <c r="F16" i="1"/>
  <c r="E13" i="1"/>
  <c r="E22" i="1" s="1"/>
  <c r="F12" i="1"/>
  <c r="V27" i="1"/>
  <c r="F19" i="1"/>
  <c r="U29" i="1"/>
  <c r="G19" i="1" s="1"/>
  <c r="G16" i="1"/>
  <c r="V26" i="1"/>
  <c r="W25" i="1"/>
  <c r="X25" i="1" s="1"/>
  <c r="Y25" i="1" s="1"/>
  <c r="Z25" i="1" s="1"/>
  <c r="AA25" i="1" s="1"/>
  <c r="S44" i="1"/>
  <c r="E47" i="1" s="1"/>
  <c r="V10" i="1"/>
  <c r="G11" i="1"/>
  <c r="G9" i="1"/>
  <c r="V7" i="1"/>
  <c r="W7" i="1" s="1"/>
  <c r="F8" i="1"/>
  <c r="U6" i="1"/>
  <c r="G18" i="1"/>
  <c r="W26" i="1"/>
  <c r="X26" i="1" s="1"/>
  <c r="Y26" i="1" s="1"/>
  <c r="Z26" i="1" s="1"/>
  <c r="AA26" i="1" s="1"/>
  <c r="H16" i="1"/>
  <c r="V29" i="1"/>
  <c r="W27" i="1"/>
  <c r="W10" i="1"/>
  <c r="I11" i="1" s="1"/>
  <c r="H11" i="1"/>
  <c r="V6" i="1"/>
  <c r="H9" i="1"/>
  <c r="W29" i="1"/>
  <c r="I19" i="1" s="1"/>
  <c r="H19" i="1"/>
  <c r="I16" i="1"/>
  <c r="X27" i="1"/>
  <c r="Z28" i="1"/>
  <c r="X10" i="1"/>
  <c r="W6" i="1"/>
  <c r="X6" i="1" s="1"/>
  <c r="AA28" i="1"/>
  <c r="Y27" i="1"/>
  <c r="Z27" i="1" s="1"/>
  <c r="AA27" i="1" s="1"/>
  <c r="Y10" i="1"/>
  <c r="Z10" i="1" s="1"/>
  <c r="J11" i="1"/>
  <c r="Y6" i="1" l="1"/>
  <c r="AA10" i="1"/>
  <c r="M11" i="1" s="1"/>
  <c r="L11" i="1"/>
  <c r="I9" i="1"/>
  <c r="X7" i="1"/>
  <c r="X3" i="1"/>
  <c r="K11" i="1"/>
  <c r="X29" i="1"/>
  <c r="E46" i="1"/>
  <c r="W5" i="1"/>
  <c r="E26" i="1"/>
  <c r="Y15" i="1"/>
  <c r="J16" i="1"/>
  <c r="E28" i="1"/>
  <c r="S36" i="1"/>
  <c r="E27" i="1" s="1"/>
  <c r="U14" i="1"/>
  <c r="F5" i="1"/>
  <c r="F15" i="1"/>
  <c r="F20" i="1" s="1"/>
  <c r="D29" i="9"/>
  <c r="D97" i="9"/>
  <c r="G6" i="1"/>
  <c r="V4" i="1"/>
  <c r="G12" i="1"/>
  <c r="V11" i="1"/>
  <c r="G5" i="1"/>
  <c r="D79" i="9"/>
  <c r="D81" i="9" s="1"/>
  <c r="V17" i="1"/>
  <c r="G7" i="1"/>
  <c r="V16" i="1"/>
  <c r="G17" i="1"/>
  <c r="D83" i="1"/>
  <c r="D85" i="1" s="1"/>
  <c r="E46" i="9"/>
  <c r="E26" i="9"/>
  <c r="F53" i="9"/>
  <c r="R44" i="1"/>
  <c r="D47" i="1" s="1"/>
  <c r="G17" i="9"/>
  <c r="G9" i="9"/>
  <c r="R36" i="9" s="1"/>
  <c r="G27" i="9" s="1"/>
  <c r="P36" i="9"/>
  <c r="E27" i="9" s="1"/>
  <c r="K80" i="1"/>
  <c r="K84" i="1" s="1"/>
  <c r="M51" i="1"/>
  <c r="M92" i="1" s="1"/>
  <c r="M93" i="1" s="1"/>
  <c r="E51" i="1"/>
  <c r="C91" i="1"/>
  <c r="C94" i="1" s="1"/>
  <c r="C108" i="1" s="1"/>
  <c r="L51" i="1"/>
  <c r="D51" i="1"/>
  <c r="D54" i="1" s="1"/>
  <c r="G51" i="1"/>
  <c r="J51" i="1"/>
  <c r="F51" i="1"/>
  <c r="H51" i="1"/>
  <c r="R58" i="1"/>
  <c r="K51" i="1"/>
  <c r="I51" i="1"/>
  <c r="N139" i="1"/>
  <c r="F25" i="1"/>
  <c r="U38" i="1"/>
  <c r="F17" i="9"/>
  <c r="Q26" i="9"/>
  <c r="E16" i="9"/>
  <c r="E20" i="9" s="1"/>
  <c r="D60" i="1"/>
  <c r="E98" i="1" s="1"/>
  <c r="F13" i="9"/>
  <c r="D60" i="9"/>
  <c r="M80" i="1"/>
  <c r="M84" i="1" s="1"/>
  <c r="E132" i="1"/>
  <c r="F65" i="1"/>
  <c r="J80" i="1"/>
  <c r="J84" i="1" s="1"/>
  <c r="G80" i="1"/>
  <c r="G84" i="1" s="1"/>
  <c r="L80" i="1"/>
  <c r="L84" i="1" s="1"/>
  <c r="O52" i="9"/>
  <c r="E28" i="9"/>
  <c r="G53" i="9"/>
  <c r="E65" i="9"/>
  <c r="D158" i="9" s="1"/>
  <c r="D160" i="9" s="1"/>
  <c r="H139" i="9"/>
  <c r="E54" i="1"/>
  <c r="H80" i="1"/>
  <c r="H84" i="1" s="1"/>
  <c r="F80" i="1"/>
  <c r="F84" i="1" s="1"/>
  <c r="F53" i="1"/>
  <c r="F54" i="1" s="1"/>
  <c r="R63" i="1"/>
  <c r="D33" i="1" s="1"/>
  <c r="T63" i="1"/>
  <c r="F33" i="1" s="1"/>
  <c r="D100" i="9" l="1"/>
  <c r="G53" i="1"/>
  <c r="P44" i="9"/>
  <c r="E47" i="9" s="1"/>
  <c r="E60" i="9"/>
  <c r="G13" i="9"/>
  <c r="G28" i="9"/>
  <c r="D82" i="9"/>
  <c r="D99" i="9" s="1"/>
  <c r="W4" i="1"/>
  <c r="H6" i="1"/>
  <c r="V14" i="1"/>
  <c r="G15" i="1"/>
  <c r="G20" i="1" s="1"/>
  <c r="K16" i="1"/>
  <c r="Z15" i="1"/>
  <c r="J19" i="1"/>
  <c r="Y29" i="1"/>
  <c r="F132" i="1"/>
  <c r="G65" i="1"/>
  <c r="D98" i="9"/>
  <c r="R26" i="9"/>
  <c r="G16" i="9" s="1"/>
  <c r="G20" i="9" s="1"/>
  <c r="F16" i="9"/>
  <c r="F20" i="9" s="1"/>
  <c r="E97" i="1"/>
  <c r="D97" i="1"/>
  <c r="D100" i="1" s="1"/>
  <c r="D108" i="1" s="1"/>
  <c r="E22" i="9"/>
  <c r="G28" i="1"/>
  <c r="G13" i="1"/>
  <c r="U36" i="1"/>
  <c r="G27" i="1" s="1"/>
  <c r="E29" i="1"/>
  <c r="Y7" i="1"/>
  <c r="J9" i="1"/>
  <c r="D51" i="9"/>
  <c r="D54" i="9" s="1"/>
  <c r="C91" i="9"/>
  <c r="C94" i="9" s="1"/>
  <c r="C108" i="9" s="1"/>
  <c r="E51" i="9"/>
  <c r="E54" i="9" s="1"/>
  <c r="G51" i="9"/>
  <c r="I51" i="9" s="1"/>
  <c r="I61" i="9" s="1"/>
  <c r="O58" i="9"/>
  <c r="F51" i="9"/>
  <c r="F26" i="9"/>
  <c r="F29" i="9" s="1"/>
  <c r="F46" i="9"/>
  <c r="F22" i="9"/>
  <c r="E29" i="9"/>
  <c r="W17" i="1"/>
  <c r="H8" i="1"/>
  <c r="H18" i="1"/>
  <c r="W11" i="1"/>
  <c r="H12" i="1"/>
  <c r="F60" i="1"/>
  <c r="T44" i="1"/>
  <c r="F47" i="1" s="1"/>
  <c r="X5" i="1"/>
  <c r="F65" i="9"/>
  <c r="E132" i="9"/>
  <c r="E158" i="9"/>
  <c r="E160" i="9" s="1"/>
  <c r="D98" i="1"/>
  <c r="V38" i="1"/>
  <c r="G25" i="1"/>
  <c r="F54" i="9"/>
  <c r="E96" i="9"/>
  <c r="F96" i="9"/>
  <c r="W16" i="1"/>
  <c r="H17" i="1"/>
  <c r="F13" i="1"/>
  <c r="F28" i="1"/>
  <c r="T36" i="1"/>
  <c r="F27" i="1" s="1"/>
  <c r="E96" i="1"/>
  <c r="Y3" i="1"/>
  <c r="H7" i="1"/>
  <c r="Z6" i="1"/>
  <c r="I18" i="1" l="1"/>
  <c r="X17" i="1"/>
  <c r="I8" i="1"/>
  <c r="G46" i="1"/>
  <c r="G26" i="1"/>
  <c r="G29" i="1" s="1"/>
  <c r="G22" i="1"/>
  <c r="H65" i="1"/>
  <c r="G132" i="1"/>
  <c r="X11" i="1"/>
  <c r="I12" i="1"/>
  <c r="Z3" i="1"/>
  <c r="G54" i="9"/>
  <c r="G65" i="9"/>
  <c r="F132" i="9"/>
  <c r="G97" i="1"/>
  <c r="F97" i="1"/>
  <c r="F79" i="9"/>
  <c r="F81" i="9" s="1"/>
  <c r="E79" i="1"/>
  <c r="E81" i="1" s="1"/>
  <c r="K19" i="1"/>
  <c r="Z29" i="1"/>
  <c r="U44" i="1"/>
  <c r="G47" i="1" s="1"/>
  <c r="G60" i="1"/>
  <c r="I6" i="1"/>
  <c r="X4" i="1"/>
  <c r="G46" i="9"/>
  <c r="J46" i="9" s="1"/>
  <c r="G22" i="9"/>
  <c r="G26" i="9"/>
  <c r="G29" i="9" s="1"/>
  <c r="G54" i="1"/>
  <c r="H53" i="1"/>
  <c r="Y5" i="1"/>
  <c r="G60" i="9"/>
  <c r="R44" i="9"/>
  <c r="G47" i="9" s="1"/>
  <c r="J47" i="9" s="1"/>
  <c r="AA15" i="1"/>
  <c r="M16" i="1" s="1"/>
  <c r="L16" i="1"/>
  <c r="E98" i="9"/>
  <c r="I17" i="1"/>
  <c r="X16" i="1"/>
  <c r="J7" i="1" s="1"/>
  <c r="I7" i="1"/>
  <c r="Z7" i="1"/>
  <c r="K9" i="1"/>
  <c r="F97" i="9"/>
  <c r="E97" i="9"/>
  <c r="AA6" i="1"/>
  <c r="F22" i="1"/>
  <c r="F26" i="1"/>
  <c r="F29" i="1" s="1"/>
  <c r="F46" i="1"/>
  <c r="H25" i="1"/>
  <c r="W38" i="1"/>
  <c r="F98" i="1"/>
  <c r="G96" i="9"/>
  <c r="E79" i="9"/>
  <c r="E81" i="9" s="1"/>
  <c r="F60" i="9"/>
  <c r="Q44" i="9"/>
  <c r="F47" i="9" s="1"/>
  <c r="G97" i="9" s="1"/>
  <c r="W14" i="1"/>
  <c r="H15" i="1"/>
  <c r="H20" i="1" s="1"/>
  <c r="H5" i="1"/>
  <c r="D83" i="9"/>
  <c r="D85" i="9" s="1"/>
  <c r="D108" i="9" s="1"/>
  <c r="G98" i="9" l="1"/>
  <c r="J60" i="9"/>
  <c r="Y4" i="1"/>
  <c r="J6" i="1"/>
  <c r="AA29" i="1"/>
  <c r="M19" i="1" s="1"/>
  <c r="L19" i="1"/>
  <c r="I65" i="9"/>
  <c r="G132" i="9"/>
  <c r="AA3" i="1"/>
  <c r="G79" i="1"/>
  <c r="G81" i="1" s="1"/>
  <c r="F98" i="9"/>
  <c r="F100" i="9" s="1"/>
  <c r="Y17" i="1"/>
  <c r="J18" i="1"/>
  <c r="J8" i="1"/>
  <c r="V36" i="1"/>
  <c r="H27" i="1" s="1"/>
  <c r="H13" i="1"/>
  <c r="H28" i="1"/>
  <c r="V44" i="1"/>
  <c r="H47" i="1" s="1"/>
  <c r="H60" i="1"/>
  <c r="Y16" i="1"/>
  <c r="J17" i="1"/>
  <c r="I15" i="1"/>
  <c r="I20" i="1" s="1"/>
  <c r="X14" i="1"/>
  <c r="I5" i="1"/>
  <c r="E82" i="9"/>
  <c r="E99" i="9" s="1"/>
  <c r="E100" i="9" s="1"/>
  <c r="I25" i="1"/>
  <c r="X38" i="1"/>
  <c r="Z5" i="1"/>
  <c r="G79" i="9"/>
  <c r="G81" i="9" s="1"/>
  <c r="G98" i="1"/>
  <c r="E82" i="1"/>
  <c r="E99" i="1" s="1"/>
  <c r="E100" i="1" s="1"/>
  <c r="F82" i="9"/>
  <c r="F99" i="9" s="1"/>
  <c r="G96" i="1"/>
  <c r="F96" i="1"/>
  <c r="F79" i="1"/>
  <c r="F81" i="1" s="1"/>
  <c r="AA7" i="1"/>
  <c r="M9" i="1" s="1"/>
  <c r="L9" i="1"/>
  <c r="H54" i="1"/>
  <c r="I53" i="1"/>
  <c r="H97" i="1"/>
  <c r="F158" i="9"/>
  <c r="F160" i="9" s="1"/>
  <c r="Y11" i="1"/>
  <c r="J12" i="1"/>
  <c r="I65" i="1"/>
  <c r="H132" i="1"/>
  <c r="J65" i="1" l="1"/>
  <c r="I132" i="1"/>
  <c r="E83" i="1"/>
  <c r="E85" i="1" s="1"/>
  <c r="E108" i="1" s="1"/>
  <c r="G82" i="9"/>
  <c r="G99" i="9" s="1"/>
  <c r="G100" i="9" s="1"/>
  <c r="Y38" i="1"/>
  <c r="J25" i="1"/>
  <c r="I28" i="1"/>
  <c r="W36" i="1"/>
  <c r="I27" i="1" s="1"/>
  <c r="I13" i="1"/>
  <c r="Z16" i="1"/>
  <c r="K17" i="1"/>
  <c r="H22" i="1"/>
  <c r="H46" i="1"/>
  <c r="H26" i="1"/>
  <c r="H29" i="1" s="1"/>
  <c r="K18" i="1"/>
  <c r="Z17" i="1"/>
  <c r="K8" i="1"/>
  <c r="G83" i="1"/>
  <c r="G85" i="1" s="1"/>
  <c r="G82" i="1"/>
  <c r="H132" i="9"/>
  <c r="F83" i="1"/>
  <c r="F85" i="1" s="1"/>
  <c r="F82" i="1"/>
  <c r="F99" i="1" s="1"/>
  <c r="F83" i="9"/>
  <c r="F85" i="9" s="1"/>
  <c r="F108" i="9" s="1"/>
  <c r="K7" i="1"/>
  <c r="Y14" i="1"/>
  <c r="J15" i="1"/>
  <c r="J20" i="1" s="1"/>
  <c r="J5" i="1"/>
  <c r="H98" i="1"/>
  <c r="J65" i="9"/>
  <c r="L65" i="9"/>
  <c r="J59" i="9"/>
  <c r="J61" i="9" s="1"/>
  <c r="Z4" i="1"/>
  <c r="K6" i="1"/>
  <c r="Z11" i="1"/>
  <c r="K12" i="1"/>
  <c r="I54" i="1"/>
  <c r="J53" i="1"/>
  <c r="F100" i="1"/>
  <c r="L7" i="1"/>
  <c r="AA5" i="1"/>
  <c r="E83" i="9"/>
  <c r="E85" i="9" s="1"/>
  <c r="E108" i="9" s="1"/>
  <c r="I60" i="1"/>
  <c r="W44" i="1"/>
  <c r="I47" i="1" s="1"/>
  <c r="I97" i="1"/>
  <c r="H96" i="1" l="1"/>
  <c r="I26" i="1"/>
  <c r="I29" i="1" s="1"/>
  <c r="I46" i="1"/>
  <c r="I22" i="1"/>
  <c r="Z38" i="1"/>
  <c r="K25" i="1"/>
  <c r="C113" i="9"/>
  <c r="X36" i="1"/>
  <c r="J27" i="1" s="1"/>
  <c r="J13" i="1"/>
  <c r="J28" i="1"/>
  <c r="AA17" i="1"/>
  <c r="L18" i="1"/>
  <c r="L8" i="1"/>
  <c r="H79" i="1"/>
  <c r="H81" i="1" s="1"/>
  <c r="G83" i="9"/>
  <c r="G85" i="9" s="1"/>
  <c r="G108" i="9" s="1"/>
  <c r="I98" i="1"/>
  <c r="L12" i="1"/>
  <c r="AA11" i="1"/>
  <c r="M12" i="1" s="1"/>
  <c r="J54" i="1"/>
  <c r="K53" i="1"/>
  <c r="K65" i="9"/>
  <c r="G159" i="9"/>
  <c r="G160" i="9" s="1"/>
  <c r="C161" i="9" s="1"/>
  <c r="E161" i="9" s="1"/>
  <c r="E163" i="9" s="1"/>
  <c r="J60" i="1"/>
  <c r="X44" i="1"/>
  <c r="J47" i="1" s="1"/>
  <c r="AA4" i="1"/>
  <c r="M6" i="1" s="1"/>
  <c r="L6" i="1"/>
  <c r="Z14" i="1"/>
  <c r="K15" i="1"/>
  <c r="K20" i="1" s="1"/>
  <c r="K5" i="1"/>
  <c r="G99" i="1"/>
  <c r="G100" i="1" s="1"/>
  <c r="G108" i="1" s="1"/>
  <c r="J132" i="1"/>
  <c r="K65" i="1"/>
  <c r="F108" i="1"/>
  <c r="AA16" i="1"/>
  <c r="M17" i="1" s="1"/>
  <c r="L17" i="1"/>
  <c r="J98" i="1" l="1"/>
  <c r="AA14" i="1"/>
  <c r="L15" i="1"/>
  <c r="L20" i="1" s="1"/>
  <c r="L5" i="1"/>
  <c r="K54" i="1"/>
  <c r="L53" i="1"/>
  <c r="H82" i="1"/>
  <c r="H99" i="1" s="1"/>
  <c r="J96" i="1"/>
  <c r="M7" i="1"/>
  <c r="L25" i="1"/>
  <c r="AA38" i="1"/>
  <c r="M25" i="1" s="1"/>
  <c r="H100" i="1"/>
  <c r="J46" i="1"/>
  <c r="J26" i="1"/>
  <c r="J29" i="1" s="1"/>
  <c r="J22" i="1"/>
  <c r="K28" i="1"/>
  <c r="Y36" i="1"/>
  <c r="K27" i="1" s="1"/>
  <c r="K13" i="1"/>
  <c r="K132" i="1"/>
  <c r="L65" i="1"/>
  <c r="Y44" i="1"/>
  <c r="K47" i="1" s="1"/>
  <c r="K60" i="1"/>
  <c r="J97" i="1"/>
  <c r="M18" i="1"/>
  <c r="M8" i="1"/>
  <c r="I79" i="1"/>
  <c r="I81" i="1" s="1"/>
  <c r="I96" i="1"/>
  <c r="I82" i="1" l="1"/>
  <c r="I99" i="1" s="1"/>
  <c r="K98" i="1"/>
  <c r="J79" i="1"/>
  <c r="J81" i="1" s="1"/>
  <c r="K26" i="1"/>
  <c r="K29" i="1" s="1"/>
  <c r="K22" i="1"/>
  <c r="K46" i="1"/>
  <c r="H83" i="1"/>
  <c r="H85" i="1" s="1"/>
  <c r="H108" i="1" s="1"/>
  <c r="Z36" i="1"/>
  <c r="L27" i="1" s="1"/>
  <c r="L13" i="1"/>
  <c r="L28" i="1"/>
  <c r="L60" i="1"/>
  <c r="Z44" i="1"/>
  <c r="L47" i="1" s="1"/>
  <c r="L97" i="1" s="1"/>
  <c r="I100" i="1"/>
  <c r="K96" i="1"/>
  <c r="L132" i="1"/>
  <c r="M65" i="1"/>
  <c r="K97" i="1"/>
  <c r="L54" i="1"/>
  <c r="M53" i="1"/>
  <c r="M15" i="1"/>
  <c r="M20" i="1" s="1"/>
  <c r="M5" i="1"/>
  <c r="AA36" i="1" l="1"/>
  <c r="M27" i="1" s="1"/>
  <c r="M28" i="1"/>
  <c r="M13" i="1"/>
  <c r="M60" i="1"/>
  <c r="AA44" i="1"/>
  <c r="M47" i="1" s="1"/>
  <c r="M103" i="1" s="1"/>
  <c r="M54" i="1"/>
  <c r="M89" i="1"/>
  <c r="M132" i="1"/>
  <c r="L46" i="1"/>
  <c r="L22" i="1"/>
  <c r="L26" i="1"/>
  <c r="L29" i="1" s="1"/>
  <c r="L96" i="1"/>
  <c r="M97" i="1"/>
  <c r="K79" i="1"/>
  <c r="K81" i="1" s="1"/>
  <c r="L98" i="1"/>
  <c r="J82" i="1"/>
  <c r="J99" i="1" s="1"/>
  <c r="J100" i="1" s="1"/>
  <c r="J83" i="1"/>
  <c r="J85" i="1" s="1"/>
  <c r="J108" i="1" s="1"/>
  <c r="I83" i="1"/>
  <c r="I85" i="1" s="1"/>
  <c r="I108" i="1" s="1"/>
  <c r="K82" i="1" l="1"/>
  <c r="K99" i="1" s="1"/>
  <c r="K100" i="1" s="1"/>
  <c r="L79" i="1"/>
  <c r="L81" i="1" s="1"/>
  <c r="M90" i="1"/>
  <c r="M94" i="1" s="1"/>
  <c r="M26" i="1"/>
  <c r="M29" i="1" s="1"/>
  <c r="M22" i="1"/>
  <c r="M46" i="1"/>
  <c r="M102" i="1" s="1"/>
  <c r="N132" i="1"/>
  <c r="M98" i="1"/>
  <c r="M104" i="1"/>
  <c r="M79" i="1" l="1"/>
  <c r="M81" i="1" s="1"/>
  <c r="M96" i="1"/>
  <c r="L82" i="1"/>
  <c r="L99" i="1" s="1"/>
  <c r="L100" i="1" s="1"/>
  <c r="L83" i="1"/>
  <c r="L85" i="1" s="1"/>
  <c r="L108" i="1" s="1"/>
  <c r="K83" i="1"/>
  <c r="K85" i="1" s="1"/>
  <c r="K108" i="1" s="1"/>
  <c r="M82" i="1" l="1"/>
  <c r="M83" i="1" s="1"/>
  <c r="M85" i="1" s="1"/>
  <c r="M105" i="1" l="1"/>
  <c r="M106" i="1" s="1"/>
  <c r="M99" i="1"/>
  <c r="M100" i="1" s="1"/>
  <c r="M108" i="1" s="1"/>
  <c r="C113" i="1" s="1"/>
  <c r="D34" i="9"/>
  <c r="E34" i="9"/>
  <c r="F34" i="9"/>
  <c r="G34" i="9"/>
  <c r="D35" i="9"/>
  <c r="E35" i="9"/>
  <c r="F35" i="9"/>
  <c r="G35" i="9"/>
  <c r="D37" i="9"/>
  <c r="E37" i="9"/>
  <c r="F37" i="9"/>
  <c r="G37" i="9"/>
  <c r="D38" i="9"/>
  <c r="E38" i="9"/>
  <c r="F38" i="9"/>
  <c r="G38" i="9"/>
  <c r="D39" i="9"/>
  <c r="E39" i="9"/>
  <c r="F39" i="9"/>
  <c r="G39" i="9"/>
  <c r="D45" i="9"/>
  <c r="E45" i="9"/>
  <c r="F45" i="9"/>
  <c r="G45" i="9"/>
  <c r="D48" i="9"/>
  <c r="E48" i="9"/>
  <c r="F48" i="9"/>
  <c r="G48" i="9"/>
  <c r="D56" i="9"/>
  <c r="E56" i="9"/>
  <c r="F56" i="9"/>
  <c r="G56" i="9"/>
  <c r="D61" i="9"/>
  <c r="E61" i="9"/>
  <c r="F61" i="9"/>
  <c r="G61" i="9"/>
  <c r="D62" i="9"/>
  <c r="E62" i="9"/>
  <c r="F62" i="9"/>
  <c r="G62" i="9"/>
  <c r="M65" i="9"/>
  <c r="D66" i="9"/>
  <c r="E66" i="9"/>
  <c r="F66" i="9"/>
  <c r="G66" i="9"/>
  <c r="I66" i="9"/>
  <c r="J66" i="9"/>
  <c r="K66" i="9"/>
  <c r="L66" i="9"/>
  <c r="M66" i="9"/>
  <c r="D67" i="9"/>
  <c r="E67" i="9"/>
  <c r="F67" i="9"/>
  <c r="G67" i="9"/>
  <c r="L67" i="9"/>
  <c r="O67" i="9"/>
  <c r="D71" i="9"/>
  <c r="E71" i="9"/>
  <c r="F71" i="9"/>
  <c r="G71" i="9"/>
  <c r="D72" i="9"/>
  <c r="E72" i="9"/>
  <c r="F72" i="9"/>
  <c r="G72" i="9"/>
  <c r="D74" i="9"/>
  <c r="E74" i="9"/>
  <c r="F74" i="9"/>
  <c r="G74" i="9"/>
  <c r="D75" i="9"/>
  <c r="E75" i="9"/>
  <c r="F75" i="9"/>
  <c r="G75" i="9"/>
  <c r="C109" i="9"/>
  <c r="D109" i="9"/>
  <c r="E109" i="9"/>
  <c r="F109" i="9"/>
  <c r="G109" i="9"/>
  <c r="C112" i="9"/>
  <c r="C118" i="9"/>
  <c r="L120" i="9"/>
  <c r="L121" i="9"/>
  <c r="C122" i="9"/>
  <c r="L122" i="9"/>
  <c r="C123" i="9"/>
  <c r="D126" i="9"/>
  <c r="E126" i="9"/>
  <c r="F126" i="9"/>
  <c r="G126" i="9"/>
  <c r="I132" i="9"/>
  <c r="L132" i="9"/>
  <c r="D133" i="9"/>
  <c r="E133" i="9"/>
  <c r="F133" i="9"/>
  <c r="G133" i="9"/>
  <c r="H133" i="9"/>
  <c r="I133" i="9"/>
  <c r="L133" i="9"/>
  <c r="D134" i="9"/>
  <c r="E134" i="9"/>
  <c r="F134" i="9"/>
  <c r="G134" i="9"/>
  <c r="H134" i="9"/>
  <c r="I134" i="9"/>
  <c r="L134" i="9"/>
  <c r="D136" i="9"/>
  <c r="E136" i="9"/>
  <c r="F136" i="9"/>
  <c r="G136" i="9"/>
  <c r="I139" i="9"/>
  <c r="J139" i="9"/>
  <c r="K139" i="9"/>
  <c r="L139" i="9"/>
  <c r="D140" i="9"/>
  <c r="E140" i="9"/>
  <c r="F140" i="9"/>
  <c r="G140" i="9"/>
  <c r="H140" i="9"/>
  <c r="I140" i="9"/>
  <c r="J140" i="9"/>
  <c r="K140" i="9"/>
  <c r="L140" i="9"/>
  <c r="D141" i="9"/>
  <c r="E141" i="9"/>
  <c r="F141" i="9"/>
  <c r="G141" i="9"/>
  <c r="H141" i="9"/>
  <c r="I141" i="9"/>
  <c r="J141" i="9"/>
  <c r="K141" i="9"/>
  <c r="L141" i="9"/>
  <c r="D143" i="9"/>
  <c r="E143" i="9"/>
  <c r="F143" i="9"/>
  <c r="G143" i="9"/>
  <c r="D145" i="9"/>
  <c r="E145" i="9"/>
  <c r="F145" i="9"/>
  <c r="G145" i="9"/>
  <c r="H145" i="9"/>
  <c r="L145" i="9"/>
  <c r="D147" i="9"/>
  <c r="E147" i="9"/>
  <c r="F147" i="9"/>
  <c r="G147" i="9"/>
  <c r="D148" i="9"/>
  <c r="E148" i="9"/>
  <c r="F148" i="9"/>
  <c r="G148" i="9"/>
  <c r="D149" i="9"/>
  <c r="E149" i="9"/>
  <c r="F149" i="9"/>
  <c r="G149" i="9"/>
  <c r="C165" i="9"/>
  <c r="D166" i="9"/>
  <c r="E166" i="9"/>
  <c r="F166" i="9"/>
  <c r="G166" i="9"/>
  <c r="D167" i="9"/>
  <c r="E167" i="9"/>
  <c r="F167" i="9"/>
  <c r="G168" i="9"/>
  <c r="C169" i="9"/>
  <c r="D169" i="9"/>
  <c r="E169" i="9"/>
  <c r="F169" i="9"/>
  <c r="G169" i="9"/>
  <c r="C170" i="9"/>
  <c r="E170" i="9"/>
  <c r="E172" i="9"/>
  <c r="Q20" i="8"/>
  <c r="Q27" i="8"/>
  <c r="R27" i="8"/>
  <c r="S27" i="8"/>
  <c r="T27" i="8"/>
  <c r="U27" i="8"/>
  <c r="V27" i="8"/>
  <c r="W27" i="8"/>
  <c r="X27" i="8"/>
  <c r="Y27" i="8"/>
  <c r="Z27" i="8"/>
  <c r="AA27" i="8"/>
  <c r="Q30" i="8"/>
  <c r="D34" i="1"/>
  <c r="E34" i="1"/>
  <c r="F34" i="1"/>
  <c r="G34" i="1"/>
  <c r="H34" i="1"/>
  <c r="I34" i="1"/>
  <c r="J34" i="1"/>
  <c r="K34" i="1"/>
  <c r="L34" i="1"/>
  <c r="M34" i="1"/>
  <c r="D35" i="1"/>
  <c r="E35" i="1"/>
  <c r="F35" i="1"/>
  <c r="G35" i="1"/>
  <c r="H35" i="1"/>
  <c r="I35" i="1"/>
  <c r="J35" i="1"/>
  <c r="K35" i="1"/>
  <c r="L35" i="1"/>
  <c r="M35" i="1"/>
  <c r="D37" i="1"/>
  <c r="E37" i="1"/>
  <c r="F37" i="1"/>
  <c r="G37" i="1"/>
  <c r="H37" i="1"/>
  <c r="I37" i="1"/>
  <c r="J37" i="1"/>
  <c r="K37" i="1"/>
  <c r="L37" i="1"/>
  <c r="M37" i="1"/>
  <c r="D38" i="1"/>
  <c r="E38" i="1"/>
  <c r="F38" i="1"/>
  <c r="G38" i="1"/>
  <c r="H38" i="1"/>
  <c r="I38" i="1"/>
  <c r="J38" i="1"/>
  <c r="K38" i="1"/>
  <c r="L38" i="1"/>
  <c r="M38" i="1"/>
  <c r="D39" i="1"/>
  <c r="E39" i="1"/>
  <c r="F39" i="1"/>
  <c r="G39" i="1"/>
  <c r="H39" i="1"/>
  <c r="I39" i="1"/>
  <c r="J39" i="1"/>
  <c r="K39" i="1"/>
  <c r="L39" i="1"/>
  <c r="M39" i="1"/>
  <c r="D45" i="1"/>
  <c r="E45" i="1"/>
  <c r="F45" i="1"/>
  <c r="G45" i="1"/>
  <c r="H45" i="1"/>
  <c r="I45" i="1"/>
  <c r="J45" i="1"/>
  <c r="K45" i="1"/>
  <c r="L45" i="1"/>
  <c r="M45" i="1"/>
  <c r="D48" i="1"/>
  <c r="E48" i="1"/>
  <c r="F48" i="1"/>
  <c r="G48" i="1"/>
  <c r="H48" i="1"/>
  <c r="I48" i="1"/>
  <c r="J48" i="1"/>
  <c r="K48" i="1"/>
  <c r="L48" i="1"/>
  <c r="M48" i="1"/>
  <c r="D56" i="1"/>
  <c r="E56" i="1"/>
  <c r="F56" i="1"/>
  <c r="G56" i="1"/>
  <c r="H56" i="1"/>
  <c r="I56" i="1"/>
  <c r="J56" i="1"/>
  <c r="K56" i="1"/>
  <c r="L56" i="1"/>
  <c r="M56" i="1"/>
  <c r="D61" i="1"/>
  <c r="E61" i="1"/>
  <c r="F61" i="1"/>
  <c r="G61" i="1"/>
  <c r="H61" i="1"/>
  <c r="I61" i="1"/>
  <c r="J61" i="1"/>
  <c r="K61" i="1"/>
  <c r="L61" i="1"/>
  <c r="M61" i="1"/>
  <c r="D62" i="1"/>
  <c r="E62" i="1"/>
  <c r="F62" i="1"/>
  <c r="G62" i="1"/>
  <c r="H62" i="1"/>
  <c r="I62" i="1"/>
  <c r="J62" i="1"/>
  <c r="K62" i="1"/>
  <c r="L62" i="1"/>
  <c r="M62" i="1"/>
  <c r="D66" i="1"/>
  <c r="E66" i="1"/>
  <c r="F66" i="1"/>
  <c r="G66" i="1"/>
  <c r="H66" i="1"/>
  <c r="I66" i="1"/>
  <c r="J66" i="1"/>
  <c r="K66" i="1"/>
  <c r="L66" i="1"/>
  <c r="M66" i="1"/>
  <c r="R66" i="1"/>
  <c r="D67" i="1"/>
  <c r="E67" i="1"/>
  <c r="F67" i="1"/>
  <c r="G67" i="1"/>
  <c r="H67" i="1"/>
  <c r="I67" i="1"/>
  <c r="J67" i="1"/>
  <c r="K67" i="1"/>
  <c r="L67" i="1"/>
  <c r="M67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C109" i="1"/>
  <c r="D109" i="1"/>
  <c r="E109" i="1"/>
  <c r="F109" i="1"/>
  <c r="G109" i="1"/>
  <c r="H109" i="1"/>
  <c r="I109" i="1"/>
  <c r="J109" i="1"/>
  <c r="K109" i="1"/>
  <c r="L109" i="1"/>
  <c r="M109" i="1"/>
  <c r="C112" i="1"/>
  <c r="C118" i="1"/>
  <c r="O120" i="1"/>
  <c r="O121" i="1"/>
  <c r="C122" i="1"/>
  <c r="O122" i="1"/>
  <c r="C123" i="1"/>
  <c r="D126" i="1"/>
  <c r="E126" i="1"/>
  <c r="F126" i="1"/>
  <c r="G126" i="1"/>
  <c r="H126" i="1"/>
  <c r="I126" i="1"/>
  <c r="J126" i="1"/>
  <c r="K126" i="1"/>
  <c r="L126" i="1"/>
  <c r="M126" i="1"/>
  <c r="O132" i="1"/>
  <c r="R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R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R134" i="1"/>
  <c r="D136" i="1"/>
  <c r="E136" i="1"/>
  <c r="F136" i="1"/>
  <c r="G136" i="1"/>
  <c r="H136" i="1"/>
  <c r="I136" i="1"/>
  <c r="J136" i="1"/>
  <c r="K136" i="1"/>
  <c r="L136" i="1"/>
  <c r="M136" i="1"/>
  <c r="O139" i="1"/>
  <c r="P139" i="1"/>
  <c r="Q139" i="1"/>
  <c r="R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3" i="1"/>
  <c r="E143" i="1"/>
  <c r="F143" i="1"/>
  <c r="G143" i="1"/>
  <c r="H143" i="1"/>
  <c r="I143" i="1"/>
  <c r="J143" i="1"/>
  <c r="K143" i="1"/>
  <c r="L143" i="1"/>
  <c r="M143" i="1"/>
  <c r="D145" i="1"/>
  <c r="E145" i="1"/>
  <c r="F145" i="1"/>
  <c r="G145" i="1"/>
  <c r="H145" i="1"/>
  <c r="I145" i="1"/>
  <c r="J145" i="1"/>
  <c r="K145" i="1"/>
  <c r="L145" i="1"/>
  <c r="M145" i="1"/>
  <c r="N145" i="1"/>
  <c r="R145" i="1"/>
  <c r="D147" i="1"/>
  <c r="E147" i="1"/>
  <c r="F147" i="1"/>
  <c r="G147" i="1"/>
  <c r="H147" i="1"/>
  <c r="I147" i="1"/>
  <c r="J147" i="1"/>
  <c r="K147" i="1"/>
  <c r="L147" i="1"/>
  <c r="M147" i="1"/>
  <c r="D148" i="1"/>
  <c r="E148" i="1"/>
  <c r="F148" i="1"/>
  <c r="G148" i="1"/>
  <c r="H148" i="1"/>
  <c r="I148" i="1"/>
  <c r="J148" i="1"/>
  <c r="K148" i="1"/>
  <c r="L148" i="1"/>
  <c r="M148" i="1"/>
  <c r="D149" i="1"/>
  <c r="E149" i="1"/>
  <c r="F149" i="1"/>
  <c r="G149" i="1"/>
  <c r="H149" i="1"/>
  <c r="I149" i="1"/>
  <c r="J149" i="1"/>
  <c r="K149" i="1"/>
  <c r="L149" i="1"/>
  <c r="M149" i="1"/>
</calcChain>
</file>

<file path=xl/sharedStrings.xml><?xml version="1.0" encoding="utf-8"?>
<sst xmlns="http://schemas.openxmlformats.org/spreadsheetml/2006/main" count="547" uniqueCount="211">
  <si>
    <t>INCOME STATEMENT</t>
  </si>
  <si>
    <t>Revenue</t>
  </si>
  <si>
    <t>Cost of Goods Sold</t>
  </si>
  <si>
    <t>Operating Expenses</t>
  </si>
  <si>
    <t>Depreciation</t>
  </si>
  <si>
    <t>Mortgage Loan Interest</t>
  </si>
  <si>
    <t>Extra Bank Loan Interest</t>
  </si>
  <si>
    <t>Taxable Income</t>
  </si>
  <si>
    <t>Income Tax Expense</t>
  </si>
  <si>
    <t>Net Income</t>
  </si>
  <si>
    <t>BALANCE SHEET</t>
  </si>
  <si>
    <t>Minimum Cash Inventory</t>
  </si>
  <si>
    <t>Extra Cash Above Minimum</t>
  </si>
  <si>
    <t>Accounts Receivable</t>
  </si>
  <si>
    <t>Inventory</t>
  </si>
  <si>
    <t>Buildings</t>
  </si>
  <si>
    <t>Total Assets</t>
  </si>
  <si>
    <t>Liabilities and Owners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</si>
  <si>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</si>
  <si>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</si>
  <si>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</si>
  <si>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</si>
  <si>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</si>
  <si>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</si>
  <si>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Owners Equity</t>
  </si>
  <si>
    <t>FCF, NPV, IRR</t>
  </si>
  <si>
    <t>Cash from Operations</t>
  </si>
  <si>
    <t>Total Cash from Operations</t>
  </si>
  <si>
    <t>Cash in/out from Capital Expenditures</t>
  </si>
  <si>
    <t>Buy Building</t>
  </si>
  <si>
    <t>Sell Building</t>
  </si>
  <si>
    <t>Taxes on Sale of Building</t>
  </si>
  <si>
    <t>Cash in/out from Changes in Working Capital</t>
  </si>
  <si>
    <t>Cash in/out from Liquidation of Working Capital</t>
  </si>
  <si>
    <t>Total Free Cash Flows</t>
  </si>
  <si>
    <t>Present Value of Total Free Cash Flows</t>
  </si>
  <si>
    <t>NPV of Total Free Cash Flows</t>
  </si>
  <si>
    <t>IRR</t>
  </si>
  <si>
    <t>Jan 2014</t>
  </si>
  <si>
    <t>TOTALS</t>
  </si>
  <si>
    <t>Jan 2015</t>
  </si>
  <si>
    <t>Jan 2016</t>
  </si>
  <si>
    <t>Jan 2017</t>
  </si>
  <si>
    <t>Growth rate</t>
  </si>
  <si>
    <t>Other Information</t>
  </si>
  <si>
    <t>Building Cost</t>
  </si>
  <si>
    <t>Building Life</t>
  </si>
  <si>
    <t>Depreciation Expense</t>
  </si>
  <si>
    <t>Initial Equity Investments</t>
  </si>
  <si>
    <t>Initial Mortgage Loan</t>
  </si>
  <si>
    <t>Mortage Interest Rate</t>
  </si>
  <si>
    <t>Extra Interest Rate</t>
  </si>
  <si>
    <t>Total Payment</t>
  </si>
  <si>
    <t>Principal Payment</t>
  </si>
  <si>
    <t>Interest Payment</t>
  </si>
  <si>
    <t>Income Tax Rate</t>
  </si>
  <si>
    <t>2014 TOTALS</t>
  </si>
  <si>
    <t>Mortgage Interest Expense</t>
  </si>
  <si>
    <t>Life of Mortgage</t>
  </si>
  <si>
    <t>Total Revenue</t>
  </si>
  <si>
    <t>Gross Margin</t>
  </si>
  <si>
    <t>Total Operating Expenses</t>
  </si>
  <si>
    <t>Other Expenses</t>
  </si>
  <si>
    <t>Total Other Expenses</t>
  </si>
  <si>
    <t>Long Term Liabilities</t>
  </si>
  <si>
    <t>Total Long Term Liabilities</t>
  </si>
  <si>
    <t>Owners Equity</t>
  </si>
  <si>
    <t>Current Liabilities</t>
  </si>
  <si>
    <t>Total Current Liabilities</t>
  </si>
  <si>
    <t>Total Owners Equity</t>
  </si>
  <si>
    <t>Property, Plant, and Equipment</t>
  </si>
  <si>
    <t>Total Property, Plant, and Equipment</t>
  </si>
  <si>
    <t>Current Assets</t>
  </si>
  <si>
    <t>Total Current Assets</t>
  </si>
  <si>
    <t>Add: Depreciation Expense</t>
  </si>
  <si>
    <t>Salvage Value</t>
  </si>
  <si>
    <t>of book value</t>
  </si>
  <si>
    <t>Year 0</t>
  </si>
  <si>
    <t>Year 1</t>
  </si>
  <si>
    <t>Year 2</t>
  </si>
  <si>
    <t>Year 3</t>
  </si>
  <si>
    <t>Year 4</t>
  </si>
  <si>
    <t>Cost of Capital</t>
  </si>
  <si>
    <t>years</t>
  </si>
  <si>
    <t>Operating Income</t>
  </si>
  <si>
    <t>Less: Depreciation Expense</t>
  </si>
  <si>
    <t>Tax Expense</t>
  </si>
  <si>
    <t>After Tax Operating Income</t>
  </si>
  <si>
    <t>Income Tax Payable ON OPERATIONS ONLY</t>
  </si>
  <si>
    <t>Bike Sales Revenue</t>
  </si>
  <si>
    <t>Rental Revenue</t>
  </si>
  <si>
    <t>Road Bikes</t>
  </si>
  <si>
    <t>Hybrids</t>
  </si>
  <si>
    <t>Cruisers</t>
  </si>
  <si>
    <t>Fixies</t>
  </si>
  <si>
    <t>Sales Prices</t>
  </si>
  <si>
    <t>Rental Charge</t>
  </si>
  <si>
    <t>Above $200</t>
  </si>
  <si>
    <t>Below $200</t>
  </si>
  <si>
    <t>Bikes Above $200</t>
  </si>
  <si>
    <t>Bikes Below $200</t>
  </si>
  <si>
    <t>Others</t>
  </si>
  <si>
    <t>Sales Volume</t>
  </si>
  <si>
    <t>Amount of Rentals</t>
  </si>
  <si>
    <t>Cost of Bikes</t>
  </si>
  <si>
    <t>Sales Volume Growth Rate</t>
  </si>
  <si>
    <t>Rental Charge Growth Rate</t>
  </si>
  <si>
    <t>Sales Price Growth Rate</t>
  </si>
  <si>
    <t>Rental Growth Rate</t>
  </si>
  <si>
    <t>Contribution Margin</t>
  </si>
  <si>
    <t>Cost Growth Rate</t>
  </si>
  <si>
    <t>Input Data</t>
  </si>
  <si>
    <t>Insurance</t>
  </si>
  <si>
    <t>Percent of Sales</t>
  </si>
  <si>
    <t>Total Cost of Goods Sold</t>
  </si>
  <si>
    <t>Labor</t>
  </si>
  <si>
    <t>Number of Employees</t>
  </si>
  <si>
    <t>Hours Per week</t>
  </si>
  <si>
    <t>Sales Tax Rate</t>
  </si>
  <si>
    <t>Sales Tax Expense</t>
  </si>
  <si>
    <t>Beginning Inventory</t>
  </si>
  <si>
    <t>Year 5</t>
  </si>
  <si>
    <t>Year 6</t>
  </si>
  <si>
    <t>Year 7</t>
  </si>
  <si>
    <t>Year 8</t>
  </si>
  <si>
    <t>Year 9</t>
  </si>
  <si>
    <t>Year 10</t>
  </si>
  <si>
    <t>Cost per Square Foot</t>
  </si>
  <si>
    <t>Land</t>
  </si>
  <si>
    <t>Building</t>
  </si>
  <si>
    <t>Land Cost</t>
  </si>
  <si>
    <t>acres</t>
  </si>
  <si>
    <t>Size of Land</t>
  </si>
  <si>
    <t>Size of Building</t>
  </si>
  <si>
    <t>square feet</t>
  </si>
  <si>
    <t>Average Account Recievables in Days</t>
  </si>
  <si>
    <t>Decline Rate</t>
  </si>
  <si>
    <t>Buy Land</t>
  </si>
  <si>
    <t>Sell Land</t>
  </si>
  <si>
    <t>Taxes on Sale of Land</t>
  </si>
  <si>
    <t>Sale of Land</t>
  </si>
  <si>
    <t>of cost</t>
  </si>
  <si>
    <t>Store Labor Cost</t>
  </si>
  <si>
    <t>Wages Growth Rate</t>
  </si>
  <si>
    <t>Utilities</t>
  </si>
  <si>
    <t>Utilities (as a percent of sales)</t>
  </si>
  <si>
    <t>Less: Accumulated Depreciation</t>
  </si>
  <si>
    <t>Inventory Days</t>
  </si>
  <si>
    <t>Inventory Days Decrease</t>
  </si>
  <si>
    <t>per year</t>
  </si>
  <si>
    <t>WACC</t>
  </si>
  <si>
    <t>CAPM for the return equity holders want</t>
  </si>
  <si>
    <t>Beta</t>
  </si>
  <si>
    <t>T-Bill rate</t>
  </si>
  <si>
    <t>S&amp;P 500 rate</t>
  </si>
  <si>
    <t>CAPM</t>
  </si>
  <si>
    <t>Return equity holders want</t>
  </si>
  <si>
    <t>Return debt holders want</t>
  </si>
  <si>
    <t>Blended Rate</t>
  </si>
  <si>
    <t>Fixed rate of bank debt</t>
  </si>
  <si>
    <t>Fixed rate of extra loan</t>
  </si>
  <si>
    <t>Tax Rate of Company</t>
  </si>
  <si>
    <t>Debt Investors</t>
  </si>
  <si>
    <t>Percent of Total</t>
  </si>
  <si>
    <t>Equity Investors (Including Retained Earnings)</t>
  </si>
  <si>
    <t>Shareholder Contributions</t>
  </si>
  <si>
    <t>Total Debt and Equity Investors</t>
  </si>
  <si>
    <t>WACC for Debt</t>
  </si>
  <si>
    <t>WACC for Equity</t>
  </si>
  <si>
    <t>WACC projected</t>
  </si>
  <si>
    <t>Average WACC</t>
  </si>
  <si>
    <t>found on Google</t>
  </si>
  <si>
    <t>looked at the average rate per quarter (which is .05%) and multiplied by 4</t>
  </si>
  <si>
    <t>Unlevered Beta</t>
  </si>
  <si>
    <t>Theoretical</t>
  </si>
  <si>
    <t>Tax Rate</t>
  </si>
  <si>
    <t>Relevered Beta</t>
  </si>
  <si>
    <t>New Debt Prop</t>
  </si>
  <si>
    <t>New Equity Prop</t>
  </si>
  <si>
    <t>Average</t>
  </si>
  <si>
    <t>Total Debt</t>
  </si>
  <si>
    <t>Total Equity</t>
  </si>
  <si>
    <t>Total Average</t>
  </si>
  <si>
    <t>Prorate</t>
  </si>
  <si>
    <t>Rate</t>
  </si>
  <si>
    <t>After-Tax</t>
  </si>
  <si>
    <t>Weighted</t>
  </si>
  <si>
    <t>Expand Option</t>
  </si>
  <si>
    <t>Realistic Option</t>
  </si>
  <si>
    <t>Cash out for purchase</t>
  </si>
  <si>
    <t>Cash in from sale of option</t>
  </si>
  <si>
    <t>Totals</t>
  </si>
  <si>
    <t>Total  cash from Option</t>
  </si>
  <si>
    <t>Total Cash Inflows</t>
  </si>
  <si>
    <t>Cash Received from Sale of Assets:</t>
  </si>
  <si>
    <t>Owed</t>
  </si>
  <si>
    <t>Paid</t>
  </si>
  <si>
    <t>% Received</t>
  </si>
  <si>
    <t>Unsecured Proportion</t>
  </si>
  <si>
    <t>Mortage Paid</t>
  </si>
  <si>
    <t>Extra Loan Paid</t>
  </si>
  <si>
    <t>Receipts from other assets (A/R; INV, etc.)</t>
  </si>
  <si>
    <t>Return to Debtholders</t>
  </si>
  <si>
    <t>Mortgage</t>
  </si>
  <si>
    <t>Initial Loan</t>
  </si>
  <si>
    <t>Interest Paid</t>
  </si>
  <si>
    <t>Principal Paid</t>
  </si>
  <si>
    <t>Final Pay-off</t>
  </si>
  <si>
    <t>Total Cash Flows</t>
  </si>
  <si>
    <t>Bankruptcy IRR</t>
  </si>
  <si>
    <t>Usual 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</si>
</sst>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0.0%"/>
    <numFmt numFmtId="167" formatCode="[$$-409]#,##0.00;[Red]\-[$$-409]#,##0.00"/>
    <numFmt numFmtId="168" formatCode="_(* #,##0.00_);_(* \(#,##0.00\);_(* \-??_);_(@_)"/>
    <numFmt numFmtId="169" formatCode="_(* #,##0.0_);_(* \(#,##0.0\);_(* \-??_);_(@_)"/>
    <numFmt numFmtId="170" formatCode="_(* #,##0_);_(* \(#,##0\);_(* \-??_);_(@_)"/>
    <numFmt numFmtId="171" formatCode="_(* #,##0_);_(* \(#,##0\);_(* &quot;-&quot;??_);_(@_)"/>
    <numFmt numFmtId="172" formatCode="mmm\ yyyy"/>
    <numFmt numFmtId="173" formatCode="[$$-409]#,##0.00_);\([$$-409]#,##0.00\)"/>
    <numFmt numFmtId="174" formatCode="_(\$* #,##0.000_);_(\$* \(#,##0.000\);_(\$* \-??_);_(@_)"/>
    <numFmt numFmtId="175" formatCode="0.000000000000000%"/>
  </numFmts>
  <fonts count="2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u/>
      <sz val="16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charset val="1"/>
    </font>
    <font>
      <b/>
      <i/>
      <sz val="20"/>
      <color theme="0"/>
      <name val="Calibri"/>
      <family val="2"/>
    </font>
    <font>
      <b/>
      <i/>
      <u/>
      <sz val="18"/>
      <color theme="0"/>
      <name val="Calibri"/>
      <family val="2"/>
    </font>
    <font>
      <b/>
      <i/>
      <sz val="16"/>
      <color theme="0"/>
      <name val="Calibri"/>
      <family val="2"/>
    </font>
    <font>
      <b/>
      <sz val="22"/>
      <color theme="0"/>
      <name val="Calibri"/>
      <family val="2"/>
      <charset val="1"/>
    </font>
    <font>
      <sz val="22"/>
      <color theme="0"/>
      <name val="Calibri"/>
      <family val="2"/>
      <charset val="1"/>
    </font>
    <font>
      <b/>
      <i/>
      <sz val="18"/>
      <color theme="0"/>
      <name val="Calibri"/>
      <family val="2"/>
    </font>
    <font>
      <i/>
      <sz val="18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</font>
    <font>
      <b/>
      <i/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8" fontId="1" fillId="0" borderId="0"/>
    <xf numFmtId="164" fontId="1" fillId="0" borderId="0"/>
    <xf numFmtId="0" fontId="1" fillId="0" borderId="0"/>
    <xf numFmtId="0" fontId="2" fillId="0" borderId="0"/>
    <xf numFmtId="9" fontId="2" fillId="0" borderId="0"/>
  </cellStyleXfs>
  <cellXfs count="266">
    <xf numFmtId="0" fontId="0" fillId="0" borderId="0" xfId="0"/>
    <xf numFmtId="0" fontId="2" fillId="0" borderId="0" xfId="4"/>
    <xf numFmtId="10" fontId="2" fillId="0" borderId="0" xfId="4" applyNumberFormat="1"/>
    <xf numFmtId="167" fontId="2" fillId="0" borderId="0" xfId="4" applyNumberFormat="1" applyFont="1" applyAlignment="1">
      <alignment wrapText="1"/>
    </xf>
    <xf numFmtId="0" fontId="2" fillId="0" borderId="0" xfId="4" applyFont="1" applyAlignment="1">
      <alignment wrapText="1"/>
    </xf>
    <xf numFmtId="167" fontId="2" fillId="0" borderId="0" xfId="4" applyNumberFormat="1"/>
    <xf numFmtId="0" fontId="2" fillId="0" borderId="0" xfId="4" applyNumberFormat="1"/>
    <xf numFmtId="167" fontId="4" fillId="0" borderId="0" xfId="4" applyNumberFormat="1" applyFont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/>
    <xf numFmtId="172" fontId="2" fillId="0" borderId="0" xfId="4" applyNumberFormat="1" applyFont="1" applyAlignment="1">
      <alignment horizontal="left" wrapText="1"/>
    </xf>
    <xf numFmtId="173" fontId="2" fillId="0" borderId="0" xfId="4" applyNumberFormat="1" applyFont="1" applyAlignment="1">
      <alignment wrapText="1"/>
    </xf>
    <xf numFmtId="173" fontId="4" fillId="0" borderId="0" xfId="4" applyNumberFormat="1" applyFont="1" applyAlignment="1">
      <alignment wrapText="1"/>
    </xf>
    <xf numFmtId="165" fontId="1" fillId="2" borderId="1" xfId="2" applyNumberFormat="1" applyFont="1" applyFill="1" applyBorder="1"/>
    <xf numFmtId="165" fontId="1" fillId="2" borderId="2" xfId="3" applyNumberFormat="1" applyFill="1" applyBorder="1"/>
    <xf numFmtId="164" fontId="1" fillId="3" borderId="3" xfId="2" applyFill="1" applyBorder="1"/>
    <xf numFmtId="0" fontId="1" fillId="2" borderId="1" xfId="3" applyFill="1" applyBorder="1"/>
    <xf numFmtId="165" fontId="1" fillId="3" borderId="1" xfId="2" applyNumberFormat="1" applyFill="1" applyBorder="1"/>
    <xf numFmtId="165" fontId="1" fillId="2" borderId="1" xfId="3" applyNumberFormat="1" applyFill="1" applyBorder="1"/>
    <xf numFmtId="164" fontId="1" fillId="3" borderId="1" xfId="2" applyFill="1" applyBorder="1"/>
    <xf numFmtId="165" fontId="1" fillId="3" borderId="0" xfId="2" applyNumberFormat="1" applyFill="1" applyBorder="1"/>
    <xf numFmtId="165" fontId="1" fillId="2" borderId="0" xfId="2" applyNumberFormat="1" applyFont="1" applyFill="1" applyBorder="1"/>
    <xf numFmtId="0" fontId="1" fillId="2" borderId="0" xfId="3" applyFont="1" applyFill="1" applyBorder="1" applyAlignment="1">
      <alignment horizontal="left" indent="2"/>
    </xf>
    <xf numFmtId="0" fontId="11" fillId="4" borderId="0" xfId="3" applyFont="1" applyFill="1"/>
    <xf numFmtId="0" fontId="1" fillId="5" borderId="0" xfId="3" applyFont="1" applyFill="1"/>
    <xf numFmtId="165" fontId="1" fillId="5" borderId="0" xfId="2" applyNumberFormat="1" applyFont="1" applyFill="1"/>
    <xf numFmtId="0" fontId="1" fillId="4" borderId="0" xfId="3" applyFill="1"/>
    <xf numFmtId="165" fontId="1" fillId="4" borderId="0" xfId="2" applyNumberFormat="1" applyFont="1" applyFill="1"/>
    <xf numFmtId="0" fontId="1" fillId="4" borderId="0" xfId="3" applyFont="1" applyFill="1"/>
    <xf numFmtId="0" fontId="1" fillId="4" borderId="0" xfId="3" applyFill="1" applyBorder="1"/>
    <xf numFmtId="165" fontId="1" fillId="4" borderId="0" xfId="2" applyNumberFormat="1" applyFill="1"/>
    <xf numFmtId="0" fontId="6" fillId="5" borderId="0" xfId="3" applyFont="1" applyFill="1" applyBorder="1" applyAlignment="1">
      <alignment horizontal="center" vertical="center"/>
    </xf>
    <xf numFmtId="0" fontId="12" fillId="5" borderId="0" xfId="3" applyFont="1" applyFill="1" applyAlignment="1">
      <alignment horizontal="center"/>
    </xf>
    <xf numFmtId="165" fontId="1" fillId="5" borderId="0" xfId="2" applyNumberFormat="1" applyFont="1" applyFill="1" applyBorder="1"/>
    <xf numFmtId="0" fontId="13" fillId="5" borderId="0" xfId="3" applyFont="1" applyFill="1" applyAlignment="1">
      <alignment horizontal="center" vertical="center"/>
    </xf>
    <xf numFmtId="0" fontId="1" fillId="5" borderId="0" xfId="3" applyFill="1"/>
    <xf numFmtId="165" fontId="1" fillId="5" borderId="0" xfId="3" applyNumberFormat="1" applyFill="1" applyBorder="1"/>
    <xf numFmtId="165" fontId="1" fillId="5" borderId="0" xfId="3" applyNumberFormat="1" applyFill="1"/>
    <xf numFmtId="165" fontId="1" fillId="4" borderId="0" xfId="2" applyNumberFormat="1" applyFill="1" applyBorder="1"/>
    <xf numFmtId="0" fontId="1" fillId="2" borderId="0" xfId="3" applyFill="1" applyBorder="1"/>
    <xf numFmtId="165" fontId="1" fillId="2" borderId="0" xfId="3" applyNumberFormat="1" applyFill="1" applyBorder="1"/>
    <xf numFmtId="165" fontId="1" fillId="2" borderId="4" xfId="3" applyNumberFormat="1" applyFill="1" applyBorder="1"/>
    <xf numFmtId="165" fontId="1" fillId="4" borderId="0" xfId="3" applyNumberFormat="1" applyFill="1"/>
    <xf numFmtId="166" fontId="1" fillId="4" borderId="0" xfId="5" applyNumberFormat="1" applyFont="1" applyFill="1" applyBorder="1" applyAlignment="1" applyProtection="1"/>
    <xf numFmtId="164" fontId="14" fillId="4" borderId="0" xfId="2" applyFont="1" applyFill="1"/>
    <xf numFmtId="10" fontId="1" fillId="3" borderId="0" xfId="5" applyNumberFormat="1" applyFont="1" applyFill="1" applyBorder="1" applyAlignment="1" applyProtection="1"/>
    <xf numFmtId="166" fontId="1" fillId="3" borderId="0" xfId="5" applyNumberFormat="1" applyFont="1" applyFill="1" applyBorder="1" applyAlignment="1" applyProtection="1"/>
    <xf numFmtId="165" fontId="1" fillId="3" borderId="0" xfId="2" applyNumberFormat="1" applyFont="1" applyFill="1" applyBorder="1" applyAlignment="1" applyProtection="1"/>
    <xf numFmtId="166" fontId="1" fillId="3" borderId="5" xfId="5" applyNumberFormat="1" applyFont="1" applyFill="1" applyBorder="1"/>
    <xf numFmtId="0" fontId="1" fillId="3" borderId="6" xfId="3" applyFill="1" applyBorder="1"/>
    <xf numFmtId="0" fontId="1" fillId="3" borderId="7" xfId="3" applyFill="1" applyBorder="1"/>
    <xf numFmtId="0" fontId="1" fillId="3" borderId="8" xfId="3" applyFill="1" applyBorder="1"/>
    <xf numFmtId="0" fontId="1" fillId="3" borderId="9" xfId="3" applyFill="1" applyBorder="1"/>
    <xf numFmtId="0" fontId="1" fillId="3" borderId="0" xfId="3" applyFill="1" applyBorder="1"/>
    <xf numFmtId="0" fontId="1" fillId="3" borderId="10" xfId="3" applyFill="1" applyBorder="1"/>
    <xf numFmtId="0" fontId="1" fillId="3" borderId="0" xfId="3" applyFont="1" applyFill="1" applyBorder="1"/>
    <xf numFmtId="2" fontId="1" fillId="3" borderId="0" xfId="3" applyNumberFormat="1" applyFill="1" applyBorder="1"/>
    <xf numFmtId="0" fontId="1" fillId="3" borderId="0" xfId="3" applyFill="1" applyBorder="1" applyAlignment="1">
      <alignment horizontal="center"/>
    </xf>
    <xf numFmtId="10" fontId="1" fillId="3" borderId="0" xfId="5" applyNumberFormat="1" applyFont="1" applyFill="1" applyBorder="1"/>
    <xf numFmtId="10" fontId="1" fillId="3" borderId="10" xfId="5" applyNumberFormat="1" applyFont="1" applyFill="1" applyBorder="1"/>
    <xf numFmtId="166" fontId="1" fillId="3" borderId="0" xfId="5" applyNumberFormat="1" applyFont="1" applyFill="1" applyBorder="1"/>
    <xf numFmtId="166" fontId="1" fillId="3" borderId="10" xfId="5" applyNumberFormat="1" applyFont="1" applyFill="1" applyBorder="1"/>
    <xf numFmtId="0" fontId="0" fillId="3" borderId="0" xfId="0" applyFill="1" applyBorder="1"/>
    <xf numFmtId="0" fontId="3" fillId="3" borderId="9" xfId="3" applyFont="1" applyFill="1" applyBorder="1"/>
    <xf numFmtId="165" fontId="1" fillId="3" borderId="0" xfId="3" applyNumberFormat="1" applyFill="1" applyBorder="1"/>
    <xf numFmtId="165" fontId="1" fillId="3" borderId="10" xfId="3" applyNumberFormat="1" applyFill="1" applyBorder="1"/>
    <xf numFmtId="166" fontId="2" fillId="3" borderId="0" xfId="5" applyNumberFormat="1" applyFill="1" applyBorder="1"/>
    <xf numFmtId="166" fontId="2" fillId="3" borderId="10" xfId="5" applyNumberFormat="1" applyFill="1" applyBorder="1"/>
    <xf numFmtId="165" fontId="1" fillId="3" borderId="10" xfId="2" applyNumberFormat="1" applyFont="1" applyFill="1" applyBorder="1" applyAlignment="1" applyProtection="1"/>
    <xf numFmtId="166" fontId="1" fillId="3" borderId="11" xfId="5" applyNumberFormat="1" applyFont="1" applyFill="1" applyBorder="1"/>
    <xf numFmtId="0" fontId="1" fillId="3" borderId="12" xfId="3" applyFill="1" applyBorder="1"/>
    <xf numFmtId="0" fontId="1" fillId="3" borderId="13" xfId="3" applyFill="1" applyBorder="1"/>
    <xf numFmtId="0" fontId="1" fillId="3" borderId="14" xfId="3" applyFill="1" applyBorder="1"/>
    <xf numFmtId="0" fontId="15" fillId="6" borderId="15" xfId="3" applyFont="1" applyFill="1" applyBorder="1"/>
    <xf numFmtId="0" fontId="16" fillId="6" borderId="16" xfId="3" applyFont="1" applyFill="1" applyBorder="1"/>
    <xf numFmtId="0" fontId="16" fillId="6" borderId="17" xfId="3" applyFont="1" applyFill="1" applyBorder="1"/>
    <xf numFmtId="0" fontId="1" fillId="2" borderId="6" xfId="3" applyFill="1" applyBorder="1"/>
    <xf numFmtId="0" fontId="1" fillId="2" borderId="7" xfId="3" applyFill="1" applyBorder="1"/>
    <xf numFmtId="0" fontId="1" fillId="2" borderId="8" xfId="3" applyFill="1" applyBorder="1"/>
    <xf numFmtId="0" fontId="3" fillId="2" borderId="9" xfId="3" applyFont="1" applyFill="1" applyBorder="1"/>
    <xf numFmtId="0" fontId="1" fillId="2" borderId="10" xfId="3" applyFill="1" applyBorder="1"/>
    <xf numFmtId="0" fontId="1" fillId="2" borderId="9" xfId="3" applyFont="1" applyFill="1" applyBorder="1"/>
    <xf numFmtId="0" fontId="1" fillId="2" borderId="0" xfId="3" applyFont="1" applyFill="1" applyBorder="1"/>
    <xf numFmtId="165" fontId="1" fillId="2" borderId="10" xfId="2" applyNumberFormat="1" applyFont="1" applyFill="1" applyBorder="1"/>
    <xf numFmtId="0" fontId="1" fillId="2" borderId="9" xfId="3" applyFont="1" applyFill="1" applyBorder="1" applyAlignment="1">
      <alignment horizontal="left" indent="2"/>
    </xf>
    <xf numFmtId="165" fontId="1" fillId="2" borderId="18" xfId="2" applyNumberFormat="1" applyFont="1" applyFill="1" applyBorder="1"/>
    <xf numFmtId="0" fontId="1" fillId="2" borderId="9" xfId="3" applyFill="1" applyBorder="1" applyAlignment="1">
      <alignment horizontal="left" indent="2"/>
    </xf>
    <xf numFmtId="165" fontId="1" fillId="2" borderId="18" xfId="3" applyNumberFormat="1" applyFill="1" applyBorder="1"/>
    <xf numFmtId="0" fontId="1" fillId="2" borderId="9" xfId="3" applyFill="1" applyBorder="1"/>
    <xf numFmtId="165" fontId="1" fillId="2" borderId="10" xfId="3" applyNumberFormat="1" applyFill="1" applyBorder="1"/>
    <xf numFmtId="0" fontId="3" fillId="2" borderId="0" xfId="3" applyFont="1" applyFill="1" applyBorder="1"/>
    <xf numFmtId="165" fontId="1" fillId="2" borderId="19" xfId="3" applyNumberFormat="1" applyFill="1" applyBorder="1"/>
    <xf numFmtId="165" fontId="1" fillId="3" borderId="10" xfId="2" applyNumberFormat="1" applyFill="1" applyBorder="1"/>
    <xf numFmtId="165" fontId="1" fillId="3" borderId="18" xfId="2" applyNumberFormat="1" applyFill="1" applyBorder="1"/>
    <xf numFmtId="164" fontId="1" fillId="3" borderId="0" xfId="2" applyFill="1" applyBorder="1"/>
    <xf numFmtId="8" fontId="1" fillId="2" borderId="0" xfId="3" applyNumberFormat="1" applyFill="1" applyBorder="1"/>
    <xf numFmtId="0" fontId="3" fillId="2" borderId="12" xfId="3" applyFont="1" applyFill="1" applyBorder="1"/>
    <xf numFmtId="0" fontId="1" fillId="2" borderId="13" xfId="3" applyFill="1" applyBorder="1"/>
    <xf numFmtId="0" fontId="1" fillId="2" borderId="14" xfId="3" applyFill="1" applyBorder="1"/>
    <xf numFmtId="0" fontId="17" fillId="7" borderId="15" xfId="3" applyFont="1" applyFill="1" applyBorder="1"/>
    <xf numFmtId="0" fontId="18" fillId="7" borderId="16" xfId="3" applyFont="1" applyFill="1" applyBorder="1"/>
    <xf numFmtId="0" fontId="13" fillId="7" borderId="16" xfId="3" applyFont="1" applyFill="1" applyBorder="1" applyAlignment="1">
      <alignment horizontal="center" vertical="center"/>
    </xf>
    <xf numFmtId="0" fontId="13" fillId="7" borderId="17" xfId="3" applyFont="1" applyFill="1" applyBorder="1" applyAlignment="1">
      <alignment horizontal="center" vertical="center"/>
    </xf>
    <xf numFmtId="0" fontId="1" fillId="2" borderId="6" xfId="3" applyFont="1" applyFill="1" applyBorder="1"/>
    <xf numFmtId="0" fontId="1" fillId="2" borderId="7" xfId="3" applyFont="1" applyFill="1" applyBorder="1"/>
    <xf numFmtId="165" fontId="1" fillId="2" borderId="7" xfId="2" applyNumberFormat="1" applyFont="1" applyFill="1" applyBorder="1"/>
    <xf numFmtId="165" fontId="1" fillId="2" borderId="8" xfId="2" applyNumberFormat="1" applyFont="1" applyFill="1" applyBorder="1"/>
    <xf numFmtId="0" fontId="1" fillId="2" borderId="9" xfId="3" applyFont="1" applyFill="1" applyBorder="1" applyAlignment="1">
      <alignment horizontal="left"/>
    </xf>
    <xf numFmtId="0" fontId="1" fillId="2" borderId="9" xfId="3" applyFont="1" applyFill="1" applyBorder="1" applyAlignment="1">
      <alignment horizontal="left" indent="1"/>
    </xf>
    <xf numFmtId="0" fontId="1" fillId="2" borderId="12" xfId="3" applyFont="1" applyFill="1" applyBorder="1"/>
    <xf numFmtId="0" fontId="1" fillId="2" borderId="13" xfId="3" applyFont="1" applyFill="1" applyBorder="1"/>
    <xf numFmtId="165" fontId="1" fillId="2" borderId="13" xfId="2" applyNumberFormat="1" applyFont="1" applyFill="1" applyBorder="1"/>
    <xf numFmtId="165" fontId="1" fillId="2" borderId="14" xfId="2" applyNumberFormat="1" applyFont="1" applyFill="1" applyBorder="1"/>
    <xf numFmtId="0" fontId="1" fillId="2" borderId="8" xfId="3" applyFont="1" applyFill="1" applyBorder="1"/>
    <xf numFmtId="0" fontId="1" fillId="3" borderId="0" xfId="3" applyFill="1" applyBorder="1" applyAlignment="1">
      <alignment horizontal="left" indent="2"/>
    </xf>
    <xf numFmtId="0" fontId="1" fillId="2" borderId="9" xfId="3" applyFont="1" applyFill="1" applyBorder="1" applyAlignment="1">
      <alignment horizontal="left" indent="3"/>
    </xf>
    <xf numFmtId="0" fontId="1" fillId="2" borderId="15" xfId="3" applyFont="1" applyFill="1" applyBorder="1"/>
    <xf numFmtId="0" fontId="1" fillId="2" borderId="16" xfId="3" applyFont="1" applyFill="1" applyBorder="1"/>
    <xf numFmtId="0" fontId="6" fillId="2" borderId="16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165" fontId="1" fillId="4" borderId="6" xfId="2" applyNumberFormat="1" applyFont="1" applyFill="1" applyBorder="1"/>
    <xf numFmtId="164" fontId="1" fillId="4" borderId="7" xfId="2" applyNumberFormat="1" applyFill="1" applyBorder="1" applyProtection="1">
      <protection locked="0"/>
    </xf>
    <xf numFmtId="164" fontId="1" fillId="4" borderId="8" xfId="2" applyNumberFormat="1" applyFill="1" applyBorder="1" applyProtection="1">
      <protection locked="0"/>
    </xf>
    <xf numFmtId="0" fontId="1" fillId="4" borderId="9" xfId="3" applyFont="1" applyFill="1" applyBorder="1" applyAlignment="1">
      <alignment horizontal="left" indent="2"/>
    </xf>
    <xf numFmtId="164" fontId="1" fillId="4" borderId="0" xfId="2" applyNumberFormat="1" applyFill="1" applyBorder="1" applyProtection="1">
      <protection locked="0"/>
    </xf>
    <xf numFmtId="164" fontId="1" fillId="4" borderId="0" xfId="2" applyFill="1" applyBorder="1"/>
    <xf numFmtId="164" fontId="1" fillId="4" borderId="10" xfId="2" applyFill="1" applyBorder="1"/>
    <xf numFmtId="9" fontId="2" fillId="4" borderId="0" xfId="5" applyFill="1" applyBorder="1"/>
    <xf numFmtId="164" fontId="1" fillId="4" borderId="10" xfId="2" applyNumberFormat="1" applyFill="1" applyBorder="1" applyProtection="1">
      <protection locked="0"/>
    </xf>
    <xf numFmtId="165" fontId="1" fillId="4" borderId="9" xfId="2" applyNumberFormat="1" applyFont="1" applyFill="1" applyBorder="1"/>
    <xf numFmtId="170" fontId="1" fillId="4" borderId="0" xfId="1" applyNumberFormat="1" applyFill="1" applyBorder="1" applyProtection="1">
      <protection locked="0"/>
    </xf>
    <xf numFmtId="170" fontId="1" fillId="4" borderId="0" xfId="1" applyNumberFormat="1" applyFill="1" applyBorder="1"/>
    <xf numFmtId="170" fontId="1" fillId="4" borderId="10" xfId="1" applyNumberFormat="1" applyFill="1" applyBorder="1"/>
    <xf numFmtId="165" fontId="1" fillId="4" borderId="9" xfId="2" applyNumberFormat="1" applyFont="1" applyFill="1" applyBorder="1" applyAlignment="1">
      <alignment horizontal="left" indent="2"/>
    </xf>
    <xf numFmtId="165" fontId="1" fillId="4" borderId="9" xfId="2" applyNumberFormat="1" applyFont="1" applyFill="1" applyBorder="1" applyAlignment="1">
      <alignment horizontal="left"/>
    </xf>
    <xf numFmtId="9" fontId="2" fillId="4" borderId="0" xfId="5" applyFill="1" applyBorder="1" applyProtection="1">
      <protection locked="0"/>
    </xf>
    <xf numFmtId="0" fontId="1" fillId="4" borderId="0" xfId="3" applyFont="1" applyFill="1" applyBorder="1"/>
    <xf numFmtId="0" fontId="1" fillId="4" borderId="10" xfId="3" applyFill="1" applyBorder="1"/>
    <xf numFmtId="0" fontId="1" fillId="4" borderId="0" xfId="3" applyFont="1" applyFill="1" applyBorder="1" applyProtection="1">
      <protection locked="0"/>
    </xf>
    <xf numFmtId="165" fontId="1" fillId="4" borderId="0" xfId="3" applyNumberFormat="1" applyFont="1" applyFill="1" applyBorder="1"/>
    <xf numFmtId="165" fontId="1" fillId="4" borderId="10" xfId="3" applyNumberFormat="1" applyFont="1" applyFill="1" applyBorder="1"/>
    <xf numFmtId="168" fontId="1" fillId="4" borderId="0" xfId="1" applyFill="1" applyBorder="1"/>
    <xf numFmtId="168" fontId="1" fillId="4" borderId="10" xfId="1" applyFill="1" applyBorder="1"/>
    <xf numFmtId="165" fontId="1" fillId="4" borderId="12" xfId="2" applyNumberFormat="1" applyFont="1" applyFill="1" applyBorder="1" applyAlignment="1">
      <alignment horizontal="left" indent="2"/>
    </xf>
    <xf numFmtId="9" fontId="1" fillId="4" borderId="13" xfId="3" applyNumberFormat="1" applyFont="1" applyFill="1" applyBorder="1"/>
    <xf numFmtId="0" fontId="1" fillId="4" borderId="13" xfId="3" applyFont="1" applyFill="1" applyBorder="1"/>
    <xf numFmtId="0" fontId="1" fillId="4" borderId="13" xfId="3" applyFill="1" applyBorder="1"/>
    <xf numFmtId="0" fontId="1" fillId="4" borderId="14" xfId="3" applyFill="1" applyBorder="1"/>
    <xf numFmtId="165" fontId="1" fillId="4" borderId="6" xfId="2" applyNumberFormat="1" applyFont="1" applyFill="1" applyBorder="1" applyAlignment="1">
      <alignment horizontal="left"/>
    </xf>
    <xf numFmtId="165" fontId="1" fillId="4" borderId="7" xfId="2" applyNumberFormat="1" applyFill="1" applyBorder="1"/>
    <xf numFmtId="165" fontId="1" fillId="4" borderId="8" xfId="2" applyNumberFormat="1" applyFill="1" applyBorder="1"/>
    <xf numFmtId="0" fontId="1" fillId="4" borderId="10" xfId="3" applyFont="1" applyFill="1" applyBorder="1"/>
    <xf numFmtId="9" fontId="2" fillId="4" borderId="0" xfId="5" applyFont="1" applyFill="1" applyBorder="1"/>
    <xf numFmtId="166" fontId="2" fillId="4" borderId="0" xfId="5" applyNumberFormat="1" applyFont="1" applyFill="1" applyBorder="1"/>
    <xf numFmtId="169" fontId="1" fillId="4" borderId="0" xfId="3" applyNumberFormat="1" applyFont="1" applyFill="1" applyBorder="1"/>
    <xf numFmtId="169" fontId="1" fillId="4" borderId="10" xfId="3" applyNumberFormat="1" applyFont="1" applyFill="1" applyBorder="1"/>
    <xf numFmtId="171" fontId="1" fillId="4" borderId="0" xfId="3" applyNumberFormat="1" applyFill="1" applyBorder="1"/>
    <xf numFmtId="43" fontId="1" fillId="4" borderId="0" xfId="3" applyNumberFormat="1" applyFont="1" applyFill="1" applyBorder="1"/>
    <xf numFmtId="165" fontId="1" fillId="4" borderId="0" xfId="2" applyNumberFormat="1" applyFill="1" applyBorder="1" applyProtection="1">
      <protection locked="0"/>
    </xf>
    <xf numFmtId="165" fontId="1" fillId="4" borderId="10" xfId="2" applyNumberFormat="1" applyFill="1" applyBorder="1"/>
    <xf numFmtId="0" fontId="1" fillId="4" borderId="9" xfId="3" applyFill="1" applyBorder="1"/>
    <xf numFmtId="9" fontId="1" fillId="4" borderId="0" xfId="3" applyNumberFormat="1" applyFont="1" applyFill="1" applyBorder="1"/>
    <xf numFmtId="165" fontId="1" fillId="4" borderId="12" xfId="2" applyNumberFormat="1" applyFont="1" applyFill="1" applyBorder="1"/>
    <xf numFmtId="9" fontId="2" fillId="4" borderId="13" xfId="5" applyFill="1" applyBorder="1" applyProtection="1">
      <protection locked="0"/>
    </xf>
    <xf numFmtId="169" fontId="1" fillId="4" borderId="0" xfId="1" applyNumberFormat="1" applyFill="1" applyBorder="1"/>
    <xf numFmtId="0" fontId="7" fillId="8" borderId="20" xfId="3" applyFont="1" applyFill="1" applyBorder="1"/>
    <xf numFmtId="0" fontId="7" fillId="9" borderId="15" xfId="3" applyFont="1" applyFill="1" applyBorder="1" applyAlignment="1">
      <alignment horizontal="center"/>
    </xf>
    <xf numFmtId="0" fontId="7" fillId="9" borderId="16" xfId="3" applyFont="1" applyFill="1" applyBorder="1" applyAlignment="1">
      <alignment horizontal="center"/>
    </xf>
    <xf numFmtId="0" fontId="7" fillId="9" borderId="17" xfId="3" applyFont="1" applyFill="1" applyBorder="1" applyAlignment="1">
      <alignment horizontal="center"/>
    </xf>
    <xf numFmtId="43" fontId="10" fillId="4" borderId="0" xfId="1" applyNumberFormat="1" applyFont="1" applyFill="1"/>
    <xf numFmtId="0" fontId="0" fillId="4" borderId="0" xfId="0" applyFill="1"/>
    <xf numFmtId="9" fontId="0" fillId="4" borderId="0" xfId="0" applyNumberFormat="1" applyFill="1"/>
    <xf numFmtId="0" fontId="8" fillId="5" borderId="0" xfId="3" applyFont="1" applyFill="1" applyAlignment="1">
      <alignment horizontal="center" vertical="center"/>
    </xf>
    <xf numFmtId="0" fontId="19" fillId="4" borderId="0" xfId="0" applyFont="1" applyFill="1"/>
    <xf numFmtId="0" fontId="1" fillId="3" borderId="9" xfId="3" applyFill="1" applyBorder="1" applyAlignment="1">
      <alignment horizontal="left" indent="1"/>
    </xf>
    <xf numFmtId="43" fontId="1" fillId="3" borderId="0" xfId="3" applyNumberFormat="1" applyFill="1" applyBorder="1"/>
    <xf numFmtId="166" fontId="1" fillId="2" borderId="21" xfId="3" applyNumberFormat="1" applyFill="1" applyBorder="1"/>
    <xf numFmtId="175" fontId="1" fillId="4" borderId="0" xfId="3" applyNumberFormat="1" applyFill="1"/>
    <xf numFmtId="165" fontId="1" fillId="10" borderId="9" xfId="3" applyNumberFormat="1" applyFill="1" applyBorder="1"/>
    <xf numFmtId="9" fontId="2" fillId="10" borderId="0" xfId="5" applyFill="1" applyBorder="1"/>
    <xf numFmtId="9" fontId="1" fillId="10" borderId="0" xfId="3" applyNumberFormat="1" applyFill="1" applyBorder="1"/>
    <xf numFmtId="166" fontId="1" fillId="10" borderId="0" xfId="5" applyNumberFormat="1" applyFont="1" applyFill="1" applyBorder="1" applyAlignment="1" applyProtection="1"/>
    <xf numFmtId="165" fontId="1" fillId="10" borderId="22" xfId="3" applyNumberFormat="1" applyFill="1" applyBorder="1"/>
    <xf numFmtId="9" fontId="2" fillId="10" borderId="1" xfId="5" applyFill="1" applyBorder="1"/>
    <xf numFmtId="9" fontId="1" fillId="10" borderId="1" xfId="3" applyNumberFormat="1" applyFill="1" applyBorder="1"/>
    <xf numFmtId="166" fontId="2" fillId="10" borderId="1" xfId="5" applyNumberFormat="1" applyFill="1" applyBorder="1"/>
    <xf numFmtId="0" fontId="1" fillId="10" borderId="0" xfId="3" applyFill="1" applyBorder="1"/>
    <xf numFmtId="174" fontId="1" fillId="10" borderId="9" xfId="2" applyNumberFormat="1" applyFill="1" applyBorder="1"/>
    <xf numFmtId="166" fontId="1" fillId="10" borderId="9" xfId="5" applyNumberFormat="1" applyFont="1" applyFill="1" applyBorder="1" applyAlignment="1" applyProtection="1"/>
    <xf numFmtId="0" fontId="1" fillId="10" borderId="9" xfId="3" applyFill="1" applyBorder="1"/>
    <xf numFmtId="166" fontId="1" fillId="10" borderId="0" xfId="3" applyNumberFormat="1" applyFill="1" applyBorder="1"/>
    <xf numFmtId="165" fontId="1" fillId="10" borderId="12" xfId="3" applyNumberFormat="1" applyFill="1" applyBorder="1"/>
    <xf numFmtId="165" fontId="1" fillId="10" borderId="13" xfId="3" applyNumberFormat="1" applyFill="1" applyBorder="1"/>
    <xf numFmtId="0" fontId="1" fillId="10" borderId="13" xfId="3" applyFill="1" applyBorder="1"/>
    <xf numFmtId="0" fontId="20" fillId="11" borderId="6" xfId="3" applyFont="1" applyFill="1" applyBorder="1" applyAlignment="1">
      <alignment horizontal="center" vertical="center"/>
    </xf>
    <xf numFmtId="0" fontId="20" fillId="11" borderId="7" xfId="3" applyFont="1" applyFill="1" applyBorder="1" applyAlignment="1">
      <alignment horizontal="center" vertical="center"/>
    </xf>
    <xf numFmtId="0" fontId="20" fillId="11" borderId="9" xfId="3" applyFont="1" applyFill="1" applyBorder="1" applyAlignment="1">
      <alignment horizontal="center" vertical="center"/>
    </xf>
    <xf numFmtId="0" fontId="20" fillId="11" borderId="0" xfId="3" applyFont="1" applyFill="1" applyBorder="1" applyAlignment="1">
      <alignment horizontal="center" vertical="center"/>
    </xf>
    <xf numFmtId="0" fontId="20" fillId="11" borderId="23" xfId="3" applyFont="1" applyFill="1" applyBorder="1" applyAlignment="1">
      <alignment horizontal="center" vertical="center"/>
    </xf>
    <xf numFmtId="0" fontId="20" fillId="11" borderId="24" xfId="3" applyFont="1" applyFill="1" applyBorder="1" applyAlignment="1">
      <alignment horizontal="center" vertical="center"/>
    </xf>
    <xf numFmtId="166" fontId="1" fillId="10" borderId="24" xfId="5" applyNumberFormat="1" applyFont="1" applyFill="1" applyBorder="1" applyAlignment="1" applyProtection="1">
      <alignment horizontal="center"/>
    </xf>
    <xf numFmtId="166" fontId="1" fillId="10" borderId="25" xfId="5" applyNumberFormat="1" applyFont="1" applyFill="1" applyBorder="1" applyAlignment="1" applyProtection="1">
      <alignment horizontal="center"/>
    </xf>
    <xf numFmtId="166" fontId="1" fillId="10" borderId="24" xfId="3" applyNumberFormat="1" applyFill="1" applyBorder="1" applyAlignment="1">
      <alignment horizontal="center"/>
    </xf>
    <xf numFmtId="0" fontId="1" fillId="10" borderId="24" xfId="3" applyFill="1" applyBorder="1" applyAlignment="1">
      <alignment horizontal="center"/>
    </xf>
    <xf numFmtId="166" fontId="1" fillId="10" borderId="26" xfId="3" applyNumberFormat="1" applyFill="1" applyBorder="1" applyAlignment="1">
      <alignment horizontal="center"/>
    </xf>
    <xf numFmtId="166" fontId="2" fillId="12" borderId="0" xfId="5" applyNumberFormat="1" applyFill="1" applyBorder="1"/>
    <xf numFmtId="9" fontId="2" fillId="12" borderId="0" xfId="5" applyFill="1" applyBorder="1"/>
    <xf numFmtId="0" fontId="1" fillId="2" borderId="12" xfId="3" applyFill="1" applyBorder="1"/>
    <xf numFmtId="170" fontId="1" fillId="3" borderId="7" xfId="1" applyNumberFormat="1" applyFill="1" applyBorder="1"/>
    <xf numFmtId="170" fontId="1" fillId="3" borderId="8" xfId="1" applyNumberFormat="1" applyFill="1" applyBorder="1"/>
    <xf numFmtId="170" fontId="1" fillId="3" borderId="0" xfId="1" applyNumberFormat="1" applyFill="1" applyBorder="1"/>
    <xf numFmtId="170" fontId="1" fillId="3" borderId="10" xfId="1" applyNumberFormat="1" applyFill="1" applyBorder="1"/>
    <xf numFmtId="170" fontId="1" fillId="3" borderId="13" xfId="1" applyNumberFormat="1" applyFill="1" applyBorder="1"/>
    <xf numFmtId="170" fontId="1" fillId="3" borderId="14" xfId="1" applyNumberFormat="1" applyFill="1" applyBorder="1"/>
    <xf numFmtId="170" fontId="1" fillId="3" borderId="1" xfId="1" applyNumberFormat="1" applyFill="1" applyBorder="1"/>
    <xf numFmtId="170" fontId="1" fillId="3" borderId="18" xfId="1" applyNumberForma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13" xfId="0" applyFill="1" applyBorder="1"/>
    <xf numFmtId="170" fontId="1" fillId="3" borderId="27" xfId="1" applyNumberFormat="1" applyFill="1" applyBorder="1"/>
    <xf numFmtId="170" fontId="1" fillId="3" borderId="28" xfId="1" applyNumberFormat="1" applyFill="1" applyBorder="1"/>
    <xf numFmtId="0" fontId="0" fillId="3" borderId="15" xfId="0" applyFill="1" applyBorder="1"/>
    <xf numFmtId="0" fontId="0" fillId="3" borderId="16" xfId="0" applyFill="1" applyBorder="1"/>
    <xf numFmtId="165" fontId="1" fillId="2" borderId="7" xfId="3" applyNumberFormat="1" applyFill="1" applyBorder="1"/>
    <xf numFmtId="165" fontId="1" fillId="2" borderId="8" xfId="3" applyNumberFormat="1" applyFill="1" applyBorder="1"/>
    <xf numFmtId="9" fontId="2" fillId="4" borderId="0" xfId="5" applyFill="1"/>
    <xf numFmtId="170" fontId="1" fillId="4" borderId="0" xfId="1" applyNumberFormat="1" applyFill="1"/>
    <xf numFmtId="170" fontId="1" fillId="4" borderId="1" xfId="1" applyNumberFormat="1" applyFill="1" applyBorder="1"/>
    <xf numFmtId="0" fontId="9" fillId="13" borderId="15" xfId="0" applyFont="1" applyFill="1" applyBorder="1"/>
    <xf numFmtId="0" fontId="9" fillId="13" borderId="16" xfId="0" applyFont="1" applyFill="1" applyBorder="1" applyAlignment="1">
      <alignment horizontal="center"/>
    </xf>
    <xf numFmtId="0" fontId="0" fillId="4" borderId="9" xfId="0" applyFill="1" applyBorder="1"/>
    <xf numFmtId="171" fontId="5" fillId="4" borderId="0" xfId="1" applyNumberFormat="1" applyFont="1" applyFill="1" applyBorder="1"/>
    <xf numFmtId="171" fontId="0" fillId="4" borderId="0" xfId="0" applyNumberFormat="1" applyFill="1" applyBorder="1"/>
    <xf numFmtId="166" fontId="5" fillId="4" borderId="0" xfId="5" applyNumberFormat="1" applyFont="1" applyFill="1" applyBorder="1"/>
    <xf numFmtId="171" fontId="5" fillId="4" borderId="9" xfId="5" applyNumberFormat="1" applyFont="1" applyFill="1" applyBorder="1"/>
    <xf numFmtId="9" fontId="5" fillId="4" borderId="10" xfId="5" applyFont="1" applyFill="1" applyBorder="1"/>
    <xf numFmtId="0" fontId="0" fillId="4" borderId="12" xfId="0" applyFill="1" applyBorder="1"/>
    <xf numFmtId="171" fontId="5" fillId="4" borderId="13" xfId="1" applyNumberFormat="1" applyFont="1" applyFill="1" applyBorder="1"/>
    <xf numFmtId="171" fontId="0" fillId="4" borderId="13" xfId="0" applyNumberFormat="1" applyFill="1" applyBorder="1"/>
    <xf numFmtId="166" fontId="5" fillId="4" borderId="13" xfId="5" applyNumberFormat="1" applyFont="1" applyFill="1" applyBorder="1"/>
    <xf numFmtId="171" fontId="5" fillId="4" borderId="9" xfId="1" applyNumberFormat="1" applyFont="1" applyFill="1" applyBorder="1"/>
    <xf numFmtId="171" fontId="0" fillId="4" borderId="0" xfId="0" applyNumberFormat="1" applyFill="1"/>
    <xf numFmtId="171" fontId="0" fillId="4" borderId="12" xfId="0" applyNumberFormat="1" applyFill="1" applyBorder="1"/>
    <xf numFmtId="0" fontId="0" fillId="4" borderId="14" xfId="0" applyFill="1" applyBorder="1"/>
    <xf numFmtId="0" fontId="1" fillId="4" borderId="14" xfId="3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0" fontId="0" fillId="4" borderId="0" xfId="0" applyFill="1" applyBorder="1"/>
    <xf numFmtId="0" fontId="0" fillId="4" borderId="1" xfId="0" applyFill="1" applyBorder="1"/>
    <xf numFmtId="165" fontId="0" fillId="4" borderId="1" xfId="0" applyNumberFormat="1" applyFill="1" applyBorder="1"/>
    <xf numFmtId="166" fontId="0" fillId="4" borderId="0" xfId="0" applyNumberFormat="1" applyFill="1"/>
    <xf numFmtId="166" fontId="0" fillId="12" borderId="5" xfId="0" applyNumberFormat="1" applyFill="1" applyBorder="1"/>
    <xf numFmtId="9" fontId="1" fillId="4" borderId="0" xfId="3" applyNumberFormat="1" applyFill="1"/>
    <xf numFmtId="166" fontId="0" fillId="3" borderId="17" xfId="0" applyNumberFormat="1" applyFill="1" applyBorder="1"/>
    <xf numFmtId="9" fontId="2" fillId="0" borderId="0" xfId="5"/>
    <xf numFmtId="171" fontId="0" fillId="4" borderId="1" xfId="0" applyNumberFormat="1" applyFill="1" applyBorder="1"/>
    <xf numFmtId="13" fontId="10" fillId="4" borderId="0" xfId="1" applyNumberFormat="1" applyFont="1" applyFill="1"/>
    <xf numFmtId="0" fontId="12" fillId="7" borderId="15" xfId="3" applyFont="1" applyFill="1" applyBorder="1" applyAlignment="1">
      <alignment horizontal="center"/>
    </xf>
    <xf numFmtId="0" fontId="12" fillId="7" borderId="16" xfId="3" applyFont="1" applyFill="1" applyBorder="1" applyAlignment="1">
      <alignment horizontal="center"/>
    </xf>
    <xf numFmtId="0" fontId="12" fillId="7" borderId="17" xfId="3" applyFont="1" applyFill="1" applyBorder="1" applyAlignment="1">
      <alignment horizontal="center"/>
    </xf>
    <xf numFmtId="0" fontId="21" fillId="14" borderId="15" xfId="3" applyFont="1" applyFill="1" applyBorder="1" applyAlignment="1">
      <alignment horizontal="center" vertical="center" wrapText="1"/>
    </xf>
    <xf numFmtId="0" fontId="21" fillId="14" borderId="16" xfId="3" applyFont="1" applyFill="1" applyBorder="1" applyAlignment="1">
      <alignment horizontal="center" vertical="center" wrapText="1"/>
    </xf>
    <xf numFmtId="0" fontId="21" fillId="14" borderId="17" xfId="3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Excel Built-in Normal 1" xfId="3"/>
    <cellStyle name="Excel Built-in Normal 2" xfId="4"/>
    <cellStyle name="Normal" xfId="0" builtinId="0"/>
    <cellStyle name="Percent" xfId="5" builtinId="5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50"/>
  <sheetViews>
    <sheetView tabSelected="1" zoomScale="70" zoomScaleNormal="70" workbookViewId="0">
      <selection activeCell="A105" sqref="A105"/>
    </sheetView>
  </sheetViews>
  <sheetFormatPr defaultColWidth="9.42578125" defaultRowHeight="15" x14ac:dyDescent="0.25"/>
  <cols>
    <col min="1" max="1" width="5.5703125" style="26" customWidth="1"/>
    <col min="2" max="2" width="41.140625" style="26" customWidth="1"/>
    <col min="3" max="3" width="17.5703125" style="26" customWidth="1"/>
    <col min="4" max="4" width="18.7109375" style="26" customWidth="1"/>
    <col min="5" max="5" width="19.42578125" style="26" bestFit="1" customWidth="1"/>
    <col min="6" max="6" width="15" style="26" customWidth="1"/>
    <col min="7" max="7" width="15.140625" style="26" bestFit="1" customWidth="1"/>
    <col min="8" max="8" width="19" style="26" bestFit="1" customWidth="1"/>
    <col min="9" max="13" width="15.140625" style="26" customWidth="1"/>
    <col min="14" max="14" width="21.5703125" style="26" bestFit="1" customWidth="1"/>
    <col min="15" max="15" width="20.7109375" style="26" bestFit="1" customWidth="1"/>
    <col min="16" max="16" width="7.7109375" style="26" customWidth="1"/>
    <col min="17" max="17" width="36.28515625" style="26" bestFit="1" customWidth="1"/>
    <col min="18" max="18" width="19.140625" style="26" bestFit="1" customWidth="1"/>
    <col min="19" max="19" width="21.140625" style="26" bestFit="1" customWidth="1"/>
    <col min="20" max="20" width="12" style="26" bestFit="1" customWidth="1"/>
    <col min="21" max="26" width="12.28515625" style="26" bestFit="1" customWidth="1"/>
    <col min="27" max="27" width="12" style="26" bestFit="1" customWidth="1"/>
    <col min="28" max="16384" width="9.42578125" style="26"/>
  </cols>
  <sheetData>
    <row r="1" spans="1:27" ht="21.75" thickBot="1" x14ac:dyDescent="0.35">
      <c r="A1" s="116"/>
      <c r="B1" s="117"/>
      <c r="C1" s="117"/>
      <c r="D1" s="118">
        <v>2014</v>
      </c>
      <c r="E1" s="118">
        <v>2015</v>
      </c>
      <c r="F1" s="118">
        <v>2016</v>
      </c>
      <c r="G1" s="118">
        <v>2017</v>
      </c>
      <c r="H1" s="118">
        <v>2018</v>
      </c>
      <c r="I1" s="118">
        <v>2019</v>
      </c>
      <c r="J1" s="118">
        <v>2020</v>
      </c>
      <c r="K1" s="118">
        <v>2021</v>
      </c>
      <c r="L1" s="118">
        <v>2022</v>
      </c>
      <c r="M1" s="119">
        <v>2023</v>
      </c>
      <c r="N1" s="31"/>
      <c r="O1" s="31"/>
      <c r="P1" s="31"/>
      <c r="Q1" s="165" t="s">
        <v>111</v>
      </c>
      <c r="R1" s="166">
        <v>2014</v>
      </c>
      <c r="S1" s="167">
        <v>2015</v>
      </c>
      <c r="T1" s="167">
        <v>2016</v>
      </c>
      <c r="U1" s="167">
        <v>2017</v>
      </c>
      <c r="V1" s="167">
        <v>2018</v>
      </c>
      <c r="W1" s="167">
        <v>2019</v>
      </c>
      <c r="X1" s="167">
        <v>2020</v>
      </c>
      <c r="Y1" s="167">
        <v>2021</v>
      </c>
      <c r="Z1" s="167">
        <v>2022</v>
      </c>
      <c r="AA1" s="168">
        <v>2023</v>
      </c>
    </row>
    <row r="2" spans="1:27" ht="27" thickBot="1" x14ac:dyDescent="0.45">
      <c r="A2" s="258" t="s">
        <v>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  <c r="N2" s="32"/>
      <c r="O2" s="32"/>
      <c r="P2" s="32"/>
      <c r="Q2" s="120" t="s">
        <v>95</v>
      </c>
      <c r="R2" s="121"/>
      <c r="S2" s="121"/>
      <c r="T2" s="121"/>
      <c r="U2" s="121"/>
      <c r="V2" s="121"/>
      <c r="W2" s="121"/>
      <c r="X2" s="121"/>
      <c r="Y2" s="121"/>
      <c r="Z2" s="121"/>
      <c r="AA2" s="122"/>
    </row>
    <row r="3" spans="1:27" x14ac:dyDescent="0.25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3"/>
      <c r="N3" s="24"/>
      <c r="O3" s="24"/>
      <c r="P3" s="24"/>
      <c r="Q3" s="123" t="s">
        <v>91</v>
      </c>
      <c r="R3" s="124">
        <v>450</v>
      </c>
      <c r="S3" s="125">
        <f>R3*(1+$R$8)</f>
        <v>454.5</v>
      </c>
      <c r="T3" s="125">
        <f t="shared" ref="T3:AA3" si="0">S3*(1+$R$8)</f>
        <v>459.04500000000002</v>
      </c>
      <c r="U3" s="125">
        <f t="shared" si="0"/>
        <v>463.63545000000005</v>
      </c>
      <c r="V3" s="125">
        <f t="shared" si="0"/>
        <v>468.27180450000003</v>
      </c>
      <c r="W3" s="125">
        <f t="shared" si="0"/>
        <v>472.95452254500003</v>
      </c>
      <c r="X3" s="125">
        <f t="shared" si="0"/>
        <v>477.68406777045004</v>
      </c>
      <c r="Y3" s="125">
        <f t="shared" si="0"/>
        <v>482.46090844815456</v>
      </c>
      <c r="Z3" s="125">
        <f t="shared" si="0"/>
        <v>487.28551753263611</v>
      </c>
      <c r="AA3" s="126">
        <f t="shared" si="0"/>
        <v>492.15837270796249</v>
      </c>
    </row>
    <row r="4" spans="1:27" x14ac:dyDescent="0.25">
      <c r="A4" s="81"/>
      <c r="B4" s="82" t="s">
        <v>89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83"/>
      <c r="N4" s="25"/>
      <c r="O4" s="25"/>
      <c r="P4" s="25"/>
      <c r="Q4" s="123" t="s">
        <v>92</v>
      </c>
      <c r="R4" s="124">
        <v>300</v>
      </c>
      <c r="S4" s="125">
        <f t="shared" ref="S4:AA4" si="1">R4*(1+$R$8)</f>
        <v>303</v>
      </c>
      <c r="T4" s="125">
        <f t="shared" si="1"/>
        <v>306.03000000000003</v>
      </c>
      <c r="U4" s="125">
        <f t="shared" si="1"/>
        <v>309.09030000000001</v>
      </c>
      <c r="V4" s="125">
        <f t="shared" si="1"/>
        <v>312.18120300000004</v>
      </c>
      <c r="W4" s="125">
        <f t="shared" si="1"/>
        <v>315.30301503000004</v>
      </c>
      <c r="X4" s="125">
        <f t="shared" si="1"/>
        <v>318.45604518030007</v>
      </c>
      <c r="Y4" s="125">
        <f t="shared" si="1"/>
        <v>321.64060563210307</v>
      </c>
      <c r="Z4" s="125">
        <f t="shared" si="1"/>
        <v>324.85701168842411</v>
      </c>
      <c r="AA4" s="126">
        <f t="shared" si="1"/>
        <v>328.10558180530836</v>
      </c>
    </row>
    <row r="5" spans="1:27" x14ac:dyDescent="0.25">
      <c r="A5" s="81"/>
      <c r="B5" s="22" t="s">
        <v>91</v>
      </c>
      <c r="C5" s="21"/>
      <c r="D5" s="21">
        <f>R3*R14</f>
        <v>33750</v>
      </c>
      <c r="E5" s="21">
        <f t="shared" ref="E5:M5" si="2">S3*S14</f>
        <v>35791.875</v>
      </c>
      <c r="F5" s="21">
        <f t="shared" si="2"/>
        <v>37957.283437500002</v>
      </c>
      <c r="G5" s="21">
        <f t="shared" si="2"/>
        <v>40253.699085468754</v>
      </c>
      <c r="H5" s="21">
        <f t="shared" si="2"/>
        <v>42689.047880139617</v>
      </c>
      <c r="I5" s="21">
        <f t="shared" si="2"/>
        <v>45271.735276888066</v>
      </c>
      <c r="J5" s="21">
        <f t="shared" si="2"/>
        <v>48010.675261139797</v>
      </c>
      <c r="K5" s="21">
        <f t="shared" si="2"/>
        <v>50915.321114438761</v>
      </c>
      <c r="L5" s="21">
        <f t="shared" si="2"/>
        <v>53995.698041862306</v>
      </c>
      <c r="M5" s="83">
        <f t="shared" si="2"/>
        <v>57262.437773394973</v>
      </c>
      <c r="N5" s="25"/>
      <c r="O5" s="25"/>
      <c r="P5" s="25"/>
      <c r="Q5" s="123" t="s">
        <v>93</v>
      </c>
      <c r="R5" s="124">
        <v>200</v>
      </c>
      <c r="S5" s="125">
        <f t="shared" ref="S5:AA5" si="3">R5*(1+$R$8)</f>
        <v>202</v>
      </c>
      <c r="T5" s="125">
        <f t="shared" si="3"/>
        <v>204.02</v>
      </c>
      <c r="U5" s="125">
        <f t="shared" si="3"/>
        <v>206.06020000000001</v>
      </c>
      <c r="V5" s="125">
        <f t="shared" si="3"/>
        <v>208.120802</v>
      </c>
      <c r="W5" s="125">
        <f t="shared" si="3"/>
        <v>210.20201001999999</v>
      </c>
      <c r="X5" s="125">
        <f t="shared" si="3"/>
        <v>212.3040301202</v>
      </c>
      <c r="Y5" s="125">
        <f t="shared" si="3"/>
        <v>214.42707042140199</v>
      </c>
      <c r="Z5" s="125">
        <f t="shared" si="3"/>
        <v>216.57134112561602</v>
      </c>
      <c r="AA5" s="126">
        <f t="shared" si="3"/>
        <v>218.73705453687217</v>
      </c>
    </row>
    <row r="6" spans="1:27" x14ac:dyDescent="0.25">
      <c r="A6" s="81"/>
      <c r="B6" s="22" t="s">
        <v>92</v>
      </c>
      <c r="C6" s="21"/>
      <c r="D6" s="21">
        <f>R4*R15</f>
        <v>30000</v>
      </c>
      <c r="E6" s="21">
        <f t="shared" ref="E6:M9" si="4">S4*S15</f>
        <v>31815</v>
      </c>
      <c r="F6" s="21">
        <f t="shared" si="4"/>
        <v>33739.807500000003</v>
      </c>
      <c r="G6" s="21">
        <f t="shared" si="4"/>
        <v>35781.065853750006</v>
      </c>
      <c r="H6" s="21">
        <f t="shared" si="4"/>
        <v>37945.820337901881</v>
      </c>
      <c r="I6" s="21">
        <f t="shared" si="4"/>
        <v>40241.542468344946</v>
      </c>
      <c r="J6" s="21">
        <f t="shared" si="4"/>
        <v>42676.155787679825</v>
      </c>
      <c r="K6" s="21">
        <f t="shared" si="4"/>
        <v>45258.063212834459</v>
      </c>
      <c r="L6" s="21">
        <f t="shared" si="4"/>
        <v>47996.176037210949</v>
      </c>
      <c r="M6" s="83">
        <f t="shared" si="4"/>
        <v>50899.944687462215</v>
      </c>
      <c r="N6" s="25"/>
      <c r="O6" s="25"/>
      <c r="P6" s="25"/>
      <c r="Q6" s="123" t="s">
        <v>94</v>
      </c>
      <c r="R6" s="124">
        <v>300</v>
      </c>
      <c r="S6" s="125">
        <f t="shared" ref="S6:AA6" si="5">R6*(1+$R$8)</f>
        <v>303</v>
      </c>
      <c r="T6" s="125">
        <f t="shared" si="5"/>
        <v>306.03000000000003</v>
      </c>
      <c r="U6" s="125">
        <f t="shared" si="5"/>
        <v>309.09030000000001</v>
      </c>
      <c r="V6" s="125">
        <f t="shared" si="5"/>
        <v>312.18120300000004</v>
      </c>
      <c r="W6" s="125">
        <f t="shared" si="5"/>
        <v>315.30301503000004</v>
      </c>
      <c r="X6" s="125">
        <f t="shared" si="5"/>
        <v>318.45604518030007</v>
      </c>
      <c r="Y6" s="125">
        <f t="shared" si="5"/>
        <v>321.64060563210307</v>
      </c>
      <c r="Z6" s="125">
        <f t="shared" si="5"/>
        <v>324.85701168842411</v>
      </c>
      <c r="AA6" s="126">
        <f t="shared" si="5"/>
        <v>328.10558180530836</v>
      </c>
    </row>
    <row r="7" spans="1:27" x14ac:dyDescent="0.25">
      <c r="A7" s="81"/>
      <c r="B7" s="22" t="s">
        <v>93</v>
      </c>
      <c r="C7" s="21"/>
      <c r="D7" s="21">
        <f>R5*R16</f>
        <v>20000</v>
      </c>
      <c r="E7" s="21">
        <f t="shared" si="4"/>
        <v>21210</v>
      </c>
      <c r="F7" s="21">
        <f t="shared" si="4"/>
        <v>22493.205000000002</v>
      </c>
      <c r="G7" s="21">
        <f t="shared" si="4"/>
        <v>23854.043902500001</v>
      </c>
      <c r="H7" s="21">
        <f t="shared" si="4"/>
        <v>25297.213558601252</v>
      </c>
      <c r="I7" s="21">
        <f t="shared" si="4"/>
        <v>26827.694978896627</v>
      </c>
      <c r="J7" s="21">
        <f t="shared" si="4"/>
        <v>28450.770525119879</v>
      </c>
      <c r="K7" s="21">
        <f t="shared" si="4"/>
        <v>30172.042141889633</v>
      </c>
      <c r="L7" s="21">
        <f t="shared" si="4"/>
        <v>31997.450691473961</v>
      </c>
      <c r="M7" s="83">
        <f t="shared" si="4"/>
        <v>33933.296458308134</v>
      </c>
      <c r="N7" s="25"/>
      <c r="O7" s="25"/>
      <c r="P7" s="25"/>
      <c r="Q7" s="123" t="s">
        <v>101</v>
      </c>
      <c r="R7" s="124">
        <v>500</v>
      </c>
      <c r="S7" s="125">
        <f t="shared" ref="S7:AA7" si="6">R7*(1+$R$8)</f>
        <v>505</v>
      </c>
      <c r="T7" s="125">
        <f t="shared" si="6"/>
        <v>510.05</v>
      </c>
      <c r="U7" s="125">
        <f t="shared" si="6"/>
        <v>515.15049999999997</v>
      </c>
      <c r="V7" s="125">
        <f t="shared" si="6"/>
        <v>520.30200500000001</v>
      </c>
      <c r="W7" s="125">
        <f t="shared" si="6"/>
        <v>525.50502504999997</v>
      </c>
      <c r="X7" s="125">
        <f t="shared" si="6"/>
        <v>530.76007530049992</v>
      </c>
      <c r="Y7" s="125">
        <f t="shared" si="6"/>
        <v>536.0676760535049</v>
      </c>
      <c r="Z7" s="125">
        <f t="shared" si="6"/>
        <v>541.42835281403995</v>
      </c>
      <c r="AA7" s="126">
        <f t="shared" si="6"/>
        <v>546.84263634218041</v>
      </c>
    </row>
    <row r="8" spans="1:27" x14ac:dyDescent="0.25">
      <c r="A8" s="81"/>
      <c r="B8" s="22" t="s">
        <v>94</v>
      </c>
      <c r="C8" s="21"/>
      <c r="D8" s="21">
        <f>R6*R17</f>
        <v>30000</v>
      </c>
      <c r="E8" s="21">
        <f t="shared" si="4"/>
        <v>31815</v>
      </c>
      <c r="F8" s="21">
        <f t="shared" si="4"/>
        <v>33739.807500000003</v>
      </c>
      <c r="G8" s="21">
        <f t="shared" si="4"/>
        <v>35781.065853750006</v>
      </c>
      <c r="H8" s="21">
        <f t="shared" si="4"/>
        <v>37945.820337901881</v>
      </c>
      <c r="I8" s="21">
        <f t="shared" si="4"/>
        <v>40241.542468344946</v>
      </c>
      <c r="J8" s="21">
        <f t="shared" si="4"/>
        <v>42676.155787679825</v>
      </c>
      <c r="K8" s="21">
        <f t="shared" si="4"/>
        <v>45258.063212834459</v>
      </c>
      <c r="L8" s="21">
        <f t="shared" si="4"/>
        <v>47996.176037210949</v>
      </c>
      <c r="M8" s="83">
        <f t="shared" si="4"/>
        <v>50899.944687462215</v>
      </c>
      <c r="N8" s="25"/>
      <c r="O8" s="25"/>
      <c r="P8" s="25"/>
      <c r="Q8" s="123" t="s">
        <v>107</v>
      </c>
      <c r="R8" s="127">
        <v>0.01</v>
      </c>
      <c r="S8" s="124"/>
      <c r="T8" s="124"/>
      <c r="U8" s="124"/>
      <c r="V8" s="124"/>
      <c r="W8" s="124"/>
      <c r="X8" s="124"/>
      <c r="Y8" s="124"/>
      <c r="Z8" s="124"/>
      <c r="AA8" s="128"/>
    </row>
    <row r="9" spans="1:27" x14ac:dyDescent="0.25">
      <c r="A9" s="81"/>
      <c r="B9" s="114" t="s">
        <v>101</v>
      </c>
      <c r="C9" s="21"/>
      <c r="D9" s="21">
        <f>R7*R18</f>
        <v>25000</v>
      </c>
      <c r="E9" s="21">
        <f t="shared" si="4"/>
        <v>26512.5</v>
      </c>
      <c r="F9" s="21">
        <f t="shared" si="4"/>
        <v>28116.506250000002</v>
      </c>
      <c r="G9" s="21">
        <f t="shared" si="4"/>
        <v>29817.554878125</v>
      </c>
      <c r="H9" s="21">
        <f t="shared" si="4"/>
        <v>31621.516948251567</v>
      </c>
      <c r="I9" s="21">
        <f t="shared" si="4"/>
        <v>33534.618723620784</v>
      </c>
      <c r="J9" s="21">
        <f t="shared" si="4"/>
        <v>35563.463156399841</v>
      </c>
      <c r="K9" s="21">
        <f t="shared" si="4"/>
        <v>37715.052677362037</v>
      </c>
      <c r="L9" s="21">
        <f t="shared" si="4"/>
        <v>39996.813364342444</v>
      </c>
      <c r="M9" s="83">
        <f t="shared" si="4"/>
        <v>42416.620572885164</v>
      </c>
      <c r="N9" s="25"/>
      <c r="O9" s="25"/>
      <c r="P9" s="25"/>
      <c r="Q9" s="129" t="s">
        <v>96</v>
      </c>
      <c r="R9" s="130"/>
      <c r="S9" s="131"/>
      <c r="T9" s="131"/>
      <c r="U9" s="131"/>
      <c r="V9" s="131"/>
      <c r="W9" s="131"/>
      <c r="X9" s="131"/>
      <c r="Y9" s="131"/>
      <c r="Z9" s="131"/>
      <c r="AA9" s="132"/>
    </row>
    <row r="10" spans="1:27" x14ac:dyDescent="0.25">
      <c r="A10" s="81"/>
      <c r="B10" s="82" t="s">
        <v>90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83"/>
      <c r="N10" s="33"/>
      <c r="O10" s="33"/>
      <c r="P10" s="33"/>
      <c r="Q10" s="133" t="s">
        <v>99</v>
      </c>
      <c r="R10" s="125">
        <v>15</v>
      </c>
      <c r="S10" s="125">
        <f>R10*(1+$R$12)</f>
        <v>15.450000000000001</v>
      </c>
      <c r="T10" s="125">
        <f t="shared" ref="T10:AA11" si="7">S10*(1+$R$12)</f>
        <v>15.913500000000001</v>
      </c>
      <c r="U10" s="125">
        <f t="shared" si="7"/>
        <v>16.390905</v>
      </c>
      <c r="V10" s="125">
        <f t="shared" si="7"/>
        <v>16.882632149999999</v>
      </c>
      <c r="W10" s="125">
        <f t="shared" si="7"/>
        <v>17.3891111145</v>
      </c>
      <c r="X10" s="125">
        <f t="shared" si="7"/>
        <v>17.910784447935001</v>
      </c>
      <c r="Y10" s="125">
        <f t="shared" si="7"/>
        <v>18.448107981373052</v>
      </c>
      <c r="Z10" s="125">
        <f t="shared" si="7"/>
        <v>19.001551220814246</v>
      </c>
      <c r="AA10" s="126">
        <f t="shared" si="7"/>
        <v>19.571597757438674</v>
      </c>
    </row>
    <row r="11" spans="1:27" x14ac:dyDescent="0.25">
      <c r="A11" s="81"/>
      <c r="B11" s="22" t="s">
        <v>97</v>
      </c>
      <c r="C11" s="21"/>
      <c r="D11" s="21">
        <f>R10*R22</f>
        <v>30000</v>
      </c>
      <c r="E11" s="21">
        <f t="shared" ref="E11:M11" si="8">S10*S22</f>
        <v>31518.000000000004</v>
      </c>
      <c r="F11" s="21">
        <f t="shared" si="8"/>
        <v>33112.810800000007</v>
      </c>
      <c r="G11" s="21">
        <f t="shared" si="8"/>
        <v>34788.31902648</v>
      </c>
      <c r="H11" s="21">
        <f t="shared" si="8"/>
        <v>36548.607969219891</v>
      </c>
      <c r="I11" s="21">
        <f t="shared" si="8"/>
        <v>38397.967532462411</v>
      </c>
      <c r="J11" s="21">
        <f t="shared" si="8"/>
        <v>40340.904689605013</v>
      </c>
      <c r="K11" s="21">
        <f t="shared" si="8"/>
        <v>42382.154466899032</v>
      </c>
      <c r="L11" s="21">
        <f t="shared" si="8"/>
        <v>44526.691482924129</v>
      </c>
      <c r="M11" s="83">
        <f t="shared" si="8"/>
        <v>46779.7420719601</v>
      </c>
      <c r="N11" s="25"/>
      <c r="O11" s="25"/>
      <c r="P11" s="25"/>
      <c r="Q11" s="133" t="s">
        <v>100</v>
      </c>
      <c r="R11" s="125">
        <v>25</v>
      </c>
      <c r="S11" s="125">
        <f>R11*(1+$R$12)</f>
        <v>25.75</v>
      </c>
      <c r="T11" s="125">
        <f t="shared" si="7"/>
        <v>26.522500000000001</v>
      </c>
      <c r="U11" s="125">
        <f t="shared" si="7"/>
        <v>27.318175</v>
      </c>
      <c r="V11" s="125">
        <f t="shared" si="7"/>
        <v>28.137720250000001</v>
      </c>
      <c r="W11" s="125">
        <f t="shared" si="7"/>
        <v>28.981851857500001</v>
      </c>
      <c r="X11" s="125">
        <f t="shared" si="7"/>
        <v>29.851307413225001</v>
      </c>
      <c r="Y11" s="125">
        <f t="shared" si="7"/>
        <v>30.74684663562175</v>
      </c>
      <c r="Z11" s="125">
        <f t="shared" si="7"/>
        <v>31.669252034690405</v>
      </c>
      <c r="AA11" s="126">
        <f t="shared" si="7"/>
        <v>32.619329595731116</v>
      </c>
    </row>
    <row r="12" spans="1:27" x14ac:dyDescent="0.25">
      <c r="A12" s="81"/>
      <c r="B12" s="22" t="s">
        <v>98</v>
      </c>
      <c r="C12" s="21"/>
      <c r="D12" s="13">
        <f>R11*R22</f>
        <v>50000</v>
      </c>
      <c r="E12" s="13">
        <f t="shared" ref="E12:M12" si="9">S11*S22</f>
        <v>52530</v>
      </c>
      <c r="F12" s="13">
        <f t="shared" si="9"/>
        <v>55188.018000000004</v>
      </c>
      <c r="G12" s="13">
        <f t="shared" si="9"/>
        <v>57980.531710800002</v>
      </c>
      <c r="H12" s="13">
        <f t="shared" si="9"/>
        <v>60914.346615366485</v>
      </c>
      <c r="I12" s="13">
        <f t="shared" si="9"/>
        <v>63996.612554104024</v>
      </c>
      <c r="J12" s="13">
        <f t="shared" si="9"/>
        <v>67234.841149341693</v>
      </c>
      <c r="K12" s="13">
        <f t="shared" si="9"/>
        <v>70636.924111498374</v>
      </c>
      <c r="L12" s="13">
        <f t="shared" si="9"/>
        <v>74211.152471540205</v>
      </c>
      <c r="M12" s="85">
        <f t="shared" si="9"/>
        <v>77966.236786600144</v>
      </c>
      <c r="N12" s="33"/>
      <c r="O12" s="33"/>
      <c r="P12" s="33"/>
      <c r="Q12" s="133" t="s">
        <v>106</v>
      </c>
      <c r="R12" s="127">
        <v>0.03</v>
      </c>
      <c r="S12" s="131"/>
      <c r="T12" s="131"/>
      <c r="U12" s="131"/>
      <c r="V12" s="131"/>
      <c r="W12" s="131"/>
      <c r="X12" s="131"/>
      <c r="Y12" s="131"/>
      <c r="Z12" s="131"/>
      <c r="AA12" s="132"/>
    </row>
    <row r="13" spans="1:27" x14ac:dyDescent="0.25">
      <c r="A13" s="81" t="s">
        <v>59</v>
      </c>
      <c r="B13" s="82"/>
      <c r="C13" s="21"/>
      <c r="D13" s="21">
        <f>SUM(D5:D12)</f>
        <v>218750</v>
      </c>
      <c r="E13" s="21">
        <f t="shared" ref="E13:M13" si="10">SUM(E5:E12)</f>
        <v>231192.375</v>
      </c>
      <c r="F13" s="21">
        <f t="shared" si="10"/>
        <v>244347.43848750004</v>
      </c>
      <c r="G13" s="21">
        <f t="shared" si="10"/>
        <v>258256.28031087376</v>
      </c>
      <c r="H13" s="21">
        <f t="shared" si="10"/>
        <v>272962.37364738254</v>
      </c>
      <c r="I13" s="21">
        <f t="shared" si="10"/>
        <v>288511.71400266181</v>
      </c>
      <c r="J13" s="21">
        <f t="shared" si="10"/>
        <v>304952.96635696583</v>
      </c>
      <c r="K13" s="21">
        <f t="shared" si="10"/>
        <v>322337.62093775673</v>
      </c>
      <c r="L13" s="21">
        <f t="shared" si="10"/>
        <v>340720.15812656493</v>
      </c>
      <c r="M13" s="83">
        <f t="shared" si="10"/>
        <v>360158.22303807299</v>
      </c>
      <c r="N13" s="25"/>
      <c r="O13" s="25"/>
      <c r="P13" s="25"/>
      <c r="Q13" s="134" t="s">
        <v>102</v>
      </c>
      <c r="R13" s="135"/>
      <c r="S13" s="136"/>
      <c r="T13" s="136"/>
      <c r="U13" s="136"/>
      <c r="V13" s="136"/>
      <c r="W13" s="29"/>
      <c r="X13" s="29"/>
      <c r="Y13" s="29"/>
      <c r="Z13" s="29"/>
      <c r="AA13" s="137"/>
    </row>
    <row r="14" spans="1:27" x14ac:dyDescent="0.25">
      <c r="A14" s="81" t="s">
        <v>2</v>
      </c>
      <c r="B14" s="8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83"/>
      <c r="N14" s="25"/>
      <c r="O14" s="25"/>
      <c r="P14" s="25"/>
      <c r="Q14" s="123" t="s">
        <v>91</v>
      </c>
      <c r="R14" s="131">
        <v>75</v>
      </c>
      <c r="S14" s="131">
        <f>R14*(1+$R$19)</f>
        <v>78.75</v>
      </c>
      <c r="T14" s="131">
        <f t="shared" ref="T14:AA14" si="11">S14*(1+$R$19)</f>
        <v>82.6875</v>
      </c>
      <c r="U14" s="131">
        <f t="shared" si="11"/>
        <v>86.821875000000006</v>
      </c>
      <c r="V14" s="131">
        <f t="shared" si="11"/>
        <v>91.162968750000005</v>
      </c>
      <c r="W14" s="131">
        <f t="shared" si="11"/>
        <v>95.721117187500013</v>
      </c>
      <c r="X14" s="131">
        <f t="shared" si="11"/>
        <v>100.50717304687502</v>
      </c>
      <c r="Y14" s="131">
        <f t="shared" si="11"/>
        <v>105.53253169921878</v>
      </c>
      <c r="Z14" s="131">
        <f t="shared" si="11"/>
        <v>110.80915828417972</v>
      </c>
      <c r="AA14" s="132">
        <f t="shared" si="11"/>
        <v>116.3496161983887</v>
      </c>
    </row>
    <row r="15" spans="1:27" x14ac:dyDescent="0.25">
      <c r="A15" s="81"/>
      <c r="B15" s="22" t="s">
        <v>91</v>
      </c>
      <c r="C15" s="21"/>
      <c r="D15" s="21">
        <f>R14*R25</f>
        <v>21937.5</v>
      </c>
      <c r="E15" s="21">
        <f t="shared" ref="E15:M15" si="12">S14*S25</f>
        <v>24186.09375</v>
      </c>
      <c r="F15" s="21">
        <f t="shared" si="12"/>
        <v>26665.168359374999</v>
      </c>
      <c r="G15" s="21">
        <f t="shared" si="12"/>
        <v>29398.348116210942</v>
      </c>
      <c r="H15" s="21">
        <f t="shared" si="12"/>
        <v>32411.678798122564</v>
      </c>
      <c r="I15" s="21">
        <f t="shared" si="12"/>
        <v>35733.875874930127</v>
      </c>
      <c r="J15" s="21">
        <f t="shared" si="12"/>
        <v>39396.59815211047</v>
      </c>
      <c r="K15" s="21">
        <f t="shared" si="12"/>
        <v>43434.749462701795</v>
      </c>
      <c r="L15" s="21">
        <f t="shared" si="12"/>
        <v>47886.811282628732</v>
      </c>
      <c r="M15" s="83">
        <f t="shared" si="12"/>
        <v>52795.20943909818</v>
      </c>
      <c r="N15" s="33"/>
      <c r="O15" s="33"/>
      <c r="P15" s="33"/>
      <c r="Q15" s="123" t="s">
        <v>92</v>
      </c>
      <c r="R15" s="131">
        <v>100</v>
      </c>
      <c r="S15" s="131">
        <f t="shared" ref="S15:AA15" si="13">R15*(1+$R$19)</f>
        <v>105</v>
      </c>
      <c r="T15" s="131">
        <f t="shared" si="13"/>
        <v>110.25</v>
      </c>
      <c r="U15" s="131">
        <f t="shared" si="13"/>
        <v>115.7625</v>
      </c>
      <c r="V15" s="131">
        <f t="shared" si="13"/>
        <v>121.55062500000001</v>
      </c>
      <c r="W15" s="131">
        <f t="shared" si="13"/>
        <v>127.62815625000002</v>
      </c>
      <c r="X15" s="131">
        <f t="shared" si="13"/>
        <v>134.00956406250003</v>
      </c>
      <c r="Y15" s="131">
        <f t="shared" si="13"/>
        <v>140.71004226562505</v>
      </c>
      <c r="Z15" s="131">
        <f t="shared" si="13"/>
        <v>147.74554437890632</v>
      </c>
      <c r="AA15" s="132">
        <f t="shared" si="13"/>
        <v>155.13282159785163</v>
      </c>
    </row>
    <row r="16" spans="1:27" x14ac:dyDescent="0.25">
      <c r="A16" s="81"/>
      <c r="B16" s="22" t="s">
        <v>92</v>
      </c>
      <c r="C16" s="21"/>
      <c r="D16" s="21">
        <f>R15*R26</f>
        <v>19500</v>
      </c>
      <c r="E16" s="21">
        <f t="shared" ref="E16:M19" si="14">S15*S26</f>
        <v>21498.75</v>
      </c>
      <c r="F16" s="21">
        <f t="shared" si="14"/>
        <v>23702.371875000001</v>
      </c>
      <c r="G16" s="21">
        <f t="shared" si="14"/>
        <v>26131.864992187504</v>
      </c>
      <c r="H16" s="21">
        <f t="shared" si="14"/>
        <v>28810.381153886723</v>
      </c>
      <c r="I16" s="21">
        <f t="shared" si="14"/>
        <v>31763.445222160117</v>
      </c>
      <c r="J16" s="21">
        <f t="shared" si="14"/>
        <v>35019.198357431538</v>
      </c>
      <c r="K16" s="21">
        <f t="shared" si="14"/>
        <v>38608.666189068274</v>
      </c>
      <c r="L16" s="21">
        <f t="shared" si="14"/>
        <v>42566.054473447773</v>
      </c>
      <c r="M16" s="83">
        <f t="shared" si="14"/>
        <v>46929.075056976173</v>
      </c>
      <c r="N16" s="33"/>
      <c r="O16" s="33"/>
      <c r="P16" s="33"/>
      <c r="Q16" s="123" t="s">
        <v>93</v>
      </c>
      <c r="R16" s="131">
        <v>100</v>
      </c>
      <c r="S16" s="131">
        <f t="shared" ref="S16:AA16" si="15">R16*(1+$R$19)</f>
        <v>105</v>
      </c>
      <c r="T16" s="131">
        <f t="shared" si="15"/>
        <v>110.25</v>
      </c>
      <c r="U16" s="131">
        <f t="shared" si="15"/>
        <v>115.7625</v>
      </c>
      <c r="V16" s="131">
        <f t="shared" si="15"/>
        <v>121.55062500000001</v>
      </c>
      <c r="W16" s="131">
        <f t="shared" si="15"/>
        <v>127.62815625000002</v>
      </c>
      <c r="X16" s="131">
        <f t="shared" si="15"/>
        <v>134.00956406250003</v>
      </c>
      <c r="Y16" s="131">
        <f t="shared" si="15"/>
        <v>140.71004226562505</v>
      </c>
      <c r="Z16" s="131">
        <f t="shared" si="15"/>
        <v>147.74554437890632</v>
      </c>
      <c r="AA16" s="132">
        <f t="shared" si="15"/>
        <v>155.13282159785163</v>
      </c>
    </row>
    <row r="17" spans="1:27" x14ac:dyDescent="0.25">
      <c r="A17" s="81"/>
      <c r="B17" s="22" t="s">
        <v>93</v>
      </c>
      <c r="C17" s="21"/>
      <c r="D17" s="21">
        <f>R16*R27</f>
        <v>13000</v>
      </c>
      <c r="E17" s="21">
        <f t="shared" si="14"/>
        <v>14332.5</v>
      </c>
      <c r="F17" s="21">
        <f t="shared" si="14"/>
        <v>15801.581250000001</v>
      </c>
      <c r="G17" s="21">
        <f t="shared" si="14"/>
        <v>17421.243328125005</v>
      </c>
      <c r="H17" s="21">
        <f t="shared" si="14"/>
        <v>19206.92076925782</v>
      </c>
      <c r="I17" s="21">
        <f t="shared" si="14"/>
        <v>21175.630148106749</v>
      </c>
      <c r="J17" s="21">
        <f t="shared" si="14"/>
        <v>23346.132238287693</v>
      </c>
      <c r="K17" s="21">
        <f t="shared" si="14"/>
        <v>25739.110792712185</v>
      </c>
      <c r="L17" s="21">
        <f t="shared" si="14"/>
        <v>28377.369648965188</v>
      </c>
      <c r="M17" s="83">
        <f t="shared" si="14"/>
        <v>31286.050037984121</v>
      </c>
      <c r="N17" s="33"/>
      <c r="O17" s="33"/>
      <c r="P17" s="33"/>
      <c r="Q17" s="123" t="s">
        <v>94</v>
      </c>
      <c r="R17" s="131">
        <v>100</v>
      </c>
      <c r="S17" s="131">
        <f t="shared" ref="S17:AA17" si="16">R17*(1+$R$19)</f>
        <v>105</v>
      </c>
      <c r="T17" s="131">
        <f t="shared" si="16"/>
        <v>110.25</v>
      </c>
      <c r="U17" s="131">
        <f t="shared" si="16"/>
        <v>115.7625</v>
      </c>
      <c r="V17" s="131">
        <f t="shared" si="16"/>
        <v>121.55062500000001</v>
      </c>
      <c r="W17" s="131">
        <f t="shared" si="16"/>
        <v>127.62815625000002</v>
      </c>
      <c r="X17" s="131">
        <f t="shared" si="16"/>
        <v>134.00956406250003</v>
      </c>
      <c r="Y17" s="131">
        <f t="shared" si="16"/>
        <v>140.71004226562505</v>
      </c>
      <c r="Z17" s="131">
        <f t="shared" si="16"/>
        <v>147.74554437890632</v>
      </c>
      <c r="AA17" s="132">
        <f t="shared" si="16"/>
        <v>155.13282159785163</v>
      </c>
    </row>
    <row r="18" spans="1:27" x14ac:dyDescent="0.25">
      <c r="A18" s="81"/>
      <c r="B18" s="22" t="s">
        <v>94</v>
      </c>
      <c r="C18" s="21"/>
      <c r="D18" s="21">
        <f>R17*R28</f>
        <v>19500</v>
      </c>
      <c r="E18" s="21">
        <f t="shared" si="14"/>
        <v>21498.75</v>
      </c>
      <c r="F18" s="21">
        <f t="shared" si="14"/>
        <v>23702.371875000001</v>
      </c>
      <c r="G18" s="21">
        <f t="shared" si="14"/>
        <v>26131.864992187504</v>
      </c>
      <c r="H18" s="21">
        <f t="shared" si="14"/>
        <v>28810.381153886723</v>
      </c>
      <c r="I18" s="21">
        <f t="shared" si="14"/>
        <v>31763.445222160117</v>
      </c>
      <c r="J18" s="21">
        <f t="shared" si="14"/>
        <v>35019.198357431538</v>
      </c>
      <c r="K18" s="21">
        <f t="shared" si="14"/>
        <v>38608.666189068274</v>
      </c>
      <c r="L18" s="21">
        <f t="shared" si="14"/>
        <v>42566.054473447773</v>
      </c>
      <c r="M18" s="83">
        <f t="shared" si="14"/>
        <v>46929.075056976173</v>
      </c>
      <c r="N18" s="33"/>
      <c r="O18" s="33"/>
      <c r="P18" s="33"/>
      <c r="Q18" s="123" t="s">
        <v>101</v>
      </c>
      <c r="R18" s="131">
        <v>50</v>
      </c>
      <c r="S18" s="131">
        <f t="shared" ref="S18:AA18" si="17">R18*(1+$R$19)</f>
        <v>52.5</v>
      </c>
      <c r="T18" s="131">
        <f t="shared" si="17"/>
        <v>55.125</v>
      </c>
      <c r="U18" s="131">
        <f t="shared" si="17"/>
        <v>57.881250000000001</v>
      </c>
      <c r="V18" s="131">
        <f t="shared" si="17"/>
        <v>60.775312500000005</v>
      </c>
      <c r="W18" s="131">
        <f t="shared" si="17"/>
        <v>63.814078125000009</v>
      </c>
      <c r="X18" s="131">
        <f t="shared" si="17"/>
        <v>67.004782031250016</v>
      </c>
      <c r="Y18" s="131">
        <f t="shared" si="17"/>
        <v>70.355021132812524</v>
      </c>
      <c r="Z18" s="131">
        <f t="shared" si="17"/>
        <v>73.872772189453158</v>
      </c>
      <c r="AA18" s="132">
        <f t="shared" si="17"/>
        <v>77.566410798925816</v>
      </c>
    </row>
    <row r="19" spans="1:27" x14ac:dyDescent="0.25">
      <c r="A19" s="81"/>
      <c r="B19" s="114" t="s">
        <v>101</v>
      </c>
      <c r="C19" s="21"/>
      <c r="D19" s="13">
        <f>R18*R29</f>
        <v>16250</v>
      </c>
      <c r="E19" s="13">
        <f t="shared" si="14"/>
        <v>17915.625</v>
      </c>
      <c r="F19" s="13">
        <f t="shared" si="14"/>
        <v>19751.9765625</v>
      </c>
      <c r="G19" s="13">
        <f t="shared" si="14"/>
        <v>21776.554160156251</v>
      </c>
      <c r="H19" s="13">
        <f t="shared" si="14"/>
        <v>24008.650961572272</v>
      </c>
      <c r="I19" s="13">
        <f t="shared" si="14"/>
        <v>26469.537685133429</v>
      </c>
      <c r="J19" s="13">
        <f t="shared" si="14"/>
        <v>29182.66529785961</v>
      </c>
      <c r="K19" s="13">
        <f t="shared" si="14"/>
        <v>32173.888490890226</v>
      </c>
      <c r="L19" s="13">
        <f t="shared" si="14"/>
        <v>35471.712061206475</v>
      </c>
      <c r="M19" s="85">
        <f t="shared" si="14"/>
        <v>39107.562547480142</v>
      </c>
      <c r="N19" s="33"/>
      <c r="O19" s="33"/>
      <c r="P19" s="33"/>
      <c r="Q19" s="123" t="s">
        <v>105</v>
      </c>
      <c r="R19" s="127">
        <v>0.05</v>
      </c>
      <c r="S19" s="124"/>
      <c r="T19" s="124"/>
      <c r="U19" s="124"/>
      <c r="V19" s="124"/>
      <c r="W19" s="124"/>
      <c r="X19" s="124"/>
      <c r="Y19" s="124"/>
      <c r="Z19" s="124"/>
      <c r="AA19" s="128"/>
    </row>
    <row r="20" spans="1:27" x14ac:dyDescent="0.25">
      <c r="A20" s="81" t="s">
        <v>114</v>
      </c>
      <c r="B20" s="114"/>
      <c r="C20" s="21"/>
      <c r="D20" s="21">
        <f>SUM(D15:D19)</f>
        <v>90187.5</v>
      </c>
      <c r="E20" s="21">
        <f t="shared" ref="E20:M20" si="18">SUM(E15:E19)</f>
        <v>99431.71875</v>
      </c>
      <c r="F20" s="21">
        <f t="shared" si="18"/>
        <v>109623.469921875</v>
      </c>
      <c r="G20" s="21">
        <f t="shared" si="18"/>
        <v>120859.8755888672</v>
      </c>
      <c r="H20" s="21">
        <f t="shared" si="18"/>
        <v>133248.01283672612</v>
      </c>
      <c r="I20" s="21">
        <f t="shared" si="18"/>
        <v>146905.93415249055</v>
      </c>
      <c r="J20" s="21">
        <f t="shared" si="18"/>
        <v>161963.79240312087</v>
      </c>
      <c r="K20" s="21">
        <f t="shared" si="18"/>
        <v>178565.08112444077</v>
      </c>
      <c r="L20" s="21">
        <f t="shared" si="18"/>
        <v>196868.00193969591</v>
      </c>
      <c r="M20" s="83">
        <f t="shared" si="18"/>
        <v>217046.97213851477</v>
      </c>
      <c r="N20" s="25"/>
      <c r="O20" s="25"/>
      <c r="P20" s="25"/>
      <c r="Q20" s="129" t="s">
        <v>18</v>
      </c>
      <c r="R20" s="138">
        <v>25</v>
      </c>
      <c r="S20" s="131">
        <f>R20*(1+$R$21)</f>
        <v>25.75</v>
      </c>
      <c r="T20" s="131">
        <f>S20*(1+$R$21)</f>
        <v>26.522500000000001</v>
      </c>
      <c r="U20" s="131">
        <f>T20*(1+$R$21)</f>
        <v>27.318175</v>
      </c>
      <c r="V20" s="131">
        <f t="shared" ref="V20:AA20" si="19">U20*(1+$R$21)</f>
        <v>28.137720250000001</v>
      </c>
      <c r="W20" s="131">
        <f t="shared" si="19"/>
        <v>28.981851857500001</v>
      </c>
      <c r="X20" s="131">
        <f t="shared" si="19"/>
        <v>29.851307413225001</v>
      </c>
      <c r="Y20" s="131">
        <f t="shared" si="19"/>
        <v>30.74684663562175</v>
      </c>
      <c r="Z20" s="131">
        <f t="shared" si="19"/>
        <v>31.669252034690405</v>
      </c>
      <c r="AA20" s="132">
        <f t="shared" si="19"/>
        <v>32.619329595731116</v>
      </c>
    </row>
    <row r="21" spans="1:27" x14ac:dyDescent="0.25">
      <c r="A21" s="81"/>
      <c r="B21" s="1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83"/>
      <c r="N21" s="25"/>
      <c r="O21" s="25"/>
      <c r="P21" s="25"/>
      <c r="Q21" s="133" t="s">
        <v>43</v>
      </c>
      <c r="R21" s="135">
        <v>0.03</v>
      </c>
      <c r="S21" s="136"/>
      <c r="T21" s="136"/>
      <c r="U21" s="136"/>
      <c r="V21" s="136"/>
      <c r="W21" s="29"/>
      <c r="X21" s="29"/>
      <c r="Y21" s="29"/>
      <c r="Z21" s="29"/>
      <c r="AA21" s="137"/>
    </row>
    <row r="22" spans="1:27" x14ac:dyDescent="0.25">
      <c r="A22" s="81" t="s">
        <v>60</v>
      </c>
      <c r="B22" s="82"/>
      <c r="C22" s="21"/>
      <c r="D22" s="21">
        <f>D13-D20</f>
        <v>128562.5</v>
      </c>
      <c r="E22" s="21">
        <f t="shared" ref="E22:M22" si="20">E13-E20</f>
        <v>131760.65625</v>
      </c>
      <c r="F22" s="21">
        <f t="shared" si="20"/>
        <v>134723.96856562502</v>
      </c>
      <c r="G22" s="21">
        <f t="shared" si="20"/>
        <v>137396.40472200655</v>
      </c>
      <c r="H22" s="21">
        <f t="shared" si="20"/>
        <v>139714.36081065642</v>
      </c>
      <c r="I22" s="21">
        <f t="shared" si="20"/>
        <v>141605.77985017127</v>
      </c>
      <c r="J22" s="21">
        <f t="shared" si="20"/>
        <v>142989.17395384496</v>
      </c>
      <c r="K22" s="21">
        <f t="shared" si="20"/>
        <v>143772.53981331596</v>
      </c>
      <c r="L22" s="21">
        <f t="shared" si="20"/>
        <v>143852.15618686902</v>
      </c>
      <c r="M22" s="83">
        <f t="shared" si="20"/>
        <v>143111.25089955822</v>
      </c>
      <c r="N22" s="25"/>
      <c r="O22" s="25"/>
      <c r="P22" s="25"/>
      <c r="Q22" s="134" t="s">
        <v>103</v>
      </c>
      <c r="R22" s="131">
        <v>2000</v>
      </c>
      <c r="S22" s="131">
        <f>R22*(1+$R$23)</f>
        <v>2040</v>
      </c>
      <c r="T22" s="131">
        <f t="shared" ref="T22:AA22" si="21">S22*(1+$R$23)</f>
        <v>2080.8000000000002</v>
      </c>
      <c r="U22" s="131">
        <f t="shared" si="21"/>
        <v>2122.4160000000002</v>
      </c>
      <c r="V22" s="131">
        <f t="shared" si="21"/>
        <v>2164.8643200000001</v>
      </c>
      <c r="W22" s="131">
        <f t="shared" si="21"/>
        <v>2208.1616064</v>
      </c>
      <c r="X22" s="131">
        <f t="shared" si="21"/>
        <v>2252.3248385279999</v>
      </c>
      <c r="Y22" s="131">
        <f t="shared" si="21"/>
        <v>2297.3713352985601</v>
      </c>
      <c r="Z22" s="131">
        <f t="shared" si="21"/>
        <v>2343.3187620045314</v>
      </c>
      <c r="AA22" s="132">
        <f t="shared" si="21"/>
        <v>2390.1851372446222</v>
      </c>
    </row>
    <row r="23" spans="1:27" x14ac:dyDescent="0.25">
      <c r="A23" s="81"/>
      <c r="B23" s="8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83"/>
      <c r="N23" s="25"/>
      <c r="O23" s="25"/>
      <c r="P23" s="25"/>
      <c r="Q23" s="133" t="s">
        <v>108</v>
      </c>
      <c r="R23" s="127">
        <v>0.02</v>
      </c>
      <c r="S23" s="139"/>
      <c r="T23" s="139"/>
      <c r="U23" s="139"/>
      <c r="V23" s="139"/>
      <c r="W23" s="139"/>
      <c r="X23" s="139"/>
      <c r="Y23" s="139"/>
      <c r="Z23" s="139"/>
      <c r="AA23" s="140"/>
    </row>
    <row r="24" spans="1:27" x14ac:dyDescent="0.25">
      <c r="A24" s="81" t="s">
        <v>3</v>
      </c>
      <c r="B24" s="8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83"/>
      <c r="N24" s="25"/>
      <c r="O24" s="25"/>
      <c r="P24" s="25"/>
      <c r="Q24" s="134" t="s">
        <v>104</v>
      </c>
      <c r="R24" s="127"/>
      <c r="S24" s="136"/>
      <c r="T24" s="136"/>
      <c r="U24" s="136"/>
      <c r="V24" s="136"/>
      <c r="W24" s="29"/>
      <c r="X24" s="29"/>
      <c r="Y24" s="29"/>
      <c r="Z24" s="29"/>
      <c r="AA24" s="137"/>
    </row>
    <row r="25" spans="1:27" x14ac:dyDescent="0.25">
      <c r="A25" s="81"/>
      <c r="B25" s="82" t="s">
        <v>115</v>
      </c>
      <c r="C25" s="21"/>
      <c r="D25" s="21">
        <f>R38*$R$39*$R$40*52</f>
        <v>74880</v>
      </c>
      <c r="E25" s="21">
        <f t="shared" ref="E25:M25" si="22">S38*$R$39*$R$40*52</f>
        <v>76377.599999999991</v>
      </c>
      <c r="F25" s="21">
        <f t="shared" si="22"/>
        <v>77905.152000000002</v>
      </c>
      <c r="G25" s="21">
        <f t="shared" si="22"/>
        <v>79463.255040000004</v>
      </c>
      <c r="H25" s="21">
        <f t="shared" si="22"/>
        <v>81052.520140799999</v>
      </c>
      <c r="I25" s="21">
        <f t="shared" si="22"/>
        <v>82673.570543616006</v>
      </c>
      <c r="J25" s="21">
        <f t="shared" si="22"/>
        <v>84327.041954488333</v>
      </c>
      <c r="K25" s="21">
        <f t="shared" si="22"/>
        <v>86013.582793578084</v>
      </c>
      <c r="L25" s="21">
        <f t="shared" si="22"/>
        <v>87733.854449449645</v>
      </c>
      <c r="M25" s="83">
        <f t="shared" si="22"/>
        <v>89488.531538438634</v>
      </c>
      <c r="N25" s="25"/>
      <c r="O25" s="25"/>
      <c r="P25" s="25"/>
      <c r="Q25" s="123" t="s">
        <v>91</v>
      </c>
      <c r="R25" s="124">
        <f>R3*(1-$R$30)</f>
        <v>292.5</v>
      </c>
      <c r="S25" s="124">
        <f>R25*(1+$R$31)</f>
        <v>307.125</v>
      </c>
      <c r="T25" s="124">
        <f t="shared" ref="T25:AA25" si="23">S25*(1+$R$31)</f>
        <v>322.48124999999999</v>
      </c>
      <c r="U25" s="124">
        <f t="shared" si="23"/>
        <v>338.60531250000003</v>
      </c>
      <c r="V25" s="124">
        <f t="shared" si="23"/>
        <v>355.53557812500003</v>
      </c>
      <c r="W25" s="124">
        <f t="shared" si="23"/>
        <v>373.31235703125003</v>
      </c>
      <c r="X25" s="124">
        <f t="shared" si="23"/>
        <v>391.97797488281253</v>
      </c>
      <c r="Y25" s="124">
        <f t="shared" si="23"/>
        <v>411.57687362695316</v>
      </c>
      <c r="Z25" s="124">
        <f t="shared" si="23"/>
        <v>432.15571730830084</v>
      </c>
      <c r="AA25" s="128">
        <f t="shared" si="23"/>
        <v>453.76350317371589</v>
      </c>
    </row>
    <row r="26" spans="1:27" x14ac:dyDescent="0.25">
      <c r="A26" s="81"/>
      <c r="B26" s="82" t="s">
        <v>144</v>
      </c>
      <c r="C26" s="21"/>
      <c r="D26" s="21">
        <f>D13*$R$42</f>
        <v>13125</v>
      </c>
      <c r="E26" s="21">
        <f t="shared" ref="E26:M26" si="24">E13*$R$42</f>
        <v>13871.5425</v>
      </c>
      <c r="F26" s="21">
        <f t="shared" si="24"/>
        <v>14660.846309250002</v>
      </c>
      <c r="G26" s="21">
        <f t="shared" si="24"/>
        <v>15495.376818652425</v>
      </c>
      <c r="H26" s="21">
        <f t="shared" si="24"/>
        <v>16377.742418842952</v>
      </c>
      <c r="I26" s="21">
        <f t="shared" si="24"/>
        <v>17310.702840159709</v>
      </c>
      <c r="J26" s="21">
        <f t="shared" si="24"/>
        <v>18297.17798141795</v>
      </c>
      <c r="K26" s="21">
        <f t="shared" si="24"/>
        <v>19340.257256265402</v>
      </c>
      <c r="L26" s="21">
        <f t="shared" si="24"/>
        <v>20443.209487593896</v>
      </c>
      <c r="M26" s="83">
        <f t="shared" si="24"/>
        <v>21609.493382284378</v>
      </c>
      <c r="N26" s="25"/>
      <c r="O26" s="25"/>
      <c r="P26" s="25"/>
      <c r="Q26" s="123" t="s">
        <v>92</v>
      </c>
      <c r="R26" s="124">
        <f>R4*(1-$R$30)</f>
        <v>195</v>
      </c>
      <c r="S26" s="124">
        <f t="shared" ref="S26:AA26" si="25">R26*(1+$R$31)</f>
        <v>204.75</v>
      </c>
      <c r="T26" s="124">
        <f t="shared" si="25"/>
        <v>214.98750000000001</v>
      </c>
      <c r="U26" s="124">
        <f t="shared" si="25"/>
        <v>225.73687500000003</v>
      </c>
      <c r="V26" s="124">
        <f t="shared" si="25"/>
        <v>237.02371875000003</v>
      </c>
      <c r="W26" s="124">
        <f t="shared" si="25"/>
        <v>248.87490468750005</v>
      </c>
      <c r="X26" s="124">
        <f t="shared" si="25"/>
        <v>261.31864992187508</v>
      </c>
      <c r="Y26" s="124">
        <f t="shared" si="25"/>
        <v>274.38458241796883</v>
      </c>
      <c r="Z26" s="124">
        <f t="shared" si="25"/>
        <v>288.10381153886726</v>
      </c>
      <c r="AA26" s="128">
        <f t="shared" si="25"/>
        <v>302.50900211581063</v>
      </c>
    </row>
    <row r="27" spans="1:27" x14ac:dyDescent="0.25">
      <c r="A27" s="81"/>
      <c r="B27" s="82" t="s">
        <v>112</v>
      </c>
      <c r="C27" s="21"/>
      <c r="D27" s="21">
        <f>R36</f>
        <v>13875</v>
      </c>
      <c r="E27" s="21">
        <f t="shared" ref="E27:M27" si="26">S36</f>
        <v>14714.4375</v>
      </c>
      <c r="F27" s="21">
        <f t="shared" si="26"/>
        <v>15604.660968750002</v>
      </c>
      <c r="G27" s="21">
        <f t="shared" si="26"/>
        <v>16548.74295735938</v>
      </c>
      <c r="H27" s="21">
        <f t="shared" si="26"/>
        <v>17549.941906279619</v>
      </c>
      <c r="I27" s="21">
        <f t="shared" si="26"/>
        <v>18611.713391609537</v>
      </c>
      <c r="J27" s="21">
        <f t="shared" si="26"/>
        <v>19737.722051801917</v>
      </c>
      <c r="K27" s="21">
        <f t="shared" si="26"/>
        <v>20931.854235935934</v>
      </c>
      <c r="L27" s="21">
        <f t="shared" si="26"/>
        <v>22198.23141721006</v>
      </c>
      <c r="M27" s="83">
        <f t="shared" si="26"/>
        <v>23541.224417951275</v>
      </c>
      <c r="N27" s="25"/>
      <c r="O27" s="25"/>
      <c r="P27" s="25"/>
      <c r="Q27" s="123" t="s">
        <v>93</v>
      </c>
      <c r="R27" s="124">
        <f>R5*(1-$R$30)</f>
        <v>130</v>
      </c>
      <c r="S27" s="124">
        <f t="shared" ref="S27:AA27" si="27">R27*(1+$R$31)</f>
        <v>136.5</v>
      </c>
      <c r="T27" s="124">
        <f t="shared" si="27"/>
        <v>143.32500000000002</v>
      </c>
      <c r="U27" s="124">
        <f t="shared" si="27"/>
        <v>150.49125000000004</v>
      </c>
      <c r="V27" s="124">
        <f t="shared" si="27"/>
        <v>158.01581250000004</v>
      </c>
      <c r="W27" s="124">
        <f t="shared" si="27"/>
        <v>165.91660312500005</v>
      </c>
      <c r="X27" s="124">
        <f t="shared" si="27"/>
        <v>174.21243328125007</v>
      </c>
      <c r="Y27" s="124">
        <f t="shared" si="27"/>
        <v>182.92305494531257</v>
      </c>
      <c r="Z27" s="124">
        <f t="shared" si="27"/>
        <v>192.0692076925782</v>
      </c>
      <c r="AA27" s="128">
        <f t="shared" si="27"/>
        <v>201.67266807720713</v>
      </c>
    </row>
    <row r="28" spans="1:27" x14ac:dyDescent="0.25">
      <c r="A28" s="81"/>
      <c r="B28" s="82" t="s">
        <v>119</v>
      </c>
      <c r="C28" s="21"/>
      <c r="D28" s="13">
        <f>SUM(D5:D9)*$R$43</f>
        <v>10406.25</v>
      </c>
      <c r="E28" s="13">
        <f t="shared" ref="E28:M28" si="28">SUM(E5:E9)*$R$43</f>
        <v>11035.828125</v>
      </c>
      <c r="F28" s="13">
        <f t="shared" si="28"/>
        <v>11703.495726562502</v>
      </c>
      <c r="G28" s="13">
        <f t="shared" si="28"/>
        <v>12411.557218019532</v>
      </c>
      <c r="H28" s="13">
        <f t="shared" si="28"/>
        <v>13162.456429709715</v>
      </c>
      <c r="I28" s="13">
        <f t="shared" si="28"/>
        <v>13958.785043707152</v>
      </c>
      <c r="J28" s="13">
        <f t="shared" si="28"/>
        <v>14803.291538851438</v>
      </c>
      <c r="K28" s="13">
        <f t="shared" si="28"/>
        <v>15698.890676951949</v>
      </c>
      <c r="L28" s="13">
        <f t="shared" si="28"/>
        <v>16648.673562907545</v>
      </c>
      <c r="M28" s="85">
        <f t="shared" si="28"/>
        <v>17655.918313463455</v>
      </c>
      <c r="N28" s="33"/>
      <c r="O28" s="33"/>
      <c r="P28" s="33"/>
      <c r="Q28" s="123" t="s">
        <v>94</v>
      </c>
      <c r="R28" s="124">
        <f>R6*(1-$R$30)</f>
        <v>195</v>
      </c>
      <c r="S28" s="124">
        <f t="shared" ref="S28:AA28" si="29">R28*(1+$R$31)</f>
        <v>204.75</v>
      </c>
      <c r="T28" s="124">
        <f t="shared" si="29"/>
        <v>214.98750000000001</v>
      </c>
      <c r="U28" s="124">
        <f t="shared" si="29"/>
        <v>225.73687500000003</v>
      </c>
      <c r="V28" s="124">
        <f t="shared" si="29"/>
        <v>237.02371875000003</v>
      </c>
      <c r="W28" s="124">
        <f t="shared" si="29"/>
        <v>248.87490468750005</v>
      </c>
      <c r="X28" s="124">
        <f t="shared" si="29"/>
        <v>261.31864992187508</v>
      </c>
      <c r="Y28" s="124">
        <f t="shared" si="29"/>
        <v>274.38458241796883</v>
      </c>
      <c r="Z28" s="124">
        <f t="shared" si="29"/>
        <v>288.10381153886726</v>
      </c>
      <c r="AA28" s="128">
        <f t="shared" si="29"/>
        <v>302.50900211581063</v>
      </c>
    </row>
    <row r="29" spans="1:27" x14ac:dyDescent="0.25">
      <c r="A29" s="81" t="s">
        <v>61</v>
      </c>
      <c r="B29" s="82"/>
      <c r="C29" s="21"/>
      <c r="D29" s="21">
        <f t="shared" ref="D29:M29" si="30">SUM(D25:D28)</f>
        <v>112286.25</v>
      </c>
      <c r="E29" s="21">
        <f t="shared" si="30"/>
        <v>115999.40812499999</v>
      </c>
      <c r="F29" s="21">
        <f t="shared" si="30"/>
        <v>119874.1550045625</v>
      </c>
      <c r="G29" s="21">
        <f t="shared" si="30"/>
        <v>123918.93203403134</v>
      </c>
      <c r="H29" s="21">
        <f t="shared" si="30"/>
        <v>128142.66089563229</v>
      </c>
      <c r="I29" s="21">
        <f t="shared" si="30"/>
        <v>132554.77181909239</v>
      </c>
      <c r="J29" s="21">
        <f t="shared" si="30"/>
        <v>137165.23352655963</v>
      </c>
      <c r="K29" s="21">
        <f t="shared" si="30"/>
        <v>141984.58496273134</v>
      </c>
      <c r="L29" s="21">
        <f t="shared" si="30"/>
        <v>147023.96891716114</v>
      </c>
      <c r="M29" s="83">
        <f t="shared" si="30"/>
        <v>152295.16765213772</v>
      </c>
      <c r="N29" s="25"/>
      <c r="O29" s="25"/>
      <c r="P29" s="25"/>
      <c r="Q29" s="123" t="s">
        <v>101</v>
      </c>
      <c r="R29" s="124">
        <f>R7*(1-$R$30)</f>
        <v>325</v>
      </c>
      <c r="S29" s="124">
        <f t="shared" ref="S29:AA29" si="31">R29*(1+$R$31)</f>
        <v>341.25</v>
      </c>
      <c r="T29" s="124">
        <f t="shared" si="31"/>
        <v>358.3125</v>
      </c>
      <c r="U29" s="124">
        <f t="shared" si="31"/>
        <v>376.22812500000003</v>
      </c>
      <c r="V29" s="124">
        <f t="shared" si="31"/>
        <v>395.03953125000004</v>
      </c>
      <c r="W29" s="124">
        <f t="shared" si="31"/>
        <v>414.79150781250007</v>
      </c>
      <c r="X29" s="124">
        <f t="shared" si="31"/>
        <v>435.53108320312509</v>
      </c>
      <c r="Y29" s="124">
        <f t="shared" si="31"/>
        <v>457.30763736328134</v>
      </c>
      <c r="Z29" s="124">
        <f t="shared" si="31"/>
        <v>480.17301923144544</v>
      </c>
      <c r="AA29" s="128">
        <f t="shared" si="31"/>
        <v>504.18167019301774</v>
      </c>
    </row>
    <row r="30" spans="1:27" x14ac:dyDescent="0.25">
      <c r="A30" s="81"/>
      <c r="B30" s="8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83"/>
      <c r="N30" s="25"/>
      <c r="O30" s="25"/>
      <c r="P30" s="25"/>
      <c r="Q30" s="133" t="s">
        <v>109</v>
      </c>
      <c r="R30" s="127">
        <v>0.35</v>
      </c>
      <c r="S30" s="136"/>
      <c r="T30" s="136"/>
      <c r="U30" s="136"/>
      <c r="V30" s="136"/>
      <c r="W30" s="29"/>
      <c r="X30" s="29"/>
      <c r="Y30" s="29"/>
      <c r="Z30" s="29"/>
      <c r="AA30" s="137"/>
    </row>
    <row r="31" spans="1:27" x14ac:dyDescent="0.25">
      <c r="A31" s="81" t="s">
        <v>62</v>
      </c>
      <c r="B31" s="8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83"/>
      <c r="N31" s="25"/>
      <c r="O31" s="25"/>
      <c r="P31" s="25"/>
      <c r="Q31" s="133" t="s">
        <v>110</v>
      </c>
      <c r="R31" s="127">
        <v>0.05</v>
      </c>
      <c r="S31" s="136"/>
      <c r="T31" s="136"/>
      <c r="U31" s="136"/>
      <c r="V31" s="136"/>
      <c r="W31" s="29"/>
      <c r="X31" s="29"/>
      <c r="Y31" s="29"/>
      <c r="Z31" s="29"/>
      <c r="AA31" s="137"/>
    </row>
    <row r="32" spans="1:27" x14ac:dyDescent="0.25">
      <c r="A32" s="115" t="s">
        <v>4</v>
      </c>
      <c r="B32" s="82"/>
      <c r="C32" s="21"/>
      <c r="D32" s="21">
        <f>R55</f>
        <v>15682.333333333334</v>
      </c>
      <c r="E32" s="21">
        <f>S55</f>
        <v>15682.333333333334</v>
      </c>
      <c r="F32" s="21">
        <f>T55</f>
        <v>15682.333333333334</v>
      </c>
      <c r="G32" s="21">
        <f>U55</f>
        <v>15682.333333333334</v>
      </c>
      <c r="H32" s="21">
        <f t="shared" ref="H32:M32" si="32">V55</f>
        <v>15682.333333333334</v>
      </c>
      <c r="I32" s="21">
        <f t="shared" si="32"/>
        <v>15682.333333333334</v>
      </c>
      <c r="J32" s="21">
        <f>X55</f>
        <v>15682.333333333334</v>
      </c>
      <c r="K32" s="21">
        <f t="shared" si="32"/>
        <v>15682.333333333334</v>
      </c>
      <c r="L32" s="21">
        <f t="shared" si="32"/>
        <v>15682.333333333334</v>
      </c>
      <c r="M32" s="83">
        <f t="shared" si="32"/>
        <v>15682.333333333334</v>
      </c>
      <c r="N32" s="25"/>
      <c r="O32" s="25"/>
      <c r="P32" s="25"/>
      <c r="Q32" s="129" t="s">
        <v>135</v>
      </c>
      <c r="R32" s="141">
        <v>5</v>
      </c>
      <c r="S32" s="141">
        <f>R32*(1-$R$33)</f>
        <v>4.95</v>
      </c>
      <c r="T32" s="141">
        <f t="shared" ref="T32:AA32" si="33">S32*(1-$R$33)</f>
        <v>4.9005000000000001</v>
      </c>
      <c r="U32" s="141">
        <f t="shared" si="33"/>
        <v>4.8514949999999999</v>
      </c>
      <c r="V32" s="141">
        <f t="shared" si="33"/>
        <v>4.8029800499999995</v>
      </c>
      <c r="W32" s="141">
        <f t="shared" si="33"/>
        <v>4.7549502494999993</v>
      </c>
      <c r="X32" s="141">
        <f t="shared" si="33"/>
        <v>4.707400747004999</v>
      </c>
      <c r="Y32" s="141">
        <f t="shared" si="33"/>
        <v>4.6603267395349492</v>
      </c>
      <c r="Z32" s="141">
        <f t="shared" si="33"/>
        <v>4.6137234721395997</v>
      </c>
      <c r="AA32" s="142">
        <f t="shared" si="33"/>
        <v>4.5675862374182037</v>
      </c>
    </row>
    <row r="33" spans="1:27" ht="15.75" thickBot="1" x14ac:dyDescent="0.3">
      <c r="A33" s="115" t="s">
        <v>5</v>
      </c>
      <c r="B33" s="82"/>
      <c r="C33" s="21"/>
      <c r="D33" s="21">
        <f t="shared" ref="D33:M33" si="34">R63</f>
        <v>15939.62181116373</v>
      </c>
      <c r="E33" s="21">
        <f t="shared" si="34"/>
        <v>15800.952214313083</v>
      </c>
      <c r="F33" s="21">
        <f t="shared" si="34"/>
        <v>15650.773109314636</v>
      </c>
      <c r="G33" s="21">
        <f t="shared" si="34"/>
        <v>15488.129212668529</v>
      </c>
      <c r="H33" s="21">
        <f t="shared" si="34"/>
        <v>15311.985952815538</v>
      </c>
      <c r="I33" s="21">
        <f t="shared" si="34"/>
        <v>15121.222889267283</v>
      </c>
      <c r="J33" s="21">
        <f t="shared" si="34"/>
        <v>14914.626585527436</v>
      </c>
      <c r="K33" s="21">
        <f t="shared" si="34"/>
        <v>14690.882890468924</v>
      </c>
      <c r="L33" s="21">
        <f t="shared" si="34"/>
        <v>14448.568579069266</v>
      </c>
      <c r="M33" s="83">
        <f t="shared" si="34"/>
        <v>14186.142299331035</v>
      </c>
      <c r="N33" s="25"/>
      <c r="O33" s="25"/>
      <c r="P33" s="25"/>
      <c r="Q33" s="143" t="s">
        <v>136</v>
      </c>
      <c r="R33" s="144">
        <v>0.01</v>
      </c>
      <c r="S33" s="145"/>
      <c r="T33" s="145"/>
      <c r="U33" s="145"/>
      <c r="V33" s="145"/>
      <c r="W33" s="146"/>
      <c r="X33" s="146"/>
      <c r="Y33" s="146"/>
      <c r="Z33" s="146"/>
      <c r="AA33" s="147"/>
    </row>
    <row r="34" spans="1:27" ht="15.75" thickBot="1" x14ac:dyDescent="0.3">
      <c r="A34" s="115" t="s">
        <v>6</v>
      </c>
      <c r="B34" s="82"/>
      <c r="C34" s="21"/>
      <c r="D34" s="13">
        <f t="shared" ref="D34:K34" ca="1" si="35">D66*$R$61</f>
        <v>7295.096524211689</v>
      </c>
      <c r="E34" s="13">
        <f t="shared" ca="1" si="35"/>
        <v>8560.0399496669415</v>
      </c>
      <c r="F34" s="13">
        <f t="shared" ca="1" si="35"/>
        <v>10098.532285741931</v>
      </c>
      <c r="G34" s="13">
        <f t="shared" ca="1" si="35"/>
        <v>12000.915383663767</v>
      </c>
      <c r="H34" s="13">
        <f t="shared" ca="1" si="35"/>
        <v>14377.519780667517</v>
      </c>
      <c r="I34" s="13">
        <f t="shared" ca="1" si="35"/>
        <v>17362.217207060858</v>
      </c>
      <c r="J34" s="13">
        <f t="shared" ca="1" si="35"/>
        <v>21116.532732255513</v>
      </c>
      <c r="K34" s="13">
        <f t="shared" ca="1" si="35"/>
        <v>25834.398542314273</v>
      </c>
      <c r="L34" s="13">
        <f ca="1">L66*$R$61</f>
        <v>31747.642804419527</v>
      </c>
      <c r="M34" s="85">
        <f ca="1">M66*$R$61</f>
        <v>39132.320088674074</v>
      </c>
      <c r="N34" s="33"/>
      <c r="O34" s="33"/>
      <c r="P34" s="33"/>
      <c r="Q34" s="27"/>
      <c r="R34" s="28"/>
      <c r="S34" s="28"/>
      <c r="T34" s="28"/>
      <c r="U34" s="28"/>
      <c r="V34" s="28"/>
    </row>
    <row r="35" spans="1:27" ht="19.5" thickBot="1" x14ac:dyDescent="0.35">
      <c r="A35" s="81" t="s">
        <v>63</v>
      </c>
      <c r="B35" s="82"/>
      <c r="C35" s="21"/>
      <c r="D35" s="21">
        <f ca="1">SUM(D32:D34)</f>
        <v>38917.051668708751</v>
      </c>
      <c r="E35" s="21">
        <f ca="1">SUM(E32:E34)</f>
        <v>40043.325497313359</v>
      </c>
      <c r="F35" s="21">
        <f ca="1">SUM(F32:F34)</f>
        <v>41431.638728389902</v>
      </c>
      <c r="G35" s="21">
        <f ca="1">SUM(G32:G34)</f>
        <v>43171.377929665628</v>
      </c>
      <c r="H35" s="21">
        <f t="shared" ref="H35:M35" ca="1" si="36">SUM(H32:H34)</f>
        <v>45371.839066816392</v>
      </c>
      <c r="I35" s="21">
        <f t="shared" ca="1" si="36"/>
        <v>48165.773429661473</v>
      </c>
      <c r="J35" s="21">
        <f t="shared" ca="1" si="36"/>
        <v>51713.492651116278</v>
      </c>
      <c r="K35" s="21">
        <f t="shared" ca="1" si="36"/>
        <v>56207.614766116531</v>
      </c>
      <c r="L35" s="21">
        <f t="shared" ca="1" si="36"/>
        <v>61878.544716822129</v>
      </c>
      <c r="M35" s="83">
        <f t="shared" ca="1" si="36"/>
        <v>69000.795721338451</v>
      </c>
      <c r="N35" s="25"/>
      <c r="O35" s="25"/>
      <c r="P35" s="25"/>
      <c r="Q35" s="165" t="s">
        <v>44</v>
      </c>
      <c r="R35" s="166">
        <v>2014</v>
      </c>
      <c r="S35" s="167">
        <v>2015</v>
      </c>
      <c r="T35" s="167">
        <v>2016</v>
      </c>
      <c r="U35" s="167">
        <v>2017</v>
      </c>
      <c r="V35" s="167">
        <v>2018</v>
      </c>
      <c r="W35" s="167">
        <v>2019</v>
      </c>
      <c r="X35" s="167">
        <v>2020</v>
      </c>
      <c r="Y35" s="167">
        <v>2021</v>
      </c>
      <c r="Z35" s="167">
        <v>2022</v>
      </c>
      <c r="AA35" s="168">
        <v>2023</v>
      </c>
    </row>
    <row r="36" spans="1:27" x14ac:dyDescent="0.25">
      <c r="A36" s="81"/>
      <c r="B36" s="8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83"/>
      <c r="N36" s="25"/>
      <c r="O36" s="25"/>
      <c r="P36" s="25"/>
      <c r="Q36" s="148" t="s">
        <v>112</v>
      </c>
      <c r="R36" s="149">
        <f>SUM(D5:D9)*$R$37</f>
        <v>13875</v>
      </c>
      <c r="S36" s="149">
        <f t="shared" ref="S36:AA36" si="37">SUM(E5:E9)*$R$37</f>
        <v>14714.4375</v>
      </c>
      <c r="T36" s="149">
        <f t="shared" si="37"/>
        <v>15604.660968750002</v>
      </c>
      <c r="U36" s="149">
        <f t="shared" si="37"/>
        <v>16548.74295735938</v>
      </c>
      <c r="V36" s="149">
        <f t="shared" si="37"/>
        <v>17549.941906279619</v>
      </c>
      <c r="W36" s="149">
        <f t="shared" si="37"/>
        <v>18611.713391609537</v>
      </c>
      <c r="X36" s="149">
        <f t="shared" si="37"/>
        <v>19737.722051801917</v>
      </c>
      <c r="Y36" s="149">
        <f t="shared" si="37"/>
        <v>20931.854235935934</v>
      </c>
      <c r="Z36" s="149">
        <f t="shared" si="37"/>
        <v>22198.23141721006</v>
      </c>
      <c r="AA36" s="150">
        <f t="shared" si="37"/>
        <v>23541.224417951275</v>
      </c>
    </row>
    <row r="37" spans="1:27" x14ac:dyDescent="0.25">
      <c r="A37" s="81" t="s">
        <v>7</v>
      </c>
      <c r="B37" s="82"/>
      <c r="C37" s="21"/>
      <c r="D37" s="21">
        <f t="shared" ref="D37:M37" ca="1" si="38">D22-D29-D35</f>
        <v>-22640.801668708751</v>
      </c>
      <c r="E37" s="21">
        <f t="shared" ca="1" si="38"/>
        <v>-24282.077372313346</v>
      </c>
      <c r="F37" s="21">
        <f t="shared" ca="1" si="38"/>
        <v>-26581.825167327384</v>
      </c>
      <c r="G37" s="21">
        <f t="shared" ca="1" si="38"/>
        <v>-29693.905241690416</v>
      </c>
      <c r="H37" s="21">
        <f t="shared" ca="1" si="38"/>
        <v>-33800.13915179226</v>
      </c>
      <c r="I37" s="21">
        <f t="shared" ca="1" si="38"/>
        <v>-39114.765398582596</v>
      </c>
      <c r="J37" s="21">
        <f t="shared" ca="1" si="38"/>
        <v>-45889.55222383095</v>
      </c>
      <c r="K37" s="21">
        <f t="shared" ca="1" si="38"/>
        <v>-54419.659915531913</v>
      </c>
      <c r="L37" s="21">
        <f t="shared" ca="1" si="38"/>
        <v>-65050.357447114249</v>
      </c>
      <c r="M37" s="83">
        <f t="shared" ca="1" si="38"/>
        <v>-78184.712473917956</v>
      </c>
      <c r="N37" s="25"/>
      <c r="O37" s="25"/>
      <c r="P37" s="25"/>
      <c r="Q37" s="133" t="s">
        <v>113</v>
      </c>
      <c r="R37" s="127">
        <v>0.1</v>
      </c>
      <c r="S37" s="136"/>
      <c r="T37" s="136"/>
      <c r="U37" s="136"/>
      <c r="V37" s="136"/>
      <c r="W37" s="136"/>
      <c r="X37" s="136"/>
      <c r="Y37" s="136"/>
      <c r="Z37" s="136"/>
      <c r="AA37" s="151"/>
    </row>
    <row r="38" spans="1:27" x14ac:dyDescent="0.25">
      <c r="A38" s="81" t="s">
        <v>8</v>
      </c>
      <c r="B38" s="82"/>
      <c r="C38" s="21"/>
      <c r="D38" s="13">
        <f ca="1">IF(D37&lt;0,0,D37*$R$62)</f>
        <v>0</v>
      </c>
      <c r="E38" s="13">
        <f ca="1">IF(E37&lt;0,0,E37*$R$62)</f>
        <v>0</v>
      </c>
      <c r="F38" s="13">
        <f ca="1">IF(F37&lt;0,0,F37*$R$62)</f>
        <v>0</v>
      </c>
      <c r="G38" s="13">
        <f ca="1">IF(G37&lt;0,0,G37*$R$62)</f>
        <v>0</v>
      </c>
      <c r="H38" s="13">
        <f t="shared" ref="H38:M38" ca="1" si="39">IF(H37&lt;0,0,H37*$R$62)</f>
        <v>0</v>
      </c>
      <c r="I38" s="13">
        <f t="shared" ca="1" si="39"/>
        <v>0</v>
      </c>
      <c r="J38" s="13">
        <f t="shared" ca="1" si="39"/>
        <v>0</v>
      </c>
      <c r="K38" s="13">
        <f t="shared" ca="1" si="39"/>
        <v>0</v>
      </c>
      <c r="L38" s="13">
        <f t="shared" ca="1" si="39"/>
        <v>0</v>
      </c>
      <c r="M38" s="85">
        <f t="shared" ca="1" si="39"/>
        <v>0</v>
      </c>
      <c r="N38" s="33"/>
      <c r="O38" s="33"/>
      <c r="P38" s="33"/>
      <c r="Q38" s="134" t="s">
        <v>142</v>
      </c>
      <c r="R38" s="125">
        <v>9</v>
      </c>
      <c r="S38" s="125">
        <f>R38*(1+$R$41)</f>
        <v>9.18</v>
      </c>
      <c r="T38" s="125">
        <f t="shared" ref="T38:AA38" si="40">S38*(1+$R$41)</f>
        <v>9.3635999999999999</v>
      </c>
      <c r="U38" s="125">
        <f t="shared" si="40"/>
        <v>9.550872</v>
      </c>
      <c r="V38" s="125">
        <f t="shared" si="40"/>
        <v>9.7418894399999996</v>
      </c>
      <c r="W38" s="125">
        <f t="shared" si="40"/>
        <v>9.9367272288000006</v>
      </c>
      <c r="X38" s="125">
        <f t="shared" si="40"/>
        <v>10.135461773376001</v>
      </c>
      <c r="Y38" s="125">
        <f t="shared" si="40"/>
        <v>10.338171008843521</v>
      </c>
      <c r="Z38" s="125">
        <f t="shared" si="40"/>
        <v>10.54493442902039</v>
      </c>
      <c r="AA38" s="126">
        <f t="shared" si="40"/>
        <v>10.755833117600798</v>
      </c>
    </row>
    <row r="39" spans="1:27" x14ac:dyDescent="0.25">
      <c r="A39" s="81" t="s">
        <v>9</v>
      </c>
      <c r="B39" s="82"/>
      <c r="C39" s="21"/>
      <c r="D39" s="21">
        <f ca="1">D37-D38</f>
        <v>-22640.801668708751</v>
      </c>
      <c r="E39" s="21">
        <f ca="1">E37-E38</f>
        <v>-24282.077372313346</v>
      </c>
      <c r="F39" s="21">
        <f ca="1">F37-F38</f>
        <v>-26581.825167327384</v>
      </c>
      <c r="G39" s="21">
        <f ca="1">G37-G38</f>
        <v>-29693.905241690416</v>
      </c>
      <c r="H39" s="21">
        <f t="shared" ref="H39:M39" ca="1" si="41">H37-H38</f>
        <v>-33800.13915179226</v>
      </c>
      <c r="I39" s="21">
        <f t="shared" ca="1" si="41"/>
        <v>-39114.765398582596</v>
      </c>
      <c r="J39" s="21">
        <f t="shared" ca="1" si="41"/>
        <v>-45889.55222383095</v>
      </c>
      <c r="K39" s="21">
        <f t="shared" ca="1" si="41"/>
        <v>-54419.659915531913</v>
      </c>
      <c r="L39" s="21">
        <f t="shared" ca="1" si="41"/>
        <v>-65050.357447114249</v>
      </c>
      <c r="M39" s="83">
        <f t="shared" ca="1" si="41"/>
        <v>-78184.712473917956</v>
      </c>
      <c r="N39" s="25"/>
      <c r="O39" s="25"/>
      <c r="P39" s="25"/>
      <c r="Q39" s="133" t="s">
        <v>116</v>
      </c>
      <c r="R39" s="131">
        <v>4</v>
      </c>
      <c r="S39" s="136"/>
      <c r="T39" s="136"/>
      <c r="U39" s="136"/>
      <c r="V39" s="136"/>
      <c r="W39" s="136"/>
      <c r="X39" s="136"/>
      <c r="Y39" s="136"/>
      <c r="Z39" s="136"/>
      <c r="AA39" s="151"/>
    </row>
    <row r="40" spans="1:27" ht="15.75" thickBot="1" x14ac:dyDescent="0.3">
      <c r="A40" s="109"/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2"/>
      <c r="N40" s="25"/>
      <c r="O40" s="25"/>
      <c r="P40" s="25"/>
      <c r="Q40" s="133" t="s">
        <v>117</v>
      </c>
      <c r="R40" s="131">
        <v>40</v>
      </c>
      <c r="S40" s="136"/>
      <c r="T40" s="136"/>
      <c r="U40" s="136"/>
      <c r="V40" s="136"/>
      <c r="W40" s="136"/>
      <c r="X40" s="136"/>
      <c r="Y40" s="136"/>
      <c r="Z40" s="136"/>
      <c r="AA40" s="151"/>
    </row>
    <row r="41" spans="1:27" ht="15.75" thickBot="1" x14ac:dyDescent="0.3">
      <c r="A41" s="24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133" t="s">
        <v>143</v>
      </c>
      <c r="R41" s="152">
        <v>0.02</v>
      </c>
      <c r="S41" s="136"/>
      <c r="T41" s="136"/>
      <c r="U41" s="136"/>
      <c r="V41" s="136"/>
      <c r="W41" s="136"/>
      <c r="X41" s="136"/>
      <c r="Y41" s="136"/>
      <c r="Z41" s="136"/>
      <c r="AA41" s="151"/>
    </row>
    <row r="42" spans="1:27" ht="27" thickBot="1" x14ac:dyDescent="0.45">
      <c r="A42" s="258" t="s">
        <v>10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60"/>
      <c r="N42" s="32"/>
      <c r="O42" s="32"/>
      <c r="P42" s="32"/>
      <c r="Q42" s="134" t="s">
        <v>145</v>
      </c>
      <c r="R42" s="153">
        <v>0.06</v>
      </c>
      <c r="S42" s="136"/>
      <c r="T42" s="136"/>
      <c r="U42" s="136"/>
      <c r="V42" s="136"/>
      <c r="W42" s="136"/>
      <c r="X42" s="136"/>
      <c r="Y42" s="136"/>
      <c r="Z42" s="136"/>
      <c r="AA42" s="151"/>
    </row>
    <row r="43" spans="1:27" x14ac:dyDescent="0.25">
      <c r="A43" s="103" t="s">
        <v>72</v>
      </c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6"/>
      <c r="N43" s="25"/>
      <c r="O43" s="25"/>
      <c r="P43" s="25"/>
      <c r="Q43" s="134" t="s">
        <v>118</v>
      </c>
      <c r="R43" s="153">
        <v>7.4999999999999997E-2</v>
      </c>
      <c r="S43" s="136"/>
      <c r="T43" s="136"/>
      <c r="U43" s="136"/>
      <c r="V43" s="136"/>
      <c r="W43" s="136"/>
      <c r="X43" s="136"/>
      <c r="Y43" s="136"/>
      <c r="Z43" s="136"/>
      <c r="AA43" s="151"/>
    </row>
    <row r="44" spans="1:27" x14ac:dyDescent="0.25">
      <c r="A44" s="84" t="s">
        <v>11</v>
      </c>
      <c r="B44" s="82"/>
      <c r="C44" s="21"/>
      <c r="D44" s="21">
        <v>10000</v>
      </c>
      <c r="E44" s="21">
        <f>D44</f>
        <v>10000</v>
      </c>
      <c r="F44" s="21">
        <f t="shared" ref="F44:M44" si="42">E44</f>
        <v>10000</v>
      </c>
      <c r="G44" s="21">
        <f t="shared" si="42"/>
        <v>10000</v>
      </c>
      <c r="H44" s="21">
        <f t="shared" si="42"/>
        <v>10000</v>
      </c>
      <c r="I44" s="21">
        <f t="shared" si="42"/>
        <v>10000</v>
      </c>
      <c r="J44" s="21">
        <f t="shared" si="42"/>
        <v>10000</v>
      </c>
      <c r="K44" s="21">
        <f t="shared" si="42"/>
        <v>10000</v>
      </c>
      <c r="L44" s="21">
        <f t="shared" si="42"/>
        <v>10000</v>
      </c>
      <c r="M44" s="83">
        <f t="shared" si="42"/>
        <v>10000</v>
      </c>
      <c r="N44" s="25"/>
      <c r="O44" s="25"/>
      <c r="P44" s="25"/>
      <c r="Q44" s="134" t="s">
        <v>120</v>
      </c>
      <c r="R44" s="125">
        <f t="shared" ref="R44:AA44" si="43">D20/365*R45</f>
        <v>22238.013698630137</v>
      </c>
      <c r="S44" s="125">
        <f t="shared" si="43"/>
        <v>24027.06190068493</v>
      </c>
      <c r="T44" s="125">
        <f t="shared" si="43"/>
        <v>25960.039030595035</v>
      </c>
      <c r="U44" s="125">
        <f t="shared" si="43"/>
        <v>28048.524170606412</v>
      </c>
      <c r="V44" s="125">
        <f t="shared" si="43"/>
        <v>30305.027940131706</v>
      </c>
      <c r="W44" s="125">
        <f t="shared" si="43"/>
        <v>32743.067437915299</v>
      </c>
      <c r="X44" s="125">
        <f t="shared" si="43"/>
        <v>35377.247213295595</v>
      </c>
      <c r="Y44" s="125">
        <f t="shared" si="43"/>
        <v>38223.346751605226</v>
      </c>
      <c r="Z44" s="125">
        <f t="shared" si="43"/>
        <v>41298.414997771855</v>
      </c>
      <c r="AA44" s="126">
        <f t="shared" si="43"/>
        <v>44620.87248434261</v>
      </c>
    </row>
    <row r="45" spans="1:27" x14ac:dyDescent="0.25">
      <c r="A45" s="84" t="s">
        <v>12</v>
      </c>
      <c r="B45" s="82"/>
      <c r="C45" s="21"/>
      <c r="D45" s="21">
        <f ca="1">IF(D66=0,D74-SUM(D44,D46:D47,D54),0)</f>
        <v>0</v>
      </c>
      <c r="E45" s="21">
        <f ca="1">IF(E66=0,E74-SUM(E44,E46:E47,E54),0)</f>
        <v>0</v>
      </c>
      <c r="F45" s="21">
        <f t="shared" ref="F45:M45" ca="1" si="44">IF(F66=0,F74-SUM(F44,F46:F47,F54),0)</f>
        <v>0</v>
      </c>
      <c r="G45" s="21">
        <f t="shared" ca="1" si="44"/>
        <v>0</v>
      </c>
      <c r="H45" s="21">
        <f t="shared" ca="1" si="44"/>
        <v>0</v>
      </c>
      <c r="I45" s="21">
        <f t="shared" ca="1" si="44"/>
        <v>0</v>
      </c>
      <c r="J45" s="21">
        <f t="shared" ca="1" si="44"/>
        <v>0</v>
      </c>
      <c r="K45" s="21">
        <f t="shared" ca="1" si="44"/>
        <v>0</v>
      </c>
      <c r="L45" s="21">
        <f t="shared" ca="1" si="44"/>
        <v>0</v>
      </c>
      <c r="M45" s="83">
        <f t="shared" ca="1" si="44"/>
        <v>0</v>
      </c>
      <c r="N45" s="25"/>
      <c r="O45" s="25"/>
      <c r="P45" s="25"/>
      <c r="Q45" s="134" t="s">
        <v>147</v>
      </c>
      <c r="R45" s="164">
        <v>90</v>
      </c>
      <c r="S45" s="154">
        <f>R45*(1-$R$46)</f>
        <v>88.2</v>
      </c>
      <c r="T45" s="154">
        <f t="shared" ref="T45:AA45" si="45">S45*(1-$R$46)</f>
        <v>86.436000000000007</v>
      </c>
      <c r="U45" s="154">
        <f t="shared" si="45"/>
        <v>84.707280000000011</v>
      </c>
      <c r="V45" s="154">
        <f t="shared" si="45"/>
        <v>83.013134400000013</v>
      </c>
      <c r="W45" s="154">
        <f t="shared" si="45"/>
        <v>81.35287171200001</v>
      </c>
      <c r="X45" s="154">
        <f t="shared" si="45"/>
        <v>79.725814277760009</v>
      </c>
      <c r="Y45" s="154">
        <f t="shared" si="45"/>
        <v>78.131297992204807</v>
      </c>
      <c r="Z45" s="154">
        <f t="shared" si="45"/>
        <v>76.568672032360709</v>
      </c>
      <c r="AA45" s="155">
        <f t="shared" si="45"/>
        <v>75.037298591713494</v>
      </c>
    </row>
    <row r="46" spans="1:27" x14ac:dyDescent="0.25">
      <c r="A46" s="84" t="s">
        <v>13</v>
      </c>
      <c r="B46" s="82"/>
      <c r="C46" s="21"/>
      <c r="D46" s="21">
        <f t="shared" ref="D46:M46" si="46">D13/365*R32</f>
        <v>2996.5753424657532</v>
      </c>
      <c r="E46" s="21">
        <f t="shared" si="46"/>
        <v>3135.3486472602744</v>
      </c>
      <c r="F46" s="21">
        <f t="shared" si="46"/>
        <v>3280.6154035835452</v>
      </c>
      <c r="G46" s="21">
        <f t="shared" si="46"/>
        <v>3432.6823360186368</v>
      </c>
      <c r="H46" s="21">
        <f t="shared" si="46"/>
        <v>3591.8707809014354</v>
      </c>
      <c r="I46" s="21">
        <f t="shared" si="46"/>
        <v>3758.5173876181625</v>
      </c>
      <c r="J46" s="21">
        <f t="shared" si="46"/>
        <v>3932.9748537812911</v>
      </c>
      <c r="K46" s="21">
        <f t="shared" si="46"/>
        <v>4115.6126959296116</v>
      </c>
      <c r="L46" s="21">
        <f t="shared" si="46"/>
        <v>4306.8180574784892</v>
      </c>
      <c r="M46" s="83">
        <f t="shared" si="46"/>
        <v>4506.9965557306796</v>
      </c>
      <c r="N46" s="25"/>
      <c r="O46" s="25"/>
      <c r="P46" s="25"/>
      <c r="Q46" s="133" t="s">
        <v>148</v>
      </c>
      <c r="R46" s="127">
        <v>0.02</v>
      </c>
      <c r="S46" s="136" t="s">
        <v>149</v>
      </c>
      <c r="T46" s="136"/>
      <c r="U46" s="136"/>
      <c r="V46" s="136"/>
      <c r="W46" s="136"/>
      <c r="X46" s="136"/>
      <c r="Y46" s="136"/>
      <c r="Z46" s="136"/>
      <c r="AA46" s="151"/>
    </row>
    <row r="47" spans="1:27" x14ac:dyDescent="0.25">
      <c r="A47" s="84" t="s">
        <v>14</v>
      </c>
      <c r="B47" s="82"/>
      <c r="C47" s="21"/>
      <c r="D47" s="13">
        <f>R44</f>
        <v>22238.013698630137</v>
      </c>
      <c r="E47" s="13">
        <f t="shared" ref="E47:M47" si="47">S44</f>
        <v>24027.06190068493</v>
      </c>
      <c r="F47" s="13">
        <f t="shared" si="47"/>
        <v>25960.039030595035</v>
      </c>
      <c r="G47" s="13">
        <f t="shared" si="47"/>
        <v>28048.524170606412</v>
      </c>
      <c r="H47" s="13">
        <f t="shared" si="47"/>
        <v>30305.027940131706</v>
      </c>
      <c r="I47" s="13">
        <f t="shared" si="47"/>
        <v>32743.067437915299</v>
      </c>
      <c r="J47" s="13">
        <f t="shared" si="47"/>
        <v>35377.247213295595</v>
      </c>
      <c r="K47" s="13">
        <f t="shared" si="47"/>
        <v>38223.346751605226</v>
      </c>
      <c r="L47" s="13">
        <f t="shared" si="47"/>
        <v>41298.414997771855</v>
      </c>
      <c r="M47" s="85">
        <f t="shared" si="47"/>
        <v>44620.87248434261</v>
      </c>
      <c r="N47" s="33"/>
      <c r="O47" s="33"/>
      <c r="P47" s="33"/>
      <c r="Q47" s="134" t="s">
        <v>127</v>
      </c>
      <c r="R47" s="127"/>
      <c r="S47" s="136"/>
      <c r="T47" s="136"/>
      <c r="U47" s="136"/>
      <c r="V47" s="136"/>
      <c r="W47" s="136"/>
      <c r="X47" s="136"/>
      <c r="Y47" s="136"/>
      <c r="Z47" s="136"/>
      <c r="AA47" s="151"/>
    </row>
    <row r="48" spans="1:27" x14ac:dyDescent="0.25">
      <c r="A48" s="107" t="s">
        <v>73</v>
      </c>
      <c r="B48" s="82"/>
      <c r="C48" s="21"/>
      <c r="D48" s="21">
        <f ca="1">SUM(D44:D47)</f>
        <v>35234.589041095889</v>
      </c>
      <c r="E48" s="21">
        <f ca="1">SUM(E44:E47)</f>
        <v>37162.410547945205</v>
      </c>
      <c r="F48" s="21">
        <f ca="1">SUM(F44:F47)</f>
        <v>39240.654434178578</v>
      </c>
      <c r="G48" s="21">
        <f ca="1">SUM(G44:G47)</f>
        <v>41481.206506625051</v>
      </c>
      <c r="H48" s="21">
        <f t="shared" ref="H48:M48" ca="1" si="48">SUM(H44:H47)</f>
        <v>43896.89872103314</v>
      </c>
      <c r="I48" s="21">
        <f t="shared" ca="1" si="48"/>
        <v>46501.584825533457</v>
      </c>
      <c r="J48" s="21">
        <f t="shared" ca="1" si="48"/>
        <v>49310.222067076887</v>
      </c>
      <c r="K48" s="21">
        <f t="shared" ca="1" si="48"/>
        <v>52338.959447534842</v>
      </c>
      <c r="L48" s="21">
        <f t="shared" ca="1" si="48"/>
        <v>55605.233055250341</v>
      </c>
      <c r="M48" s="83">
        <f t="shared" ca="1" si="48"/>
        <v>59127.869040073288</v>
      </c>
      <c r="N48" s="25"/>
      <c r="O48" s="25"/>
      <c r="P48" s="25"/>
      <c r="Q48" s="133" t="s">
        <v>128</v>
      </c>
      <c r="R48" s="125">
        <f>517-R49</f>
        <v>46.529999999999973</v>
      </c>
      <c r="S48" s="136"/>
      <c r="T48" s="136"/>
      <c r="U48" s="136"/>
      <c r="V48" s="136"/>
      <c r="W48" s="136"/>
      <c r="X48" s="136"/>
      <c r="Y48" s="136"/>
      <c r="Z48" s="136"/>
      <c r="AA48" s="151"/>
    </row>
    <row r="49" spans="1:27" x14ac:dyDescent="0.25">
      <c r="A49" s="81"/>
      <c r="B49" s="8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83"/>
      <c r="N49" s="25"/>
      <c r="O49" s="25"/>
      <c r="P49" s="25"/>
      <c r="Q49" s="133" t="s">
        <v>129</v>
      </c>
      <c r="R49" s="125">
        <f>517*(1-0.09)</f>
        <v>470.47</v>
      </c>
      <c r="S49" s="136"/>
      <c r="T49" s="136"/>
      <c r="U49" s="136"/>
      <c r="V49" s="136"/>
      <c r="W49" s="136"/>
      <c r="X49" s="136"/>
      <c r="Y49" s="136"/>
      <c r="Z49" s="136"/>
      <c r="AA49" s="151"/>
    </row>
    <row r="50" spans="1:27" x14ac:dyDescent="0.25">
      <c r="A50" s="81" t="s">
        <v>70</v>
      </c>
      <c r="B50" s="8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83"/>
      <c r="N50" s="25"/>
      <c r="O50" s="25"/>
      <c r="P50" s="25"/>
      <c r="Q50" s="134" t="s">
        <v>132</v>
      </c>
      <c r="R50" s="141">
        <f>R51*1.25/43560</f>
        <v>2.869605142332415E-2</v>
      </c>
      <c r="S50" s="131" t="s">
        <v>131</v>
      </c>
      <c r="T50" s="136"/>
      <c r="U50" s="136"/>
      <c r="V50" s="136"/>
      <c r="W50" s="136"/>
      <c r="X50" s="136"/>
      <c r="Y50" s="136"/>
      <c r="Z50" s="136"/>
      <c r="AA50" s="151"/>
    </row>
    <row r="51" spans="1:27" x14ac:dyDescent="0.25">
      <c r="A51" s="108" t="s">
        <v>128</v>
      </c>
      <c r="B51" s="82"/>
      <c r="C51" s="21"/>
      <c r="D51" s="21">
        <f t="shared" ref="D51:M51" si="49">$R$52</f>
        <v>58162.499999999964</v>
      </c>
      <c r="E51" s="21">
        <f t="shared" si="49"/>
        <v>58162.499999999964</v>
      </c>
      <c r="F51" s="21">
        <f t="shared" si="49"/>
        <v>58162.499999999964</v>
      </c>
      <c r="G51" s="21">
        <f t="shared" si="49"/>
        <v>58162.499999999964</v>
      </c>
      <c r="H51" s="21">
        <f t="shared" si="49"/>
        <v>58162.499999999964</v>
      </c>
      <c r="I51" s="21">
        <f t="shared" si="49"/>
        <v>58162.499999999964</v>
      </c>
      <c r="J51" s="21">
        <f t="shared" si="49"/>
        <v>58162.499999999964</v>
      </c>
      <c r="K51" s="21">
        <f t="shared" si="49"/>
        <v>58162.499999999964</v>
      </c>
      <c r="L51" s="21">
        <f t="shared" si="49"/>
        <v>58162.499999999964</v>
      </c>
      <c r="M51" s="83">
        <f t="shared" si="49"/>
        <v>58162.499999999964</v>
      </c>
      <c r="N51" s="25"/>
      <c r="O51" s="25"/>
      <c r="P51" s="25"/>
      <c r="Q51" s="134" t="s">
        <v>133</v>
      </c>
      <c r="R51" s="156">
        <f>20*50</f>
        <v>1000</v>
      </c>
      <c r="S51" s="157" t="s">
        <v>134</v>
      </c>
      <c r="T51" s="136"/>
      <c r="U51" s="136"/>
      <c r="V51" s="136"/>
      <c r="W51" s="136"/>
      <c r="X51" s="136"/>
      <c r="Y51" s="136"/>
      <c r="Z51" s="136"/>
      <c r="AA51" s="151"/>
    </row>
    <row r="52" spans="1:27" x14ac:dyDescent="0.25">
      <c r="A52" s="108" t="s">
        <v>15</v>
      </c>
      <c r="B52" s="82"/>
      <c r="C52" s="21"/>
      <c r="D52" s="21">
        <f>R53</f>
        <v>470470</v>
      </c>
      <c r="E52" s="21">
        <f>D52</f>
        <v>470470</v>
      </c>
      <c r="F52" s="21">
        <f t="shared" ref="F52:M52" si="50">E52</f>
        <v>470470</v>
      </c>
      <c r="G52" s="21">
        <f t="shared" si="50"/>
        <v>470470</v>
      </c>
      <c r="H52" s="21">
        <f t="shared" si="50"/>
        <v>470470</v>
      </c>
      <c r="I52" s="21">
        <f t="shared" si="50"/>
        <v>470470</v>
      </c>
      <c r="J52" s="21">
        <f t="shared" si="50"/>
        <v>470470</v>
      </c>
      <c r="K52" s="21">
        <f t="shared" si="50"/>
        <v>470470</v>
      </c>
      <c r="L52" s="21">
        <f t="shared" si="50"/>
        <v>470470</v>
      </c>
      <c r="M52" s="83">
        <f t="shared" si="50"/>
        <v>470470</v>
      </c>
      <c r="N52" s="33"/>
      <c r="O52" s="33"/>
      <c r="P52" s="33"/>
      <c r="Q52" s="134" t="s">
        <v>130</v>
      </c>
      <c r="R52" s="38">
        <f>R50*43560*R48</f>
        <v>58162.499999999964</v>
      </c>
      <c r="S52" s="136"/>
      <c r="T52" s="136"/>
      <c r="U52" s="136"/>
      <c r="V52" s="136"/>
      <c r="W52" s="136"/>
      <c r="X52" s="136"/>
      <c r="Y52" s="136"/>
      <c r="Z52" s="136"/>
      <c r="AA52" s="151"/>
    </row>
    <row r="53" spans="1:27" x14ac:dyDescent="0.25">
      <c r="A53" s="84" t="s">
        <v>146</v>
      </c>
      <c r="B53" s="82"/>
      <c r="C53" s="21"/>
      <c r="D53" s="13">
        <f>D32</f>
        <v>15682.333333333334</v>
      </c>
      <c r="E53" s="13">
        <f>E32+D53</f>
        <v>31364.666666666668</v>
      </c>
      <c r="F53" s="13">
        <f t="shared" ref="F53:M53" si="51">F32+E53</f>
        <v>47047</v>
      </c>
      <c r="G53" s="13">
        <f t="shared" si="51"/>
        <v>62729.333333333336</v>
      </c>
      <c r="H53" s="13">
        <f t="shared" si="51"/>
        <v>78411.666666666672</v>
      </c>
      <c r="I53" s="13">
        <f t="shared" si="51"/>
        <v>94094</v>
      </c>
      <c r="J53" s="13">
        <f t="shared" si="51"/>
        <v>109776.33333333333</v>
      </c>
      <c r="K53" s="13">
        <f t="shared" si="51"/>
        <v>125458.66666666666</v>
      </c>
      <c r="L53" s="13">
        <f t="shared" si="51"/>
        <v>141141</v>
      </c>
      <c r="M53" s="85">
        <f t="shared" si="51"/>
        <v>156823.33333333334</v>
      </c>
      <c r="N53" s="25"/>
      <c r="O53" s="25"/>
      <c r="P53" s="25"/>
      <c r="Q53" s="129" t="s">
        <v>45</v>
      </c>
      <c r="R53" s="158">
        <f>R51*R49</f>
        <v>470470</v>
      </c>
      <c r="S53" s="136"/>
      <c r="T53" s="136"/>
      <c r="U53" s="136"/>
      <c r="V53" s="136"/>
      <c r="W53" s="136"/>
      <c r="X53" s="136"/>
      <c r="Y53" s="136"/>
      <c r="Z53" s="136"/>
      <c r="AA53" s="151"/>
    </row>
    <row r="54" spans="1:27" x14ac:dyDescent="0.25">
      <c r="A54" s="107" t="s">
        <v>71</v>
      </c>
      <c r="B54" s="82"/>
      <c r="C54" s="21"/>
      <c r="D54" s="21">
        <f>SUM(D51:D52)-D53</f>
        <v>512950.16666666669</v>
      </c>
      <c r="E54" s="21">
        <f t="shared" ref="E54:M54" si="52">SUM(E51:E52)-E53</f>
        <v>497267.83333333331</v>
      </c>
      <c r="F54" s="21">
        <f t="shared" si="52"/>
        <v>481585.5</v>
      </c>
      <c r="G54" s="21">
        <f t="shared" si="52"/>
        <v>465903.16666666669</v>
      </c>
      <c r="H54" s="21">
        <f t="shared" si="52"/>
        <v>450220.83333333331</v>
      </c>
      <c r="I54" s="21">
        <f t="shared" si="52"/>
        <v>434538.5</v>
      </c>
      <c r="J54" s="21">
        <f t="shared" si="52"/>
        <v>418856.16666666669</v>
      </c>
      <c r="K54" s="21">
        <f t="shared" si="52"/>
        <v>403173.83333333337</v>
      </c>
      <c r="L54" s="21">
        <f t="shared" si="52"/>
        <v>387491.5</v>
      </c>
      <c r="M54" s="83">
        <f t="shared" si="52"/>
        <v>371809.16666666663</v>
      </c>
      <c r="N54" s="25"/>
      <c r="O54" s="25"/>
      <c r="P54" s="25"/>
      <c r="Q54" s="133" t="s">
        <v>46</v>
      </c>
      <c r="R54" s="138">
        <v>30</v>
      </c>
      <c r="S54" s="136" t="s">
        <v>83</v>
      </c>
      <c r="T54" s="136"/>
      <c r="U54" s="136"/>
      <c r="V54" s="136"/>
      <c r="W54" s="136"/>
      <c r="X54" s="136"/>
      <c r="Y54" s="136"/>
      <c r="Z54" s="136"/>
      <c r="AA54" s="151"/>
    </row>
    <row r="55" spans="1:27" x14ac:dyDescent="0.25">
      <c r="A55" s="81"/>
      <c r="B55" s="8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83"/>
      <c r="N55" s="25"/>
      <c r="O55" s="25"/>
      <c r="P55" s="25"/>
      <c r="Q55" s="129" t="s">
        <v>47</v>
      </c>
      <c r="R55" s="158">
        <f>R53/$R$54</f>
        <v>15682.333333333334</v>
      </c>
      <c r="S55" s="38">
        <f>$R$55</f>
        <v>15682.333333333334</v>
      </c>
      <c r="T55" s="38">
        <f>$R$55</f>
        <v>15682.333333333334</v>
      </c>
      <c r="U55" s="38">
        <f>$R$55</f>
        <v>15682.333333333334</v>
      </c>
      <c r="V55" s="38">
        <f t="shared" ref="V55:AA55" si="53">$R$55</f>
        <v>15682.333333333334</v>
      </c>
      <c r="W55" s="38">
        <f t="shared" si="53"/>
        <v>15682.333333333334</v>
      </c>
      <c r="X55" s="38">
        <f t="shared" si="53"/>
        <v>15682.333333333334</v>
      </c>
      <c r="Y55" s="38">
        <f t="shared" si="53"/>
        <v>15682.333333333334</v>
      </c>
      <c r="Z55" s="38">
        <f t="shared" si="53"/>
        <v>15682.333333333334</v>
      </c>
      <c r="AA55" s="159">
        <f t="shared" si="53"/>
        <v>15682.333333333334</v>
      </c>
    </row>
    <row r="56" spans="1:27" x14ac:dyDescent="0.25">
      <c r="A56" s="81" t="s">
        <v>16</v>
      </c>
      <c r="B56" s="82"/>
      <c r="C56" s="21"/>
      <c r="D56" s="21">
        <f t="shared" ref="D56:M56" ca="1" si="54">D48+D54</f>
        <v>548184.75570776255</v>
      </c>
      <c r="E56" s="21">
        <f t="shared" ca="1" si="54"/>
        <v>534430.24388127855</v>
      </c>
      <c r="F56" s="21">
        <f t="shared" ca="1" si="54"/>
        <v>520826.15443417861</v>
      </c>
      <c r="G56" s="21">
        <f t="shared" ca="1" si="54"/>
        <v>507384.37317329174</v>
      </c>
      <c r="H56" s="21">
        <f t="shared" ca="1" si="54"/>
        <v>494117.73205436644</v>
      </c>
      <c r="I56" s="21">
        <f t="shared" ca="1" si="54"/>
        <v>481040.08482553344</v>
      </c>
      <c r="J56" s="21">
        <f t="shared" ca="1" si="54"/>
        <v>468166.38873374357</v>
      </c>
      <c r="K56" s="21">
        <f t="shared" ca="1" si="54"/>
        <v>455512.79278086824</v>
      </c>
      <c r="L56" s="21">
        <f t="shared" ca="1" si="54"/>
        <v>443096.73305525037</v>
      </c>
      <c r="M56" s="83">
        <f t="shared" ca="1" si="54"/>
        <v>430937.03570673993</v>
      </c>
      <c r="N56" s="25"/>
      <c r="O56" s="25"/>
      <c r="P56" s="25"/>
      <c r="Q56" s="160" t="s">
        <v>48</v>
      </c>
      <c r="R56" s="158">
        <v>300000</v>
      </c>
      <c r="S56" s="136"/>
      <c r="T56" s="136"/>
      <c r="U56" s="136"/>
      <c r="V56" s="136"/>
      <c r="W56" s="136"/>
      <c r="X56" s="136"/>
      <c r="Y56" s="136"/>
      <c r="Z56" s="136"/>
      <c r="AA56" s="151"/>
    </row>
    <row r="57" spans="1:27" x14ac:dyDescent="0.25">
      <c r="A57" s="81"/>
      <c r="B57" s="8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83"/>
      <c r="N57" s="25"/>
      <c r="O57" s="25"/>
      <c r="P57" s="25"/>
      <c r="Q57" s="129" t="s">
        <v>49</v>
      </c>
      <c r="R57" s="158">
        <v>200000</v>
      </c>
      <c r="S57" s="136"/>
      <c r="T57" s="136"/>
      <c r="U57" s="136"/>
      <c r="V57" s="136"/>
      <c r="W57" s="136"/>
      <c r="X57" s="136"/>
      <c r="Y57" s="136"/>
      <c r="Z57" s="136"/>
      <c r="AA57" s="151"/>
    </row>
    <row r="58" spans="1:27" x14ac:dyDescent="0.25">
      <c r="A58" s="81" t="s">
        <v>17</v>
      </c>
      <c r="B58" s="8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83"/>
      <c r="N58" s="25"/>
      <c r="O58" s="25"/>
      <c r="P58" s="25"/>
      <c r="Q58" s="129" t="s">
        <v>21</v>
      </c>
      <c r="R58" s="158">
        <f>R52+R53-R56-R57</f>
        <v>28632.5</v>
      </c>
      <c r="S58" s="136"/>
      <c r="T58" s="136"/>
      <c r="U58" s="136"/>
      <c r="V58" s="136"/>
      <c r="W58" s="136"/>
      <c r="X58" s="136"/>
      <c r="Y58" s="136"/>
      <c r="Z58" s="136"/>
      <c r="AA58" s="151"/>
    </row>
    <row r="59" spans="1:27" x14ac:dyDescent="0.25">
      <c r="A59" s="81" t="s">
        <v>67</v>
      </c>
      <c r="B59" s="8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83"/>
      <c r="N59" s="25"/>
      <c r="O59" s="25"/>
      <c r="P59" s="25"/>
      <c r="Q59" s="129" t="s">
        <v>58</v>
      </c>
      <c r="R59" s="130">
        <v>30</v>
      </c>
      <c r="S59" s="136" t="s">
        <v>83</v>
      </c>
      <c r="T59" s="136"/>
      <c r="U59" s="136"/>
      <c r="V59" s="136"/>
      <c r="W59" s="136"/>
      <c r="X59" s="136"/>
      <c r="Y59" s="136"/>
      <c r="Z59" s="136"/>
      <c r="AA59" s="151"/>
    </row>
    <row r="60" spans="1:27" x14ac:dyDescent="0.25">
      <c r="A60" s="84" t="s">
        <v>18</v>
      </c>
      <c r="B60" s="82"/>
      <c r="C60" s="21"/>
      <c r="D60" s="21">
        <f t="shared" ref="D60:M60" si="55">D20/365*R20</f>
        <v>6177.2260273972606</v>
      </c>
      <c r="E60" s="21">
        <f t="shared" si="55"/>
        <v>7014.7034460616433</v>
      </c>
      <c r="F60" s="21">
        <f t="shared" si="55"/>
        <v>7965.7218657614512</v>
      </c>
      <c r="G60" s="21">
        <f t="shared" si="55"/>
        <v>9045.6746077120606</v>
      </c>
      <c r="H60" s="21">
        <f t="shared" si="55"/>
        <v>10272.041942652626</v>
      </c>
      <c r="I60" s="21">
        <f t="shared" si="55"/>
        <v>11664.674029027756</v>
      </c>
      <c r="J60" s="21">
        <f t="shared" si="55"/>
        <v>13246.112210513198</v>
      </c>
      <c r="K60" s="21">
        <f t="shared" si="55"/>
        <v>15041.953873453524</v>
      </c>
      <c r="L60" s="21">
        <f t="shared" si="55"/>
        <v>17081.266769846985</v>
      </c>
      <c r="M60" s="83">
        <f t="shared" si="55"/>
        <v>19397.059512168991</v>
      </c>
      <c r="N60" s="33"/>
      <c r="O60" s="33"/>
      <c r="P60" s="33"/>
      <c r="Q60" s="160" t="s">
        <v>50</v>
      </c>
      <c r="R60" s="135">
        <v>0.08</v>
      </c>
      <c r="S60" s="136"/>
      <c r="T60" s="136"/>
      <c r="U60" s="136"/>
      <c r="V60" s="136"/>
      <c r="W60" s="136"/>
      <c r="X60" s="136"/>
      <c r="Y60" s="136"/>
      <c r="Z60" s="136"/>
      <c r="AA60" s="151"/>
    </row>
    <row r="61" spans="1:27" x14ac:dyDescent="0.25">
      <c r="A61" s="84" t="s">
        <v>19</v>
      </c>
      <c r="B61" s="82"/>
      <c r="C61" s="21"/>
      <c r="D61" s="13">
        <f ca="1">D38</f>
        <v>0</v>
      </c>
      <c r="E61" s="13">
        <f t="shared" ref="E61:M61" ca="1" si="56">E38</f>
        <v>0</v>
      </c>
      <c r="F61" s="13">
        <f t="shared" ca="1" si="56"/>
        <v>0</v>
      </c>
      <c r="G61" s="13">
        <f t="shared" ca="1" si="56"/>
        <v>0</v>
      </c>
      <c r="H61" s="13">
        <f t="shared" ca="1" si="56"/>
        <v>0</v>
      </c>
      <c r="I61" s="13">
        <f t="shared" ca="1" si="56"/>
        <v>0</v>
      </c>
      <c r="J61" s="13">
        <f t="shared" ca="1" si="56"/>
        <v>0</v>
      </c>
      <c r="K61" s="13">
        <f t="shared" ca="1" si="56"/>
        <v>0</v>
      </c>
      <c r="L61" s="13">
        <f t="shared" ca="1" si="56"/>
        <v>0</v>
      </c>
      <c r="M61" s="85">
        <f t="shared" ca="1" si="56"/>
        <v>0</v>
      </c>
      <c r="N61" s="25"/>
      <c r="O61" s="25"/>
      <c r="P61" s="25"/>
      <c r="Q61" s="160" t="s">
        <v>51</v>
      </c>
      <c r="R61" s="135">
        <v>0.11</v>
      </c>
      <c r="S61" s="136"/>
      <c r="T61" s="136"/>
      <c r="U61" s="136"/>
      <c r="V61" s="136"/>
      <c r="W61" s="136"/>
      <c r="X61" s="136"/>
      <c r="Y61" s="136"/>
      <c r="Z61" s="136"/>
      <c r="AA61" s="151"/>
    </row>
    <row r="62" spans="1:27" x14ac:dyDescent="0.25">
      <c r="A62" s="107" t="s">
        <v>68</v>
      </c>
      <c r="B62" s="82"/>
      <c r="C62" s="21"/>
      <c r="D62" s="21">
        <f ca="1">SUM(D60:D61)</f>
        <v>6177.2260273972606</v>
      </c>
      <c r="E62" s="21">
        <f t="shared" ref="E62:M62" ca="1" si="57">SUM(E60:E61)</f>
        <v>7014.7034460616433</v>
      </c>
      <c r="F62" s="21">
        <f t="shared" ca="1" si="57"/>
        <v>7965.7218657614512</v>
      </c>
      <c r="G62" s="21">
        <f t="shared" ca="1" si="57"/>
        <v>9045.6746077120606</v>
      </c>
      <c r="H62" s="21">
        <f t="shared" ca="1" si="57"/>
        <v>10272.041942652626</v>
      </c>
      <c r="I62" s="21">
        <f t="shared" ca="1" si="57"/>
        <v>11664.674029027756</v>
      </c>
      <c r="J62" s="21">
        <f t="shared" ca="1" si="57"/>
        <v>13246.112210513198</v>
      </c>
      <c r="K62" s="21">
        <f t="shared" ca="1" si="57"/>
        <v>15041.953873453524</v>
      </c>
      <c r="L62" s="21">
        <f t="shared" ca="1" si="57"/>
        <v>17081.266769846985</v>
      </c>
      <c r="M62" s="83">
        <f t="shared" ca="1" si="57"/>
        <v>19397.059512168991</v>
      </c>
      <c r="N62" s="25"/>
      <c r="O62" s="25"/>
      <c r="P62" s="25"/>
      <c r="Q62" s="129" t="s">
        <v>55</v>
      </c>
      <c r="R62" s="135">
        <v>0.4</v>
      </c>
      <c r="S62" s="136"/>
      <c r="T62" s="136"/>
      <c r="U62" s="136"/>
      <c r="V62" s="136"/>
      <c r="W62" s="136"/>
      <c r="X62" s="136"/>
      <c r="Y62" s="136"/>
      <c r="Z62" s="136"/>
      <c r="AA62" s="151"/>
    </row>
    <row r="63" spans="1:27" x14ac:dyDescent="0.25">
      <c r="A63" s="84"/>
      <c r="B63" s="8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83"/>
      <c r="N63" s="25"/>
      <c r="O63" s="25"/>
      <c r="P63" s="25"/>
      <c r="Q63" s="129" t="s">
        <v>57</v>
      </c>
      <c r="R63" s="125">
        <f>Mortgage!E14</f>
        <v>15939.62181116373</v>
      </c>
      <c r="S63" s="125">
        <f>Mortgage!E28</f>
        <v>15800.952214313083</v>
      </c>
      <c r="T63" s="125">
        <f>Mortgage!E42</f>
        <v>15650.773109314636</v>
      </c>
      <c r="U63" s="125">
        <f>Mortgage!E56</f>
        <v>15488.129212668529</v>
      </c>
      <c r="V63" s="125">
        <f>Mortgage!E70</f>
        <v>15311.985952815538</v>
      </c>
      <c r="W63" s="125">
        <f>Mortgage!E84</f>
        <v>15121.222889267283</v>
      </c>
      <c r="X63" s="125">
        <f>Mortgage!E98</f>
        <v>14914.626585527436</v>
      </c>
      <c r="Y63" s="125">
        <f>Mortgage!E112</f>
        <v>14690.882890468924</v>
      </c>
      <c r="Z63" s="125">
        <f>Mortgage!E126</f>
        <v>14448.568579069266</v>
      </c>
      <c r="AA63" s="126">
        <f>Mortgage!E140</f>
        <v>14186.142299331035</v>
      </c>
    </row>
    <row r="64" spans="1:27" x14ac:dyDescent="0.25">
      <c r="A64" s="81" t="s">
        <v>64</v>
      </c>
      <c r="B64" s="8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83"/>
      <c r="N64" s="25"/>
      <c r="O64" s="25"/>
      <c r="P64" s="25"/>
      <c r="Q64" s="129" t="s">
        <v>75</v>
      </c>
      <c r="R64" s="135">
        <v>1.5</v>
      </c>
      <c r="S64" s="136" t="s">
        <v>76</v>
      </c>
      <c r="T64" s="136"/>
      <c r="U64" s="136"/>
      <c r="V64" s="29"/>
      <c r="W64" s="29"/>
      <c r="X64" s="29"/>
      <c r="Y64" s="29"/>
      <c r="Z64" s="29"/>
      <c r="AA64" s="137"/>
    </row>
    <row r="65" spans="1:27" x14ac:dyDescent="0.25">
      <c r="A65" s="84" t="s">
        <v>20</v>
      </c>
      <c r="B65" s="82"/>
      <c r="C65" s="21"/>
      <c r="D65" s="21">
        <f>R57-Mortgage!D14</f>
        <v>198329.2720380587</v>
      </c>
      <c r="E65" s="21">
        <f>D65-Mortgage!D28</f>
        <v>196519.87447926676</v>
      </c>
      <c r="F65" s="21">
        <f>E65-Mortgage!D42</f>
        <v>194560.29781547637</v>
      </c>
      <c r="G65" s="21">
        <f>F65-Mortgage!D56</f>
        <v>192438.07725503988</v>
      </c>
      <c r="H65" s="21">
        <f>G65-Mortgage!D70</f>
        <v>190139.71343475039</v>
      </c>
      <c r="I65" s="21">
        <f>H65-Mortgage!D84</f>
        <v>187650.58655091265</v>
      </c>
      <c r="J65" s="21">
        <f>I65-Mortgage!D98</f>
        <v>184954.86336333505</v>
      </c>
      <c r="K65" s="21">
        <f>J65-Mortgage!D112</f>
        <v>182035.39648069895</v>
      </c>
      <c r="L65" s="21">
        <f>K65-Mortgage!D126</f>
        <v>178873.6152866632</v>
      </c>
      <c r="M65" s="83">
        <f>L65-Mortgage!D140</f>
        <v>175449.4078128892</v>
      </c>
      <c r="N65" s="33"/>
      <c r="O65" s="33"/>
      <c r="P65" s="33"/>
      <c r="Q65" s="129" t="s">
        <v>140</v>
      </c>
      <c r="R65" s="161">
        <v>2</v>
      </c>
      <c r="S65" s="136" t="s">
        <v>141</v>
      </c>
      <c r="T65" s="136"/>
      <c r="U65" s="136"/>
      <c r="V65" s="29"/>
      <c r="W65" s="29"/>
      <c r="X65" s="29"/>
      <c r="Y65" s="29"/>
      <c r="Z65" s="29"/>
      <c r="AA65" s="137"/>
    </row>
    <row r="66" spans="1:27" ht="15.75" thickBot="1" x14ac:dyDescent="0.3">
      <c r="A66" s="84" t="s">
        <v>21</v>
      </c>
      <c r="B66" s="82"/>
      <c r="C66" s="21"/>
      <c r="D66" s="13">
        <f t="shared" ref="D66:M66" ca="1" si="58">D56-D62-D65-D72</f>
        <v>66319.059311015357</v>
      </c>
      <c r="E66" s="13">
        <f t="shared" ca="1" si="58"/>
        <v>77818.544996972196</v>
      </c>
      <c r="F66" s="13">
        <f t="shared" ca="1" si="58"/>
        <v>91804.838961290283</v>
      </c>
      <c r="G66" s="13">
        <f t="shared" ca="1" si="58"/>
        <v>109099.2307605797</v>
      </c>
      <c r="H66" s="13">
        <f t="shared" ca="1" si="58"/>
        <v>130704.72527879561</v>
      </c>
      <c r="I66" s="13">
        <f t="shared" ca="1" si="58"/>
        <v>157838.3382460078</v>
      </c>
      <c r="J66" s="13">
        <f t="shared" ca="1" si="58"/>
        <v>191968.47938414104</v>
      </c>
      <c r="K66" s="13">
        <f t="shared" ca="1" si="58"/>
        <v>234858.16856649338</v>
      </c>
      <c r="L66" s="13">
        <f t="shared" ca="1" si="58"/>
        <v>288614.93458563206</v>
      </c>
      <c r="M66" s="13">
        <f t="shared" ca="1" si="58"/>
        <v>355748.36444249161</v>
      </c>
      <c r="N66" s="25"/>
      <c r="O66" s="25"/>
      <c r="P66" s="25"/>
      <c r="Q66" s="162" t="s">
        <v>82</v>
      </c>
      <c r="R66" s="163">
        <f ca="1">R145</f>
        <v>7.0841723954682079E-2</v>
      </c>
      <c r="S66" s="145"/>
      <c r="T66" s="145"/>
      <c r="U66" s="145"/>
      <c r="V66" s="146"/>
      <c r="W66" s="146"/>
      <c r="X66" s="146"/>
      <c r="Y66" s="146"/>
      <c r="Z66" s="146"/>
      <c r="AA66" s="147"/>
    </row>
    <row r="67" spans="1:27" x14ac:dyDescent="0.25">
      <c r="A67" s="81" t="s">
        <v>65</v>
      </c>
      <c r="B67" s="82"/>
      <c r="C67" s="21"/>
      <c r="D67" s="21">
        <f ca="1">SUM(D65:D66)</f>
        <v>264648.33134907403</v>
      </c>
      <c r="E67" s="21">
        <f ca="1">SUM(E65:E66)</f>
        <v>274338.41947623895</v>
      </c>
      <c r="F67" s="21">
        <f ca="1">SUM(F65:F66)</f>
        <v>286365.13677676662</v>
      </c>
      <c r="G67" s="21">
        <f ca="1">SUM(G65:G66)</f>
        <v>301537.30801561958</v>
      </c>
      <c r="H67" s="21">
        <f t="shared" ref="H67:M67" ca="1" si="59">SUM(H65:H66)</f>
        <v>320844.43871354603</v>
      </c>
      <c r="I67" s="21">
        <f t="shared" ca="1" si="59"/>
        <v>345488.92479692044</v>
      </c>
      <c r="J67" s="21">
        <f t="shared" ca="1" si="59"/>
        <v>376923.34274747607</v>
      </c>
      <c r="K67" s="21">
        <f t="shared" ca="1" si="59"/>
        <v>416893.56504719233</v>
      </c>
      <c r="L67" s="21">
        <f t="shared" ca="1" si="59"/>
        <v>467488.54987229523</v>
      </c>
      <c r="M67" s="83">
        <f t="shared" ca="1" si="59"/>
        <v>531197.77225538087</v>
      </c>
      <c r="N67" s="25"/>
      <c r="O67" s="25"/>
      <c r="P67" s="27"/>
      <c r="Q67" s="28"/>
      <c r="R67" s="28"/>
      <c r="S67" s="28"/>
      <c r="T67" s="28"/>
    </row>
    <row r="68" spans="1:27" x14ac:dyDescent="0.25">
      <c r="A68" s="81"/>
      <c r="B68" s="8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83"/>
      <c r="N68" s="25"/>
      <c r="O68" s="25"/>
      <c r="P68" s="27"/>
      <c r="Q68" s="28"/>
    </row>
    <row r="69" spans="1:27" x14ac:dyDescent="0.25">
      <c r="A69" s="81" t="s">
        <v>66</v>
      </c>
      <c r="B69" s="8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83"/>
      <c r="N69" s="25"/>
      <c r="O69" s="25"/>
      <c r="P69" s="27"/>
    </row>
    <row r="70" spans="1:27" x14ac:dyDescent="0.25">
      <c r="A70" s="84" t="s">
        <v>22</v>
      </c>
      <c r="B70" s="82"/>
      <c r="C70" s="21"/>
      <c r="D70" s="21">
        <f>R56</f>
        <v>300000</v>
      </c>
      <c r="E70" s="21">
        <f>D70</f>
        <v>300000</v>
      </c>
      <c r="F70" s="21">
        <f>D70</f>
        <v>300000</v>
      </c>
      <c r="G70" s="21">
        <f>D70</f>
        <v>300000</v>
      </c>
      <c r="H70" s="21">
        <f t="shared" ref="H70:M70" si="60">E70</f>
        <v>300000</v>
      </c>
      <c r="I70" s="21">
        <f t="shared" si="60"/>
        <v>300000</v>
      </c>
      <c r="J70" s="21">
        <f t="shared" si="60"/>
        <v>300000</v>
      </c>
      <c r="K70" s="21">
        <f t="shared" si="60"/>
        <v>300000</v>
      </c>
      <c r="L70" s="21">
        <f t="shared" si="60"/>
        <v>300000</v>
      </c>
      <c r="M70" s="83">
        <f t="shared" si="60"/>
        <v>300000</v>
      </c>
      <c r="N70" s="33"/>
      <c r="O70" s="33"/>
      <c r="P70" s="27"/>
    </row>
    <row r="71" spans="1:27" x14ac:dyDescent="0.25">
      <c r="A71" s="84" t="s">
        <v>23</v>
      </c>
      <c r="B71" s="82"/>
      <c r="C71" s="21"/>
      <c r="D71" s="13">
        <f ca="1">D39</f>
        <v>-22640.801668708751</v>
      </c>
      <c r="E71" s="13">
        <f t="shared" ref="E71:M71" ca="1" si="61">E39+D71</f>
        <v>-46922.879041022097</v>
      </c>
      <c r="F71" s="13">
        <f t="shared" ca="1" si="61"/>
        <v>-73504.704208349489</v>
      </c>
      <c r="G71" s="13">
        <f t="shared" ca="1" si="61"/>
        <v>-103198.6094500399</v>
      </c>
      <c r="H71" s="13">
        <f t="shared" ca="1" si="61"/>
        <v>-136998.74860183217</v>
      </c>
      <c r="I71" s="13">
        <f t="shared" ca="1" si="61"/>
        <v>-176113.51400041475</v>
      </c>
      <c r="J71" s="13">
        <f t="shared" ca="1" si="61"/>
        <v>-222003.0662242457</v>
      </c>
      <c r="K71" s="13">
        <f t="shared" ca="1" si="61"/>
        <v>-276422.72613977763</v>
      </c>
      <c r="L71" s="13">
        <f t="shared" ca="1" si="61"/>
        <v>-341473.08358689188</v>
      </c>
      <c r="M71" s="85">
        <f t="shared" ca="1" si="61"/>
        <v>-419657.79606080987</v>
      </c>
      <c r="N71" s="25"/>
      <c r="O71" s="25"/>
      <c r="P71" s="27"/>
    </row>
    <row r="72" spans="1:27" x14ac:dyDescent="0.25">
      <c r="A72" s="107" t="s">
        <v>69</v>
      </c>
      <c r="B72" s="82"/>
      <c r="C72" s="21"/>
      <c r="D72" s="21">
        <f ca="1">SUM(D70:D71)</f>
        <v>277359.19833129126</v>
      </c>
      <c r="E72" s="21">
        <f ca="1">SUM(E70:E71)</f>
        <v>253077.1209589779</v>
      </c>
      <c r="F72" s="21">
        <f ca="1">SUM(F70:F71)</f>
        <v>226495.29579165051</v>
      </c>
      <c r="G72" s="21">
        <f ca="1">SUM(G70:G71)</f>
        <v>196801.39054996008</v>
      </c>
      <c r="H72" s="21">
        <f t="shared" ref="H72:M72" ca="1" si="62">SUM(H70:H71)</f>
        <v>163001.25139816783</v>
      </c>
      <c r="I72" s="21">
        <f t="shared" ca="1" si="62"/>
        <v>123886.48599958525</v>
      </c>
      <c r="J72" s="21">
        <f t="shared" ca="1" si="62"/>
        <v>77996.933775754296</v>
      </c>
      <c r="K72" s="21">
        <f t="shared" ca="1" si="62"/>
        <v>23577.273860222369</v>
      </c>
      <c r="L72" s="21">
        <f t="shared" ca="1" si="62"/>
        <v>-41473.08358689188</v>
      </c>
      <c r="M72" s="83">
        <f t="shared" ca="1" si="62"/>
        <v>-119657.79606080987</v>
      </c>
      <c r="N72" s="25"/>
      <c r="O72" s="25"/>
      <c r="P72" s="27"/>
    </row>
    <row r="73" spans="1:27" x14ac:dyDescent="0.25">
      <c r="A73" s="81"/>
      <c r="B73" s="82"/>
      <c r="C73" s="82"/>
      <c r="D73" s="21"/>
      <c r="E73" s="21"/>
      <c r="F73" s="21"/>
      <c r="G73" s="21"/>
      <c r="H73" s="21"/>
      <c r="I73" s="21"/>
      <c r="J73" s="21"/>
      <c r="K73" s="21"/>
      <c r="L73" s="21"/>
      <c r="M73" s="83"/>
      <c r="N73" s="25"/>
      <c r="O73" s="25"/>
      <c r="P73" s="27"/>
    </row>
    <row r="74" spans="1:27" ht="15.75" thickBot="1" x14ac:dyDescent="0.3">
      <c r="A74" s="109" t="s">
        <v>24</v>
      </c>
      <c r="B74" s="110"/>
      <c r="C74" s="110"/>
      <c r="D74" s="111">
        <f ca="1">D62+D67+D72</f>
        <v>548184.75570776255</v>
      </c>
      <c r="E74" s="111">
        <f ca="1">E62+E67+E72</f>
        <v>534430.24388127844</v>
      </c>
      <c r="F74" s="111">
        <f ca="1">F62+F67+F72</f>
        <v>520826.15443417861</v>
      </c>
      <c r="G74" s="111">
        <f ca="1">G62+G67+G72</f>
        <v>507384.37317329174</v>
      </c>
      <c r="H74" s="111">
        <f t="shared" ref="H74:M74" ca="1" si="63">H62+H67+H72</f>
        <v>494117.7320543665</v>
      </c>
      <c r="I74" s="111">
        <f t="shared" ca="1" si="63"/>
        <v>481040.08482553344</v>
      </c>
      <c r="J74" s="111">
        <f t="shared" ca="1" si="63"/>
        <v>468166.38873374357</v>
      </c>
      <c r="K74" s="111">
        <f t="shared" ca="1" si="63"/>
        <v>455512.79278086824</v>
      </c>
      <c r="L74" s="111">
        <f t="shared" ca="1" si="63"/>
        <v>443096.73305525031</v>
      </c>
      <c r="M74" s="112">
        <f t="shared" ca="1" si="63"/>
        <v>430937.03570673999</v>
      </c>
      <c r="N74" s="23"/>
      <c r="O74" s="23"/>
      <c r="P74" s="27"/>
    </row>
    <row r="75" spans="1:27" ht="24" thickBot="1" x14ac:dyDescent="0.4">
      <c r="A75" s="23"/>
      <c r="B75" s="23"/>
      <c r="C75" s="23"/>
      <c r="D75" s="44" t="str">
        <f ca="1">IF(ABS(D56-D74)&gt;1,ABS(D74-D56),"")</f>
        <v/>
      </c>
      <c r="E75" s="44" t="str">
        <f t="shared" ref="E75:M75" ca="1" si="64">IF(ABS(E56-E74)&gt;1,ABS(E74-E56),"")</f>
        <v/>
      </c>
      <c r="F75" s="44" t="str">
        <f t="shared" ca="1" si="64"/>
        <v/>
      </c>
      <c r="G75" s="44" t="str">
        <f t="shared" ca="1" si="64"/>
        <v/>
      </c>
      <c r="H75" s="44" t="str">
        <f t="shared" ca="1" si="64"/>
        <v/>
      </c>
      <c r="I75" s="44" t="str">
        <f t="shared" ca="1" si="64"/>
        <v/>
      </c>
      <c r="J75" s="44" t="str">
        <f t="shared" ca="1" si="64"/>
        <v/>
      </c>
      <c r="K75" s="44" t="str">
        <f t="shared" ca="1" si="64"/>
        <v/>
      </c>
      <c r="L75" s="44" t="str">
        <f t="shared" ca="1" si="64"/>
        <v/>
      </c>
      <c r="M75" s="44" t="str">
        <f t="shared" ca="1" si="64"/>
        <v/>
      </c>
      <c r="N75" s="34"/>
      <c r="O75" s="34"/>
      <c r="P75" s="27"/>
    </row>
    <row r="76" spans="1:27" ht="24" thickBot="1" x14ac:dyDescent="0.4">
      <c r="A76" s="99" t="s">
        <v>25</v>
      </c>
      <c r="B76" s="100"/>
      <c r="C76" s="101" t="s">
        <v>77</v>
      </c>
      <c r="D76" s="101" t="s">
        <v>78</v>
      </c>
      <c r="E76" s="101" t="s">
        <v>79</v>
      </c>
      <c r="F76" s="101" t="s">
        <v>80</v>
      </c>
      <c r="G76" s="101" t="s">
        <v>81</v>
      </c>
      <c r="H76" s="101" t="s">
        <v>121</v>
      </c>
      <c r="I76" s="101" t="s">
        <v>122</v>
      </c>
      <c r="J76" s="101" t="s">
        <v>123</v>
      </c>
      <c r="K76" s="101" t="s">
        <v>124</v>
      </c>
      <c r="L76" s="101" t="s">
        <v>125</v>
      </c>
      <c r="M76" s="102" t="s">
        <v>126</v>
      </c>
      <c r="N76" s="35"/>
      <c r="O76" s="35"/>
      <c r="P76" s="27"/>
    </row>
    <row r="77" spans="1:27" x14ac:dyDescent="0.25">
      <c r="A77" s="76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8"/>
      <c r="N77" s="35"/>
      <c r="O77" s="35"/>
      <c r="P77" s="27"/>
    </row>
    <row r="78" spans="1:27" x14ac:dyDescent="0.25">
      <c r="A78" s="79" t="s">
        <v>26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80"/>
      <c r="N78" s="25"/>
      <c r="O78" s="25"/>
      <c r="P78" s="27"/>
    </row>
    <row r="79" spans="1:27" x14ac:dyDescent="0.25">
      <c r="A79" s="81" t="s">
        <v>84</v>
      </c>
      <c r="B79" s="82"/>
      <c r="C79" s="21"/>
      <c r="D79" s="21">
        <f t="shared" ref="D79:M79" si="65">D22-D29</f>
        <v>16276.25</v>
      </c>
      <c r="E79" s="21">
        <f t="shared" si="65"/>
        <v>15761.248125000013</v>
      </c>
      <c r="F79" s="21">
        <f t="shared" si="65"/>
        <v>14849.813561062518</v>
      </c>
      <c r="G79" s="21">
        <f t="shared" si="65"/>
        <v>13477.472687975212</v>
      </c>
      <c r="H79" s="21">
        <f t="shared" si="65"/>
        <v>11571.699915024132</v>
      </c>
      <c r="I79" s="21">
        <f t="shared" si="65"/>
        <v>9051.0080310788762</v>
      </c>
      <c r="J79" s="21">
        <f t="shared" si="65"/>
        <v>5823.940427285328</v>
      </c>
      <c r="K79" s="21">
        <f t="shared" si="65"/>
        <v>1787.9548505846178</v>
      </c>
      <c r="L79" s="21">
        <f t="shared" si="65"/>
        <v>-3171.8127302921202</v>
      </c>
      <c r="M79" s="83">
        <f t="shared" si="65"/>
        <v>-9183.9167525795056</v>
      </c>
      <c r="N79" s="33"/>
      <c r="O79" s="33"/>
      <c r="P79" s="27"/>
    </row>
    <row r="80" spans="1:27" x14ac:dyDescent="0.25">
      <c r="A80" s="84" t="s">
        <v>85</v>
      </c>
      <c r="B80" s="82"/>
      <c r="C80" s="21"/>
      <c r="D80" s="13">
        <f>D32</f>
        <v>15682.333333333334</v>
      </c>
      <c r="E80" s="13">
        <f>E32</f>
        <v>15682.333333333334</v>
      </c>
      <c r="F80" s="13">
        <f>F32</f>
        <v>15682.333333333334</v>
      </c>
      <c r="G80" s="13">
        <f>G32</f>
        <v>15682.333333333334</v>
      </c>
      <c r="H80" s="13">
        <f t="shared" ref="H80:M80" si="66">H32</f>
        <v>15682.333333333334</v>
      </c>
      <c r="I80" s="13">
        <f t="shared" si="66"/>
        <v>15682.333333333334</v>
      </c>
      <c r="J80" s="13">
        <f t="shared" si="66"/>
        <v>15682.333333333334</v>
      </c>
      <c r="K80" s="13">
        <f t="shared" si="66"/>
        <v>15682.333333333334</v>
      </c>
      <c r="L80" s="13">
        <f t="shared" si="66"/>
        <v>15682.333333333334</v>
      </c>
      <c r="M80" s="85">
        <f t="shared" si="66"/>
        <v>15682.333333333334</v>
      </c>
      <c r="N80" s="25"/>
      <c r="O80" s="25"/>
      <c r="P80" s="27"/>
    </row>
    <row r="81" spans="1:16" x14ac:dyDescent="0.25">
      <c r="A81" s="81" t="s">
        <v>7</v>
      </c>
      <c r="B81" s="82"/>
      <c r="C81" s="21"/>
      <c r="D81" s="21">
        <f>D79-D80</f>
        <v>593.91666666666606</v>
      </c>
      <c r="E81" s="21">
        <f>E79-E80</f>
        <v>78.914791666678866</v>
      </c>
      <c r="F81" s="21">
        <f>F79-F80</f>
        <v>-832.51977227081625</v>
      </c>
      <c r="G81" s="21">
        <f>G79-G80</f>
        <v>-2204.8606453581215</v>
      </c>
      <c r="H81" s="21">
        <f t="shared" ref="H81:M81" si="67">H79-H80</f>
        <v>-4110.6334183092022</v>
      </c>
      <c r="I81" s="21">
        <f t="shared" si="67"/>
        <v>-6631.3253022544577</v>
      </c>
      <c r="J81" s="21">
        <f t="shared" si="67"/>
        <v>-9858.3929060480059</v>
      </c>
      <c r="K81" s="21">
        <f t="shared" si="67"/>
        <v>-13894.378482748716</v>
      </c>
      <c r="L81" s="21">
        <f t="shared" si="67"/>
        <v>-18854.146063625456</v>
      </c>
      <c r="M81" s="83">
        <f t="shared" si="67"/>
        <v>-24866.250085912841</v>
      </c>
      <c r="N81" s="36"/>
      <c r="O81" s="36"/>
      <c r="P81" s="27"/>
    </row>
    <row r="82" spans="1:16" x14ac:dyDescent="0.25">
      <c r="A82" s="86" t="s">
        <v>86</v>
      </c>
      <c r="B82" s="39"/>
      <c r="C82" s="39"/>
      <c r="D82" s="18">
        <f>D81*$R$62</f>
        <v>237.56666666666644</v>
      </c>
      <c r="E82" s="18">
        <f>E81*$R$62</f>
        <v>31.565916666671548</v>
      </c>
      <c r="F82" s="18">
        <f>F81*$R$62</f>
        <v>-333.0079089083265</v>
      </c>
      <c r="G82" s="18">
        <f>G81*$R$62</f>
        <v>-881.94425814324859</v>
      </c>
      <c r="H82" s="18">
        <f t="shared" ref="H82:M82" si="68">H81*$R$62</f>
        <v>-1644.253367323681</v>
      </c>
      <c r="I82" s="18">
        <f t="shared" si="68"/>
        <v>-2652.5301209017834</v>
      </c>
      <c r="J82" s="18">
        <f t="shared" si="68"/>
        <v>-3943.3571624192027</v>
      </c>
      <c r="K82" s="18">
        <f t="shared" si="68"/>
        <v>-5557.7513930994864</v>
      </c>
      <c r="L82" s="18">
        <f t="shared" si="68"/>
        <v>-7541.6584254501831</v>
      </c>
      <c r="M82" s="87">
        <f t="shared" si="68"/>
        <v>-9946.5000343651373</v>
      </c>
      <c r="N82" s="37"/>
      <c r="O82" s="37"/>
      <c r="P82" s="27"/>
    </row>
    <row r="83" spans="1:16" x14ac:dyDescent="0.25">
      <c r="A83" s="88" t="s">
        <v>87</v>
      </c>
      <c r="B83" s="39"/>
      <c r="C83" s="39"/>
      <c r="D83" s="40">
        <f>D81-D82</f>
        <v>356.34999999999962</v>
      </c>
      <c r="E83" s="40">
        <f>E81-E82</f>
        <v>47.348875000007318</v>
      </c>
      <c r="F83" s="40">
        <f>F81-F82</f>
        <v>-499.51186336248975</v>
      </c>
      <c r="G83" s="40">
        <f>G81-G82</f>
        <v>-1322.9163872148729</v>
      </c>
      <c r="H83" s="40">
        <f t="shared" ref="H83:M83" si="69">H81-H82</f>
        <v>-2466.3800509855209</v>
      </c>
      <c r="I83" s="40">
        <f t="shared" si="69"/>
        <v>-3978.7951813526743</v>
      </c>
      <c r="J83" s="40">
        <f t="shared" si="69"/>
        <v>-5915.0357436288032</v>
      </c>
      <c r="K83" s="40">
        <f t="shared" si="69"/>
        <v>-8336.6270896492297</v>
      </c>
      <c r="L83" s="40">
        <f t="shared" si="69"/>
        <v>-11312.487638175273</v>
      </c>
      <c r="M83" s="89">
        <f t="shared" si="69"/>
        <v>-14919.750051547704</v>
      </c>
      <c r="N83" s="37"/>
      <c r="O83" s="37"/>
      <c r="P83" s="27"/>
    </row>
    <row r="84" spans="1:16" x14ac:dyDescent="0.25">
      <c r="A84" s="86" t="s">
        <v>74</v>
      </c>
      <c r="B84" s="39"/>
      <c r="C84" s="39"/>
      <c r="D84" s="40">
        <f>D80</f>
        <v>15682.333333333334</v>
      </c>
      <c r="E84" s="40">
        <f>E80</f>
        <v>15682.333333333334</v>
      </c>
      <c r="F84" s="40">
        <f>F80</f>
        <v>15682.333333333334</v>
      </c>
      <c r="G84" s="40">
        <f>G80</f>
        <v>15682.333333333334</v>
      </c>
      <c r="H84" s="40">
        <f t="shared" ref="H84:M84" si="70">H80</f>
        <v>15682.333333333334</v>
      </c>
      <c r="I84" s="40">
        <f t="shared" si="70"/>
        <v>15682.333333333334</v>
      </c>
      <c r="J84" s="40">
        <f t="shared" si="70"/>
        <v>15682.333333333334</v>
      </c>
      <c r="K84" s="40">
        <f t="shared" si="70"/>
        <v>15682.333333333334</v>
      </c>
      <c r="L84" s="40">
        <f t="shared" si="70"/>
        <v>15682.333333333334</v>
      </c>
      <c r="M84" s="89">
        <f t="shared" si="70"/>
        <v>15682.333333333334</v>
      </c>
      <c r="N84" s="36"/>
      <c r="O84" s="36"/>
      <c r="P84" s="42"/>
    </row>
    <row r="85" spans="1:16" x14ac:dyDescent="0.25">
      <c r="A85" s="88"/>
      <c r="B85" s="90" t="s">
        <v>27</v>
      </c>
      <c r="C85" s="15">
        <v>0</v>
      </c>
      <c r="D85" s="14">
        <f>D83+D84</f>
        <v>16038.683333333334</v>
      </c>
      <c r="E85" s="14">
        <f>E83+E84</f>
        <v>15729.682208333341</v>
      </c>
      <c r="F85" s="14">
        <f>F83+F84</f>
        <v>15182.821469970844</v>
      </c>
      <c r="G85" s="14">
        <f>G83+G84</f>
        <v>14359.416946118461</v>
      </c>
      <c r="H85" s="14">
        <f t="shared" ref="H85:M85" si="71">H83+H84</f>
        <v>13215.953282347813</v>
      </c>
      <c r="I85" s="14">
        <f t="shared" si="71"/>
        <v>11703.53815198066</v>
      </c>
      <c r="J85" s="14">
        <f t="shared" si="71"/>
        <v>9767.2975897045308</v>
      </c>
      <c r="K85" s="14">
        <f t="shared" si="71"/>
        <v>7345.7062436841043</v>
      </c>
      <c r="L85" s="14">
        <f t="shared" si="71"/>
        <v>4369.8456951580611</v>
      </c>
      <c r="M85" s="91">
        <f t="shared" si="71"/>
        <v>762.58328178562988</v>
      </c>
      <c r="N85" s="35"/>
      <c r="O85" s="35"/>
      <c r="P85" s="29"/>
    </row>
    <row r="86" spans="1:16" x14ac:dyDescent="0.25">
      <c r="A86" s="88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80"/>
      <c r="N86" s="35"/>
      <c r="O86" s="35"/>
    </row>
    <row r="87" spans="1:16" x14ac:dyDescent="0.25">
      <c r="A87" s="79" t="s">
        <v>28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80"/>
      <c r="N87" s="35"/>
      <c r="O87" s="35"/>
    </row>
    <row r="88" spans="1:16" x14ac:dyDescent="0.25">
      <c r="A88" s="88"/>
      <c r="B88" s="39" t="s">
        <v>29</v>
      </c>
      <c r="C88" s="40">
        <f>-R53</f>
        <v>-470470</v>
      </c>
      <c r="D88" s="39"/>
      <c r="E88" s="39"/>
      <c r="F88" s="39"/>
      <c r="G88" s="39"/>
      <c r="H88" s="39"/>
      <c r="I88" s="39"/>
      <c r="J88" s="39"/>
      <c r="K88" s="39"/>
      <c r="L88" s="39"/>
      <c r="M88" s="80"/>
      <c r="N88" s="37"/>
      <c r="O88" s="37"/>
    </row>
    <row r="89" spans="1:16" x14ac:dyDescent="0.25">
      <c r="A89" s="88"/>
      <c r="B89" s="39" t="s">
        <v>30</v>
      </c>
      <c r="C89" s="39"/>
      <c r="D89" s="39"/>
      <c r="E89" s="39"/>
      <c r="F89" s="39"/>
      <c r="G89" s="40"/>
      <c r="H89" s="40"/>
      <c r="I89" s="40"/>
      <c r="J89" s="40"/>
      <c r="K89" s="40"/>
      <c r="L89" s="40"/>
      <c r="M89" s="89">
        <f>SUM(M52:M53)*R64</f>
        <v>940940</v>
      </c>
      <c r="N89" s="38"/>
      <c r="O89" s="38"/>
    </row>
    <row r="90" spans="1:16" x14ac:dyDescent="0.25">
      <c r="A90" s="88"/>
      <c r="B90" s="39" t="s">
        <v>31</v>
      </c>
      <c r="C90" s="39"/>
      <c r="D90" s="39"/>
      <c r="E90" s="39"/>
      <c r="F90" s="39"/>
      <c r="G90" s="20"/>
      <c r="H90" s="20"/>
      <c r="I90" s="20"/>
      <c r="J90" s="20"/>
      <c r="K90" s="20"/>
      <c r="L90" s="20"/>
      <c r="M90" s="92">
        <f>-(M89-SUM(M52:M53))*R62</f>
        <v>-125458.66666666666</v>
      </c>
      <c r="N90" s="37"/>
      <c r="O90" s="37"/>
    </row>
    <row r="91" spans="1:16" x14ac:dyDescent="0.25">
      <c r="A91" s="88"/>
      <c r="B91" s="39" t="s">
        <v>137</v>
      </c>
      <c r="C91" s="40">
        <f>-R52</f>
        <v>-58162.499999999964</v>
      </c>
      <c r="D91" s="39"/>
      <c r="E91" s="39"/>
      <c r="F91" s="39"/>
      <c r="G91" s="20"/>
      <c r="H91" s="20"/>
      <c r="I91" s="20"/>
      <c r="J91" s="20"/>
      <c r="K91" s="20"/>
      <c r="L91" s="20"/>
      <c r="M91" s="92"/>
      <c r="N91" s="35"/>
      <c r="O91" s="35"/>
    </row>
    <row r="92" spans="1:16" x14ac:dyDescent="0.25">
      <c r="A92" s="88"/>
      <c r="B92" s="39" t="s">
        <v>138</v>
      </c>
      <c r="C92" s="39"/>
      <c r="D92" s="39"/>
      <c r="E92" s="39"/>
      <c r="F92" s="39"/>
      <c r="G92" s="20"/>
      <c r="H92" s="20"/>
      <c r="I92" s="20"/>
      <c r="J92" s="20"/>
      <c r="K92" s="20"/>
      <c r="L92" s="20"/>
      <c r="M92" s="92">
        <f>M51*R65</f>
        <v>116324.99999999993</v>
      </c>
      <c r="N92" s="37"/>
      <c r="O92" s="37"/>
    </row>
    <row r="93" spans="1:16" x14ac:dyDescent="0.25">
      <c r="A93" s="88"/>
      <c r="B93" s="39" t="s">
        <v>139</v>
      </c>
      <c r="C93" s="16"/>
      <c r="D93" s="16"/>
      <c r="E93" s="16"/>
      <c r="F93" s="16"/>
      <c r="G93" s="17"/>
      <c r="H93" s="17"/>
      <c r="I93" s="17"/>
      <c r="J93" s="17"/>
      <c r="K93" s="17"/>
      <c r="L93" s="17"/>
      <c r="M93" s="93">
        <f>-(M92-M51)*R62</f>
        <v>-23264.999999999985</v>
      </c>
      <c r="N93" s="37"/>
      <c r="O93" s="37"/>
    </row>
    <row r="94" spans="1:16" x14ac:dyDescent="0.25">
      <c r="A94" s="88"/>
      <c r="B94" s="39"/>
      <c r="C94" s="40">
        <f>SUM(C88:C93)</f>
        <v>-528632.5</v>
      </c>
      <c r="D94" s="40">
        <f t="shared" ref="D94:M94" si="72">SUM(D88:D93)</f>
        <v>0</v>
      </c>
      <c r="E94" s="40">
        <f t="shared" si="72"/>
        <v>0</v>
      </c>
      <c r="F94" s="40">
        <f t="shared" si="72"/>
        <v>0</v>
      </c>
      <c r="G94" s="40">
        <f t="shared" si="72"/>
        <v>0</v>
      </c>
      <c r="H94" s="40">
        <f t="shared" si="72"/>
        <v>0</v>
      </c>
      <c r="I94" s="40">
        <f t="shared" si="72"/>
        <v>0</v>
      </c>
      <c r="J94" s="40">
        <f t="shared" si="72"/>
        <v>0</v>
      </c>
      <c r="K94" s="40">
        <f t="shared" si="72"/>
        <v>0</v>
      </c>
      <c r="L94" s="40">
        <f t="shared" si="72"/>
        <v>0</v>
      </c>
      <c r="M94" s="89">
        <f t="shared" si="72"/>
        <v>908541.33333333326</v>
      </c>
      <c r="N94" s="37"/>
      <c r="O94" s="37"/>
    </row>
    <row r="95" spans="1:16" x14ac:dyDescent="0.25">
      <c r="A95" s="79" t="s">
        <v>32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80"/>
      <c r="N95" s="36"/>
      <c r="O95" s="36"/>
    </row>
    <row r="96" spans="1:16" x14ac:dyDescent="0.25">
      <c r="A96" s="88"/>
      <c r="B96" s="39" t="s">
        <v>13</v>
      </c>
      <c r="C96" s="94">
        <v>0</v>
      </c>
      <c r="D96" s="40">
        <f>C46-D46</f>
        <v>-2996.5753424657532</v>
      </c>
      <c r="E96" s="40">
        <f t="shared" ref="D96:G97" si="73">D46-E46</f>
        <v>-138.77330479452121</v>
      </c>
      <c r="F96" s="40">
        <f t="shared" si="73"/>
        <v>-145.26675632327078</v>
      </c>
      <c r="G96" s="40">
        <f t="shared" si="73"/>
        <v>-152.06693243509153</v>
      </c>
      <c r="H96" s="40">
        <f t="shared" ref="H96:M97" si="74">G46-H46</f>
        <v>-159.18844488279865</v>
      </c>
      <c r="I96" s="40">
        <f t="shared" si="74"/>
        <v>-166.64660671672709</v>
      </c>
      <c r="J96" s="40">
        <f t="shared" si="74"/>
        <v>-174.45746616312863</v>
      </c>
      <c r="K96" s="40">
        <f t="shared" si="74"/>
        <v>-182.63784214832049</v>
      </c>
      <c r="L96" s="40">
        <f t="shared" si="74"/>
        <v>-191.20536154887759</v>
      </c>
      <c r="M96" s="89">
        <f t="shared" si="74"/>
        <v>-200.17849825219037</v>
      </c>
      <c r="N96" s="37"/>
      <c r="O96" s="37"/>
    </row>
    <row r="97" spans="1:15" x14ac:dyDescent="0.25">
      <c r="A97" s="88"/>
      <c r="B97" s="39" t="s">
        <v>14</v>
      </c>
      <c r="C97" s="94">
        <v>0</v>
      </c>
      <c r="D97" s="40">
        <f t="shared" si="73"/>
        <v>-22238.013698630137</v>
      </c>
      <c r="E97" s="40">
        <f t="shared" si="73"/>
        <v>-1789.0482020547934</v>
      </c>
      <c r="F97" s="40">
        <f t="shared" si="73"/>
        <v>-1932.9771299101048</v>
      </c>
      <c r="G97" s="40">
        <f t="shared" si="73"/>
        <v>-2088.4851400113766</v>
      </c>
      <c r="H97" s="40">
        <f t="shared" si="74"/>
        <v>-2256.503769525294</v>
      </c>
      <c r="I97" s="40">
        <f t="shared" si="74"/>
        <v>-2438.0394977835931</v>
      </c>
      <c r="J97" s="40">
        <f t="shared" si="74"/>
        <v>-2634.1797753802966</v>
      </c>
      <c r="K97" s="40">
        <f t="shared" si="74"/>
        <v>-2846.0995383096306</v>
      </c>
      <c r="L97" s="40">
        <f t="shared" si="74"/>
        <v>-3075.0682461666293</v>
      </c>
      <c r="M97" s="89">
        <f t="shared" si="74"/>
        <v>-3322.4574865707546</v>
      </c>
      <c r="N97" s="35"/>
      <c r="O97" s="35"/>
    </row>
    <row r="98" spans="1:15" x14ac:dyDescent="0.25">
      <c r="A98" s="88"/>
      <c r="B98" s="39" t="s">
        <v>18</v>
      </c>
      <c r="C98" s="94">
        <v>0</v>
      </c>
      <c r="D98" s="40">
        <f>D60-C60</f>
        <v>6177.2260273972606</v>
      </c>
      <c r="E98" s="40">
        <f>E60-D60</f>
        <v>837.47741866438264</v>
      </c>
      <c r="F98" s="40">
        <f>F60-E60</f>
        <v>951.01841969980796</v>
      </c>
      <c r="G98" s="40">
        <f>G60-F60</f>
        <v>1079.9527419506094</v>
      </c>
      <c r="H98" s="40">
        <f t="shared" ref="H98:M98" si="75">H60-G60</f>
        <v>1226.3673349405653</v>
      </c>
      <c r="I98" s="40">
        <f t="shared" si="75"/>
        <v>1392.6320863751298</v>
      </c>
      <c r="J98" s="40">
        <f t="shared" si="75"/>
        <v>1581.4381814854423</v>
      </c>
      <c r="K98" s="40">
        <f t="shared" si="75"/>
        <v>1795.8416629403255</v>
      </c>
      <c r="L98" s="40">
        <f t="shared" si="75"/>
        <v>2039.3128963934614</v>
      </c>
      <c r="M98" s="89">
        <f t="shared" si="75"/>
        <v>2315.7927423220062</v>
      </c>
      <c r="N98" s="38"/>
      <c r="O98" s="38"/>
    </row>
    <row r="99" spans="1:15" x14ac:dyDescent="0.25">
      <c r="A99" s="88"/>
      <c r="B99" s="53" t="s">
        <v>88</v>
      </c>
      <c r="C99" s="19">
        <v>0</v>
      </c>
      <c r="D99" s="18">
        <f>D82-C82</f>
        <v>237.56666666666644</v>
      </c>
      <c r="E99" s="18">
        <f>E82-D82</f>
        <v>-206.00074999999489</v>
      </c>
      <c r="F99" s="18">
        <f>F82-E82</f>
        <v>-364.57382557499807</v>
      </c>
      <c r="G99" s="18">
        <f>G82-F82</f>
        <v>-548.93634923492209</v>
      </c>
      <c r="H99" s="18">
        <f t="shared" ref="H99:M99" si="76">H82-G82</f>
        <v>-762.30910918043242</v>
      </c>
      <c r="I99" s="18">
        <f t="shared" si="76"/>
        <v>-1008.2767535781024</v>
      </c>
      <c r="J99" s="18">
        <f t="shared" si="76"/>
        <v>-1290.8270415174193</v>
      </c>
      <c r="K99" s="18">
        <f t="shared" si="76"/>
        <v>-1614.3942306802837</v>
      </c>
      <c r="L99" s="18">
        <f t="shared" si="76"/>
        <v>-1983.9070323506967</v>
      </c>
      <c r="M99" s="87">
        <f t="shared" si="76"/>
        <v>-2404.8416089149541</v>
      </c>
      <c r="N99" s="38"/>
      <c r="O99" s="38"/>
    </row>
    <row r="100" spans="1:15" x14ac:dyDescent="0.25">
      <c r="A100" s="88"/>
      <c r="B100" s="39"/>
      <c r="C100" s="40">
        <f>SUM(C96:C99)</f>
        <v>0</v>
      </c>
      <c r="D100" s="40">
        <f>SUM(D96:D99)</f>
        <v>-18819.796347031963</v>
      </c>
      <c r="E100" s="40">
        <f>SUM(E96:E99)</f>
        <v>-1296.3448381849269</v>
      </c>
      <c r="F100" s="40">
        <f>SUM(F96:F99)</f>
        <v>-1491.7992921085656</v>
      </c>
      <c r="G100" s="40">
        <f>SUM(G96:G99)</f>
        <v>-1709.5356797307809</v>
      </c>
      <c r="H100" s="40">
        <f t="shared" ref="H100:M100" si="77">SUM(H96:H99)</f>
        <v>-1951.6339886479598</v>
      </c>
      <c r="I100" s="40">
        <f t="shared" si="77"/>
        <v>-2220.3307717032931</v>
      </c>
      <c r="J100" s="40">
        <f t="shared" si="77"/>
        <v>-2518.0261015754022</v>
      </c>
      <c r="K100" s="40">
        <f t="shared" si="77"/>
        <v>-2847.2899481979093</v>
      </c>
      <c r="L100" s="40">
        <f t="shared" si="77"/>
        <v>-3210.8677436727421</v>
      </c>
      <c r="M100" s="89">
        <f t="shared" si="77"/>
        <v>-3611.6848514158928</v>
      </c>
      <c r="N100" s="38"/>
      <c r="O100" s="38"/>
    </row>
    <row r="101" spans="1:15" x14ac:dyDescent="0.25">
      <c r="A101" s="79" t="s">
        <v>33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80"/>
      <c r="N101" s="38"/>
      <c r="O101" s="38"/>
    </row>
    <row r="102" spans="1:15" x14ac:dyDescent="0.25">
      <c r="A102" s="88"/>
      <c r="B102" s="39" t="s">
        <v>13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92">
        <f>M46</f>
        <v>4506.9965557306796</v>
      </c>
      <c r="N102" s="37"/>
      <c r="O102" s="37"/>
    </row>
    <row r="103" spans="1:15" x14ac:dyDescent="0.25">
      <c r="A103" s="88"/>
      <c r="B103" s="39" t="s">
        <v>14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92">
        <f>M47</f>
        <v>44620.87248434261</v>
      </c>
      <c r="N103" s="37"/>
      <c r="O103" s="37"/>
    </row>
    <row r="104" spans="1:15" x14ac:dyDescent="0.25">
      <c r="A104" s="88"/>
      <c r="B104" s="39" t="s">
        <v>18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92">
        <f>-M60</f>
        <v>-19397.059512168991</v>
      </c>
      <c r="N104" s="37"/>
      <c r="O104" s="37"/>
    </row>
    <row r="105" spans="1:15" x14ac:dyDescent="0.25">
      <c r="A105" s="88"/>
      <c r="B105" s="39" t="s">
        <v>19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93">
        <f>-M82</f>
        <v>9946.5000343651373</v>
      </c>
      <c r="N105" s="30"/>
      <c r="O105" s="30"/>
    </row>
    <row r="106" spans="1:15" x14ac:dyDescent="0.25">
      <c r="A106" s="88"/>
      <c r="B106" s="39"/>
      <c r="C106" s="40">
        <f>SUM(C102:C105)</f>
        <v>0</v>
      </c>
      <c r="D106" s="40">
        <f>SUM(D102:D105)</f>
        <v>0</v>
      </c>
      <c r="E106" s="40">
        <f>SUM(E102:E105)</f>
        <v>0</v>
      </c>
      <c r="F106" s="40">
        <f>SUM(F102:F105)</f>
        <v>0</v>
      </c>
      <c r="G106" s="40">
        <f>SUM(G102:G105)</f>
        <v>0</v>
      </c>
      <c r="H106" s="40">
        <f t="shared" ref="H106:M106" si="78">SUM(H102:H105)</f>
        <v>0</v>
      </c>
      <c r="I106" s="40">
        <f t="shared" si="78"/>
        <v>0</v>
      </c>
      <c r="J106" s="40">
        <f t="shared" si="78"/>
        <v>0</v>
      </c>
      <c r="K106" s="40">
        <f t="shared" si="78"/>
        <v>0</v>
      </c>
      <c r="L106" s="40">
        <f t="shared" si="78"/>
        <v>0</v>
      </c>
      <c r="M106" s="89">
        <f t="shared" si="78"/>
        <v>39677.309562269438</v>
      </c>
      <c r="N106" s="35"/>
      <c r="O106" s="35"/>
    </row>
    <row r="107" spans="1:15" x14ac:dyDescent="0.25">
      <c r="A107" s="8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89"/>
      <c r="N107" s="35"/>
      <c r="O107" s="35"/>
    </row>
    <row r="108" spans="1:15" x14ac:dyDescent="0.25">
      <c r="A108" s="79" t="s">
        <v>34</v>
      </c>
      <c r="B108" s="39"/>
      <c r="C108" s="40">
        <f>C85+C94+C100+C106</f>
        <v>-528632.5</v>
      </c>
      <c r="D108" s="40">
        <f t="shared" ref="D108:M108" si="79">D85+D94+D100+D106</f>
        <v>-2781.1130136986285</v>
      </c>
      <c r="E108" s="40">
        <f t="shared" si="79"/>
        <v>14433.337370148414</v>
      </c>
      <c r="F108" s="40">
        <f t="shared" si="79"/>
        <v>13691.022177862278</v>
      </c>
      <c r="G108" s="40">
        <f t="shared" si="79"/>
        <v>12649.88126638768</v>
      </c>
      <c r="H108" s="40">
        <f t="shared" si="79"/>
        <v>11264.319293699853</v>
      </c>
      <c r="I108" s="40">
        <f t="shared" si="79"/>
        <v>9483.2073802773666</v>
      </c>
      <c r="J108" s="40">
        <f t="shared" si="79"/>
        <v>7249.2714881291286</v>
      </c>
      <c r="K108" s="40">
        <f t="shared" si="79"/>
        <v>4498.4162954861949</v>
      </c>
      <c r="L108" s="40">
        <f t="shared" si="79"/>
        <v>1158.977951485319</v>
      </c>
      <c r="M108" s="89">
        <f t="shared" si="79"/>
        <v>945369.54132597242</v>
      </c>
      <c r="N108" s="35"/>
      <c r="O108" s="35"/>
    </row>
    <row r="109" spans="1:15" x14ac:dyDescent="0.25">
      <c r="A109" s="79" t="s">
        <v>35</v>
      </c>
      <c r="B109" s="39"/>
      <c r="C109" s="20">
        <f t="shared" ref="C109:L109" ca="1" si="80">-PV($R$66,RIGHT(C76,1),,C108)</f>
        <v>-528632.5</v>
      </c>
      <c r="D109" s="20">
        <f t="shared" ca="1" si="80"/>
        <v>-2597.1279895854382</v>
      </c>
      <c r="E109" s="20">
        <f t="shared" ca="1" si="80"/>
        <v>12586.824997527485</v>
      </c>
      <c r="F109" s="20">
        <f t="shared" ca="1" si="80"/>
        <v>11149.618824405885</v>
      </c>
      <c r="G109" s="20">
        <f t="shared" ca="1" si="80"/>
        <v>9620.226802895224</v>
      </c>
      <c r="H109" s="20">
        <f t="shared" ca="1" si="80"/>
        <v>7999.7889476610926</v>
      </c>
      <c r="I109" s="20">
        <f t="shared" ca="1" si="80"/>
        <v>6289.317803802327</v>
      </c>
      <c r="J109" s="20">
        <f t="shared" ca="1" si="80"/>
        <v>4489.7005171636602</v>
      </c>
      <c r="K109" s="20">
        <f t="shared" ca="1" si="80"/>
        <v>2601.7009001924298</v>
      </c>
      <c r="L109" s="20">
        <f t="shared" ca="1" si="80"/>
        <v>625.96148604564371</v>
      </c>
      <c r="M109" s="92">
        <f ca="1">-PV($R$66,RIGHT(M76,2),,M108)</f>
        <v>476813.73828529677</v>
      </c>
      <c r="N109" s="35"/>
      <c r="O109" s="35"/>
    </row>
    <row r="110" spans="1:15" x14ac:dyDescent="0.25">
      <c r="A110" s="8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80"/>
    </row>
    <row r="111" spans="1:15" x14ac:dyDescent="0.25">
      <c r="A111" s="88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80"/>
    </row>
    <row r="112" spans="1:15" x14ac:dyDescent="0.25">
      <c r="A112" s="79" t="s">
        <v>36</v>
      </c>
      <c r="B112" s="39"/>
      <c r="C112" s="41">
        <f ca="1">SUM(C109:M109)</f>
        <v>947.25057540507987</v>
      </c>
      <c r="D112" s="40"/>
      <c r="E112" s="95"/>
      <c r="F112" s="39"/>
      <c r="G112" s="39"/>
      <c r="H112" s="39"/>
      <c r="I112" s="39"/>
      <c r="J112" s="39"/>
      <c r="K112" s="39"/>
      <c r="L112" s="39"/>
      <c r="M112" s="80"/>
    </row>
    <row r="113" spans="1:16" ht="15.75" thickBot="1" x14ac:dyDescent="0.3">
      <c r="A113" s="96" t="s">
        <v>37</v>
      </c>
      <c r="B113" s="97"/>
      <c r="C113" s="176">
        <f>IRR(C108:M108)</f>
        <v>7.104487335605647E-2</v>
      </c>
      <c r="D113" s="97"/>
      <c r="E113" s="97"/>
      <c r="F113" s="97"/>
      <c r="G113" s="97"/>
      <c r="H113" s="97"/>
      <c r="I113" s="97"/>
      <c r="J113" s="97"/>
      <c r="K113" s="97"/>
      <c r="L113" s="97"/>
      <c r="M113" s="98"/>
    </row>
    <row r="114" spans="1:16" ht="15.75" thickBot="1" x14ac:dyDescent="0.3"/>
    <row r="115" spans="1:16" ht="29.25" thickBot="1" x14ac:dyDescent="0.5">
      <c r="A115" s="73" t="s">
        <v>150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5"/>
    </row>
    <row r="116" spans="1:16" x14ac:dyDescent="0.2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1"/>
      <c r="N116" s="173" t="s">
        <v>173</v>
      </c>
      <c r="O116" s="257">
        <v>1.43</v>
      </c>
      <c r="P116" s="170" t="s">
        <v>174</v>
      </c>
    </row>
    <row r="117" spans="1:16" x14ac:dyDescent="0.25">
      <c r="A117" s="52" t="s">
        <v>151</v>
      </c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4"/>
      <c r="N117" s="170" t="s">
        <v>175</v>
      </c>
      <c r="O117" s="171">
        <f>R62</f>
        <v>0.4</v>
      </c>
      <c r="P117" s="170"/>
    </row>
    <row r="118" spans="1:16" x14ac:dyDescent="0.25">
      <c r="A118" s="52"/>
      <c r="B118" s="53" t="s">
        <v>152</v>
      </c>
      <c r="C118" s="175">
        <f ca="1">O120</f>
        <v>4.0348990926917194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4"/>
      <c r="N118" s="170"/>
      <c r="O118" s="171"/>
      <c r="P118" s="170"/>
    </row>
    <row r="119" spans="1:16" x14ac:dyDescent="0.25">
      <c r="A119" s="52"/>
      <c r="B119" s="53" t="s">
        <v>153</v>
      </c>
      <c r="C119" s="45">
        <f>0.0005*4</f>
        <v>2E-3</v>
      </c>
      <c r="D119" s="53" t="s">
        <v>172</v>
      </c>
      <c r="E119" s="53"/>
      <c r="F119" s="53"/>
      <c r="G119" s="53"/>
      <c r="H119" s="53"/>
      <c r="I119" s="53"/>
      <c r="J119" s="53"/>
      <c r="K119" s="53"/>
      <c r="L119" s="53"/>
      <c r="M119" s="54"/>
      <c r="N119" s="170"/>
      <c r="O119" s="170"/>
      <c r="P119" s="170"/>
    </row>
    <row r="120" spans="1:16" x14ac:dyDescent="0.25">
      <c r="A120" s="52"/>
      <c r="B120" s="53" t="s">
        <v>154</v>
      </c>
      <c r="C120" s="46">
        <v>0.1583</v>
      </c>
      <c r="D120" s="53" t="s">
        <v>171</v>
      </c>
      <c r="E120" s="53"/>
      <c r="F120" s="53"/>
      <c r="G120" s="53"/>
      <c r="H120" s="53"/>
      <c r="I120" s="53"/>
      <c r="J120" s="53"/>
      <c r="K120" s="53"/>
      <c r="L120" s="53"/>
      <c r="M120" s="54"/>
      <c r="N120" s="173" t="s">
        <v>176</v>
      </c>
      <c r="O120" s="169">
        <f ca="1">O116*(1+(1-O117)*O121/O122)</f>
        <v>4.0348990926917194</v>
      </c>
      <c r="P120" s="170" t="s">
        <v>174</v>
      </c>
    </row>
    <row r="121" spans="1:16" x14ac:dyDescent="0.25">
      <c r="A121" s="52"/>
      <c r="B121" s="53"/>
      <c r="C121" s="46"/>
      <c r="D121" s="53"/>
      <c r="E121" s="53"/>
      <c r="F121" s="53"/>
      <c r="G121" s="53"/>
      <c r="H121" s="53"/>
      <c r="I121" s="53"/>
      <c r="J121" s="53"/>
      <c r="K121" s="53"/>
      <c r="L121" s="53"/>
      <c r="M121" s="54"/>
      <c r="N121" s="170" t="s">
        <v>177</v>
      </c>
      <c r="O121" s="171">
        <f ca="1">N134/N145</f>
        <v>0.75223072430531768</v>
      </c>
      <c r="P121" s="170"/>
    </row>
    <row r="122" spans="1:16" x14ac:dyDescent="0.25">
      <c r="A122" s="52"/>
      <c r="B122" s="53" t="s">
        <v>155</v>
      </c>
      <c r="C122" s="46">
        <f ca="1">+C118*(C120-C119)</f>
        <v>0.63065472818771573</v>
      </c>
      <c r="D122" s="53"/>
      <c r="E122" s="53"/>
      <c r="F122" s="53"/>
      <c r="G122" s="53"/>
      <c r="H122" s="53"/>
      <c r="I122" s="53"/>
      <c r="J122" s="53"/>
      <c r="K122" s="53"/>
      <c r="L122" s="53"/>
      <c r="M122" s="54"/>
      <c r="N122" s="170" t="s">
        <v>178</v>
      </c>
      <c r="O122" s="171">
        <f ca="1">100%-O121</f>
        <v>0.24776927569468232</v>
      </c>
      <c r="P122" s="170"/>
    </row>
    <row r="123" spans="1:16" x14ac:dyDescent="0.25">
      <c r="A123" s="52"/>
      <c r="B123" s="55" t="s">
        <v>156</v>
      </c>
      <c r="C123" s="46">
        <f ca="1">C119+C118*(C120-C119)</f>
        <v>0.63265472818771573</v>
      </c>
      <c r="D123" s="53"/>
      <c r="E123" s="53"/>
      <c r="F123" s="53"/>
      <c r="G123" s="56"/>
      <c r="H123" s="53"/>
      <c r="I123" s="53"/>
      <c r="J123" s="53"/>
      <c r="K123" s="53"/>
      <c r="L123" s="53"/>
      <c r="M123" s="54"/>
      <c r="N123" s="170"/>
      <c r="O123" s="170"/>
      <c r="P123" s="170"/>
    </row>
    <row r="124" spans="1:16" x14ac:dyDescent="0.25">
      <c r="A124" s="52"/>
      <c r="B124" s="53"/>
      <c r="C124" s="46"/>
      <c r="D124" s="53"/>
      <c r="E124" s="53"/>
      <c r="F124" s="53"/>
      <c r="G124" s="56"/>
      <c r="H124" s="53"/>
      <c r="I124" s="53"/>
      <c r="J124" s="53"/>
      <c r="K124" s="53"/>
      <c r="L124" s="53"/>
      <c r="M124" s="54"/>
      <c r="N124" s="30"/>
      <c r="O124" s="30"/>
    </row>
    <row r="125" spans="1:16" x14ac:dyDescent="0.25">
      <c r="A125" s="52" t="s">
        <v>157</v>
      </c>
      <c r="B125" s="53"/>
      <c r="C125" s="46"/>
      <c r="D125" s="57" t="s">
        <v>158</v>
      </c>
      <c r="E125" s="53"/>
      <c r="F125" s="53"/>
      <c r="G125" s="53"/>
      <c r="H125" s="53"/>
      <c r="I125" s="53"/>
      <c r="J125" s="53"/>
      <c r="K125" s="53"/>
      <c r="L125" s="53"/>
      <c r="M125" s="54"/>
      <c r="N125" s="172"/>
      <c r="O125" s="35"/>
    </row>
    <row r="126" spans="1:16" x14ac:dyDescent="0.25">
      <c r="A126" s="52"/>
      <c r="B126" s="53" t="s">
        <v>159</v>
      </c>
      <c r="C126" s="46">
        <f>R60</f>
        <v>0.08</v>
      </c>
      <c r="D126" s="58">
        <f ca="1">$C$126*(D132/SUM(D$132:D$133))+$C$127*(D133/SUM(D$132:D$133))</f>
        <v>8.7517794535821952E-2</v>
      </c>
      <c r="E126" s="58">
        <f t="shared" ref="E126:M126" ca="1" si="81">$C$126*(E132/SUM(E$132:E$133))+$C$127*(E133/SUM(E$132:E$133))</f>
        <v>8.8509768170153671E-2</v>
      </c>
      <c r="F126" s="58">
        <f t="shared" ca="1" si="81"/>
        <v>8.9617599404167969E-2</v>
      </c>
      <c r="G126" s="58">
        <f t="shared" ca="1" si="81"/>
        <v>9.0854301725900699E-2</v>
      </c>
      <c r="H126" s="58">
        <f t="shared" ca="1" si="81"/>
        <v>9.2221317514762063E-2</v>
      </c>
      <c r="I126" s="58">
        <f t="shared" ca="1" si="81"/>
        <v>9.3705649609936326E-2</v>
      </c>
      <c r="J126" s="58">
        <f t="shared" ca="1" si="81"/>
        <v>9.5279113093779844E-2</v>
      </c>
      <c r="K126" s="58">
        <f t="shared" ca="1" si="81"/>
        <v>9.6900584820006103E-2</v>
      </c>
      <c r="L126" s="58">
        <f t="shared" ca="1" si="81"/>
        <v>9.8521198091234982E-2</v>
      </c>
      <c r="M126" s="59">
        <f t="shared" ca="1" si="81"/>
        <v>0.10009129460005306</v>
      </c>
      <c r="N126" s="37"/>
      <c r="O126" s="35"/>
    </row>
    <row r="127" spans="1:16" x14ac:dyDescent="0.25">
      <c r="A127" s="52"/>
      <c r="B127" s="53" t="s">
        <v>160</v>
      </c>
      <c r="C127" s="46">
        <f>R61</f>
        <v>0.11</v>
      </c>
      <c r="D127" s="53"/>
      <c r="E127" s="53"/>
      <c r="F127" s="53"/>
      <c r="G127" s="53"/>
      <c r="H127" s="53"/>
      <c r="I127" s="53"/>
      <c r="J127" s="60"/>
      <c r="K127" s="60"/>
      <c r="L127" s="60"/>
      <c r="M127" s="61"/>
      <c r="N127" s="35"/>
      <c r="O127" s="35"/>
    </row>
    <row r="128" spans="1:16" x14ac:dyDescent="0.25">
      <c r="A128" s="52"/>
      <c r="B128" s="53"/>
      <c r="C128" s="46"/>
      <c r="D128" s="53"/>
      <c r="E128" s="53"/>
      <c r="F128" s="53"/>
      <c r="G128" s="53"/>
      <c r="H128" s="53"/>
      <c r="I128" s="53"/>
      <c r="J128" s="53"/>
      <c r="K128" s="53"/>
      <c r="L128" s="53"/>
      <c r="M128" s="54"/>
    </row>
    <row r="129" spans="1:25" x14ac:dyDescent="0.25">
      <c r="A129" s="52" t="s">
        <v>161</v>
      </c>
      <c r="B129" s="53"/>
      <c r="C129" s="46">
        <v>0.2</v>
      </c>
      <c r="D129" s="53"/>
      <c r="E129" s="53"/>
      <c r="F129" s="53"/>
      <c r="G129" s="53"/>
      <c r="H129" s="53"/>
      <c r="I129" s="53"/>
      <c r="J129" s="53"/>
      <c r="K129" s="53"/>
      <c r="L129" s="53"/>
      <c r="M129" s="54"/>
    </row>
    <row r="130" spans="1:25" ht="15.75" thickBot="1" x14ac:dyDescent="0.3">
      <c r="A130" s="52"/>
      <c r="B130" s="53"/>
      <c r="C130" s="62"/>
      <c r="D130" s="53"/>
      <c r="E130" s="53"/>
      <c r="F130" s="53"/>
      <c r="G130" s="53"/>
      <c r="H130" s="53"/>
      <c r="I130" s="53"/>
      <c r="J130" s="53"/>
      <c r="K130" s="53"/>
      <c r="L130" s="53"/>
      <c r="M130" s="54"/>
    </row>
    <row r="131" spans="1:25" x14ac:dyDescent="0.25">
      <c r="A131" s="63" t="s">
        <v>162</v>
      </c>
      <c r="B131" s="53"/>
      <c r="C131" s="47"/>
      <c r="D131" s="53"/>
      <c r="E131" s="53"/>
      <c r="F131" s="53"/>
      <c r="G131" s="53"/>
      <c r="H131" s="53"/>
      <c r="I131" s="53"/>
      <c r="J131" s="53"/>
      <c r="K131" s="53"/>
      <c r="L131" s="53"/>
      <c r="M131" s="54"/>
      <c r="N131" s="194" t="s">
        <v>179</v>
      </c>
      <c r="O131" s="195" t="s">
        <v>183</v>
      </c>
      <c r="P131" s="195" t="s">
        <v>184</v>
      </c>
      <c r="Q131" s="195" t="s">
        <v>185</v>
      </c>
      <c r="R131" s="198" t="s">
        <v>186</v>
      </c>
    </row>
    <row r="132" spans="1:25" x14ac:dyDescent="0.25">
      <c r="A132" s="174" t="str">
        <f>A65</f>
        <v>Mortgage Loan</v>
      </c>
      <c r="B132" s="53"/>
      <c r="C132" s="47"/>
      <c r="D132" s="64">
        <f>D65</f>
        <v>198329.2720380587</v>
      </c>
      <c r="E132" s="64">
        <f t="shared" ref="E132:M132" si="82">E65</f>
        <v>196519.87447926676</v>
      </c>
      <c r="F132" s="64">
        <f t="shared" si="82"/>
        <v>194560.29781547637</v>
      </c>
      <c r="G132" s="64">
        <f t="shared" si="82"/>
        <v>192438.07725503988</v>
      </c>
      <c r="H132" s="64">
        <f t="shared" si="82"/>
        <v>190139.71343475039</v>
      </c>
      <c r="I132" s="64">
        <f t="shared" si="82"/>
        <v>187650.58655091265</v>
      </c>
      <c r="J132" s="64">
        <f t="shared" si="82"/>
        <v>184954.86336333505</v>
      </c>
      <c r="K132" s="64">
        <f t="shared" si="82"/>
        <v>182035.39648069895</v>
      </c>
      <c r="L132" s="64">
        <f t="shared" si="82"/>
        <v>178873.6152866632</v>
      </c>
      <c r="M132" s="65">
        <f t="shared" si="82"/>
        <v>175449.4078128892</v>
      </c>
      <c r="N132" s="178">
        <f>AVERAGE(D132:M132)</f>
        <v>188095.1104517091</v>
      </c>
      <c r="O132" s="179">
        <f ca="1">N132/$N$145</f>
        <v>0.39459492860675294</v>
      </c>
      <c r="P132" s="180">
        <f>R60</f>
        <v>0.08</v>
      </c>
      <c r="Q132" s="181">
        <f>P132*(1-R62)</f>
        <v>4.8000000000000001E-2</v>
      </c>
      <c r="R132" s="200">
        <f ca="1">Q132*O132</f>
        <v>1.8940556573124143E-2</v>
      </c>
      <c r="T132" s="43"/>
      <c r="U132" s="43"/>
      <c r="V132" s="43"/>
      <c r="W132" s="43"/>
      <c r="X132" s="43"/>
      <c r="Y132" s="43"/>
    </row>
    <row r="133" spans="1:25" x14ac:dyDescent="0.25">
      <c r="A133" s="174" t="str">
        <f>A66</f>
        <v>Extra Bank Loan</v>
      </c>
      <c r="B133" s="53"/>
      <c r="C133" s="47"/>
      <c r="D133" s="64">
        <f ca="1">D66</f>
        <v>66319.059311015357</v>
      </c>
      <c r="E133" s="64">
        <f t="shared" ref="E133:M133" ca="1" si="83">E66</f>
        <v>77818.544996972196</v>
      </c>
      <c r="F133" s="64">
        <f t="shared" ca="1" si="83"/>
        <v>91804.838961290283</v>
      </c>
      <c r="G133" s="64">
        <f t="shared" ca="1" si="83"/>
        <v>109099.2307605797</v>
      </c>
      <c r="H133" s="64">
        <f t="shared" ca="1" si="83"/>
        <v>130704.72527879561</v>
      </c>
      <c r="I133" s="64">
        <f t="shared" ca="1" si="83"/>
        <v>157838.3382460078</v>
      </c>
      <c r="J133" s="64">
        <f t="shared" ca="1" si="83"/>
        <v>191968.47938414104</v>
      </c>
      <c r="K133" s="64">
        <f t="shared" ca="1" si="83"/>
        <v>234858.16856649338</v>
      </c>
      <c r="L133" s="64">
        <f t="shared" ca="1" si="83"/>
        <v>288614.93458563206</v>
      </c>
      <c r="M133" s="65">
        <f t="shared" ca="1" si="83"/>
        <v>355748.36444249161</v>
      </c>
      <c r="N133" s="182">
        <f ca="1">AVERAGE(D133:M133)</f>
        <v>170477.46845334192</v>
      </c>
      <c r="O133" s="183">
        <f ca="1">N133/$N$145</f>
        <v>0.35763579569856485</v>
      </c>
      <c r="P133" s="184">
        <f>R61</f>
        <v>0.11</v>
      </c>
      <c r="Q133" s="185">
        <f>P133*(1-R62)</f>
        <v>6.6000000000000003E-2</v>
      </c>
      <c r="R133" s="201">
        <f ca="1">Q133*O133</f>
        <v>2.3603962516105283E-2</v>
      </c>
    </row>
    <row r="134" spans="1:25" x14ac:dyDescent="0.25">
      <c r="A134" s="52" t="s">
        <v>180</v>
      </c>
      <c r="B134" s="53"/>
      <c r="C134" s="47"/>
      <c r="D134" s="64">
        <f ca="1">SUM(D132:D133)</f>
        <v>264648.33134907403</v>
      </c>
      <c r="E134" s="64">
        <f t="shared" ref="E134:M134" ca="1" si="84">SUM(E132:E133)</f>
        <v>274338.41947623895</v>
      </c>
      <c r="F134" s="64">
        <f t="shared" ca="1" si="84"/>
        <v>286365.13677676662</v>
      </c>
      <c r="G134" s="64">
        <f t="shared" ca="1" si="84"/>
        <v>301537.30801561958</v>
      </c>
      <c r="H134" s="64">
        <f t="shared" ca="1" si="84"/>
        <v>320844.43871354603</v>
      </c>
      <c r="I134" s="64">
        <f t="shared" ca="1" si="84"/>
        <v>345488.92479692044</v>
      </c>
      <c r="J134" s="64">
        <f t="shared" ca="1" si="84"/>
        <v>376923.34274747607</v>
      </c>
      <c r="K134" s="64">
        <f t="shared" ca="1" si="84"/>
        <v>416893.56504719233</v>
      </c>
      <c r="L134" s="64">
        <f t="shared" ca="1" si="84"/>
        <v>467488.54987229523</v>
      </c>
      <c r="M134" s="65">
        <f t="shared" ca="1" si="84"/>
        <v>531197.77225538087</v>
      </c>
      <c r="N134" s="178">
        <f ca="1">N132+N133</f>
        <v>358572.57890505099</v>
      </c>
      <c r="O134" s="179">
        <f ca="1">N134/$N$145</f>
        <v>0.75223072430531768</v>
      </c>
      <c r="P134" s="186"/>
      <c r="Q134" s="186"/>
      <c r="R134" s="202">
        <f ca="1">SUM(R132:R133)</f>
        <v>4.2544519089229425E-2</v>
      </c>
    </row>
    <row r="135" spans="1:25" x14ac:dyDescent="0.25">
      <c r="A135" s="52"/>
      <c r="B135" s="53"/>
      <c r="C135" s="47"/>
      <c r="D135" s="64"/>
      <c r="E135" s="64"/>
      <c r="F135" s="64"/>
      <c r="G135" s="64"/>
      <c r="H135" s="64"/>
      <c r="I135" s="64"/>
      <c r="J135" s="64"/>
      <c r="K135" s="64"/>
      <c r="L135" s="64"/>
      <c r="M135" s="65"/>
      <c r="N135" s="187"/>
      <c r="O135" s="186"/>
      <c r="P135" s="186"/>
      <c r="Q135" s="186"/>
      <c r="R135" s="203"/>
    </row>
    <row r="136" spans="1:25" x14ac:dyDescent="0.25">
      <c r="A136" s="52" t="s">
        <v>163</v>
      </c>
      <c r="B136" s="53"/>
      <c r="C136" s="47"/>
      <c r="D136" s="66">
        <f ca="1">(D132+D133)/D145</f>
        <v>0.4882742708484944</v>
      </c>
      <c r="E136" s="66">
        <f t="shared" ref="E136:M136" ca="1" si="85">(E132+E133)/E145</f>
        <v>0.52015611684452501</v>
      </c>
      <c r="F136" s="66">
        <f t="shared" ca="1" si="85"/>
        <v>0.55836855134767027</v>
      </c>
      <c r="G136" s="66">
        <f t="shared" ca="1" si="85"/>
        <v>0.60508507343211726</v>
      </c>
      <c r="H136" s="66">
        <f t="shared" ca="1" si="85"/>
        <v>0.66311314799449206</v>
      </c>
      <c r="I136" s="66">
        <f t="shared" ca="1" si="85"/>
        <v>0.73606097986821173</v>
      </c>
      <c r="J136" s="66">
        <f t="shared" ca="1" si="85"/>
        <v>0.82854812634017339</v>
      </c>
      <c r="K136" s="66">
        <f t="shared" ca="1" si="85"/>
        <v>0.94647256576915351</v>
      </c>
      <c r="L136" s="66">
        <f t="shared" ca="1" si="85"/>
        <v>1.0973511218935594</v>
      </c>
      <c r="M136" s="67">
        <f t="shared" ca="1" si="85"/>
        <v>1.2907561913359229</v>
      </c>
      <c r="N136" s="188"/>
      <c r="O136" s="186"/>
      <c r="P136" s="186"/>
      <c r="Q136" s="186"/>
      <c r="R136" s="203"/>
    </row>
    <row r="137" spans="1:25" x14ac:dyDescent="0.25">
      <c r="A137" s="52"/>
      <c r="B137" s="53"/>
      <c r="C137" s="53"/>
      <c r="D137" s="53"/>
      <c r="E137" s="53"/>
      <c r="F137" s="53"/>
      <c r="G137" s="53"/>
      <c r="H137" s="53"/>
      <c r="I137" s="53"/>
      <c r="J137" s="46"/>
      <c r="K137" s="53"/>
      <c r="L137" s="53"/>
      <c r="M137" s="54"/>
      <c r="N137" s="189"/>
      <c r="O137" s="186"/>
      <c r="P137" s="186"/>
      <c r="Q137" s="186"/>
      <c r="R137" s="203"/>
    </row>
    <row r="138" spans="1:25" x14ac:dyDescent="0.25">
      <c r="A138" s="63" t="s">
        <v>164</v>
      </c>
      <c r="B138" s="53"/>
      <c r="C138" s="53"/>
      <c r="D138" s="53"/>
      <c r="E138" s="53"/>
      <c r="F138" s="53"/>
      <c r="G138" s="53"/>
      <c r="H138" s="53"/>
      <c r="I138" s="53"/>
      <c r="J138" s="46"/>
      <c r="K138" s="53"/>
      <c r="L138" s="53"/>
      <c r="M138" s="54"/>
      <c r="N138" s="196" t="s">
        <v>179</v>
      </c>
      <c r="O138" s="197" t="s">
        <v>183</v>
      </c>
      <c r="P138" s="197" t="s">
        <v>184</v>
      </c>
      <c r="Q138" s="197" t="s">
        <v>185</v>
      </c>
      <c r="R138" s="199" t="s">
        <v>186</v>
      </c>
    </row>
    <row r="139" spans="1:25" x14ac:dyDescent="0.25">
      <c r="A139" s="174" t="s">
        <v>165</v>
      </c>
      <c r="B139" s="53"/>
      <c r="C139" s="53"/>
      <c r="D139" s="47">
        <f>D70</f>
        <v>300000</v>
      </c>
      <c r="E139" s="47">
        <f t="shared" ref="E139:H140" si="86">E70</f>
        <v>300000</v>
      </c>
      <c r="F139" s="47">
        <f t="shared" si="86"/>
        <v>300000</v>
      </c>
      <c r="G139" s="47">
        <f t="shared" si="86"/>
        <v>300000</v>
      </c>
      <c r="H139" s="47">
        <f t="shared" si="86"/>
        <v>300000</v>
      </c>
      <c r="I139" s="47">
        <f t="shared" ref="I139:M140" si="87">I70</f>
        <v>300000</v>
      </c>
      <c r="J139" s="47">
        <f t="shared" si="87"/>
        <v>300000</v>
      </c>
      <c r="K139" s="47">
        <f t="shared" si="87"/>
        <v>300000</v>
      </c>
      <c r="L139" s="47">
        <f t="shared" si="87"/>
        <v>300000</v>
      </c>
      <c r="M139" s="68">
        <f t="shared" si="87"/>
        <v>300000</v>
      </c>
      <c r="N139" s="178">
        <f>AVERAGE(D139:M139)</f>
        <v>300000</v>
      </c>
      <c r="O139" s="179">
        <f ca="1">N139/$N$145</f>
        <v>0.62935436385210008</v>
      </c>
      <c r="P139" s="180">
        <f ca="1">C123</f>
        <v>0.63265472818771573</v>
      </c>
      <c r="Q139" s="181">
        <f ca="1">P139</f>
        <v>0.63265472818771573</v>
      </c>
      <c r="R139" s="200">
        <f ca="1">Q139*O139</f>
        <v>0.39816401399660312</v>
      </c>
      <c r="T139" s="43"/>
      <c r="U139" s="43"/>
      <c r="V139" s="43"/>
      <c r="W139" s="43"/>
      <c r="X139" s="43"/>
    </row>
    <row r="140" spans="1:25" x14ac:dyDescent="0.25">
      <c r="A140" s="174" t="s">
        <v>23</v>
      </c>
      <c r="B140" s="53"/>
      <c r="C140" s="53"/>
      <c r="D140" s="47">
        <f ca="1">D71</f>
        <v>-22640.801668708751</v>
      </c>
      <c r="E140" s="47">
        <f t="shared" ca="1" si="86"/>
        <v>-46922.879041022097</v>
      </c>
      <c r="F140" s="47">
        <f t="shared" ca="1" si="86"/>
        <v>-73504.704208349489</v>
      </c>
      <c r="G140" s="47">
        <f t="shared" ca="1" si="86"/>
        <v>-103198.6094500399</v>
      </c>
      <c r="H140" s="47">
        <f t="shared" ca="1" si="86"/>
        <v>-136998.74860183217</v>
      </c>
      <c r="I140" s="47">
        <f t="shared" ca="1" si="87"/>
        <v>-176113.51400041475</v>
      </c>
      <c r="J140" s="47">
        <f t="shared" ca="1" si="87"/>
        <v>-222003.0662242457</v>
      </c>
      <c r="K140" s="47">
        <f t="shared" ca="1" si="87"/>
        <v>-276422.72613977763</v>
      </c>
      <c r="L140" s="47">
        <f t="shared" ca="1" si="87"/>
        <v>-341473.08358689188</v>
      </c>
      <c r="M140" s="68">
        <f t="shared" ca="1" si="87"/>
        <v>-419657.79606080987</v>
      </c>
      <c r="N140" s="182">
        <f ca="1">AVERAGE(D140:M140)</f>
        <v>-181893.59289820923</v>
      </c>
      <c r="O140" s="183">
        <f ca="1">N140/$N$145</f>
        <v>-0.38158508815741776</v>
      </c>
      <c r="P140" s="184">
        <f ca="1">C123</f>
        <v>0.63265472818771573</v>
      </c>
      <c r="Q140" s="185">
        <f ca="1">P140</f>
        <v>0.63265472818771573</v>
      </c>
      <c r="R140" s="201">
        <f ca="1">Q140*O140</f>
        <v>-0.24141161022871668</v>
      </c>
    </row>
    <row r="141" spans="1:25" x14ac:dyDescent="0.25">
      <c r="A141" s="52" t="s">
        <v>181</v>
      </c>
      <c r="B141" s="53"/>
      <c r="C141" s="53"/>
      <c r="D141" s="64">
        <f ca="1">SUM(D139:D140)</f>
        <v>277359.19833129126</v>
      </c>
      <c r="E141" s="47">
        <f t="shared" ref="E141:M141" ca="1" si="88">SUM(E139:E140)</f>
        <v>253077.1209589779</v>
      </c>
      <c r="F141" s="47">
        <f t="shared" ca="1" si="88"/>
        <v>226495.29579165051</v>
      </c>
      <c r="G141" s="47">
        <f t="shared" ca="1" si="88"/>
        <v>196801.39054996008</v>
      </c>
      <c r="H141" s="47">
        <f t="shared" ca="1" si="88"/>
        <v>163001.25139816783</v>
      </c>
      <c r="I141" s="47">
        <f t="shared" ca="1" si="88"/>
        <v>123886.48599958525</v>
      </c>
      <c r="J141" s="47">
        <f t="shared" ca="1" si="88"/>
        <v>77996.933775754296</v>
      </c>
      <c r="K141" s="47">
        <f t="shared" ca="1" si="88"/>
        <v>23577.273860222369</v>
      </c>
      <c r="L141" s="47">
        <f t="shared" ca="1" si="88"/>
        <v>-41473.08358689188</v>
      </c>
      <c r="M141" s="68">
        <f t="shared" ca="1" si="88"/>
        <v>-119657.79606080987</v>
      </c>
      <c r="N141" s="178">
        <f ca="1">AVERAGE(D141:M141)</f>
        <v>118106.4071017908</v>
      </c>
      <c r="O141" s="179">
        <f ca="1">N141/$N$145</f>
        <v>0.24776927569468232</v>
      </c>
      <c r="P141" s="190">
        <f ca="1">C123</f>
        <v>0.63265472818771573</v>
      </c>
      <c r="Q141" s="190">
        <f ca="1">P141</f>
        <v>0.63265472818771573</v>
      </c>
      <c r="R141" s="202">
        <f ca="1">SUM(R139:R140)</f>
        <v>0.15675240376788643</v>
      </c>
      <c r="S141" s="177"/>
    </row>
    <row r="142" spans="1:25" x14ac:dyDescent="0.25">
      <c r="A142" s="52"/>
      <c r="B142" s="53"/>
      <c r="C142" s="53"/>
      <c r="D142" s="47"/>
      <c r="E142" s="47"/>
      <c r="F142" s="47"/>
      <c r="G142" s="47"/>
      <c r="H142" s="47"/>
      <c r="I142" s="47"/>
      <c r="J142" s="47"/>
      <c r="K142" s="47"/>
      <c r="L142" s="47"/>
      <c r="M142" s="68"/>
      <c r="N142" s="189"/>
      <c r="O142" s="186"/>
      <c r="P142" s="186"/>
      <c r="Q142" s="186"/>
      <c r="R142" s="203"/>
    </row>
    <row r="143" spans="1:25" x14ac:dyDescent="0.25">
      <c r="A143" s="52" t="s">
        <v>163</v>
      </c>
      <c r="B143" s="53"/>
      <c r="C143" s="53"/>
      <c r="D143" s="66">
        <f ca="1">(+D139+D140)/D145</f>
        <v>0.51172572915150571</v>
      </c>
      <c r="E143" s="66">
        <f t="shared" ref="E143:M143" ca="1" si="89">(+E139+E140)/E145</f>
        <v>0.47984388315547499</v>
      </c>
      <c r="F143" s="66">
        <f t="shared" ca="1" si="89"/>
        <v>0.44163144865232967</v>
      </c>
      <c r="G143" s="66">
        <f t="shared" ca="1" si="89"/>
        <v>0.39491492656788257</v>
      </c>
      <c r="H143" s="66">
        <f t="shared" ca="1" si="89"/>
        <v>0.336886852005508</v>
      </c>
      <c r="I143" s="66">
        <f t="shared" ca="1" si="89"/>
        <v>0.2639390201317881</v>
      </c>
      <c r="J143" s="66">
        <f t="shared" ca="1" si="89"/>
        <v>0.17145187365982664</v>
      </c>
      <c r="K143" s="66">
        <f t="shared" ca="1" si="89"/>
        <v>5.3527434230846369E-2</v>
      </c>
      <c r="L143" s="66">
        <f t="shared" ca="1" si="89"/>
        <v>-9.7351121893559475E-2</v>
      </c>
      <c r="M143" s="67">
        <f t="shared" ca="1" si="89"/>
        <v>-0.29075619133592295</v>
      </c>
      <c r="N143" s="189"/>
      <c r="O143" s="186"/>
      <c r="P143" s="186"/>
      <c r="Q143" s="186"/>
      <c r="R143" s="203"/>
    </row>
    <row r="144" spans="1:25" x14ac:dyDescent="0.25">
      <c r="A144" s="52"/>
      <c r="B144" s="53"/>
      <c r="C144" s="47"/>
      <c r="D144" s="53"/>
      <c r="E144" s="53"/>
      <c r="F144" s="53"/>
      <c r="G144" s="53"/>
      <c r="H144" s="53"/>
      <c r="I144" s="53"/>
      <c r="J144" s="53"/>
      <c r="K144" s="53"/>
      <c r="L144" s="53"/>
      <c r="M144" s="54"/>
      <c r="N144" s="196" t="s">
        <v>182</v>
      </c>
      <c r="O144" s="186"/>
      <c r="P144" s="186"/>
      <c r="Q144" s="186"/>
      <c r="R144" s="199" t="s">
        <v>170</v>
      </c>
    </row>
    <row r="145" spans="1:18" ht="15.75" thickBot="1" x14ac:dyDescent="0.3">
      <c r="A145" s="63" t="s">
        <v>166</v>
      </c>
      <c r="B145" s="53"/>
      <c r="C145" s="53"/>
      <c r="D145" s="64">
        <f t="shared" ref="D145:M145" ca="1" si="90">+D132++D133+D139+D140</f>
        <v>542007.52968036523</v>
      </c>
      <c r="E145" s="64">
        <f t="shared" ca="1" si="90"/>
        <v>527415.54043521686</v>
      </c>
      <c r="F145" s="64">
        <f t="shared" ca="1" si="90"/>
        <v>512860.43256841716</v>
      </c>
      <c r="G145" s="64">
        <f t="shared" ca="1" si="90"/>
        <v>498338.69856557972</v>
      </c>
      <c r="H145" s="64">
        <f t="shared" ca="1" si="90"/>
        <v>483845.69011171383</v>
      </c>
      <c r="I145" s="64">
        <f t="shared" ca="1" si="90"/>
        <v>469375.41079650575</v>
      </c>
      <c r="J145" s="64">
        <f t="shared" ca="1" si="90"/>
        <v>454920.27652323036</v>
      </c>
      <c r="K145" s="64">
        <f t="shared" ca="1" si="90"/>
        <v>440470.83890741476</v>
      </c>
      <c r="L145" s="64">
        <f t="shared" ca="1" si="90"/>
        <v>426015.46628540335</v>
      </c>
      <c r="M145" s="65">
        <f t="shared" ca="1" si="90"/>
        <v>411539.97619457101</v>
      </c>
      <c r="N145" s="191">
        <f ca="1">N134+N141</f>
        <v>476678.98600684176</v>
      </c>
      <c r="O145" s="192"/>
      <c r="P145" s="193"/>
      <c r="Q145" s="193"/>
      <c r="R145" s="204">
        <f ca="1">O141*R141+R134*O134</f>
        <v>7.0841723954682079E-2</v>
      </c>
    </row>
    <row r="146" spans="1:18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4"/>
      <c r="N146" s="42"/>
    </row>
    <row r="147" spans="1:18" x14ac:dyDescent="0.25">
      <c r="A147" s="52" t="s">
        <v>167</v>
      </c>
      <c r="B147" s="53"/>
      <c r="C147" s="53"/>
      <c r="D147" s="60">
        <f ca="1">D136*D126*(1-$R$62)</f>
        <v>2.5639612387948086E-2</v>
      </c>
      <c r="E147" s="60">
        <f ca="1">E136*E126*(1-$R$62)</f>
        <v>2.7623338388517764E-2</v>
      </c>
      <c r="F147" s="60">
        <f t="shared" ref="F147:M147" ca="1" si="91">F136*F126*(1-$R$62)</f>
        <v>3.0023789492736663E-2</v>
      </c>
      <c r="G147" s="60">
        <f t="shared" ca="1" si="91"/>
        <v>3.2984749098864216E-2</v>
      </c>
      <c r="H147" s="60">
        <f ca="1">H136*H126*(1-$R$62)</f>
        <v>3.6691900901648075E-2</v>
      </c>
      <c r="I147" s="60">
        <f t="shared" ca="1" si="91"/>
        <v>4.1383843362646229E-2</v>
      </c>
      <c r="J147" s="60">
        <f t="shared" ca="1" si="91"/>
        <v>4.7365998379922863E-2</v>
      </c>
      <c r="K147" s="60">
        <f t="shared" ca="1" si="91"/>
        <v>5.5028247083473592E-2</v>
      </c>
      <c r="L147" s="60">
        <f t="shared" ca="1" si="91"/>
        <v>6.4867408353428579E-2</v>
      </c>
      <c r="M147" s="61">
        <f t="shared" ca="1" si="91"/>
        <v>7.751607492230779E-2</v>
      </c>
    </row>
    <row r="148" spans="1:18" x14ac:dyDescent="0.25">
      <c r="A148" s="52" t="s">
        <v>168</v>
      </c>
      <c r="B148" s="53"/>
      <c r="C148" s="53"/>
      <c r="D148" s="60">
        <f ca="1">D143*$C$123</f>
        <v>0.32374570208300651</v>
      </c>
      <c r="E148" s="60">
        <f t="shared" ref="E148:M148" ca="1" si="92">E143*$C$123</f>
        <v>0.30357550147026507</v>
      </c>
      <c r="F148" s="60">
        <f t="shared" ca="1" si="92"/>
        <v>0.27940022410628679</v>
      </c>
      <c r="G148" s="60">
        <f t="shared" ca="1" si="92"/>
        <v>0.24984479552507546</v>
      </c>
      <c r="H148" s="60">
        <f t="shared" ca="1" si="92"/>
        <v>0.21313305978555988</v>
      </c>
      <c r="I148" s="60">
        <f t="shared" ca="1" si="92"/>
        <v>0.16698226903960844</v>
      </c>
      <c r="J148" s="60">
        <f t="shared" ca="1" si="92"/>
        <v>0.1084698385275322</v>
      </c>
      <c r="K148" s="60">
        <f t="shared" ca="1" si="92"/>
        <v>3.386438435390194E-2</v>
      </c>
      <c r="L148" s="60">
        <f t="shared" ca="1" si="92"/>
        <v>-6.158964756033905E-2</v>
      </c>
      <c r="M148" s="61">
        <f t="shared" ca="1" si="92"/>
        <v>-0.1839482791985238</v>
      </c>
    </row>
    <row r="149" spans="1:18" ht="15.75" thickBot="1" x14ac:dyDescent="0.3">
      <c r="A149" s="63" t="s">
        <v>169</v>
      </c>
      <c r="B149" s="53"/>
      <c r="C149" s="53"/>
      <c r="D149" s="48">
        <f ca="1">SUM(D147:D148)</f>
        <v>0.34938531447095461</v>
      </c>
      <c r="E149" s="48">
        <f t="shared" ref="E149:M149" ca="1" si="93">SUM(E147:E148)</f>
        <v>0.33119883985878285</v>
      </c>
      <c r="F149" s="48">
        <f t="shared" ca="1" si="93"/>
        <v>0.30942401359902344</v>
      </c>
      <c r="G149" s="48">
        <f t="shared" ca="1" si="93"/>
        <v>0.28282954462393967</v>
      </c>
      <c r="H149" s="48">
        <f t="shared" ca="1" si="93"/>
        <v>0.24982496068720794</v>
      </c>
      <c r="I149" s="48">
        <f t="shared" ca="1" si="93"/>
        <v>0.20836611240225467</v>
      </c>
      <c r="J149" s="48">
        <f t="shared" ca="1" si="93"/>
        <v>0.15583583690745506</v>
      </c>
      <c r="K149" s="48">
        <f t="shared" ca="1" si="93"/>
        <v>8.8892631437375524E-2</v>
      </c>
      <c r="L149" s="48">
        <f t="shared" ca="1" si="93"/>
        <v>3.2777607930895292E-3</v>
      </c>
      <c r="M149" s="69">
        <f t="shared" ca="1" si="93"/>
        <v>-0.10643220427621601</v>
      </c>
    </row>
    <row r="150" spans="1:18" ht="16.5" thickTop="1" thickBot="1" x14ac:dyDescent="0.3">
      <c r="A150" s="70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2"/>
    </row>
  </sheetData>
  <dataConsolidate/>
  <mergeCells count="2">
    <mergeCell ref="A2:M2"/>
    <mergeCell ref="A42:M42"/>
  </mergeCells>
  <conditionalFormatting sqref="D75:M75">
    <cfRule type="notContainsBlanks" dxfId="3" priority="1" stopIfTrue="1">
      <formula>LEN(TRIM(D75))&gt;0</formula>
    </cfRule>
    <cfRule type="containsText" dxfId="2" priority="2" stopIfTrue="1" operator="containsText" text="Try Again">
      <formula>NOT(ISERROR(SEARCH("Try Again",D75)))</formula>
    </cfRule>
  </conditionalFormatting>
  <pageMargins left="0.7" right="0.7" top="0.75" bottom="0.75" header="0.51180555555555551" footer="0.51180555555555551"/>
  <pageSetup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84"/>
  <sheetViews>
    <sheetView topLeftCell="A13" zoomScale="95" zoomScaleNormal="95" workbookViewId="0">
      <selection activeCell="C2" sqref="C2"/>
    </sheetView>
  </sheetViews>
  <sheetFormatPr defaultColWidth="11.5703125" defaultRowHeight="12.75" x14ac:dyDescent="0.2"/>
  <cols>
    <col min="1" max="1" width="4.5703125" style="1" customWidth="1"/>
    <col min="2" max="2" width="13.7109375" style="1" customWidth="1"/>
    <col min="3" max="3" width="14" style="1" customWidth="1"/>
    <col min="4" max="4" width="17.140625" style="1" bestFit="1" customWidth="1"/>
    <col min="5" max="5" width="16.140625" style="1" bestFit="1" customWidth="1"/>
    <col min="6" max="6" width="18.5703125" style="1" bestFit="1" customWidth="1"/>
    <col min="7" max="7" width="12.42578125" style="1" customWidth="1"/>
    <col min="8" max="9" width="11.5703125" style="1"/>
    <col min="10" max="10" width="13.42578125" style="1" customWidth="1"/>
    <col min="11" max="16384" width="11.5703125" style="1"/>
  </cols>
  <sheetData>
    <row r="1" spans="1:10" x14ac:dyDescent="0.2">
      <c r="C1" s="1" t="s">
        <v>52</v>
      </c>
      <c r="D1" s="1" t="s">
        <v>53</v>
      </c>
      <c r="E1" s="1" t="s">
        <v>54</v>
      </c>
      <c r="J1" s="2"/>
    </row>
    <row r="2" spans="1:10" x14ac:dyDescent="0.2">
      <c r="A2" s="1">
        <v>1</v>
      </c>
      <c r="B2" s="10" t="s">
        <v>38</v>
      </c>
      <c r="C2" s="11">
        <f>-PMT('Realistic Option'!$R$60/12,'Realistic Option'!$R$59*12,'Realistic Option'!$R$57)</f>
        <v>1467.5291477587523</v>
      </c>
      <c r="D2" s="3">
        <f>-PPMT('Realistic Option'!$R$60/12,A2,'Realistic Option'!$R$59*12,'Realistic Option'!$R$57)</f>
        <v>134.19581442541889</v>
      </c>
      <c r="E2" s="3">
        <f>-IPMT('Realistic Option'!$R$60/12,A2,'Realistic Option'!$R$59*12,'Realistic Option'!$R$57)</f>
        <v>1333.3333333333335</v>
      </c>
      <c r="F2" s="3"/>
      <c r="G2" s="3"/>
      <c r="J2" s="2"/>
    </row>
    <row r="3" spans="1:10" x14ac:dyDescent="0.2">
      <c r="A3" s="1">
        <v>2</v>
      </c>
      <c r="B3" s="10">
        <v>41671</v>
      </c>
      <c r="C3" s="11">
        <f>-PMT('Realistic Option'!$R$60/12,'Realistic Option'!$R$59*12,'Realistic Option'!$R$57)</f>
        <v>1467.5291477587523</v>
      </c>
      <c r="D3" s="3">
        <f>-PPMT('Realistic Option'!$R$60/12,A3,'Realistic Option'!$R$59*12,'Realistic Option'!$R$57)</f>
        <v>135.09045318825497</v>
      </c>
      <c r="E3" s="3">
        <f>-IPMT('Realistic Option'!$R$60/12,A3,'Realistic Option'!$R$59*12,'Realistic Option'!$R$57)</f>
        <v>1332.4386945704975</v>
      </c>
      <c r="F3" s="3"/>
      <c r="G3" s="3"/>
      <c r="J3" s="5"/>
    </row>
    <row r="4" spans="1:10" x14ac:dyDescent="0.2">
      <c r="A4" s="1">
        <v>3</v>
      </c>
      <c r="B4" s="10">
        <v>41699</v>
      </c>
      <c r="C4" s="11">
        <f>-PMT('Realistic Option'!$R$60/12,'Realistic Option'!$R$59*12,'Realistic Option'!$R$57)</f>
        <v>1467.5291477587523</v>
      </c>
      <c r="D4" s="3">
        <f>-PPMT('Realistic Option'!$R$60/12,A4,'Realistic Option'!$R$59*12,'Realistic Option'!$R$57)</f>
        <v>135.99105620951005</v>
      </c>
      <c r="E4" s="3">
        <f>-IPMT('Realistic Option'!$R$60/12,A4,'Realistic Option'!$R$59*12,'Realistic Option'!$R$57)</f>
        <v>1331.5380915492424</v>
      </c>
      <c r="F4" s="3"/>
      <c r="G4" s="3"/>
      <c r="J4" s="6"/>
    </row>
    <row r="5" spans="1:10" x14ac:dyDescent="0.2">
      <c r="A5" s="1">
        <v>4</v>
      </c>
      <c r="B5" s="10">
        <v>41730</v>
      </c>
      <c r="C5" s="11">
        <f>-PMT('Realistic Option'!$R$60/12,'Realistic Option'!$R$59*12,'Realistic Option'!$R$57)</f>
        <v>1467.5291477587523</v>
      </c>
      <c r="D5" s="3">
        <f>-PPMT('Realistic Option'!$R$60/12,A5,'Realistic Option'!$R$59*12,'Realistic Option'!$R$57)</f>
        <v>136.89766325090682</v>
      </c>
      <c r="E5" s="3">
        <f>-IPMT('Realistic Option'!$R$60/12,A5,'Realistic Option'!$R$59*12,'Realistic Option'!$R$57)</f>
        <v>1330.6314845078455</v>
      </c>
      <c r="F5" s="3"/>
      <c r="G5" s="3"/>
    </row>
    <row r="6" spans="1:10" x14ac:dyDescent="0.2">
      <c r="A6" s="1">
        <v>5</v>
      </c>
      <c r="B6" s="10">
        <v>41760</v>
      </c>
      <c r="C6" s="11">
        <f>-PMT('Realistic Option'!$R$60/12,'Realistic Option'!$R$59*12,'Realistic Option'!$R$57)</f>
        <v>1467.5291477587523</v>
      </c>
      <c r="D6" s="3">
        <f>-PPMT('Realistic Option'!$R$60/12,A6,'Realistic Option'!$R$59*12,'Realistic Option'!$R$57)</f>
        <v>137.81031433924613</v>
      </c>
      <c r="E6" s="3">
        <f>-IPMT('Realistic Option'!$R$60/12,A6,'Realistic Option'!$R$59*12,'Realistic Option'!$R$57)</f>
        <v>1329.7188334195062</v>
      </c>
      <c r="F6" s="3"/>
      <c r="G6" s="3"/>
      <c r="J6" s="5"/>
    </row>
    <row r="7" spans="1:10" x14ac:dyDescent="0.2">
      <c r="A7" s="1">
        <v>6</v>
      </c>
      <c r="B7" s="10">
        <v>41791</v>
      </c>
      <c r="C7" s="11">
        <f>-PMT('Realistic Option'!$R$60/12,'Realistic Option'!$R$59*12,'Realistic Option'!$R$57)</f>
        <v>1467.5291477587523</v>
      </c>
      <c r="D7" s="3">
        <f>-PPMT('Realistic Option'!$R$60/12,A7,'Realistic Option'!$R$59*12,'Realistic Option'!$R$57)</f>
        <v>138.72904976817446</v>
      </c>
      <c r="E7" s="3">
        <f>-IPMT('Realistic Option'!$R$60/12,A7,'Realistic Option'!$R$59*12,'Realistic Option'!$R$57)</f>
        <v>1328.8000979905778</v>
      </c>
      <c r="F7" s="3"/>
      <c r="G7" s="3"/>
    </row>
    <row r="8" spans="1:10" x14ac:dyDescent="0.2">
      <c r="A8" s="1">
        <v>7</v>
      </c>
      <c r="B8" s="10">
        <v>41821</v>
      </c>
      <c r="C8" s="11">
        <f>-PMT('Realistic Option'!$R$60/12,'Realistic Option'!$R$59*12,'Realistic Option'!$R$57)</f>
        <v>1467.5291477587523</v>
      </c>
      <c r="D8" s="3">
        <f>-PPMT('Realistic Option'!$R$60/12,A8,'Realistic Option'!$R$59*12,'Realistic Option'!$R$57)</f>
        <v>139.65391009996227</v>
      </c>
      <c r="E8" s="3">
        <f>-IPMT('Realistic Option'!$R$60/12,A8,'Realistic Option'!$R$59*12,'Realistic Option'!$R$57)</f>
        <v>1327.8752376587902</v>
      </c>
      <c r="F8" s="3"/>
      <c r="G8" s="3"/>
      <c r="J8" s="5"/>
    </row>
    <row r="9" spans="1:10" x14ac:dyDescent="0.2">
      <c r="A9" s="1">
        <v>8</v>
      </c>
      <c r="B9" s="10">
        <v>41852</v>
      </c>
      <c r="C9" s="11">
        <f>-PMT('Realistic Option'!$R$60/12,'Realistic Option'!$R$59*12,'Realistic Option'!$R$57)</f>
        <v>1467.5291477587523</v>
      </c>
      <c r="D9" s="3">
        <f>-PPMT('Realistic Option'!$R$60/12,A9,'Realistic Option'!$R$59*12,'Realistic Option'!$R$57)</f>
        <v>140.58493616729535</v>
      </c>
      <c r="E9" s="3">
        <f>-IPMT('Realistic Option'!$R$60/12,A9,'Realistic Option'!$R$59*12,'Realistic Option'!$R$57)</f>
        <v>1326.9442115914571</v>
      </c>
      <c r="F9" s="3"/>
      <c r="G9" s="3"/>
    </row>
    <row r="10" spans="1:10" x14ac:dyDescent="0.2">
      <c r="A10" s="1">
        <v>9</v>
      </c>
      <c r="B10" s="10">
        <v>41883</v>
      </c>
      <c r="C10" s="11">
        <f>-PMT('Realistic Option'!$R$60/12,'Realistic Option'!$R$59*12,'Realistic Option'!$R$57)</f>
        <v>1467.5291477587523</v>
      </c>
      <c r="D10" s="3">
        <f>-PPMT('Realistic Option'!$R$60/12,A10,'Realistic Option'!$R$59*12,'Realistic Option'!$R$57)</f>
        <v>141.5221690750773</v>
      </c>
      <c r="E10" s="3">
        <f>-IPMT('Realistic Option'!$R$60/12,A10,'Realistic Option'!$R$59*12,'Realistic Option'!$R$57)</f>
        <v>1326.006978683675</v>
      </c>
      <c r="F10" s="3"/>
      <c r="G10" s="3"/>
    </row>
    <row r="11" spans="1:10" x14ac:dyDescent="0.2">
      <c r="A11" s="1">
        <v>10</v>
      </c>
      <c r="B11" s="10">
        <v>41913</v>
      </c>
      <c r="C11" s="11">
        <f>-PMT('Realistic Option'!$R$60/12,'Realistic Option'!$R$59*12,'Realistic Option'!$R$57)</f>
        <v>1467.5291477587523</v>
      </c>
      <c r="D11" s="3">
        <f>-PPMT('Realistic Option'!$R$60/12,A11,'Realistic Option'!$R$59*12,'Realistic Option'!$R$57)</f>
        <v>142.46565020224452</v>
      </c>
      <c r="E11" s="3">
        <f>-IPMT('Realistic Option'!$R$60/12,A11,'Realistic Option'!$R$59*12,'Realistic Option'!$R$57)</f>
        <v>1325.0634975565079</v>
      </c>
      <c r="F11" s="3"/>
      <c r="G11" s="3"/>
    </row>
    <row r="12" spans="1:10" x14ac:dyDescent="0.2">
      <c r="A12" s="1">
        <v>11</v>
      </c>
      <c r="B12" s="10">
        <v>41944</v>
      </c>
      <c r="C12" s="11">
        <f>-PMT('Realistic Option'!$R$60/12,'Realistic Option'!$R$59*12,'Realistic Option'!$R$57)</f>
        <v>1467.5291477587523</v>
      </c>
      <c r="D12" s="3">
        <f>-PPMT('Realistic Option'!$R$60/12,A12,'Realistic Option'!$R$59*12,'Realistic Option'!$R$57)</f>
        <v>143.41542120359284</v>
      </c>
      <c r="E12" s="3">
        <f>-IPMT('Realistic Option'!$R$60/12,A12,'Realistic Option'!$R$59*12,'Realistic Option'!$R$57)</f>
        <v>1324.1137265551595</v>
      </c>
      <c r="F12" s="3"/>
      <c r="G12" s="3"/>
    </row>
    <row r="13" spans="1:10" x14ac:dyDescent="0.2">
      <c r="A13" s="1">
        <v>12</v>
      </c>
      <c r="B13" s="10">
        <v>41974</v>
      </c>
      <c r="C13" s="11">
        <f>-PMT('Realistic Option'!$R$60/12,'Realistic Option'!$R$59*12,'Realistic Option'!$R$57)</f>
        <v>1467.5291477587523</v>
      </c>
      <c r="D13" s="3">
        <f>-PPMT('Realistic Option'!$R$60/12,A13,'Realistic Option'!$R$59*12,'Realistic Option'!$R$57)</f>
        <v>144.37152401161674</v>
      </c>
      <c r="E13" s="3">
        <f>-IPMT('Realistic Option'!$R$60/12,A13,'Realistic Option'!$R$59*12,'Realistic Option'!$R$57)</f>
        <v>1323.1576237471356</v>
      </c>
      <c r="F13" s="3"/>
      <c r="G13" s="7"/>
    </row>
    <row r="14" spans="1:10" x14ac:dyDescent="0.2">
      <c r="B14" s="8" t="s">
        <v>56</v>
      </c>
      <c r="C14" s="12">
        <f>SUM(C2:C13)</f>
        <v>17610.349773105027</v>
      </c>
      <c r="D14" s="12">
        <f>SUM(D2:D13)</f>
        <v>1670.7279619413002</v>
      </c>
      <c r="E14" s="12">
        <f>SUM(E2:E13)</f>
        <v>15939.62181116373</v>
      </c>
      <c r="F14" s="3"/>
      <c r="G14" s="3"/>
    </row>
    <row r="15" spans="1:10" x14ac:dyDescent="0.2">
      <c r="B15" s="4"/>
      <c r="C15" s="4"/>
      <c r="D15" s="3"/>
      <c r="E15" s="3"/>
      <c r="F15" s="3"/>
      <c r="G15" s="3"/>
    </row>
    <row r="16" spans="1:10" x14ac:dyDescent="0.2">
      <c r="A16" s="1">
        <v>13</v>
      </c>
      <c r="B16" s="4" t="s">
        <v>40</v>
      </c>
      <c r="C16" s="11">
        <f>-PMT('Realistic Option'!$R$60/12,'Realistic Option'!$R$59*12,'Realistic Option'!$R$57)</f>
        <v>1467.5291477587523</v>
      </c>
      <c r="D16" s="3">
        <f>-PPMT('Realistic Option'!$R$60/12,A16,'Realistic Option'!$R$59*12,'Realistic Option'!$R$57)</f>
        <v>145.33400083836088</v>
      </c>
      <c r="E16" s="3">
        <f>-IPMT('Realistic Option'!$R$60/12,A16,'Realistic Option'!$R$59*12,'Realistic Option'!$R$57)</f>
        <v>1322.1951469203914</v>
      </c>
      <c r="F16" s="3"/>
      <c r="G16" s="3"/>
    </row>
    <row r="17" spans="1:7" x14ac:dyDescent="0.2">
      <c r="A17" s="1">
        <v>14</v>
      </c>
      <c r="B17" s="10">
        <v>42036</v>
      </c>
      <c r="C17" s="11">
        <f>-PMT('Realistic Option'!$R$60/12,'Realistic Option'!$R$59*12,'Realistic Option'!$R$57)</f>
        <v>1467.5291477587523</v>
      </c>
      <c r="D17" s="3">
        <f>-PPMT('Realistic Option'!$R$60/12,A17,'Realistic Option'!$R$59*12,'Realistic Option'!$R$57)</f>
        <v>146.30289417728324</v>
      </c>
      <c r="E17" s="3">
        <f>-IPMT('Realistic Option'!$R$60/12,A17,'Realistic Option'!$R$59*12,'Realistic Option'!$R$57)</f>
        <v>1321.2262535814689</v>
      </c>
      <c r="F17" s="3"/>
      <c r="G17" s="3"/>
    </row>
    <row r="18" spans="1:7" x14ac:dyDescent="0.2">
      <c r="A18" s="1">
        <v>15</v>
      </c>
      <c r="B18" s="10">
        <v>42064</v>
      </c>
      <c r="C18" s="11">
        <f>-PMT('Realistic Option'!$R$60/12,'Realistic Option'!$R$59*12,'Realistic Option'!$R$57)</f>
        <v>1467.5291477587523</v>
      </c>
      <c r="D18" s="3">
        <f>-PPMT('Realistic Option'!$R$60/12,A18,'Realistic Option'!$R$59*12,'Realistic Option'!$R$57)</f>
        <v>147.27824680513183</v>
      </c>
      <c r="E18" s="3">
        <f>-IPMT('Realistic Option'!$R$60/12,A18,'Realistic Option'!$R$59*12,'Realistic Option'!$R$57)</f>
        <v>1320.2509009536204</v>
      </c>
      <c r="F18" s="3"/>
      <c r="G18" s="3"/>
    </row>
    <row r="19" spans="1:7" x14ac:dyDescent="0.2">
      <c r="A19" s="1">
        <v>16</v>
      </c>
      <c r="B19" s="10">
        <v>42095</v>
      </c>
      <c r="C19" s="11">
        <f>-PMT('Realistic Option'!$R$60/12,'Realistic Option'!$R$59*12,'Realistic Option'!$R$57)</f>
        <v>1467.5291477587523</v>
      </c>
      <c r="D19" s="3">
        <f>-PPMT('Realistic Option'!$R$60/12,A19,'Realistic Option'!$R$59*12,'Realistic Option'!$R$57)</f>
        <v>148.26010178383274</v>
      </c>
      <c r="E19" s="3">
        <f>-IPMT('Realistic Option'!$R$60/12,A19,'Realistic Option'!$R$59*12,'Realistic Option'!$R$57)</f>
        <v>1319.2690459749197</v>
      </c>
      <c r="F19" s="3"/>
      <c r="G19" s="3"/>
    </row>
    <row r="20" spans="1:7" x14ac:dyDescent="0.2">
      <c r="A20" s="1">
        <v>17</v>
      </c>
      <c r="B20" s="10">
        <v>42125</v>
      </c>
      <c r="C20" s="11">
        <f>-PMT('Realistic Option'!$R$60/12,'Realistic Option'!$R$59*12,'Realistic Option'!$R$57)</f>
        <v>1467.5291477587523</v>
      </c>
      <c r="D20" s="3">
        <f>-PPMT('Realistic Option'!$R$60/12,A20,'Realistic Option'!$R$59*12,'Realistic Option'!$R$57)</f>
        <v>149.2485024623916</v>
      </c>
      <c r="E20" s="3">
        <f>-IPMT('Realistic Option'!$R$60/12,A20,'Realistic Option'!$R$59*12,'Realistic Option'!$R$57)</f>
        <v>1318.2806452963607</v>
      </c>
      <c r="F20" s="3"/>
      <c r="G20" s="3"/>
    </row>
    <row r="21" spans="1:7" x14ac:dyDescent="0.2">
      <c r="A21" s="1">
        <v>18</v>
      </c>
      <c r="B21" s="10">
        <v>42156</v>
      </c>
      <c r="C21" s="11">
        <f>-PMT('Realistic Option'!$R$60/12,'Realistic Option'!$R$59*12,'Realistic Option'!$R$57)</f>
        <v>1467.5291477587523</v>
      </c>
      <c r="D21" s="3">
        <f>-PPMT('Realistic Option'!$R$60/12,A21,'Realistic Option'!$R$59*12,'Realistic Option'!$R$57)</f>
        <v>150.24349247880755</v>
      </c>
      <c r="E21" s="3">
        <f>-IPMT('Realistic Option'!$R$60/12,A21,'Realistic Option'!$R$59*12,'Realistic Option'!$R$57)</f>
        <v>1317.2856552799449</v>
      </c>
      <c r="F21" s="3"/>
      <c r="G21" s="3"/>
    </row>
    <row r="22" spans="1:7" x14ac:dyDescent="0.2">
      <c r="A22" s="1">
        <v>19</v>
      </c>
      <c r="B22" s="10">
        <v>42186</v>
      </c>
      <c r="C22" s="11">
        <f>-PMT('Realistic Option'!$R$60/12,'Realistic Option'!$R$59*12,'Realistic Option'!$R$57)</f>
        <v>1467.5291477587523</v>
      </c>
      <c r="D22" s="3">
        <f>-PPMT('Realistic Option'!$R$60/12,A22,'Realistic Option'!$R$59*12,'Realistic Option'!$R$57)</f>
        <v>151.24511576199956</v>
      </c>
      <c r="E22" s="3">
        <f>-IPMT('Realistic Option'!$R$60/12,A22,'Realistic Option'!$R$59*12,'Realistic Option'!$R$57)</f>
        <v>1316.2840319967527</v>
      </c>
      <c r="F22" s="3"/>
      <c r="G22" s="3"/>
    </row>
    <row r="23" spans="1:7" x14ac:dyDescent="0.2">
      <c r="A23" s="1">
        <v>20</v>
      </c>
      <c r="B23" s="10">
        <v>42217</v>
      </c>
      <c r="C23" s="11">
        <f>-PMT('Realistic Option'!$R$60/12,'Realistic Option'!$R$59*12,'Realistic Option'!$R$57)</f>
        <v>1467.5291477587523</v>
      </c>
      <c r="D23" s="3">
        <f>-PPMT('Realistic Option'!$R$60/12,A23,'Realistic Option'!$R$59*12,'Realistic Option'!$R$57)</f>
        <v>152.25341653374628</v>
      </c>
      <c r="E23" s="3">
        <f>-IPMT('Realistic Option'!$R$60/12,A23,'Realistic Option'!$R$59*12,'Realistic Option'!$R$57)</f>
        <v>1315.275731225006</v>
      </c>
      <c r="F23" s="3"/>
      <c r="G23" s="3"/>
    </row>
    <row r="24" spans="1:7" x14ac:dyDescent="0.2">
      <c r="A24" s="1">
        <v>21</v>
      </c>
      <c r="B24" s="10">
        <v>42248</v>
      </c>
      <c r="C24" s="11">
        <f>-PMT('Realistic Option'!$R$60/12,'Realistic Option'!$R$59*12,'Realistic Option'!$R$57)</f>
        <v>1467.5291477587523</v>
      </c>
      <c r="D24" s="3">
        <f>-PPMT('Realistic Option'!$R$60/12,A24,'Realistic Option'!$R$59*12,'Realistic Option'!$R$57)</f>
        <v>153.26843931063789</v>
      </c>
      <c r="E24" s="3">
        <f>-IPMT('Realistic Option'!$R$60/12,A24,'Realistic Option'!$R$59*12,'Realistic Option'!$R$57)</f>
        <v>1314.2607084481144</v>
      </c>
      <c r="F24" s="3"/>
      <c r="G24" s="3"/>
    </row>
    <row r="25" spans="1:7" x14ac:dyDescent="0.2">
      <c r="A25" s="1">
        <v>22</v>
      </c>
      <c r="B25" s="10">
        <v>42278</v>
      </c>
      <c r="C25" s="11">
        <f>-PMT('Realistic Option'!$R$60/12,'Realistic Option'!$R$59*12,'Realistic Option'!$R$57)</f>
        <v>1467.5291477587523</v>
      </c>
      <c r="D25" s="3">
        <f>-PPMT('Realistic Option'!$R$60/12,A25,'Realistic Option'!$R$59*12,'Realistic Option'!$R$57)</f>
        <v>154.29022890604213</v>
      </c>
      <c r="E25" s="3">
        <f>-IPMT('Realistic Option'!$R$60/12,A25,'Realistic Option'!$R$59*12,'Realistic Option'!$R$57)</f>
        <v>1313.2389188527102</v>
      </c>
      <c r="F25" s="3"/>
      <c r="G25" s="3"/>
    </row>
    <row r="26" spans="1:7" x14ac:dyDescent="0.2">
      <c r="A26" s="1">
        <v>23</v>
      </c>
      <c r="B26" s="10">
        <v>42309</v>
      </c>
      <c r="C26" s="11">
        <f>-PMT('Realistic Option'!$R$60/12,'Realistic Option'!$R$59*12,'Realistic Option'!$R$57)</f>
        <v>1467.5291477587523</v>
      </c>
      <c r="D26" s="3">
        <f>-PPMT('Realistic Option'!$R$60/12,A26,'Realistic Option'!$R$59*12,'Realistic Option'!$R$57)</f>
        <v>155.31883043208248</v>
      </c>
      <c r="E26" s="3">
        <f>-IPMT('Realistic Option'!$R$60/12,A26,'Realistic Option'!$R$59*12,'Realistic Option'!$R$57)</f>
        <v>1312.2103173266698</v>
      </c>
      <c r="F26" s="3"/>
      <c r="G26" s="3"/>
    </row>
    <row r="27" spans="1:7" x14ac:dyDescent="0.2">
      <c r="A27" s="1">
        <v>24</v>
      </c>
      <c r="B27" s="10">
        <v>42339</v>
      </c>
      <c r="C27" s="11">
        <f>-PMT('Realistic Option'!$R$60/12,'Realistic Option'!$R$59*12,'Realistic Option'!$R$57)</f>
        <v>1467.5291477587523</v>
      </c>
      <c r="D27" s="3">
        <f>-PPMT('Realistic Option'!$R$60/12,A27,'Realistic Option'!$R$59*12,'Realistic Option'!$R$57)</f>
        <v>156.35428930162965</v>
      </c>
      <c r="E27" s="3">
        <f>-IPMT('Realistic Option'!$R$60/12,A27,'Realistic Option'!$R$59*12,'Realistic Option'!$R$57)</f>
        <v>1311.1748584571226</v>
      </c>
      <c r="F27" s="3"/>
      <c r="G27" s="7"/>
    </row>
    <row r="28" spans="1:7" x14ac:dyDescent="0.2">
      <c r="B28" s="8" t="s">
        <v>39</v>
      </c>
      <c r="C28" s="12">
        <f>SUM(C16:C27)</f>
        <v>17610.349773105027</v>
      </c>
      <c r="D28" s="12">
        <f>SUM(D16:D27)</f>
        <v>1809.3975587919458</v>
      </c>
      <c r="E28" s="12">
        <f>SUM(E16:E27)</f>
        <v>15800.952214313083</v>
      </c>
      <c r="F28" s="3"/>
      <c r="G28" s="3"/>
    </row>
    <row r="29" spans="1:7" x14ac:dyDescent="0.2">
      <c r="B29" s="4"/>
      <c r="C29" s="4"/>
      <c r="D29" s="3"/>
      <c r="E29" s="3"/>
      <c r="F29" s="3"/>
      <c r="G29" s="3"/>
    </row>
    <row r="30" spans="1:7" x14ac:dyDescent="0.2">
      <c r="A30" s="1">
        <v>25</v>
      </c>
      <c r="B30" s="4" t="s">
        <v>41</v>
      </c>
      <c r="C30" s="11">
        <f>-PMT('Realistic Option'!$R$60/12,'Realistic Option'!$R$59*12,'Realistic Option'!$R$57)</f>
        <v>1467.5291477587523</v>
      </c>
      <c r="D30" s="3">
        <f>-PPMT('Realistic Option'!$R$60/12,A30,'Realistic Option'!$R$59*12,'Realistic Option'!$R$57)</f>
        <v>157.39665123030721</v>
      </c>
      <c r="E30" s="3">
        <f>-IPMT('Realistic Option'!$R$60/12,A30,'Realistic Option'!$R$59*12,'Realistic Option'!$R$57)</f>
        <v>1310.132496528445</v>
      </c>
      <c r="F30" s="3"/>
      <c r="G30" s="3"/>
    </row>
    <row r="31" spans="1:7" x14ac:dyDescent="0.2">
      <c r="A31" s="1">
        <v>26</v>
      </c>
      <c r="B31" s="10">
        <v>42401</v>
      </c>
      <c r="C31" s="11">
        <f>-PMT('Realistic Option'!$R$60/12,'Realistic Option'!$R$59*12,'Realistic Option'!$R$57)</f>
        <v>1467.5291477587523</v>
      </c>
      <c r="D31" s="3">
        <f>-PPMT('Realistic Option'!$R$60/12,A31,'Realistic Option'!$R$59*12,'Realistic Option'!$R$57)</f>
        <v>158.4459622385092</v>
      </c>
      <c r="E31" s="3">
        <f>-IPMT('Realistic Option'!$R$60/12,A31,'Realistic Option'!$R$59*12,'Realistic Option'!$R$57)</f>
        <v>1309.0831855202432</v>
      </c>
      <c r="F31" s="3"/>
      <c r="G31" s="3"/>
    </row>
    <row r="32" spans="1:7" x14ac:dyDescent="0.2">
      <c r="A32" s="1">
        <v>27</v>
      </c>
      <c r="B32" s="10">
        <v>42430</v>
      </c>
      <c r="C32" s="11">
        <f>-PMT('Realistic Option'!$R$60/12,'Realistic Option'!$R$59*12,'Realistic Option'!$R$57)</f>
        <v>1467.5291477587523</v>
      </c>
      <c r="D32" s="3">
        <f>-PPMT('Realistic Option'!$R$60/12,A32,'Realistic Option'!$R$59*12,'Realistic Option'!$R$57)</f>
        <v>159.50226865343262</v>
      </c>
      <c r="E32" s="3">
        <f>-IPMT('Realistic Option'!$R$60/12,A32,'Realistic Option'!$R$59*12,'Realistic Option'!$R$57)</f>
        <v>1308.0268791053197</v>
      </c>
      <c r="F32" s="3"/>
      <c r="G32" s="3"/>
    </row>
    <row r="33" spans="1:7" x14ac:dyDescent="0.2">
      <c r="A33" s="1">
        <v>28</v>
      </c>
      <c r="B33" s="10">
        <v>42461</v>
      </c>
      <c r="C33" s="11">
        <f>-PMT('Realistic Option'!$R$60/12,'Realistic Option'!$R$59*12,'Realistic Option'!$R$57)</f>
        <v>1467.5291477587523</v>
      </c>
      <c r="D33" s="3">
        <f>-PPMT('Realistic Option'!$R$60/12,A33,'Realistic Option'!$R$59*12,'Realistic Option'!$R$57)</f>
        <v>160.56561711112212</v>
      </c>
      <c r="E33" s="3">
        <f>-IPMT('Realistic Option'!$R$60/12,A33,'Realistic Option'!$R$59*12,'Realistic Option'!$R$57)</f>
        <v>1306.9635306476303</v>
      </c>
      <c r="F33" s="3"/>
      <c r="G33" s="3"/>
    </row>
    <row r="34" spans="1:7" x14ac:dyDescent="0.2">
      <c r="A34" s="1">
        <v>29</v>
      </c>
      <c r="B34" s="10">
        <v>42491</v>
      </c>
      <c r="C34" s="11">
        <f>-PMT('Realistic Option'!$R$60/12,'Realistic Option'!$R$59*12,'Realistic Option'!$R$57)</f>
        <v>1467.5291477587523</v>
      </c>
      <c r="D34" s="3">
        <f>-PPMT('Realistic Option'!$R$60/12,A34,'Realistic Option'!$R$59*12,'Realistic Option'!$R$57)</f>
        <v>161.63605455852965</v>
      </c>
      <c r="E34" s="3">
        <f>-IPMT('Realistic Option'!$R$60/12,A34,'Realistic Option'!$R$59*12,'Realistic Option'!$R$57)</f>
        <v>1305.8930932002227</v>
      </c>
      <c r="F34" s="3"/>
      <c r="G34" s="3"/>
    </row>
    <row r="35" spans="1:7" x14ac:dyDescent="0.2">
      <c r="A35" s="1">
        <v>30</v>
      </c>
      <c r="B35" s="10">
        <v>42522</v>
      </c>
      <c r="C35" s="11">
        <f>-PMT('Realistic Option'!$R$60/12,'Realistic Option'!$R$59*12,'Realistic Option'!$R$57)</f>
        <v>1467.5291477587523</v>
      </c>
      <c r="D35" s="3">
        <f>-PPMT('Realistic Option'!$R$60/12,A35,'Realistic Option'!$R$59*12,'Realistic Option'!$R$57)</f>
        <v>162.71362825558654</v>
      </c>
      <c r="E35" s="3">
        <f>-IPMT('Realistic Option'!$R$60/12,A35,'Realistic Option'!$R$59*12,'Realistic Option'!$R$57)</f>
        <v>1304.8155195031657</v>
      </c>
      <c r="F35" s="3"/>
      <c r="G35" s="3"/>
    </row>
    <row r="36" spans="1:7" x14ac:dyDescent="0.2">
      <c r="A36" s="1">
        <v>31</v>
      </c>
      <c r="B36" s="10">
        <v>42552</v>
      </c>
      <c r="C36" s="11">
        <f>-PMT('Realistic Option'!$R$60/12,'Realistic Option'!$R$59*12,'Realistic Option'!$R$57)</f>
        <v>1467.5291477587523</v>
      </c>
      <c r="D36" s="3">
        <f>-PPMT('Realistic Option'!$R$60/12,A36,'Realistic Option'!$R$59*12,'Realistic Option'!$R$57)</f>
        <v>163.79838577729041</v>
      </c>
      <c r="E36" s="3">
        <f>-IPMT('Realistic Option'!$R$60/12,A36,'Realistic Option'!$R$59*12,'Realistic Option'!$R$57)</f>
        <v>1303.7307619814619</v>
      </c>
      <c r="F36" s="3"/>
      <c r="G36" s="3"/>
    </row>
    <row r="37" spans="1:7" x14ac:dyDescent="0.2">
      <c r="A37" s="1">
        <v>32</v>
      </c>
      <c r="B37" s="10">
        <v>42583</v>
      </c>
      <c r="C37" s="11">
        <f>-PMT('Realistic Option'!$R$60/12,'Realistic Option'!$R$59*12,'Realistic Option'!$R$57)</f>
        <v>1467.5291477587523</v>
      </c>
      <c r="D37" s="3">
        <f>-PPMT('Realistic Option'!$R$60/12,A37,'Realistic Option'!$R$59*12,'Realistic Option'!$R$57)</f>
        <v>164.89037501580572</v>
      </c>
      <c r="E37" s="3">
        <f>-IPMT('Realistic Option'!$R$60/12,A37,'Realistic Option'!$R$59*12,'Realistic Option'!$R$57)</f>
        <v>1302.6387727429467</v>
      </c>
      <c r="F37" s="3"/>
      <c r="G37" s="3"/>
    </row>
    <row r="38" spans="1:7" x14ac:dyDescent="0.2">
      <c r="A38" s="1">
        <v>33</v>
      </c>
      <c r="B38" s="10">
        <v>42614</v>
      </c>
      <c r="C38" s="11">
        <f>-PMT('Realistic Option'!$R$60/12,'Realistic Option'!$R$59*12,'Realistic Option'!$R$57)</f>
        <v>1467.5291477587523</v>
      </c>
      <c r="D38" s="3">
        <f>-PPMT('Realistic Option'!$R$60/12,A38,'Realistic Option'!$R$59*12,'Realistic Option'!$R$57)</f>
        <v>165.98964418257773</v>
      </c>
      <c r="E38" s="3">
        <f>-IPMT('Realistic Option'!$R$60/12,A38,'Realistic Option'!$R$59*12,'Realistic Option'!$R$57)</f>
        <v>1301.5395035761744</v>
      </c>
      <c r="F38" s="3"/>
      <c r="G38" s="3"/>
    </row>
    <row r="39" spans="1:7" x14ac:dyDescent="0.2">
      <c r="A39" s="1">
        <v>34</v>
      </c>
      <c r="B39" s="10">
        <v>42644</v>
      </c>
      <c r="C39" s="11">
        <f>-PMT('Realistic Option'!$R$60/12,'Realistic Option'!$R$59*12,'Realistic Option'!$R$57)</f>
        <v>1467.5291477587523</v>
      </c>
      <c r="D39" s="3">
        <f>-PPMT('Realistic Option'!$R$60/12,A39,'Realistic Option'!$R$59*12,'Realistic Option'!$R$57)</f>
        <v>167.09624181046158</v>
      </c>
      <c r="E39" s="3">
        <f>-IPMT('Realistic Option'!$R$60/12,A39,'Realistic Option'!$R$59*12,'Realistic Option'!$R$57)</f>
        <v>1300.4329059482909</v>
      </c>
      <c r="F39" s="3"/>
      <c r="G39" s="3"/>
    </row>
    <row r="40" spans="1:7" x14ac:dyDescent="0.2">
      <c r="A40" s="1">
        <v>35</v>
      </c>
      <c r="B40" s="10">
        <v>42675</v>
      </c>
      <c r="C40" s="11">
        <f>-PMT('Realistic Option'!$R$60/12,'Realistic Option'!$R$59*12,'Realistic Option'!$R$57)</f>
        <v>1467.5291477587523</v>
      </c>
      <c r="D40" s="3">
        <f>-PPMT('Realistic Option'!$R$60/12,A40,'Realistic Option'!$R$59*12,'Realistic Option'!$R$57)</f>
        <v>168.21021675586471</v>
      </c>
      <c r="E40" s="3">
        <f>-IPMT('Realistic Option'!$R$60/12,A40,'Realistic Option'!$R$59*12,'Realistic Option'!$R$57)</f>
        <v>1299.3189310028877</v>
      </c>
      <c r="F40" s="3"/>
      <c r="G40" s="3"/>
    </row>
    <row r="41" spans="1:7" x14ac:dyDescent="0.2">
      <c r="A41" s="1">
        <v>36</v>
      </c>
      <c r="B41" s="10">
        <v>42705</v>
      </c>
      <c r="C41" s="11">
        <f>-PMT('Realistic Option'!$R$60/12,'Realistic Option'!$R$59*12,'Realistic Option'!$R$57)</f>
        <v>1467.5291477587523</v>
      </c>
      <c r="D41" s="3">
        <f>-PPMT('Realistic Option'!$R$60/12,A41,'Realistic Option'!$R$59*12,'Realistic Option'!$R$57)</f>
        <v>169.33161820090373</v>
      </c>
      <c r="E41" s="3">
        <f>-IPMT('Realistic Option'!$R$60/12,A41,'Realistic Option'!$R$59*12,'Realistic Option'!$R$57)</f>
        <v>1298.1975295578486</v>
      </c>
      <c r="F41" s="3"/>
      <c r="G41" s="7"/>
    </row>
    <row r="42" spans="1:7" x14ac:dyDescent="0.2">
      <c r="B42" s="8" t="s">
        <v>39</v>
      </c>
      <c r="C42" s="12">
        <f>SUM(C30:C41)</f>
        <v>17610.349773105027</v>
      </c>
      <c r="D42" s="12">
        <f>SUM(D30:D41)</f>
        <v>1959.5766637903912</v>
      </c>
      <c r="E42" s="12">
        <f>SUM(E30:E41)</f>
        <v>15650.773109314636</v>
      </c>
      <c r="F42" s="3"/>
      <c r="G42" s="3"/>
    </row>
    <row r="43" spans="1:7" x14ac:dyDescent="0.2">
      <c r="B43" s="4"/>
      <c r="C43" s="4"/>
      <c r="D43" s="3"/>
      <c r="E43" s="3"/>
      <c r="F43" s="3"/>
      <c r="G43" s="3"/>
    </row>
    <row r="44" spans="1:7" x14ac:dyDescent="0.2">
      <c r="A44" s="1">
        <v>37</v>
      </c>
      <c r="B44" s="4" t="s">
        <v>42</v>
      </c>
      <c r="C44" s="11">
        <f>-PMT('Realistic Option'!$R$60/12,'Realistic Option'!$R$59*12,'Realistic Option'!$R$57)</f>
        <v>1467.5291477587523</v>
      </c>
      <c r="D44" s="3">
        <f>-PPMT('Realistic Option'!$R$60/12,A44,'Realistic Option'!$R$59*12,'Realistic Option'!$R$57)</f>
        <v>170.46049565557649</v>
      </c>
      <c r="E44" s="3">
        <f>-IPMT('Realistic Option'!$R$60/12,A44,'Realistic Option'!$R$59*12,'Realistic Option'!$R$57)</f>
        <v>1297.068652103176</v>
      </c>
      <c r="F44" s="3"/>
      <c r="G44" s="3"/>
    </row>
    <row r="45" spans="1:7" x14ac:dyDescent="0.2">
      <c r="A45" s="1">
        <v>38</v>
      </c>
      <c r="B45" s="10">
        <v>42767</v>
      </c>
      <c r="C45" s="11">
        <f>-PMT('Realistic Option'!$R$60/12,'Realistic Option'!$R$59*12,'Realistic Option'!$R$57)</f>
        <v>1467.5291477587523</v>
      </c>
      <c r="D45" s="3">
        <f>-PPMT('Realistic Option'!$R$60/12,A45,'Realistic Option'!$R$59*12,'Realistic Option'!$R$57)</f>
        <v>171.59689895994694</v>
      </c>
      <c r="E45" s="3">
        <f>-IPMT('Realistic Option'!$R$60/12,A45,'Realistic Option'!$R$59*12,'Realistic Option'!$R$57)</f>
        <v>1295.9322487988054</v>
      </c>
      <c r="F45" s="3"/>
      <c r="G45" s="3"/>
    </row>
    <row r="46" spans="1:7" x14ac:dyDescent="0.2">
      <c r="A46" s="1">
        <v>39</v>
      </c>
      <c r="B46" s="10">
        <v>42795</v>
      </c>
      <c r="C46" s="11">
        <f>-PMT('Realistic Option'!$R$60/12,'Realistic Option'!$R$59*12,'Realistic Option'!$R$57)</f>
        <v>1467.5291477587523</v>
      </c>
      <c r="D46" s="3">
        <f>-PPMT('Realistic Option'!$R$60/12,A46,'Realistic Option'!$R$59*12,'Realistic Option'!$R$57)</f>
        <v>172.74087828634663</v>
      </c>
      <c r="E46" s="3">
        <f>-IPMT('Realistic Option'!$R$60/12,A46,'Realistic Option'!$R$59*12,'Realistic Option'!$R$57)</f>
        <v>1294.7882694724058</v>
      </c>
      <c r="F46" s="3"/>
      <c r="G46" s="3"/>
    </row>
    <row r="47" spans="1:7" x14ac:dyDescent="0.2">
      <c r="A47" s="1">
        <v>40</v>
      </c>
      <c r="B47" s="10">
        <v>42826</v>
      </c>
      <c r="C47" s="11">
        <f>-PMT('Realistic Option'!$R$60/12,'Realistic Option'!$R$59*12,'Realistic Option'!$R$57)</f>
        <v>1467.5291477587523</v>
      </c>
      <c r="D47" s="3">
        <f>-PPMT('Realistic Option'!$R$60/12,A47,'Realistic Option'!$R$59*12,'Realistic Option'!$R$57)</f>
        <v>173.89248414158891</v>
      </c>
      <c r="E47" s="3">
        <f>-IPMT('Realistic Option'!$R$60/12,A47,'Realistic Option'!$R$59*12,'Realistic Option'!$R$57)</f>
        <v>1293.6366636171633</v>
      </c>
      <c r="F47" s="3"/>
      <c r="G47" s="3"/>
    </row>
    <row r="48" spans="1:7" x14ac:dyDescent="0.2">
      <c r="A48" s="1">
        <v>41</v>
      </c>
      <c r="B48" s="10">
        <v>42856</v>
      </c>
      <c r="C48" s="11">
        <f>-PMT('Realistic Option'!$R$60/12,'Realistic Option'!$R$59*12,'Realistic Option'!$R$57)</f>
        <v>1467.5291477587523</v>
      </c>
      <c r="D48" s="3">
        <f>-PPMT('Realistic Option'!$R$60/12,A48,'Realistic Option'!$R$59*12,'Realistic Option'!$R$57)</f>
        <v>175.05176736919952</v>
      </c>
      <c r="E48" s="3">
        <f>-IPMT('Realistic Option'!$R$60/12,A48,'Realistic Option'!$R$59*12,'Realistic Option'!$R$57)</f>
        <v>1292.4773803895528</v>
      </c>
      <c r="F48" s="3"/>
      <c r="G48" s="3"/>
    </row>
    <row r="49" spans="1:8" x14ac:dyDescent="0.2">
      <c r="A49" s="1">
        <v>42</v>
      </c>
      <c r="B49" s="10">
        <v>42887</v>
      </c>
      <c r="C49" s="11">
        <f>-PMT('Realistic Option'!$R$60/12,'Realistic Option'!$R$59*12,'Realistic Option'!$R$57)</f>
        <v>1467.5291477587523</v>
      </c>
      <c r="D49" s="3">
        <f>-PPMT('Realistic Option'!$R$60/12,A49,'Realistic Option'!$R$59*12,'Realistic Option'!$R$57)</f>
        <v>176.2187791516609</v>
      </c>
      <c r="E49" s="3">
        <f>-IPMT('Realistic Option'!$R$60/12,A49,'Realistic Option'!$R$59*12,'Realistic Option'!$R$57)</f>
        <v>1291.3103686070915</v>
      </c>
      <c r="F49" s="3"/>
      <c r="G49" s="3"/>
    </row>
    <row r="50" spans="1:8" x14ac:dyDescent="0.2">
      <c r="A50" s="1">
        <v>43</v>
      </c>
      <c r="B50" s="10">
        <v>42917</v>
      </c>
      <c r="C50" s="11">
        <f>-PMT('Realistic Option'!$R$60/12,'Realistic Option'!$R$59*12,'Realistic Option'!$R$57)</f>
        <v>1467.5291477587523</v>
      </c>
      <c r="D50" s="3">
        <f>-PPMT('Realistic Option'!$R$60/12,A50,'Realistic Option'!$R$59*12,'Realistic Option'!$R$57)</f>
        <v>177.39357101267191</v>
      </c>
      <c r="E50" s="3">
        <f>-IPMT('Realistic Option'!$R$60/12,A50,'Realistic Option'!$R$59*12,'Realistic Option'!$R$57)</f>
        <v>1290.1355767460805</v>
      </c>
      <c r="F50" s="3"/>
      <c r="G50" s="3"/>
    </row>
    <row r="51" spans="1:8" x14ac:dyDescent="0.2">
      <c r="A51" s="1">
        <v>44</v>
      </c>
      <c r="B51" s="10">
        <v>42948</v>
      </c>
      <c r="C51" s="11">
        <f>-PMT('Realistic Option'!$R$60/12,'Realistic Option'!$R$59*12,'Realistic Option'!$R$57)</f>
        <v>1467.5291477587523</v>
      </c>
      <c r="D51" s="3">
        <f>-PPMT('Realistic Option'!$R$60/12,A51,'Realistic Option'!$R$59*12,'Realistic Option'!$R$57)</f>
        <v>178.57619481942311</v>
      </c>
      <c r="E51" s="3">
        <f>-IPMT('Realistic Option'!$R$60/12,A51,'Realistic Option'!$R$59*12,'Realistic Option'!$R$57)</f>
        <v>1288.9529529393292</v>
      </c>
      <c r="F51" s="3"/>
      <c r="G51" s="3"/>
    </row>
    <row r="52" spans="1:8" x14ac:dyDescent="0.2">
      <c r="A52" s="1">
        <v>45</v>
      </c>
      <c r="B52" s="10">
        <v>42979</v>
      </c>
      <c r="C52" s="11">
        <f>-PMT('Realistic Option'!$R$60/12,'Realistic Option'!$R$59*12,'Realistic Option'!$R$57)</f>
        <v>1467.5291477587523</v>
      </c>
      <c r="D52" s="3">
        <f>-PPMT('Realistic Option'!$R$60/12,A52,'Realistic Option'!$R$59*12,'Realistic Option'!$R$57)</f>
        <v>179.76670278488587</v>
      </c>
      <c r="E52" s="3">
        <f>-IPMT('Realistic Option'!$R$60/12,A52,'Realistic Option'!$R$59*12,'Realistic Option'!$R$57)</f>
        <v>1287.7624449738664</v>
      </c>
      <c r="F52" s="3"/>
      <c r="G52" s="3"/>
    </row>
    <row r="53" spans="1:8" x14ac:dyDescent="0.2">
      <c r="A53" s="1">
        <v>46</v>
      </c>
      <c r="B53" s="10">
        <v>43009</v>
      </c>
      <c r="C53" s="11">
        <f>-PMT('Realistic Option'!$R$60/12,'Realistic Option'!$R$59*12,'Realistic Option'!$R$57)</f>
        <v>1467.5291477587523</v>
      </c>
      <c r="D53" s="3">
        <f>-PPMT('Realistic Option'!$R$60/12,A53,'Realistic Option'!$R$59*12,'Realistic Option'!$R$57)</f>
        <v>180.96514747011847</v>
      </c>
      <c r="E53" s="3">
        <f>-IPMT('Realistic Option'!$R$60/12,A53,'Realistic Option'!$R$59*12,'Realistic Option'!$R$57)</f>
        <v>1286.5640002886339</v>
      </c>
      <c r="F53" s="3"/>
      <c r="G53" s="3"/>
    </row>
    <row r="54" spans="1:8" x14ac:dyDescent="0.2">
      <c r="A54" s="1">
        <v>47</v>
      </c>
      <c r="B54" s="10">
        <v>43040</v>
      </c>
      <c r="C54" s="11">
        <f>-PMT('Realistic Option'!$R$60/12,'Realistic Option'!$R$59*12,'Realistic Option'!$R$57)</f>
        <v>1467.5291477587523</v>
      </c>
      <c r="D54" s="3">
        <f>-PPMT('Realistic Option'!$R$60/12,A54,'Realistic Option'!$R$59*12,'Realistic Option'!$R$57)</f>
        <v>182.1715817865859</v>
      </c>
      <c r="E54" s="3">
        <f>-IPMT('Realistic Option'!$R$60/12,A54,'Realistic Option'!$R$59*12,'Realistic Option'!$R$57)</f>
        <v>1285.3575659721666</v>
      </c>
      <c r="F54" s="3"/>
      <c r="G54" s="3"/>
    </row>
    <row r="55" spans="1:8" x14ac:dyDescent="0.2">
      <c r="A55" s="1">
        <v>48</v>
      </c>
      <c r="B55" s="10">
        <v>43070</v>
      </c>
      <c r="C55" s="11">
        <f>-PMT('Realistic Option'!$R$60/12,'Realistic Option'!$R$59*12,'Realistic Option'!$R$57)</f>
        <v>1467.5291477587523</v>
      </c>
      <c r="D55" s="3">
        <f>-PPMT('Realistic Option'!$R$60/12,A55,'Realistic Option'!$R$59*12,'Realistic Option'!$R$57)</f>
        <v>183.38605899849648</v>
      </c>
      <c r="E55" s="3">
        <f>-IPMT('Realistic Option'!$R$60/12,A55,'Realistic Option'!$R$59*12,'Realistic Option'!$R$57)</f>
        <v>1284.1430887602558</v>
      </c>
      <c r="F55" s="3"/>
      <c r="G55" s="7"/>
      <c r="H55" s="3"/>
    </row>
    <row r="56" spans="1:8" x14ac:dyDescent="0.2">
      <c r="B56" s="8" t="s">
        <v>39</v>
      </c>
      <c r="C56" s="12">
        <f>SUM(C44:C55)</f>
        <v>17610.349773105027</v>
      </c>
      <c r="D56" s="12">
        <f>SUM(D44:D55)</f>
        <v>2122.2205604365008</v>
      </c>
      <c r="E56" s="12">
        <f>SUM(E44:E55)</f>
        <v>15488.129212668529</v>
      </c>
    </row>
    <row r="58" spans="1:8" x14ac:dyDescent="0.2">
      <c r="A58" s="1">
        <v>49</v>
      </c>
      <c r="B58" s="10">
        <v>43131</v>
      </c>
      <c r="C58" s="11">
        <f>-PMT('Realistic Option'!$R$60/12,'Realistic Option'!$R$59*12,'Realistic Option'!$R$57)</f>
        <v>1467.5291477587523</v>
      </c>
      <c r="D58" s="3">
        <f>-PPMT('Realistic Option'!$R$60/12,A58,'Realistic Option'!$R$59*12,'Realistic Option'!$R$57)</f>
        <v>184.60863272515317</v>
      </c>
      <c r="E58" s="3">
        <f>-IPMT('Realistic Option'!$R$60/12,A58,'Realistic Option'!$R$59*12,'Realistic Option'!$R$57)</f>
        <v>1282.920515033599</v>
      </c>
    </row>
    <row r="59" spans="1:8" x14ac:dyDescent="0.2">
      <c r="A59" s="1">
        <v>50</v>
      </c>
      <c r="B59" s="10">
        <v>43132</v>
      </c>
      <c r="C59" s="11">
        <f>-PMT('Realistic Option'!$R$60/12,'Realistic Option'!$R$59*12,'Realistic Option'!$R$57)</f>
        <v>1467.5291477587523</v>
      </c>
      <c r="D59" s="3">
        <f>-PPMT('Realistic Option'!$R$60/12,A59,'Realistic Option'!$R$59*12,'Realistic Option'!$R$57)</f>
        <v>185.83935694332081</v>
      </c>
      <c r="E59" s="3">
        <f>-IPMT('Realistic Option'!$R$60/12,A59,'Realistic Option'!$R$59*12,'Realistic Option'!$R$57)</f>
        <v>1281.6897908154315</v>
      </c>
    </row>
    <row r="60" spans="1:8" x14ac:dyDescent="0.2">
      <c r="A60" s="1">
        <v>51</v>
      </c>
      <c r="B60" s="10">
        <v>43160</v>
      </c>
      <c r="C60" s="11">
        <f>-PMT('Realistic Option'!$R$60/12,'Realistic Option'!$R$59*12,'Realistic Option'!$R$57)</f>
        <v>1467.5291477587523</v>
      </c>
      <c r="D60" s="3">
        <f>-PPMT('Realistic Option'!$R$60/12,A60,'Realistic Option'!$R$59*12,'Realistic Option'!$R$57)</f>
        <v>187.07828598960967</v>
      </c>
      <c r="E60" s="3">
        <f>-IPMT('Realistic Option'!$R$60/12,A60,'Realistic Option'!$R$59*12,'Realistic Option'!$R$57)</f>
        <v>1280.4508617691426</v>
      </c>
    </row>
    <row r="61" spans="1:8" x14ac:dyDescent="0.2">
      <c r="A61" s="1">
        <v>52</v>
      </c>
      <c r="B61" s="10">
        <v>43191</v>
      </c>
      <c r="C61" s="11">
        <f>-PMT('Realistic Option'!$R$60/12,'Realistic Option'!$R$59*12,'Realistic Option'!$R$57)</f>
        <v>1467.5291477587523</v>
      </c>
      <c r="D61" s="3">
        <f>-PPMT('Realistic Option'!$R$60/12,A61,'Realistic Option'!$R$59*12,'Realistic Option'!$R$57)</f>
        <v>188.32547456287367</v>
      </c>
      <c r="E61" s="3">
        <f>-IPMT('Realistic Option'!$R$60/12,A61,'Realistic Option'!$R$59*12,'Realistic Option'!$R$57)</f>
        <v>1279.2036731958785</v>
      </c>
    </row>
    <row r="62" spans="1:8" x14ac:dyDescent="0.2">
      <c r="A62" s="1">
        <v>53</v>
      </c>
      <c r="B62" s="10">
        <v>43221</v>
      </c>
      <c r="C62" s="11">
        <f>-PMT('Realistic Option'!$R$60/12,'Realistic Option'!$R$59*12,'Realistic Option'!$R$57)</f>
        <v>1467.5291477587523</v>
      </c>
      <c r="D62" s="3">
        <f>-PPMT('Realistic Option'!$R$60/12,A62,'Realistic Option'!$R$59*12,'Realistic Option'!$R$57)</f>
        <v>189.5809777266262</v>
      </c>
      <c r="E62" s="3">
        <f>-IPMT('Realistic Option'!$R$60/12,A62,'Realistic Option'!$R$59*12,'Realistic Option'!$R$57)</f>
        <v>1277.948170032126</v>
      </c>
    </row>
    <row r="63" spans="1:8" x14ac:dyDescent="0.2">
      <c r="A63" s="1">
        <v>54</v>
      </c>
      <c r="B63" s="10">
        <v>43252</v>
      </c>
      <c r="C63" s="11">
        <f>-PMT('Realistic Option'!$R$60/12,'Realistic Option'!$R$59*12,'Realistic Option'!$R$57)</f>
        <v>1467.5291477587523</v>
      </c>
      <c r="D63" s="3">
        <f>-PPMT('Realistic Option'!$R$60/12,A63,'Realistic Option'!$R$59*12,'Realistic Option'!$R$57)</f>
        <v>190.84485091147042</v>
      </c>
      <c r="E63" s="3">
        <f>-IPMT('Realistic Option'!$R$60/12,A63,'Realistic Option'!$R$59*12,'Realistic Option'!$R$57)</f>
        <v>1276.684296847282</v>
      </c>
    </row>
    <row r="64" spans="1:8" x14ac:dyDescent="0.2">
      <c r="A64" s="1">
        <v>55</v>
      </c>
      <c r="B64" s="10">
        <v>43282</v>
      </c>
      <c r="C64" s="11">
        <f>-PMT('Realistic Option'!$R$60/12,'Realistic Option'!$R$59*12,'Realistic Option'!$R$57)</f>
        <v>1467.5291477587523</v>
      </c>
      <c r="D64" s="3">
        <f>-PPMT('Realistic Option'!$R$60/12,A64,'Realistic Option'!$R$59*12,'Realistic Option'!$R$57)</f>
        <v>192.11714991754681</v>
      </c>
      <c r="E64" s="3">
        <f>-IPMT('Realistic Option'!$R$60/12,A64,'Realistic Option'!$R$59*12,'Realistic Option'!$R$57)</f>
        <v>1275.4119978412054</v>
      </c>
    </row>
    <row r="65" spans="1:7" x14ac:dyDescent="0.2">
      <c r="A65" s="1">
        <v>56</v>
      </c>
      <c r="B65" s="10">
        <v>43313</v>
      </c>
      <c r="C65" s="11">
        <f>-PMT('Realistic Option'!$R$60/12,'Realistic Option'!$R$59*12,'Realistic Option'!$R$57)</f>
        <v>1467.5291477587523</v>
      </c>
      <c r="D65" s="3">
        <f>-PPMT('Realistic Option'!$R$60/12,A65,'Realistic Option'!$R$59*12,'Realistic Option'!$R$57)</f>
        <v>193.39793091699718</v>
      </c>
      <c r="E65" s="3">
        <f>-IPMT('Realistic Option'!$R$60/12,A65,'Realistic Option'!$R$59*12,'Realistic Option'!$R$57)</f>
        <v>1274.1312168417551</v>
      </c>
    </row>
    <row r="66" spans="1:7" x14ac:dyDescent="0.2">
      <c r="A66" s="1">
        <v>57</v>
      </c>
      <c r="B66" s="10">
        <v>43344</v>
      </c>
      <c r="C66" s="11">
        <f>-PMT('Realistic Option'!$R$60/12,'Realistic Option'!$R$59*12,'Realistic Option'!$R$57)</f>
        <v>1467.5291477587523</v>
      </c>
      <c r="D66" s="3">
        <f>-PPMT('Realistic Option'!$R$60/12,A66,'Realistic Option'!$R$59*12,'Realistic Option'!$R$57)</f>
        <v>194.68725045644376</v>
      </c>
      <c r="E66" s="3">
        <f>-IPMT('Realistic Option'!$R$60/12,A66,'Realistic Option'!$R$59*12,'Realistic Option'!$R$57)</f>
        <v>1272.8418973023086</v>
      </c>
    </row>
    <row r="67" spans="1:7" x14ac:dyDescent="0.2">
      <c r="A67" s="1">
        <v>58</v>
      </c>
      <c r="B67" s="10">
        <v>43374</v>
      </c>
      <c r="C67" s="11">
        <f>-PMT('Realistic Option'!$R$60/12,'Realistic Option'!$R$59*12,'Realistic Option'!$R$57)</f>
        <v>1467.5291477587523</v>
      </c>
      <c r="D67" s="3">
        <f>-PPMT('Realistic Option'!$R$60/12,A67,'Realistic Option'!$R$59*12,'Realistic Option'!$R$57)</f>
        <v>195.98516545948678</v>
      </c>
      <c r="E67" s="3">
        <f>-IPMT('Realistic Option'!$R$60/12,A67,'Realistic Option'!$R$59*12,'Realistic Option'!$R$57)</f>
        <v>1271.5439822992655</v>
      </c>
    </row>
    <row r="68" spans="1:7" x14ac:dyDescent="0.2">
      <c r="A68" s="1">
        <v>59</v>
      </c>
      <c r="B68" s="10">
        <v>43405</v>
      </c>
      <c r="C68" s="11">
        <f>-PMT('Realistic Option'!$R$60/12,'Realistic Option'!$R$59*12,'Realistic Option'!$R$57)</f>
        <v>1467.5291477587523</v>
      </c>
      <c r="D68" s="3">
        <f>-PPMT('Realistic Option'!$R$60/12,A68,'Realistic Option'!$R$59*12,'Realistic Option'!$R$57)</f>
        <v>197.29173322921662</v>
      </c>
      <c r="E68" s="3">
        <f>-IPMT('Realistic Option'!$R$60/12,A68,'Realistic Option'!$R$59*12,'Realistic Option'!$R$57)</f>
        <v>1270.2374145295357</v>
      </c>
    </row>
    <row r="69" spans="1:7" x14ac:dyDescent="0.2">
      <c r="A69" s="1">
        <v>60</v>
      </c>
      <c r="B69" s="10">
        <v>43435</v>
      </c>
      <c r="C69" s="11">
        <f>-PMT('Realistic Option'!$R$60/12,'Realistic Option'!$R$59*12,'Realistic Option'!$R$57)</f>
        <v>1467.5291477587523</v>
      </c>
      <c r="D69" s="3">
        <f>-PPMT('Realistic Option'!$R$60/12,A69,'Realistic Option'!$R$59*12,'Realistic Option'!$R$57)</f>
        <v>198.60701145074478</v>
      </c>
      <c r="E69" s="3">
        <f>-IPMT('Realistic Option'!$R$60/12,A69,'Realistic Option'!$R$59*12,'Realistic Option'!$R$57)</f>
        <v>1268.9221363080076</v>
      </c>
    </row>
    <row r="70" spans="1:7" x14ac:dyDescent="0.2">
      <c r="B70" s="8" t="s">
        <v>39</v>
      </c>
      <c r="C70" s="12">
        <f>SUM(C58:C69)</f>
        <v>17610.349773105027</v>
      </c>
      <c r="D70" s="12">
        <f>SUM(D58:D69)</f>
        <v>2298.3638202894899</v>
      </c>
      <c r="E70" s="12">
        <f>SUM(E58:E69)</f>
        <v>15311.985952815538</v>
      </c>
    </row>
    <row r="72" spans="1:7" x14ac:dyDescent="0.2">
      <c r="A72" s="1">
        <v>61</v>
      </c>
      <c r="B72" s="10">
        <v>43496</v>
      </c>
      <c r="C72" s="11">
        <f>-PMT('Realistic Option'!$R$60/12,'Realistic Option'!$R$59*12,'Realistic Option'!$R$57)</f>
        <v>1467.5291477587523</v>
      </c>
      <c r="D72" s="3">
        <f>-PPMT('Realistic Option'!$R$60/12,A72,'Realistic Option'!$R$59*12,'Realistic Option'!$R$57)</f>
        <v>199.93105819374972</v>
      </c>
      <c r="E72" s="3">
        <f>-IPMT('Realistic Option'!$R$60/12,A72,'Realistic Option'!$R$59*12,'Realistic Option'!$R$57)</f>
        <v>1267.5980895650025</v>
      </c>
    </row>
    <row r="73" spans="1:7" x14ac:dyDescent="0.2">
      <c r="A73" s="1">
        <v>62</v>
      </c>
      <c r="B73" s="10">
        <v>43497</v>
      </c>
      <c r="C73" s="11">
        <f>-PMT('Realistic Option'!$R$60/12,'Realistic Option'!$R$59*12,'Realistic Option'!$R$57)</f>
        <v>1467.5291477587523</v>
      </c>
      <c r="D73" s="3">
        <f>-PPMT('Realistic Option'!$R$60/12,A73,'Realistic Option'!$R$59*12,'Realistic Option'!$R$57)</f>
        <v>201.26393191504135</v>
      </c>
      <c r="E73" s="3">
        <f>-IPMT('Realistic Option'!$R$60/12,A73,'Realistic Option'!$R$59*12,'Realistic Option'!$R$57)</f>
        <v>1266.2652158437108</v>
      </c>
    </row>
    <row r="74" spans="1:7" x14ac:dyDescent="0.2">
      <c r="A74" s="1">
        <v>63</v>
      </c>
      <c r="B74" s="10">
        <v>43498</v>
      </c>
      <c r="C74" s="11">
        <f>-PMT('Realistic Option'!$R$60/12,'Realistic Option'!$R$59*12,'Realistic Option'!$R$57)</f>
        <v>1467.5291477587523</v>
      </c>
      <c r="D74" s="3">
        <f>-PPMT('Realistic Option'!$R$60/12,A74,'Realistic Option'!$R$59*12,'Realistic Option'!$R$57)</f>
        <v>202.60569146114165</v>
      </c>
      <c r="E74" s="3">
        <f>-IPMT('Realistic Option'!$R$60/12,A74,'Realistic Option'!$R$59*12,'Realistic Option'!$R$57)</f>
        <v>1264.9234562976105</v>
      </c>
    </row>
    <row r="75" spans="1:7" x14ac:dyDescent="0.2">
      <c r="A75" s="1">
        <v>64</v>
      </c>
      <c r="B75" s="10">
        <v>43499</v>
      </c>
      <c r="C75" s="11">
        <f>-PMT('Realistic Option'!$R$60/12,'Realistic Option'!$R$59*12,'Realistic Option'!$R$57)</f>
        <v>1467.5291477587523</v>
      </c>
      <c r="D75" s="3">
        <f>-PPMT('Realistic Option'!$R$60/12,A75,'Realistic Option'!$R$59*12,'Realistic Option'!$R$57)</f>
        <v>203.95639607088265</v>
      </c>
      <c r="E75" s="3">
        <f>-IPMT('Realistic Option'!$R$60/12,A75,'Realistic Option'!$R$59*12,'Realistic Option'!$R$57)</f>
        <v>1263.5727516878696</v>
      </c>
    </row>
    <row r="76" spans="1:7" x14ac:dyDescent="0.2">
      <c r="A76" s="1">
        <v>65</v>
      </c>
      <c r="B76" s="10">
        <v>43500</v>
      </c>
      <c r="C76" s="11">
        <f>-PMT('Realistic Option'!$R$60/12,'Realistic Option'!$R$59*12,'Realistic Option'!$R$57)</f>
        <v>1467.5291477587523</v>
      </c>
      <c r="D76" s="3">
        <f>-PPMT('Realistic Option'!$R$60/12,A76,'Realistic Option'!$R$59*12,'Realistic Option'!$R$57)</f>
        <v>205.31610537802183</v>
      </c>
      <c r="E76" s="3">
        <f>-IPMT('Realistic Option'!$R$60/12,A76,'Realistic Option'!$R$59*12,'Realistic Option'!$R$57)</f>
        <v>1262.2130423807305</v>
      </c>
      <c r="F76" s="3"/>
      <c r="G76" s="3"/>
    </row>
    <row r="77" spans="1:7" x14ac:dyDescent="0.2">
      <c r="A77" s="1">
        <v>66</v>
      </c>
      <c r="B77" s="10">
        <v>43501</v>
      </c>
      <c r="C77" s="11">
        <f>-PMT('Realistic Option'!$R$60/12,'Realistic Option'!$R$59*12,'Realistic Option'!$R$57)</f>
        <v>1467.5291477587523</v>
      </c>
      <c r="D77" s="3">
        <f>-PPMT('Realistic Option'!$R$60/12,A77,'Realistic Option'!$R$59*12,'Realistic Option'!$R$57)</f>
        <v>206.68487941387534</v>
      </c>
      <c r="E77" s="3">
        <f>-IPMT('Realistic Option'!$R$60/12,A77,'Realistic Option'!$R$59*12,'Realistic Option'!$R$57)</f>
        <v>1260.844268344877</v>
      </c>
      <c r="F77" s="3"/>
      <c r="G77" s="3"/>
    </row>
    <row r="78" spans="1:7" x14ac:dyDescent="0.2">
      <c r="A78" s="1">
        <v>67</v>
      </c>
      <c r="B78" s="10">
        <v>43502</v>
      </c>
      <c r="C78" s="11">
        <f>-PMT('Realistic Option'!$R$60/12,'Realistic Option'!$R$59*12,'Realistic Option'!$R$57)</f>
        <v>1467.5291477587523</v>
      </c>
      <c r="D78" s="3">
        <f>-PPMT('Realistic Option'!$R$60/12,A78,'Realistic Option'!$R$59*12,'Realistic Option'!$R$57)</f>
        <v>208.06277860996784</v>
      </c>
      <c r="E78" s="3">
        <f>-IPMT('Realistic Option'!$R$60/12,A78,'Realistic Option'!$R$59*12,'Realistic Option'!$R$57)</f>
        <v>1259.4663691487845</v>
      </c>
      <c r="F78" s="3"/>
      <c r="G78" s="3"/>
    </row>
    <row r="79" spans="1:7" x14ac:dyDescent="0.2">
      <c r="A79" s="1">
        <v>68</v>
      </c>
      <c r="B79" s="10">
        <v>43503</v>
      </c>
      <c r="C79" s="11">
        <f>-PMT('Realistic Option'!$R$60/12,'Realistic Option'!$R$59*12,'Realistic Option'!$R$57)</f>
        <v>1467.5291477587523</v>
      </c>
      <c r="D79" s="3">
        <f>-PPMT('Realistic Option'!$R$60/12,A79,'Realistic Option'!$R$59*12,'Realistic Option'!$R$57)</f>
        <v>209.44986380070094</v>
      </c>
      <c r="E79" s="3">
        <f>-IPMT('Realistic Option'!$R$60/12,A79,'Realistic Option'!$R$59*12,'Realistic Option'!$R$57)</f>
        <v>1258.0792839580513</v>
      </c>
      <c r="F79" s="3"/>
      <c r="G79" s="3"/>
    </row>
    <row r="80" spans="1:7" x14ac:dyDescent="0.2">
      <c r="A80" s="1">
        <v>69</v>
      </c>
      <c r="B80" s="10">
        <v>43504</v>
      </c>
      <c r="C80" s="11">
        <f>-PMT('Realistic Option'!$R$60/12,'Realistic Option'!$R$59*12,'Realistic Option'!$R$57)</f>
        <v>1467.5291477587523</v>
      </c>
      <c r="D80" s="3">
        <f>-PPMT('Realistic Option'!$R$60/12,A80,'Realistic Option'!$R$59*12,'Realistic Option'!$R$57)</f>
        <v>210.84619622603893</v>
      </c>
      <c r="E80" s="3">
        <f>-IPMT('Realistic Option'!$R$60/12,A80,'Realistic Option'!$R$59*12,'Realistic Option'!$R$57)</f>
        <v>1256.6829515327133</v>
      </c>
      <c r="F80" s="3"/>
      <c r="G80" s="3"/>
    </row>
    <row r="81" spans="1:7" x14ac:dyDescent="0.2">
      <c r="A81" s="1">
        <v>70</v>
      </c>
      <c r="B81" s="10">
        <v>43505</v>
      </c>
      <c r="C81" s="11">
        <f>-PMT('Realistic Option'!$R$60/12,'Realistic Option'!$R$59*12,'Realistic Option'!$R$57)</f>
        <v>1467.5291477587523</v>
      </c>
      <c r="D81" s="3">
        <f>-PPMT('Realistic Option'!$R$60/12,A81,'Realistic Option'!$R$59*12,'Realistic Option'!$R$57)</f>
        <v>212.25183753421254</v>
      </c>
      <c r="E81" s="3">
        <f>-IPMT('Realistic Option'!$R$60/12,A81,'Realistic Option'!$R$59*12,'Realistic Option'!$R$57)</f>
        <v>1255.2773102245399</v>
      </c>
      <c r="F81" s="3"/>
      <c r="G81" s="3"/>
    </row>
    <row r="82" spans="1:7" x14ac:dyDescent="0.2">
      <c r="A82" s="1">
        <v>71</v>
      </c>
      <c r="B82" s="10">
        <v>43506</v>
      </c>
      <c r="C82" s="11">
        <f>-PMT('Realistic Option'!$R$60/12,'Realistic Option'!$R$59*12,'Realistic Option'!$R$57)</f>
        <v>1467.5291477587523</v>
      </c>
      <c r="D82" s="3">
        <f>-PPMT('Realistic Option'!$R$60/12,A82,'Realistic Option'!$R$59*12,'Realistic Option'!$R$57)</f>
        <v>213.66684978444061</v>
      </c>
      <c r="E82" s="3">
        <f>-IPMT('Realistic Option'!$R$60/12,A82,'Realistic Option'!$R$59*12,'Realistic Option'!$R$57)</f>
        <v>1253.8622979743116</v>
      </c>
      <c r="F82" s="3"/>
      <c r="G82" s="3"/>
    </row>
    <row r="83" spans="1:7" x14ac:dyDescent="0.2">
      <c r="A83" s="1">
        <v>72</v>
      </c>
      <c r="B83" s="10">
        <v>43507</v>
      </c>
      <c r="C83" s="11">
        <f>-PMT('Realistic Option'!$R$60/12,'Realistic Option'!$R$59*12,'Realistic Option'!$R$57)</f>
        <v>1467.5291477587523</v>
      </c>
      <c r="D83" s="3">
        <f>-PPMT('Realistic Option'!$R$60/12,A83,'Realistic Option'!$R$59*12,'Realistic Option'!$R$57)</f>
        <v>215.09129544967024</v>
      </c>
      <c r="E83" s="3">
        <f>-IPMT('Realistic Option'!$R$60/12,A83,'Realistic Option'!$R$59*12,'Realistic Option'!$R$57)</f>
        <v>1252.4378523090822</v>
      </c>
      <c r="F83" s="3"/>
      <c r="G83" s="7"/>
    </row>
    <row r="84" spans="1:7" x14ac:dyDescent="0.2">
      <c r="B84" s="8" t="s">
        <v>39</v>
      </c>
      <c r="C84" s="12">
        <f>SUM(C72:C83)</f>
        <v>17610.349773105027</v>
      </c>
      <c r="D84" s="12">
        <f>SUM(D72:D83)</f>
        <v>2489.1268838377437</v>
      </c>
      <c r="E84" s="12">
        <f>SUM(E72:E83)</f>
        <v>15121.222889267283</v>
      </c>
      <c r="F84" s="3"/>
      <c r="G84" s="3"/>
    </row>
    <row r="85" spans="1:7" x14ac:dyDescent="0.2">
      <c r="C85" s="4"/>
      <c r="D85" s="3"/>
      <c r="E85" s="3"/>
      <c r="F85" s="3"/>
      <c r="G85" s="3"/>
    </row>
    <row r="86" spans="1:7" x14ac:dyDescent="0.2">
      <c r="A86" s="1">
        <v>73</v>
      </c>
      <c r="B86" s="10">
        <v>43861</v>
      </c>
      <c r="C86" s="11">
        <f>-PMT('Realistic Option'!$R$60/12,'Realistic Option'!$R$59*12,'Realistic Option'!$R$57)</f>
        <v>1467.5291477587523</v>
      </c>
      <c r="D86" s="3">
        <f>-PPMT('Realistic Option'!$R$60/12,A86,'Realistic Option'!$R$59*12,'Realistic Option'!$R$57)</f>
        <v>216.5252374193347</v>
      </c>
      <c r="E86" s="3">
        <f>-IPMT('Realistic Option'!$R$60/12,A86,'Realistic Option'!$R$59*12,'Realistic Option'!$R$57)</f>
        <v>1251.0039103394176</v>
      </c>
      <c r="F86" s="3"/>
      <c r="G86" s="3"/>
    </row>
    <row r="87" spans="1:7" x14ac:dyDescent="0.2">
      <c r="A87" s="1">
        <v>74</v>
      </c>
      <c r="B87" s="10">
        <v>43862</v>
      </c>
      <c r="C87" s="11">
        <f>-PMT('Realistic Option'!$R$60/12,'Realistic Option'!$R$59*12,'Realistic Option'!$R$57)</f>
        <v>1467.5291477587523</v>
      </c>
      <c r="D87" s="3">
        <f>-PPMT('Realistic Option'!$R$60/12,A87,'Realistic Option'!$R$59*12,'Realistic Option'!$R$57)</f>
        <v>217.96873900213026</v>
      </c>
      <c r="E87" s="3">
        <f>-IPMT('Realistic Option'!$R$60/12,A87,'Realistic Option'!$R$59*12,'Realistic Option'!$R$57)</f>
        <v>1249.5604087566221</v>
      </c>
      <c r="F87" s="3"/>
      <c r="G87" s="3"/>
    </row>
    <row r="88" spans="1:7" x14ac:dyDescent="0.2">
      <c r="A88" s="1">
        <v>75</v>
      </c>
      <c r="B88" s="10">
        <v>43891</v>
      </c>
      <c r="C88" s="11">
        <f>-PMT('Realistic Option'!$R$60/12,'Realistic Option'!$R$59*12,'Realistic Option'!$R$57)</f>
        <v>1467.5291477587523</v>
      </c>
      <c r="D88" s="3">
        <f>-PPMT('Realistic Option'!$R$60/12,A88,'Realistic Option'!$R$59*12,'Realistic Option'!$R$57)</f>
        <v>219.42186392881112</v>
      </c>
      <c r="E88" s="3">
        <f>-IPMT('Realistic Option'!$R$60/12,A88,'Realistic Option'!$R$59*12,'Realistic Option'!$R$57)</f>
        <v>1248.1072838299413</v>
      </c>
      <c r="F88" s="3"/>
      <c r="G88" s="3"/>
    </row>
    <row r="89" spans="1:7" x14ac:dyDescent="0.2">
      <c r="A89" s="1">
        <v>76</v>
      </c>
      <c r="B89" s="10">
        <v>43922</v>
      </c>
      <c r="C89" s="11">
        <f>-PMT('Realistic Option'!$R$60/12,'Realistic Option'!$R$59*12,'Realistic Option'!$R$57)</f>
        <v>1467.5291477587523</v>
      </c>
      <c r="D89" s="3">
        <f>-PPMT('Realistic Option'!$R$60/12,A89,'Realistic Option'!$R$59*12,'Realistic Option'!$R$57)</f>
        <v>220.88467635500319</v>
      </c>
      <c r="E89" s="3">
        <f>-IPMT('Realistic Option'!$R$60/12,A89,'Realistic Option'!$R$59*12,'Realistic Option'!$R$57)</f>
        <v>1246.6444714037491</v>
      </c>
      <c r="F89" s="3"/>
      <c r="G89" s="3"/>
    </row>
    <row r="90" spans="1:7" x14ac:dyDescent="0.2">
      <c r="A90" s="1">
        <v>77</v>
      </c>
      <c r="B90" s="10">
        <v>43952</v>
      </c>
      <c r="C90" s="11">
        <f>-PMT('Realistic Option'!$R$60/12,'Realistic Option'!$R$59*12,'Realistic Option'!$R$57)</f>
        <v>1467.5291477587523</v>
      </c>
      <c r="D90" s="3">
        <f>-PPMT('Realistic Option'!$R$60/12,A90,'Realistic Option'!$R$59*12,'Realistic Option'!$R$57)</f>
        <v>222.35724086403658</v>
      </c>
      <c r="E90" s="3">
        <f>-IPMT('Realistic Option'!$R$60/12,A90,'Realistic Option'!$R$59*12,'Realistic Option'!$R$57)</f>
        <v>1245.1719068947157</v>
      </c>
      <c r="F90" s="3"/>
      <c r="G90" s="3"/>
    </row>
    <row r="91" spans="1:7" x14ac:dyDescent="0.2">
      <c r="A91" s="1">
        <v>78</v>
      </c>
      <c r="B91" s="10">
        <v>43983</v>
      </c>
      <c r="C91" s="11">
        <f>-PMT('Realistic Option'!$R$60/12,'Realistic Option'!$R$59*12,'Realistic Option'!$R$57)</f>
        <v>1467.5291477587523</v>
      </c>
      <c r="D91" s="3">
        <f>-PPMT('Realistic Option'!$R$60/12,A91,'Realistic Option'!$R$59*12,'Realistic Option'!$R$57)</f>
        <v>223.83962246979681</v>
      </c>
      <c r="E91" s="3">
        <f>-IPMT('Realistic Option'!$R$60/12,A91,'Realistic Option'!$R$59*12,'Realistic Option'!$R$57)</f>
        <v>1243.6895252889556</v>
      </c>
      <c r="F91" s="3"/>
      <c r="G91" s="3"/>
    </row>
    <row r="92" spans="1:7" x14ac:dyDescent="0.2">
      <c r="A92" s="1">
        <v>79</v>
      </c>
      <c r="B92" s="10">
        <v>44013</v>
      </c>
      <c r="C92" s="11">
        <f>-PMT('Realistic Option'!$R$60/12,'Realistic Option'!$R$59*12,'Realistic Option'!$R$57)</f>
        <v>1467.5291477587523</v>
      </c>
      <c r="D92" s="3">
        <f>-PPMT('Realistic Option'!$R$60/12,A92,'Realistic Option'!$R$59*12,'Realistic Option'!$R$57)</f>
        <v>225.33188661959542</v>
      </c>
      <c r="E92" s="3">
        <f>-IPMT('Realistic Option'!$R$60/12,A92,'Realistic Option'!$R$59*12,'Realistic Option'!$R$57)</f>
        <v>1242.1972611391568</v>
      </c>
      <c r="F92" s="3"/>
      <c r="G92" s="3"/>
    </row>
    <row r="93" spans="1:7" x14ac:dyDescent="0.2">
      <c r="A93" s="1">
        <v>80</v>
      </c>
      <c r="B93" s="10">
        <v>44044</v>
      </c>
      <c r="C93" s="11">
        <f>-PMT('Realistic Option'!$R$60/12,'Realistic Option'!$R$59*12,'Realistic Option'!$R$57)</f>
        <v>1467.5291477587523</v>
      </c>
      <c r="D93" s="3">
        <f>-PPMT('Realistic Option'!$R$60/12,A93,'Realistic Option'!$R$59*12,'Realistic Option'!$R$57)</f>
        <v>226.83409919705943</v>
      </c>
      <c r="E93" s="3">
        <f>-IPMT('Realistic Option'!$R$60/12,A93,'Realistic Option'!$R$59*12,'Realistic Option'!$R$57)</f>
        <v>1240.6950485616928</v>
      </c>
      <c r="F93" s="3"/>
      <c r="G93" s="3"/>
    </row>
    <row r="94" spans="1:7" x14ac:dyDescent="0.2">
      <c r="A94" s="1">
        <v>81</v>
      </c>
      <c r="B94" s="10">
        <v>44075</v>
      </c>
      <c r="C94" s="11">
        <f>-PMT('Realistic Option'!$R$60/12,'Realistic Option'!$R$59*12,'Realistic Option'!$R$57)</f>
        <v>1467.5291477587523</v>
      </c>
      <c r="D94" s="3">
        <f>-PPMT('Realistic Option'!$R$60/12,A94,'Realistic Option'!$R$59*12,'Realistic Option'!$R$57)</f>
        <v>228.34632652503979</v>
      </c>
      <c r="E94" s="3">
        <f>-IPMT('Realistic Option'!$R$60/12,A94,'Realistic Option'!$R$59*12,'Realistic Option'!$R$57)</f>
        <v>1239.1828212337125</v>
      </c>
      <c r="F94" s="3"/>
      <c r="G94" s="3"/>
    </row>
    <row r="95" spans="1:7" x14ac:dyDescent="0.2">
      <c r="A95" s="1">
        <v>82</v>
      </c>
      <c r="B95" s="10">
        <v>44105</v>
      </c>
      <c r="C95" s="11">
        <f>-PMT('Realistic Option'!$R$60/12,'Realistic Option'!$R$59*12,'Realistic Option'!$R$57)</f>
        <v>1467.5291477587523</v>
      </c>
      <c r="D95" s="3">
        <f>-PPMT('Realistic Option'!$R$60/12,A95,'Realistic Option'!$R$59*12,'Realistic Option'!$R$57)</f>
        <v>229.86863536854005</v>
      </c>
      <c r="E95" s="3">
        <f>-IPMT('Realistic Option'!$R$60/12,A95,'Realistic Option'!$R$59*12,'Realistic Option'!$R$57)</f>
        <v>1237.6605123902123</v>
      </c>
      <c r="F95" s="3"/>
      <c r="G95" s="3"/>
    </row>
    <row r="96" spans="1:7" x14ac:dyDescent="0.2">
      <c r="A96" s="1">
        <v>83</v>
      </c>
      <c r="B96" s="10">
        <v>44136</v>
      </c>
      <c r="C96" s="11">
        <f>-PMT('Realistic Option'!$R$60/12,'Realistic Option'!$R$59*12,'Realistic Option'!$R$57)</f>
        <v>1467.5291477587523</v>
      </c>
      <c r="D96" s="3">
        <f>-PPMT('Realistic Option'!$R$60/12,A96,'Realistic Option'!$R$59*12,'Realistic Option'!$R$57)</f>
        <v>231.40109293766369</v>
      </c>
      <c r="E96" s="3">
        <f>-IPMT('Realistic Option'!$R$60/12,A96,'Realistic Option'!$R$59*12,'Realistic Option'!$R$57)</f>
        <v>1236.1280548210887</v>
      </c>
      <c r="F96" s="3"/>
      <c r="G96" s="3"/>
    </row>
    <row r="97" spans="1:7" x14ac:dyDescent="0.2">
      <c r="A97" s="1">
        <v>84</v>
      </c>
      <c r="B97" s="10">
        <v>44166</v>
      </c>
      <c r="C97" s="11">
        <f>-PMT('Realistic Option'!$R$60/12,'Realistic Option'!$R$59*12,'Realistic Option'!$R$57)</f>
        <v>1467.5291477587523</v>
      </c>
      <c r="D97" s="3">
        <f>-PPMT('Realistic Option'!$R$60/12,A97,'Realistic Option'!$R$59*12,'Realistic Option'!$R$57)</f>
        <v>232.94376689058149</v>
      </c>
      <c r="E97" s="3">
        <f>-IPMT('Realistic Option'!$R$60/12,A97,'Realistic Option'!$R$59*12,'Realistic Option'!$R$57)</f>
        <v>1234.5853808681709</v>
      </c>
      <c r="F97" s="3"/>
      <c r="G97" s="7"/>
    </row>
    <row r="98" spans="1:7" x14ac:dyDescent="0.2">
      <c r="B98" s="8" t="s">
        <v>39</v>
      </c>
      <c r="C98" s="12">
        <f>SUM(C86:C97)</f>
        <v>17610.349773105027</v>
      </c>
      <c r="D98" s="12">
        <f>SUM(D86:D97)</f>
        <v>2695.7231875775929</v>
      </c>
      <c r="E98" s="12">
        <f>SUM(E86:E97)</f>
        <v>14914.626585527436</v>
      </c>
      <c r="F98" s="3"/>
      <c r="G98" s="3"/>
    </row>
    <row r="99" spans="1:7" x14ac:dyDescent="0.2">
      <c r="C99" s="4"/>
      <c r="D99" s="3"/>
      <c r="E99" s="3"/>
      <c r="F99" s="3"/>
      <c r="G99" s="3"/>
    </row>
    <row r="100" spans="1:7" x14ac:dyDescent="0.2">
      <c r="A100" s="1">
        <v>85</v>
      </c>
      <c r="B100" s="10">
        <v>44227</v>
      </c>
      <c r="C100" s="11">
        <f>-PMT('Realistic Option'!$R$60/12,'Realistic Option'!$R$59*12,'Realistic Option'!$R$57)</f>
        <v>1467.5291477587523</v>
      </c>
      <c r="D100" s="3">
        <f>-PPMT('Realistic Option'!$R$60/12,A100,'Realistic Option'!$R$59*12,'Realistic Option'!$R$57)</f>
        <v>234.49672533651864</v>
      </c>
      <c r="E100" s="3">
        <f>-IPMT('Realistic Option'!$R$60/12,A100,'Realistic Option'!$R$59*12,'Realistic Option'!$R$57)</f>
        <v>1233.0324224222338</v>
      </c>
      <c r="F100" s="3"/>
      <c r="G100" s="3"/>
    </row>
    <row r="101" spans="1:7" x14ac:dyDescent="0.2">
      <c r="A101" s="1">
        <v>86</v>
      </c>
      <c r="B101" s="10">
        <v>44228</v>
      </c>
      <c r="C101" s="11">
        <f>-PMT('Realistic Option'!$R$60/12,'Realistic Option'!$R$59*12,'Realistic Option'!$R$57)</f>
        <v>1467.5291477587523</v>
      </c>
      <c r="D101" s="3">
        <f>-PPMT('Realistic Option'!$R$60/12,A101,'Realistic Option'!$R$59*12,'Realistic Option'!$R$57)</f>
        <v>236.0600368387621</v>
      </c>
      <c r="E101" s="3">
        <f>-IPMT('Realistic Option'!$R$60/12,A101,'Realistic Option'!$R$59*12,'Realistic Option'!$R$57)</f>
        <v>1231.4691109199903</v>
      </c>
      <c r="F101" s="3"/>
      <c r="G101" s="3"/>
    </row>
    <row r="102" spans="1:7" x14ac:dyDescent="0.2">
      <c r="A102" s="1">
        <v>87</v>
      </c>
      <c r="B102" s="10">
        <v>44256</v>
      </c>
      <c r="C102" s="11">
        <f>-PMT('Realistic Option'!$R$60/12,'Realistic Option'!$R$59*12,'Realistic Option'!$R$57)</f>
        <v>1467.5291477587523</v>
      </c>
      <c r="D102" s="3">
        <f>-PPMT('Realistic Option'!$R$60/12,A102,'Realistic Option'!$R$59*12,'Realistic Option'!$R$57)</f>
        <v>237.63377041768715</v>
      </c>
      <c r="E102" s="3">
        <f>-IPMT('Realistic Option'!$R$60/12,A102,'Realistic Option'!$R$59*12,'Realistic Option'!$R$57)</f>
        <v>1229.8953773410651</v>
      </c>
      <c r="F102" s="3"/>
      <c r="G102" s="3"/>
    </row>
    <row r="103" spans="1:7" x14ac:dyDescent="0.2">
      <c r="A103" s="1">
        <v>88</v>
      </c>
      <c r="B103" s="10">
        <v>44287</v>
      </c>
      <c r="C103" s="11">
        <f>-PMT('Realistic Option'!$R$60/12,'Realistic Option'!$R$59*12,'Realistic Option'!$R$57)</f>
        <v>1467.5291477587523</v>
      </c>
      <c r="D103" s="3">
        <f>-PPMT('Realistic Option'!$R$60/12,A103,'Realistic Option'!$R$59*12,'Realistic Option'!$R$57)</f>
        <v>239.21799555380511</v>
      </c>
      <c r="E103" s="3">
        <f>-IPMT('Realistic Option'!$R$60/12,A103,'Realistic Option'!$R$59*12,'Realistic Option'!$R$57)</f>
        <v>1228.3111522049471</v>
      </c>
      <c r="F103" s="3"/>
      <c r="G103" s="3"/>
    </row>
    <row r="104" spans="1:7" x14ac:dyDescent="0.2">
      <c r="A104" s="1">
        <v>89</v>
      </c>
      <c r="B104" s="10">
        <v>44317</v>
      </c>
      <c r="C104" s="11">
        <f>-PMT('Realistic Option'!$R$60/12,'Realistic Option'!$R$59*12,'Realistic Option'!$R$57)</f>
        <v>1467.5291477587523</v>
      </c>
      <c r="D104" s="3">
        <f>-PPMT('Realistic Option'!$R$60/12,A104,'Realistic Option'!$R$59*12,'Realistic Option'!$R$57)</f>
        <v>240.81278219083049</v>
      </c>
      <c r="E104" s="3">
        <f>-IPMT('Realistic Option'!$R$60/12,A104,'Realistic Option'!$R$59*12,'Realistic Option'!$R$57)</f>
        <v>1226.7163655679217</v>
      </c>
      <c r="F104" s="3"/>
      <c r="G104" s="3"/>
    </row>
    <row r="105" spans="1:7" x14ac:dyDescent="0.2">
      <c r="A105" s="1">
        <v>90</v>
      </c>
      <c r="B105" s="10">
        <v>44348</v>
      </c>
      <c r="C105" s="11">
        <f>-PMT('Realistic Option'!$R$60/12,'Realistic Option'!$R$59*12,'Realistic Option'!$R$57)</f>
        <v>1467.5291477587523</v>
      </c>
      <c r="D105" s="3">
        <f>-PPMT('Realistic Option'!$R$60/12,A105,'Realistic Option'!$R$59*12,'Realistic Option'!$R$57)</f>
        <v>242.41820073876934</v>
      </c>
      <c r="E105" s="3">
        <f>-IPMT('Realistic Option'!$R$60/12,A105,'Realistic Option'!$R$59*12,'Realistic Option'!$R$57)</f>
        <v>1225.1109470199829</v>
      </c>
      <c r="F105" s="3"/>
      <c r="G105" s="3"/>
    </row>
    <row r="106" spans="1:7" x14ac:dyDescent="0.2">
      <c r="A106" s="1">
        <v>91</v>
      </c>
      <c r="B106" s="10">
        <v>44378</v>
      </c>
      <c r="C106" s="11">
        <f>-PMT('Realistic Option'!$R$60/12,'Realistic Option'!$R$59*12,'Realistic Option'!$R$57)</f>
        <v>1467.5291477587523</v>
      </c>
      <c r="D106" s="3">
        <f>-PPMT('Realistic Option'!$R$60/12,A106,'Realistic Option'!$R$59*12,'Realistic Option'!$R$57)</f>
        <v>244.03432207702778</v>
      </c>
      <c r="E106" s="3">
        <f>-IPMT('Realistic Option'!$R$60/12,A106,'Realistic Option'!$R$59*12,'Realistic Option'!$R$57)</f>
        <v>1223.4948256817245</v>
      </c>
      <c r="F106" s="3"/>
      <c r="G106" s="3"/>
    </row>
    <row r="107" spans="1:7" x14ac:dyDescent="0.2">
      <c r="A107" s="1">
        <v>92</v>
      </c>
      <c r="B107" s="10">
        <v>44409</v>
      </c>
      <c r="C107" s="11">
        <f>-PMT('Realistic Option'!$R$60/12,'Realistic Option'!$R$59*12,'Realistic Option'!$R$57)</f>
        <v>1467.5291477587523</v>
      </c>
      <c r="D107" s="3">
        <f>-PPMT('Realistic Option'!$R$60/12,A107,'Realistic Option'!$R$59*12,'Realistic Option'!$R$57)</f>
        <v>245.66121755754131</v>
      </c>
      <c r="E107" s="3">
        <f>-IPMT('Realistic Option'!$R$60/12,A107,'Realistic Option'!$R$59*12,'Realistic Option'!$R$57)</f>
        <v>1221.867930201211</v>
      </c>
      <c r="F107" s="3"/>
      <c r="G107" s="3"/>
    </row>
    <row r="108" spans="1:7" x14ac:dyDescent="0.2">
      <c r="A108" s="1">
        <v>93</v>
      </c>
      <c r="B108" s="10">
        <v>44440</v>
      </c>
      <c r="C108" s="11">
        <f>-PMT('Realistic Option'!$R$60/12,'Realistic Option'!$R$59*12,'Realistic Option'!$R$57)</f>
        <v>1467.5291477587523</v>
      </c>
      <c r="D108" s="3">
        <f>-PPMT('Realistic Option'!$R$60/12,A108,'Realistic Option'!$R$59*12,'Realistic Option'!$R$57)</f>
        <v>247.29895900792494</v>
      </c>
      <c r="E108" s="3">
        <f>-IPMT('Realistic Option'!$R$60/12,A108,'Realistic Option'!$R$59*12,'Realistic Option'!$R$57)</f>
        <v>1220.2301887508272</v>
      </c>
      <c r="F108" s="3"/>
      <c r="G108" s="3"/>
    </row>
    <row r="109" spans="1:7" x14ac:dyDescent="0.2">
      <c r="A109" s="1">
        <v>94</v>
      </c>
      <c r="B109" s="10">
        <v>44470</v>
      </c>
      <c r="C109" s="11">
        <f>-PMT('Realistic Option'!$R$60/12,'Realistic Option'!$R$59*12,'Realistic Option'!$R$57)</f>
        <v>1467.5291477587523</v>
      </c>
      <c r="D109" s="3">
        <f>-PPMT('Realistic Option'!$R$60/12,A109,'Realistic Option'!$R$59*12,'Realistic Option'!$R$57)</f>
        <v>248.94761873464441</v>
      </c>
      <c r="E109" s="3">
        <f>-IPMT('Realistic Option'!$R$60/12,A109,'Realistic Option'!$R$59*12,'Realistic Option'!$R$57)</f>
        <v>1218.581529024108</v>
      </c>
      <c r="F109" s="3"/>
      <c r="G109" s="3"/>
    </row>
    <row r="110" spans="1:7" x14ac:dyDescent="0.2">
      <c r="A110" s="1">
        <v>95</v>
      </c>
      <c r="B110" s="10">
        <v>44501</v>
      </c>
      <c r="C110" s="11">
        <f>-PMT('Realistic Option'!$R$60/12,'Realistic Option'!$R$59*12,'Realistic Option'!$R$57)</f>
        <v>1467.5291477587523</v>
      </c>
      <c r="D110" s="3">
        <f>-PPMT('Realistic Option'!$R$60/12,A110,'Realistic Option'!$R$59*12,'Realistic Option'!$R$57)</f>
        <v>250.60726952620871</v>
      </c>
      <c r="E110" s="3">
        <f>-IPMT('Realistic Option'!$R$60/12,A110,'Realistic Option'!$R$59*12,'Realistic Option'!$R$57)</f>
        <v>1216.9218782325436</v>
      </c>
      <c r="F110" s="3"/>
      <c r="G110" s="3"/>
    </row>
    <row r="111" spans="1:7" x14ac:dyDescent="0.2">
      <c r="A111" s="1">
        <v>96</v>
      </c>
      <c r="B111" s="10">
        <v>44531</v>
      </c>
      <c r="C111" s="11">
        <f>-PMT('Realistic Option'!$R$60/12,'Realistic Option'!$R$59*12,'Realistic Option'!$R$57)</f>
        <v>1467.5291477587523</v>
      </c>
      <c r="D111" s="3">
        <f>-PPMT('Realistic Option'!$R$60/12,A111,'Realistic Option'!$R$59*12,'Realistic Option'!$R$57)</f>
        <v>252.27798465638347</v>
      </c>
      <c r="E111" s="3">
        <f>-IPMT('Realistic Option'!$R$60/12,A111,'Realistic Option'!$R$59*12,'Realistic Option'!$R$57)</f>
        <v>1215.2511631023688</v>
      </c>
      <c r="F111" s="3"/>
      <c r="G111" s="7"/>
    </row>
    <row r="112" spans="1:7" x14ac:dyDescent="0.2">
      <c r="B112" s="8" t="s">
        <v>39</v>
      </c>
      <c r="C112" s="12">
        <f>SUM(C100:C111)</f>
        <v>17610.349773105027</v>
      </c>
      <c r="D112" s="12">
        <f>SUM(D100:D111)</f>
        <v>2919.4668826361035</v>
      </c>
      <c r="E112" s="12">
        <f>SUM(E100:E111)</f>
        <v>14690.882890468924</v>
      </c>
    </row>
    <row r="114" spans="1:7" x14ac:dyDescent="0.2">
      <c r="A114" s="1">
        <v>97</v>
      </c>
      <c r="B114" s="10">
        <v>44592</v>
      </c>
      <c r="C114" s="11">
        <f>-PMT('Realistic Option'!$R$60/12,'Realistic Option'!$R$59*12,'Realistic Option'!$R$57)</f>
        <v>1467.5291477587523</v>
      </c>
      <c r="D114" s="3">
        <f>-PPMT('Realistic Option'!$R$60/12,A114,'Realistic Option'!$R$59*12,'Realistic Option'!$R$57)</f>
        <v>253.95983788742598</v>
      </c>
      <c r="E114" s="3">
        <f>-IPMT('Realistic Option'!$R$60/12,A114,'Realistic Option'!$R$59*12,'Realistic Option'!$R$57)</f>
        <v>1213.5693098713261</v>
      </c>
      <c r="F114" s="3"/>
      <c r="G114" s="3"/>
    </row>
    <row r="115" spans="1:7" x14ac:dyDescent="0.2">
      <c r="A115" s="1">
        <v>98</v>
      </c>
      <c r="B115" s="10">
        <v>44593</v>
      </c>
      <c r="C115" s="11">
        <f>-PMT('Realistic Option'!$R$60/12,'Realistic Option'!$R$59*12,'Realistic Option'!$R$57)</f>
        <v>1467.5291477587523</v>
      </c>
      <c r="D115" s="3">
        <f>-PPMT('Realistic Option'!$R$60/12,A115,'Realistic Option'!$R$59*12,'Realistic Option'!$R$57)</f>
        <v>255.65290347334218</v>
      </c>
      <c r="E115" s="3">
        <f>-IPMT('Realistic Option'!$R$60/12,A115,'Realistic Option'!$R$59*12,'Realistic Option'!$R$57)</f>
        <v>1211.8762442854102</v>
      </c>
      <c r="F115" s="3"/>
      <c r="G115" s="3"/>
    </row>
    <row r="116" spans="1:7" x14ac:dyDescent="0.2">
      <c r="A116" s="1">
        <v>99</v>
      </c>
      <c r="B116" s="10">
        <v>44621</v>
      </c>
      <c r="C116" s="11">
        <f>-PMT('Realistic Option'!$R$60/12,'Realistic Option'!$R$59*12,'Realistic Option'!$R$57)</f>
        <v>1467.5291477587523</v>
      </c>
      <c r="D116" s="3">
        <f>-PPMT('Realistic Option'!$R$60/12,A116,'Realistic Option'!$R$59*12,'Realistic Option'!$R$57)</f>
        <v>257.35725616316444</v>
      </c>
      <c r="E116" s="3">
        <f>-IPMT('Realistic Option'!$R$60/12,A116,'Realistic Option'!$R$59*12,'Realistic Option'!$R$57)</f>
        <v>1210.1718915955878</v>
      </c>
      <c r="F116" s="3"/>
      <c r="G116" s="3"/>
    </row>
    <row r="117" spans="1:7" x14ac:dyDescent="0.2">
      <c r="A117" s="1">
        <v>100</v>
      </c>
      <c r="B117" s="10">
        <v>44652</v>
      </c>
      <c r="C117" s="11">
        <f>-PMT('Realistic Option'!$R$60/12,'Realistic Option'!$R$59*12,'Realistic Option'!$R$57)</f>
        <v>1467.5291477587523</v>
      </c>
      <c r="D117" s="3">
        <f>-PPMT('Realistic Option'!$R$60/12,A117,'Realistic Option'!$R$59*12,'Realistic Option'!$R$57)</f>
        <v>259.07297120425221</v>
      </c>
      <c r="E117" s="3">
        <f>-IPMT('Realistic Option'!$R$60/12,A117,'Realistic Option'!$R$59*12,'Realistic Option'!$R$57)</f>
        <v>1208.4561765545002</v>
      </c>
      <c r="F117" s="3"/>
      <c r="G117" s="3"/>
    </row>
    <row r="118" spans="1:7" x14ac:dyDescent="0.2">
      <c r="A118" s="1">
        <v>101</v>
      </c>
      <c r="B118" s="10">
        <v>44682</v>
      </c>
      <c r="C118" s="11">
        <f>-PMT('Realistic Option'!$R$60/12,'Realistic Option'!$R$59*12,'Realistic Option'!$R$57)</f>
        <v>1467.5291477587523</v>
      </c>
      <c r="D118" s="3">
        <f>-PPMT('Realistic Option'!$R$60/12,A118,'Realistic Option'!$R$59*12,'Realistic Option'!$R$57)</f>
        <v>260.80012434561388</v>
      </c>
      <c r="E118" s="3">
        <f>-IPMT('Realistic Option'!$R$60/12,A118,'Realistic Option'!$R$59*12,'Realistic Option'!$R$57)</f>
        <v>1206.7290234131385</v>
      </c>
      <c r="F118" s="3"/>
      <c r="G118" s="3"/>
    </row>
    <row r="119" spans="1:7" x14ac:dyDescent="0.2">
      <c r="A119" s="1">
        <v>102</v>
      </c>
      <c r="B119" s="10">
        <v>44713</v>
      </c>
      <c r="C119" s="11">
        <f>-PMT('Realistic Option'!$R$60/12,'Realistic Option'!$R$59*12,'Realistic Option'!$R$57)</f>
        <v>1467.5291477587523</v>
      </c>
      <c r="D119" s="3">
        <f>-PPMT('Realistic Option'!$R$60/12,A119,'Realistic Option'!$R$59*12,'Realistic Option'!$R$57)</f>
        <v>262.53879184125134</v>
      </c>
      <c r="E119" s="3">
        <f>-IPMT('Realistic Option'!$R$60/12,A119,'Realistic Option'!$R$59*12,'Realistic Option'!$R$57)</f>
        <v>1204.9903559175011</v>
      </c>
      <c r="F119" s="3"/>
      <c r="G119" s="3"/>
    </row>
    <row r="120" spans="1:7" x14ac:dyDescent="0.2">
      <c r="A120" s="1">
        <v>103</v>
      </c>
      <c r="B120" s="10">
        <v>44743</v>
      </c>
      <c r="C120" s="11">
        <f>-PMT('Realistic Option'!$R$60/12,'Realistic Option'!$R$59*12,'Realistic Option'!$R$57)</f>
        <v>1467.5291477587523</v>
      </c>
      <c r="D120" s="3">
        <f>-PPMT('Realistic Option'!$R$60/12,A120,'Realistic Option'!$R$59*12,'Realistic Option'!$R$57)</f>
        <v>264.28905045352633</v>
      </c>
      <c r="E120" s="3">
        <f>-IPMT('Realistic Option'!$R$60/12,A120,'Realistic Option'!$R$59*12,'Realistic Option'!$R$57)</f>
        <v>1203.2400973052261</v>
      </c>
      <c r="F120" s="3"/>
      <c r="G120" s="3"/>
    </row>
    <row r="121" spans="1:7" x14ac:dyDescent="0.2">
      <c r="A121" s="1">
        <v>104</v>
      </c>
      <c r="B121" s="10">
        <v>44774</v>
      </c>
      <c r="C121" s="11">
        <f>-PMT('Realistic Option'!$R$60/12,'Realistic Option'!$R$59*12,'Realistic Option'!$R$57)</f>
        <v>1467.5291477587523</v>
      </c>
      <c r="D121" s="3">
        <f>-PPMT('Realistic Option'!$R$60/12,A121,'Realistic Option'!$R$59*12,'Realistic Option'!$R$57)</f>
        <v>266.05097745654984</v>
      </c>
      <c r="E121" s="3">
        <f>-IPMT('Realistic Option'!$R$60/12,A121,'Realistic Option'!$R$59*12,'Realistic Option'!$R$57)</f>
        <v>1201.4781703022027</v>
      </c>
      <c r="F121" s="3"/>
      <c r="G121" s="3"/>
    </row>
    <row r="122" spans="1:7" x14ac:dyDescent="0.2">
      <c r="A122" s="1">
        <v>105</v>
      </c>
      <c r="B122" s="10">
        <v>44805</v>
      </c>
      <c r="C122" s="11">
        <f>-PMT('Realistic Option'!$R$60/12,'Realistic Option'!$R$59*12,'Realistic Option'!$R$57)</f>
        <v>1467.5291477587523</v>
      </c>
      <c r="D122" s="3">
        <f>-PPMT('Realistic Option'!$R$60/12,A122,'Realistic Option'!$R$59*12,'Realistic Option'!$R$57)</f>
        <v>267.82465063959353</v>
      </c>
      <c r="E122" s="3">
        <f>-IPMT('Realistic Option'!$R$60/12,A122,'Realistic Option'!$R$59*12,'Realistic Option'!$R$57)</f>
        <v>1199.704497119159</v>
      </c>
      <c r="F122" s="3"/>
      <c r="G122" s="3"/>
    </row>
    <row r="123" spans="1:7" x14ac:dyDescent="0.2">
      <c r="A123" s="1">
        <v>106</v>
      </c>
      <c r="B123" s="10">
        <v>44835</v>
      </c>
      <c r="C123" s="11">
        <f>-PMT('Realistic Option'!$R$60/12,'Realistic Option'!$R$59*12,'Realistic Option'!$R$57)</f>
        <v>1467.5291477587523</v>
      </c>
      <c r="D123" s="3">
        <f>-PPMT('Realistic Option'!$R$60/12,A123,'Realistic Option'!$R$59*12,'Realistic Option'!$R$57)</f>
        <v>269.61014831052415</v>
      </c>
      <c r="E123" s="3">
        <f>-IPMT('Realistic Option'!$R$60/12,A123,'Realistic Option'!$R$59*12,'Realistic Option'!$R$57)</f>
        <v>1197.9189994482281</v>
      </c>
      <c r="F123" s="3"/>
      <c r="G123" s="3"/>
    </row>
    <row r="124" spans="1:7" x14ac:dyDescent="0.2">
      <c r="A124" s="1">
        <v>107</v>
      </c>
      <c r="B124" s="10">
        <v>44866</v>
      </c>
      <c r="C124" s="11">
        <f>-PMT('Realistic Option'!$R$60/12,'Realistic Option'!$R$59*12,'Realistic Option'!$R$57)</f>
        <v>1467.5291477587523</v>
      </c>
      <c r="D124" s="3">
        <f>-PPMT('Realistic Option'!$R$60/12,A124,'Realistic Option'!$R$59*12,'Realistic Option'!$R$57)</f>
        <v>271.40754929926095</v>
      </c>
      <c r="E124" s="3">
        <f>-IPMT('Realistic Option'!$R$60/12,A124,'Realistic Option'!$R$59*12,'Realistic Option'!$R$57)</f>
        <v>1196.1215984594915</v>
      </c>
      <c r="F124" s="3"/>
      <c r="G124" s="3"/>
    </row>
    <row r="125" spans="1:7" x14ac:dyDescent="0.2">
      <c r="A125" s="1">
        <v>108</v>
      </c>
      <c r="B125" s="10">
        <v>44896</v>
      </c>
      <c r="C125" s="11">
        <f>-PMT('Realistic Option'!$R$60/12,'Realistic Option'!$R$59*12,'Realistic Option'!$R$57)</f>
        <v>1467.5291477587523</v>
      </c>
      <c r="D125" s="3">
        <f>-PPMT('Realistic Option'!$R$60/12,A125,'Realistic Option'!$R$59*12,'Realistic Option'!$R$57)</f>
        <v>273.21693296125602</v>
      </c>
      <c r="E125" s="3">
        <f>-IPMT('Realistic Option'!$R$60/12,A125,'Realistic Option'!$R$59*12,'Realistic Option'!$R$57)</f>
        <v>1194.3122147974962</v>
      </c>
      <c r="F125" s="3"/>
      <c r="G125" s="7"/>
    </row>
    <row r="126" spans="1:7" x14ac:dyDescent="0.2">
      <c r="B126" s="8" t="s">
        <v>39</v>
      </c>
      <c r="C126" s="12">
        <f>SUM(C114:C125)</f>
        <v>17610.349773105027</v>
      </c>
      <c r="D126" s="12">
        <f>SUM(D114:D125)</f>
        <v>3161.781194035761</v>
      </c>
      <c r="E126" s="12">
        <f>SUM(E114:E125)</f>
        <v>14448.568579069266</v>
      </c>
    </row>
    <row r="128" spans="1:7" x14ac:dyDescent="0.2">
      <c r="A128" s="1">
        <v>109</v>
      </c>
      <c r="B128" s="10">
        <v>44957</v>
      </c>
      <c r="C128" s="11">
        <f>-PMT('Realistic Option'!$R$60/12,'Realistic Option'!$R$59*12,'Realistic Option'!$R$57)</f>
        <v>1467.5291477587523</v>
      </c>
      <c r="D128" s="3">
        <f>-PPMT('Realistic Option'!$R$60/12,A128,'Realistic Option'!$R$59*12,'Realistic Option'!$R$57)</f>
        <v>275.03837918099777</v>
      </c>
      <c r="E128" s="3">
        <f>-IPMT('Realistic Option'!$R$60/12,A128,'Realistic Option'!$R$59*12,'Realistic Option'!$R$57)</f>
        <v>1192.4907685777546</v>
      </c>
      <c r="F128" s="3"/>
      <c r="G128" s="3"/>
    </row>
    <row r="129" spans="1:7" x14ac:dyDescent="0.2">
      <c r="A129" s="1">
        <v>110</v>
      </c>
      <c r="B129" s="10">
        <v>44958</v>
      </c>
      <c r="C129" s="11">
        <f>-PMT('Realistic Option'!$R$60/12,'Realistic Option'!$R$59*12,'Realistic Option'!$R$57)</f>
        <v>1467.5291477587523</v>
      </c>
      <c r="D129" s="3">
        <f>-PPMT('Realistic Option'!$R$60/12,A129,'Realistic Option'!$R$59*12,'Realistic Option'!$R$57)</f>
        <v>276.87196837553773</v>
      </c>
      <c r="E129" s="3">
        <f>-IPMT('Realistic Option'!$R$60/12,A129,'Realistic Option'!$R$59*12,'Realistic Option'!$R$57)</f>
        <v>1190.6571793832145</v>
      </c>
      <c r="F129" s="3"/>
      <c r="G129" s="3"/>
    </row>
    <row r="130" spans="1:7" x14ac:dyDescent="0.2">
      <c r="A130" s="1">
        <v>111</v>
      </c>
      <c r="B130" s="10">
        <v>44986</v>
      </c>
      <c r="C130" s="11">
        <f>-PMT('Realistic Option'!$R$60/12,'Realistic Option'!$R$59*12,'Realistic Option'!$R$57)</f>
        <v>1467.5291477587523</v>
      </c>
      <c r="D130" s="3">
        <f>-PPMT('Realistic Option'!$R$60/12,A130,'Realistic Option'!$R$59*12,'Realistic Option'!$R$57)</f>
        <v>278.71778149804129</v>
      </c>
      <c r="E130" s="3">
        <f>-IPMT('Realistic Option'!$R$60/12,A130,'Realistic Option'!$R$59*12,'Realistic Option'!$R$57)</f>
        <v>1188.8113662607109</v>
      </c>
      <c r="F130" s="3"/>
      <c r="G130" s="3"/>
    </row>
    <row r="131" spans="1:7" x14ac:dyDescent="0.2">
      <c r="A131" s="1">
        <v>112</v>
      </c>
      <c r="B131" s="10">
        <v>45017</v>
      </c>
      <c r="C131" s="11">
        <f>-PMT('Realistic Option'!$R$60/12,'Realistic Option'!$R$59*12,'Realistic Option'!$R$57)</f>
        <v>1467.5291477587523</v>
      </c>
      <c r="D131" s="3">
        <f>-PPMT('Realistic Option'!$R$60/12,A131,'Realistic Option'!$R$59*12,'Realistic Option'!$R$57)</f>
        <v>280.57590004136159</v>
      </c>
      <c r="E131" s="3">
        <f>-IPMT('Realistic Option'!$R$60/12,A131,'Realistic Option'!$R$59*12,'Realistic Option'!$R$57)</f>
        <v>1186.9532477173909</v>
      </c>
      <c r="F131" s="3"/>
      <c r="G131" s="3"/>
    </row>
    <row r="132" spans="1:7" x14ac:dyDescent="0.2">
      <c r="A132" s="1">
        <v>113</v>
      </c>
      <c r="B132" s="10">
        <v>45047</v>
      </c>
      <c r="C132" s="11">
        <f>-PMT('Realistic Option'!$R$60/12,'Realistic Option'!$R$59*12,'Realistic Option'!$R$57)</f>
        <v>1467.5291477587523</v>
      </c>
      <c r="D132" s="3">
        <f>-PPMT('Realistic Option'!$R$60/12,A132,'Realistic Option'!$R$59*12,'Realistic Option'!$R$57)</f>
        <v>282.44640604163737</v>
      </c>
      <c r="E132" s="3">
        <f>-IPMT('Realistic Option'!$R$60/12,A132,'Realistic Option'!$R$59*12,'Realistic Option'!$R$57)</f>
        <v>1185.0827417171151</v>
      </c>
      <c r="F132" s="3"/>
      <c r="G132" s="3"/>
    </row>
    <row r="133" spans="1:7" x14ac:dyDescent="0.2">
      <c r="A133" s="1">
        <v>114</v>
      </c>
      <c r="B133" s="10">
        <v>45078</v>
      </c>
      <c r="C133" s="11">
        <f>-PMT('Realistic Option'!$R$60/12,'Realistic Option'!$R$59*12,'Realistic Option'!$R$57)</f>
        <v>1467.5291477587523</v>
      </c>
      <c r="D133" s="3">
        <f>-PPMT('Realistic Option'!$R$60/12,A133,'Realistic Option'!$R$59*12,'Realistic Option'!$R$57)</f>
        <v>284.3293820819149</v>
      </c>
      <c r="E133" s="3">
        <f>-IPMT('Realistic Option'!$R$60/12,A133,'Realistic Option'!$R$59*12,'Realistic Option'!$R$57)</f>
        <v>1183.1997656768374</v>
      </c>
      <c r="F133" s="3"/>
      <c r="G133" s="3"/>
    </row>
    <row r="134" spans="1:7" x14ac:dyDescent="0.2">
      <c r="A134" s="1">
        <v>115</v>
      </c>
      <c r="B134" s="10">
        <v>45108</v>
      </c>
      <c r="C134" s="11">
        <f>-PMT('Realistic Option'!$R$60/12,'Realistic Option'!$R$59*12,'Realistic Option'!$R$57)</f>
        <v>1467.5291477587523</v>
      </c>
      <c r="D134" s="3">
        <f>-PPMT('Realistic Option'!$R$60/12,A134,'Realistic Option'!$R$59*12,'Realistic Option'!$R$57)</f>
        <v>286.22491129579436</v>
      </c>
      <c r="E134" s="3">
        <f>-IPMT('Realistic Option'!$R$60/12,A134,'Realistic Option'!$R$59*12,'Realistic Option'!$R$57)</f>
        <v>1181.304236462958</v>
      </c>
      <c r="F134" s="3"/>
      <c r="G134" s="3"/>
    </row>
    <row r="135" spans="1:7" x14ac:dyDescent="0.2">
      <c r="A135" s="1">
        <v>116</v>
      </c>
      <c r="B135" s="10">
        <v>45139</v>
      </c>
      <c r="C135" s="11">
        <f>-PMT('Realistic Option'!$R$60/12,'Realistic Option'!$R$59*12,'Realistic Option'!$R$57)</f>
        <v>1467.5291477587523</v>
      </c>
      <c r="D135" s="3">
        <f>-PPMT('Realistic Option'!$R$60/12,A135,'Realistic Option'!$R$59*12,'Realistic Option'!$R$57)</f>
        <v>288.13307737109966</v>
      </c>
      <c r="E135" s="3">
        <f>-IPMT('Realistic Option'!$R$60/12,A135,'Realistic Option'!$R$59*12,'Realistic Option'!$R$57)</f>
        <v>1179.3960703876526</v>
      </c>
      <c r="F135" s="3"/>
      <c r="G135" s="3"/>
    </row>
    <row r="136" spans="1:7" x14ac:dyDescent="0.2">
      <c r="A136" s="1">
        <v>117</v>
      </c>
      <c r="B136" s="10">
        <v>45170</v>
      </c>
      <c r="C136" s="11">
        <f>-PMT('Realistic Option'!$R$60/12,'Realistic Option'!$R$59*12,'Realistic Option'!$R$57)</f>
        <v>1467.5291477587523</v>
      </c>
      <c r="D136" s="3">
        <f>-PPMT('Realistic Option'!$R$60/12,A136,'Realistic Option'!$R$59*12,'Realistic Option'!$R$57)</f>
        <v>290.05396455357362</v>
      </c>
      <c r="E136" s="3">
        <f>-IPMT('Realistic Option'!$R$60/12,A136,'Realistic Option'!$R$59*12,'Realistic Option'!$R$57)</f>
        <v>1177.4751832051786</v>
      </c>
      <c r="F136" s="3"/>
      <c r="G136" s="3"/>
    </row>
    <row r="137" spans="1:7" x14ac:dyDescent="0.2">
      <c r="A137" s="1">
        <v>118</v>
      </c>
      <c r="B137" s="10">
        <v>45200</v>
      </c>
      <c r="C137" s="11">
        <f>-PMT('Realistic Option'!$R$60/12,'Realistic Option'!$R$59*12,'Realistic Option'!$R$57)</f>
        <v>1467.5291477587523</v>
      </c>
      <c r="D137" s="3">
        <f>-PPMT('Realistic Option'!$R$60/12,A137,'Realistic Option'!$R$59*12,'Realistic Option'!$R$57)</f>
        <v>291.98765765059744</v>
      </c>
      <c r="E137" s="3">
        <f>-IPMT('Realistic Option'!$R$60/12,A137,'Realistic Option'!$R$59*12,'Realistic Option'!$R$57)</f>
        <v>1175.5414901081549</v>
      </c>
      <c r="F137" s="3"/>
      <c r="G137" s="3"/>
    </row>
    <row r="138" spans="1:7" x14ac:dyDescent="0.2">
      <c r="A138" s="1">
        <v>119</v>
      </c>
      <c r="B138" s="10">
        <v>45231</v>
      </c>
      <c r="C138" s="11">
        <f>-PMT('Realistic Option'!$R$60/12,'Realistic Option'!$R$59*12,'Realistic Option'!$R$57)</f>
        <v>1467.5291477587523</v>
      </c>
      <c r="D138" s="3">
        <f>-PPMT('Realistic Option'!$R$60/12,A138,'Realistic Option'!$R$59*12,'Realistic Option'!$R$57)</f>
        <v>293.93424203493475</v>
      </c>
      <c r="E138" s="3">
        <f>-IPMT('Realistic Option'!$R$60/12,A138,'Realistic Option'!$R$59*12,'Realistic Option'!$R$57)</f>
        <v>1173.5949057238174</v>
      </c>
      <c r="F138" s="3"/>
      <c r="G138" s="3"/>
    </row>
    <row r="139" spans="1:7" x14ac:dyDescent="0.2">
      <c r="A139" s="1">
        <v>120</v>
      </c>
      <c r="B139" s="10">
        <v>45261</v>
      </c>
      <c r="C139" s="11">
        <f>-PMT('Realistic Option'!$R$60/12,'Realistic Option'!$R$59*12,'Realistic Option'!$R$57)</f>
        <v>1467.5291477587523</v>
      </c>
      <c r="D139" s="3">
        <f>-PPMT('Realistic Option'!$R$60/12,A139,'Realistic Option'!$R$59*12,'Realistic Option'!$R$57)</f>
        <v>295.89380364850098</v>
      </c>
      <c r="E139" s="3">
        <f>-IPMT('Realistic Option'!$R$60/12,A139,'Realistic Option'!$R$59*12,'Realistic Option'!$R$57)</f>
        <v>1171.6353441102513</v>
      </c>
      <c r="F139" s="3"/>
      <c r="G139" s="7"/>
    </row>
    <row r="140" spans="1:7" x14ac:dyDescent="0.2">
      <c r="B140" s="8" t="s">
        <v>39</v>
      </c>
      <c r="C140" s="12">
        <f>SUM(C128:C139)</f>
        <v>17610.349773105027</v>
      </c>
      <c r="D140" s="12">
        <f>SUM(D128:D139)</f>
        <v>3424.2074737739918</v>
      </c>
      <c r="E140" s="12">
        <f>SUM(E128:E139)</f>
        <v>14186.142299331035</v>
      </c>
      <c r="F140" s="3"/>
      <c r="G140" s="3"/>
    </row>
    <row r="141" spans="1:7" x14ac:dyDescent="0.2">
      <c r="C141" s="4"/>
      <c r="D141" s="3"/>
      <c r="E141" s="3"/>
      <c r="F141" s="3"/>
      <c r="G141" s="3"/>
    </row>
    <row r="142" spans="1:7" x14ac:dyDescent="0.2">
      <c r="C142" s="3"/>
      <c r="D142" s="3"/>
      <c r="E142" s="3"/>
      <c r="F142" s="3"/>
      <c r="G142" s="3"/>
    </row>
    <row r="143" spans="1:7" x14ac:dyDescent="0.2">
      <c r="C143" s="3"/>
      <c r="D143" s="3"/>
      <c r="E143" s="3"/>
      <c r="F143" s="3"/>
      <c r="G143" s="3"/>
    </row>
    <row r="144" spans="1:7" x14ac:dyDescent="0.2">
      <c r="C144" s="3"/>
      <c r="D144" s="3"/>
      <c r="E144" s="3"/>
      <c r="F144" s="3"/>
      <c r="G144" s="3"/>
    </row>
    <row r="145" spans="3:7" x14ac:dyDescent="0.2">
      <c r="C145" s="3"/>
      <c r="D145" s="3"/>
      <c r="E145" s="3"/>
      <c r="F145" s="3"/>
      <c r="G145" s="3"/>
    </row>
    <row r="146" spans="3:7" x14ac:dyDescent="0.2">
      <c r="C146" s="3"/>
      <c r="D146" s="3"/>
      <c r="E146" s="3"/>
      <c r="F146" s="3"/>
      <c r="G146" s="3"/>
    </row>
    <row r="147" spans="3:7" x14ac:dyDescent="0.2">
      <c r="C147" s="3"/>
      <c r="D147" s="3"/>
      <c r="E147" s="3"/>
      <c r="F147" s="3"/>
      <c r="G147" s="3"/>
    </row>
    <row r="148" spans="3:7" x14ac:dyDescent="0.2">
      <c r="C148" s="3"/>
      <c r="D148" s="3"/>
      <c r="E148" s="3"/>
      <c r="F148" s="3"/>
      <c r="G148" s="3"/>
    </row>
    <row r="149" spans="3:7" x14ac:dyDescent="0.2">
      <c r="C149" s="3"/>
      <c r="D149" s="3"/>
      <c r="E149" s="3"/>
      <c r="F149" s="3"/>
      <c r="G149" s="3"/>
    </row>
    <row r="150" spans="3:7" x14ac:dyDescent="0.2">
      <c r="C150" s="3"/>
      <c r="D150" s="3"/>
      <c r="E150" s="3"/>
      <c r="F150" s="3"/>
      <c r="G150" s="3"/>
    </row>
    <row r="151" spans="3:7" x14ac:dyDescent="0.2">
      <c r="C151" s="3"/>
      <c r="D151" s="3"/>
      <c r="E151" s="3"/>
      <c r="F151" s="3"/>
      <c r="G151" s="3"/>
    </row>
    <row r="152" spans="3:7" x14ac:dyDescent="0.2">
      <c r="C152" s="3"/>
      <c r="D152" s="3"/>
      <c r="E152" s="3"/>
      <c r="F152" s="3"/>
      <c r="G152" s="3"/>
    </row>
    <row r="153" spans="3:7" x14ac:dyDescent="0.2">
      <c r="C153" s="3"/>
      <c r="D153" s="3"/>
      <c r="E153" s="3"/>
      <c r="F153" s="3"/>
      <c r="G153" s="7"/>
    </row>
    <row r="154" spans="3:7" x14ac:dyDescent="0.2">
      <c r="C154" s="8"/>
      <c r="D154" s="7"/>
      <c r="E154" s="7"/>
      <c r="F154" s="3"/>
      <c r="G154" s="3"/>
    </row>
    <row r="155" spans="3:7" x14ac:dyDescent="0.2">
      <c r="C155" s="4"/>
      <c r="D155" s="3"/>
      <c r="E155" s="3"/>
      <c r="F155" s="3"/>
      <c r="G155" s="3"/>
    </row>
    <row r="156" spans="3:7" x14ac:dyDescent="0.2">
      <c r="C156" s="3"/>
      <c r="D156" s="3"/>
      <c r="E156" s="3"/>
      <c r="F156" s="3"/>
      <c r="G156" s="3"/>
    </row>
    <row r="157" spans="3:7" x14ac:dyDescent="0.2">
      <c r="C157" s="3"/>
      <c r="D157" s="3"/>
      <c r="E157" s="3"/>
      <c r="F157" s="3"/>
      <c r="G157" s="3"/>
    </row>
    <row r="158" spans="3:7" x14ac:dyDescent="0.2">
      <c r="C158" s="3"/>
      <c r="D158" s="3"/>
      <c r="E158" s="3"/>
      <c r="F158" s="3"/>
      <c r="G158" s="3"/>
    </row>
    <row r="159" spans="3:7" x14ac:dyDescent="0.2">
      <c r="C159" s="3"/>
      <c r="D159" s="3"/>
      <c r="E159" s="3"/>
      <c r="F159" s="3"/>
      <c r="G159" s="3"/>
    </row>
    <row r="160" spans="3:7" x14ac:dyDescent="0.2">
      <c r="C160" s="3"/>
      <c r="D160" s="3"/>
      <c r="E160" s="3"/>
      <c r="F160" s="3"/>
      <c r="G160" s="3"/>
    </row>
    <row r="161" spans="3:7" x14ac:dyDescent="0.2">
      <c r="C161" s="3"/>
      <c r="D161" s="3"/>
      <c r="E161" s="3"/>
      <c r="F161" s="3"/>
      <c r="G161" s="3"/>
    </row>
    <row r="162" spans="3:7" x14ac:dyDescent="0.2">
      <c r="C162" s="3"/>
      <c r="D162" s="3"/>
      <c r="E162" s="3"/>
      <c r="F162" s="3"/>
      <c r="G162" s="3"/>
    </row>
    <row r="163" spans="3:7" x14ac:dyDescent="0.2">
      <c r="C163" s="3"/>
      <c r="D163" s="3"/>
      <c r="E163" s="3"/>
      <c r="F163" s="3"/>
      <c r="G163" s="3"/>
    </row>
    <row r="164" spans="3:7" x14ac:dyDescent="0.2">
      <c r="C164" s="3"/>
      <c r="D164" s="3"/>
      <c r="E164" s="3"/>
      <c r="F164" s="3"/>
      <c r="G164" s="3"/>
    </row>
    <row r="165" spans="3:7" x14ac:dyDescent="0.2">
      <c r="C165" s="3"/>
      <c r="D165" s="3"/>
      <c r="E165" s="3"/>
      <c r="F165" s="3"/>
      <c r="G165" s="3"/>
    </row>
    <row r="166" spans="3:7" x14ac:dyDescent="0.2">
      <c r="C166" s="3"/>
      <c r="D166" s="3"/>
      <c r="E166" s="3"/>
      <c r="F166" s="3"/>
      <c r="G166" s="3"/>
    </row>
    <row r="167" spans="3:7" x14ac:dyDescent="0.2">
      <c r="C167" s="3"/>
      <c r="D167" s="3"/>
      <c r="E167" s="3"/>
      <c r="F167" s="3"/>
      <c r="G167" s="7"/>
    </row>
    <row r="168" spans="3:7" x14ac:dyDescent="0.2">
      <c r="C168" s="9"/>
      <c r="D168" s="7"/>
      <c r="E168" s="7"/>
    </row>
    <row r="170" spans="3:7" x14ac:dyDescent="0.2">
      <c r="C170" s="3"/>
      <c r="D170" s="3"/>
      <c r="E170" s="3"/>
      <c r="F170" s="3"/>
      <c r="G170" s="3"/>
    </row>
    <row r="171" spans="3:7" x14ac:dyDescent="0.2">
      <c r="C171" s="3"/>
      <c r="D171" s="3"/>
      <c r="E171" s="3"/>
      <c r="F171" s="3"/>
      <c r="G171" s="3"/>
    </row>
    <row r="172" spans="3:7" x14ac:dyDescent="0.2">
      <c r="C172" s="3"/>
      <c r="D172" s="3"/>
      <c r="E172" s="3"/>
      <c r="F172" s="3"/>
      <c r="G172" s="3"/>
    </row>
    <row r="173" spans="3:7" x14ac:dyDescent="0.2">
      <c r="C173" s="3"/>
      <c r="D173" s="3"/>
      <c r="E173" s="3"/>
      <c r="F173" s="3"/>
      <c r="G173" s="3"/>
    </row>
    <row r="174" spans="3:7" x14ac:dyDescent="0.2">
      <c r="C174" s="3"/>
      <c r="D174" s="3"/>
      <c r="E174" s="3"/>
      <c r="F174" s="3"/>
      <c r="G174" s="3"/>
    </row>
    <row r="175" spans="3:7" x14ac:dyDescent="0.2">
      <c r="C175" s="3"/>
      <c r="D175" s="3"/>
      <c r="E175" s="3"/>
      <c r="F175" s="3"/>
      <c r="G175" s="3"/>
    </row>
    <row r="176" spans="3:7" x14ac:dyDescent="0.2">
      <c r="C176" s="3"/>
      <c r="D176" s="3"/>
      <c r="E176" s="3"/>
      <c r="F176" s="3"/>
      <c r="G176" s="3"/>
    </row>
    <row r="177" spans="3:7" x14ac:dyDescent="0.2">
      <c r="C177" s="3"/>
      <c r="D177" s="3"/>
      <c r="E177" s="3"/>
      <c r="F177" s="3"/>
      <c r="G177" s="3"/>
    </row>
    <row r="178" spans="3:7" x14ac:dyDescent="0.2">
      <c r="C178" s="3"/>
      <c r="D178" s="3"/>
      <c r="E178" s="3"/>
      <c r="F178" s="3"/>
      <c r="G178" s="3"/>
    </row>
    <row r="179" spans="3:7" x14ac:dyDescent="0.2">
      <c r="C179" s="3"/>
      <c r="D179" s="3"/>
      <c r="E179" s="3"/>
      <c r="F179" s="3"/>
      <c r="G179" s="3"/>
    </row>
    <row r="180" spans="3:7" x14ac:dyDescent="0.2">
      <c r="C180" s="3"/>
      <c r="D180" s="3"/>
      <c r="E180" s="3"/>
      <c r="F180" s="3"/>
      <c r="G180" s="3"/>
    </row>
    <row r="181" spans="3:7" x14ac:dyDescent="0.2">
      <c r="C181" s="3"/>
      <c r="D181" s="3"/>
      <c r="E181" s="3"/>
      <c r="F181" s="3"/>
      <c r="G181" s="7"/>
    </row>
    <row r="182" spans="3:7" x14ac:dyDescent="0.2">
      <c r="C182" s="9"/>
      <c r="D182" s="7"/>
      <c r="E182" s="7"/>
    </row>
    <row r="184" spans="3:7" x14ac:dyDescent="0.2">
      <c r="C184" s="3"/>
      <c r="D184" s="3"/>
      <c r="E184" s="3"/>
      <c r="F184" s="3"/>
      <c r="G184" s="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80" zoomScaleNormal="80" workbookViewId="0">
      <selection activeCell="A20" sqref="A20"/>
    </sheetView>
  </sheetViews>
  <sheetFormatPr defaultRowHeight="12.75" x14ac:dyDescent="0.2"/>
  <cols>
    <col min="1" max="1" width="5.140625" customWidth="1"/>
    <col min="2" max="2" width="40.7109375" bestFit="1" customWidth="1"/>
    <col min="3" max="3" width="17.140625" bestFit="1" customWidth="1"/>
    <col min="4" max="9" width="12" bestFit="1" customWidth="1"/>
    <col min="10" max="12" width="12.7109375" bestFit="1" customWidth="1"/>
    <col min="13" max="13" width="14.42578125" bestFit="1" customWidth="1"/>
    <col min="15" max="15" width="3.85546875" customWidth="1"/>
    <col min="16" max="16" width="26.140625" bestFit="1" customWidth="1"/>
    <col min="17" max="17" width="13.28515625" bestFit="1" customWidth="1"/>
    <col min="18" max="19" width="11.85546875" bestFit="1" customWidth="1"/>
    <col min="20" max="20" width="15.28515625" bestFit="1" customWidth="1"/>
    <col min="21" max="21" width="12.85546875" bestFit="1" customWidth="1"/>
    <col min="22" max="26" width="12.7109375" bestFit="1" customWidth="1"/>
    <col min="27" max="27" width="13.5703125" bestFit="1" customWidth="1"/>
  </cols>
  <sheetData>
    <row r="1" spans="1:27" ht="24" thickBot="1" x14ac:dyDescent="0.4">
      <c r="A1" s="99" t="s">
        <v>188</v>
      </c>
      <c r="B1" s="100"/>
      <c r="C1" s="101" t="s">
        <v>77</v>
      </c>
      <c r="D1" s="101" t="s">
        <v>78</v>
      </c>
      <c r="E1" s="101" t="s">
        <v>79</v>
      </c>
      <c r="F1" s="101" t="s">
        <v>80</v>
      </c>
      <c r="G1" s="101" t="s">
        <v>81</v>
      </c>
      <c r="H1" s="101" t="s">
        <v>121</v>
      </c>
      <c r="I1" s="101" t="s">
        <v>122</v>
      </c>
      <c r="J1" s="101" t="s">
        <v>123</v>
      </c>
      <c r="K1" s="101" t="s">
        <v>124</v>
      </c>
      <c r="L1" s="101" t="s">
        <v>125</v>
      </c>
      <c r="M1" s="102" t="s">
        <v>126</v>
      </c>
      <c r="O1" s="99" t="s">
        <v>187</v>
      </c>
      <c r="P1" s="100"/>
      <c r="Q1" s="101" t="s">
        <v>77</v>
      </c>
      <c r="R1" s="101" t="s">
        <v>78</v>
      </c>
      <c r="S1" s="101" t="s">
        <v>79</v>
      </c>
      <c r="T1" s="101" t="s">
        <v>80</v>
      </c>
      <c r="U1" s="101" t="s">
        <v>81</v>
      </c>
      <c r="V1" s="101" t="s">
        <v>121</v>
      </c>
      <c r="W1" s="101" t="s">
        <v>122</v>
      </c>
      <c r="X1" s="101" t="s">
        <v>123</v>
      </c>
      <c r="Y1" s="101" t="s">
        <v>124</v>
      </c>
      <c r="Z1" s="101" t="s">
        <v>125</v>
      </c>
      <c r="AA1" s="102" t="s">
        <v>126</v>
      </c>
    </row>
    <row r="2" spans="1:27" ht="15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O2" s="76"/>
      <c r="P2" s="77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</row>
    <row r="3" spans="1:27" ht="15" x14ac:dyDescent="0.25">
      <c r="A3" s="7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80"/>
      <c r="O3" s="88" t="s">
        <v>26</v>
      </c>
      <c r="P3" s="39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1"/>
    </row>
    <row r="4" spans="1:27" ht="15" x14ac:dyDescent="0.25">
      <c r="A4" s="81" t="s">
        <v>84</v>
      </c>
      <c r="B4" s="82"/>
      <c r="C4" s="21"/>
      <c r="D4" s="21">
        <v>-21323.75</v>
      </c>
      <c r="E4" s="21">
        <v>-17132.784375000003</v>
      </c>
      <c r="F4" s="21">
        <v>-12405.691146562516</v>
      </c>
      <c r="G4" s="21">
        <v>-7088.8831185713207</v>
      </c>
      <c r="H4" s="21">
        <v>-1123.7261791644996</v>
      </c>
      <c r="I4" s="21">
        <v>5553.9249157228332</v>
      </c>
      <c r="J4" s="21">
        <v>13014.232908990583</v>
      </c>
      <c r="K4" s="21">
        <v>21333.930355126824</v>
      </c>
      <c r="L4" s="21">
        <v>30596.922015041375</v>
      </c>
      <c r="M4" s="83">
        <v>40894.941839308449</v>
      </c>
      <c r="O4" s="88"/>
      <c r="P4" s="39" t="s">
        <v>27</v>
      </c>
      <c r="Q4" s="210"/>
      <c r="R4" s="210"/>
      <c r="S4" s="210"/>
      <c r="T4" s="210"/>
      <c r="U4" s="210">
        <f>F4*2.5</f>
        <v>-31014.227866406291</v>
      </c>
      <c r="V4" s="210">
        <f t="shared" ref="V4:AA4" si="0">G4*2.5</f>
        <v>-17722.207796428302</v>
      </c>
      <c r="W4" s="210">
        <f t="shared" si="0"/>
        <v>-2809.3154479112491</v>
      </c>
      <c r="X4" s="210">
        <f t="shared" si="0"/>
        <v>13884.812289307083</v>
      </c>
      <c r="Y4" s="210">
        <f t="shared" si="0"/>
        <v>32535.582272476458</v>
      </c>
      <c r="Z4" s="210">
        <f t="shared" si="0"/>
        <v>53334.82588781706</v>
      </c>
      <c r="AA4" s="211">
        <f t="shared" si="0"/>
        <v>76492.305037603437</v>
      </c>
    </row>
    <row r="5" spans="1:27" ht="15" x14ac:dyDescent="0.25">
      <c r="A5" s="84" t="s">
        <v>85</v>
      </c>
      <c r="B5" s="82"/>
      <c r="C5" s="21"/>
      <c r="D5" s="13">
        <v>15682.333333333334</v>
      </c>
      <c r="E5" s="13">
        <v>15682.333333333334</v>
      </c>
      <c r="F5" s="13">
        <v>15682.333333333334</v>
      </c>
      <c r="G5" s="13">
        <v>15682.333333333334</v>
      </c>
      <c r="H5" s="13">
        <v>15682.333333333334</v>
      </c>
      <c r="I5" s="13">
        <v>15682.333333333334</v>
      </c>
      <c r="J5" s="13">
        <v>15682.333333333334</v>
      </c>
      <c r="K5" s="13">
        <v>15682.333333333334</v>
      </c>
      <c r="L5" s="13">
        <v>15682.333333333334</v>
      </c>
      <c r="M5" s="85">
        <v>15682.333333333334</v>
      </c>
      <c r="O5" s="88"/>
      <c r="P5" s="39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1"/>
    </row>
    <row r="6" spans="1:27" ht="15" x14ac:dyDescent="0.25">
      <c r="A6" s="81" t="s">
        <v>7</v>
      </c>
      <c r="B6" s="82"/>
      <c r="C6" s="21"/>
      <c r="D6" s="21">
        <v>-37006.083333333336</v>
      </c>
      <c r="E6" s="21">
        <v>-32815.117708333339</v>
      </c>
      <c r="F6" s="21">
        <v>-28088.024479895852</v>
      </c>
      <c r="G6" s="21">
        <v>-22771.216451904656</v>
      </c>
      <c r="H6" s="21">
        <v>-16806.059512497835</v>
      </c>
      <c r="I6" s="21">
        <v>-10128.408417610501</v>
      </c>
      <c r="J6" s="21">
        <v>-2668.1004243427506</v>
      </c>
      <c r="K6" s="21">
        <v>5651.5970217934901</v>
      </c>
      <c r="L6" s="21">
        <v>14914.588681708041</v>
      </c>
      <c r="M6" s="83">
        <v>25212.608505975113</v>
      </c>
      <c r="O6" s="88" t="s">
        <v>189</v>
      </c>
      <c r="P6" s="39"/>
      <c r="Q6" s="210"/>
      <c r="R6" s="210"/>
      <c r="S6" s="210"/>
      <c r="T6" s="210">
        <v>-500000</v>
      </c>
      <c r="U6" s="210"/>
      <c r="V6" s="210"/>
      <c r="W6" s="210"/>
      <c r="X6" s="210"/>
      <c r="Y6" s="210"/>
      <c r="Z6" s="210"/>
      <c r="AA6" s="211"/>
    </row>
    <row r="7" spans="1:27" ht="15" x14ac:dyDescent="0.25">
      <c r="A7" s="86" t="s">
        <v>86</v>
      </c>
      <c r="B7" s="39"/>
      <c r="C7" s="39"/>
      <c r="D7" s="18">
        <v>-14802.433333333334</v>
      </c>
      <c r="E7" s="18">
        <v>-13126.047083333337</v>
      </c>
      <c r="F7" s="18">
        <v>-11235.209791958341</v>
      </c>
      <c r="G7" s="18">
        <v>-9108.4865807618626</v>
      </c>
      <c r="H7" s="18">
        <v>-6722.4238049991345</v>
      </c>
      <c r="I7" s="18">
        <v>-4051.3633670442005</v>
      </c>
      <c r="J7" s="18">
        <v>-1067.2401697371004</v>
      </c>
      <c r="K7" s="18">
        <v>2260.6388087173959</v>
      </c>
      <c r="L7" s="18">
        <v>5965.8354726832167</v>
      </c>
      <c r="M7" s="87">
        <v>10085.043402390045</v>
      </c>
      <c r="O7" s="88" t="s">
        <v>190</v>
      </c>
      <c r="P7" s="39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5">
        <f>-T6*1.5</f>
        <v>750000</v>
      </c>
    </row>
    <row r="8" spans="1:27" ht="15.75" thickBot="1" x14ac:dyDescent="0.3">
      <c r="A8" s="88" t="s">
        <v>87</v>
      </c>
      <c r="B8" s="39"/>
      <c r="C8" s="39"/>
      <c r="D8" s="40">
        <v>-22203.65</v>
      </c>
      <c r="E8" s="40">
        <v>-19689.070625</v>
      </c>
      <c r="F8" s="40">
        <v>-16852.814687937513</v>
      </c>
      <c r="G8" s="40">
        <v>-13662.729871142794</v>
      </c>
      <c r="H8" s="40">
        <v>-10083.635707498701</v>
      </c>
      <c r="I8" s="40">
        <v>-6077.0450505663002</v>
      </c>
      <c r="J8" s="40">
        <v>-1600.8602546056502</v>
      </c>
      <c r="K8" s="40">
        <v>3390.9582130760941</v>
      </c>
      <c r="L8" s="40">
        <v>8948.7532090248242</v>
      </c>
      <c r="M8" s="89">
        <v>15127.565103585068</v>
      </c>
      <c r="O8" s="207" t="s">
        <v>192</v>
      </c>
      <c r="P8" s="97"/>
      <c r="Q8" s="212">
        <f>SUM(Q4:Q7)</f>
        <v>0</v>
      </c>
      <c r="R8" s="212">
        <f t="shared" ref="R8:AA8" si="1">SUM(R4:R7)</f>
        <v>0</v>
      </c>
      <c r="S8" s="212">
        <f t="shared" si="1"/>
        <v>0</v>
      </c>
      <c r="T8" s="212">
        <f t="shared" si="1"/>
        <v>-500000</v>
      </c>
      <c r="U8" s="212">
        <f t="shared" si="1"/>
        <v>-31014.227866406291</v>
      </c>
      <c r="V8" s="212">
        <f t="shared" si="1"/>
        <v>-17722.207796428302</v>
      </c>
      <c r="W8" s="212">
        <f t="shared" si="1"/>
        <v>-2809.3154479112491</v>
      </c>
      <c r="X8" s="212">
        <f t="shared" si="1"/>
        <v>13884.812289307083</v>
      </c>
      <c r="Y8" s="212">
        <f t="shared" si="1"/>
        <v>32535.582272476458</v>
      </c>
      <c r="Z8" s="212">
        <f t="shared" si="1"/>
        <v>53334.82588781706</v>
      </c>
      <c r="AA8" s="213">
        <f t="shared" si="1"/>
        <v>826492.30503760348</v>
      </c>
    </row>
    <row r="9" spans="1:27" ht="15" x14ac:dyDescent="0.25">
      <c r="A9" s="86" t="s">
        <v>74</v>
      </c>
      <c r="B9" s="39"/>
      <c r="C9" s="39"/>
      <c r="D9" s="40">
        <v>15682.333333333334</v>
      </c>
      <c r="E9" s="40">
        <v>15682.333333333334</v>
      </c>
      <c r="F9" s="40">
        <v>15682.333333333334</v>
      </c>
      <c r="G9" s="40">
        <v>15682.333333333334</v>
      </c>
      <c r="H9" s="40">
        <v>15682.333333333334</v>
      </c>
      <c r="I9" s="40">
        <v>15682.333333333334</v>
      </c>
      <c r="J9" s="40">
        <v>15682.333333333334</v>
      </c>
      <c r="K9" s="40">
        <v>15682.333333333334</v>
      </c>
      <c r="L9" s="40">
        <v>15682.333333333334</v>
      </c>
      <c r="M9" s="89">
        <v>15682.333333333334</v>
      </c>
    </row>
    <row r="10" spans="1:27" ht="15" x14ac:dyDescent="0.25">
      <c r="A10" s="88"/>
      <c r="B10" s="90" t="s">
        <v>27</v>
      </c>
      <c r="C10" s="15">
        <v>0</v>
      </c>
      <c r="D10" s="14">
        <v>-6521.3166666666675</v>
      </c>
      <c r="E10" s="14">
        <v>-4006.7372916666664</v>
      </c>
      <c r="F10" s="14">
        <v>-1170.4813546041787</v>
      </c>
      <c r="G10" s="14">
        <v>2019.6034621905401</v>
      </c>
      <c r="H10" s="14">
        <v>5598.6976258346331</v>
      </c>
      <c r="I10" s="14">
        <v>9605.2882827670328</v>
      </c>
      <c r="J10" s="14">
        <v>14081.473078727684</v>
      </c>
      <c r="K10" s="14">
        <v>19073.291546409429</v>
      </c>
      <c r="L10" s="14">
        <v>24631.086542358156</v>
      </c>
      <c r="M10" s="91">
        <v>30809.898436918404</v>
      </c>
    </row>
    <row r="11" spans="1:27" ht="15" x14ac:dyDescent="0.25">
      <c r="A11" s="8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80"/>
    </row>
    <row r="12" spans="1:27" ht="15" x14ac:dyDescent="0.25">
      <c r="A12" s="79" t="s">
        <v>28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80"/>
    </row>
    <row r="13" spans="1:27" ht="15" x14ac:dyDescent="0.25">
      <c r="A13" s="88"/>
      <c r="B13" s="39" t="s">
        <v>29</v>
      </c>
      <c r="C13" s="40">
        <v>-470470</v>
      </c>
      <c r="D13" s="39"/>
      <c r="E13" s="39"/>
      <c r="F13" s="39"/>
      <c r="G13" s="39"/>
      <c r="H13" s="39"/>
      <c r="I13" s="39"/>
      <c r="J13" s="39"/>
      <c r="K13" s="39"/>
      <c r="L13" s="39"/>
      <c r="M13" s="80"/>
    </row>
    <row r="14" spans="1:27" ht="15" x14ac:dyDescent="0.25">
      <c r="A14" s="88"/>
      <c r="B14" s="39" t="s">
        <v>30</v>
      </c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89">
        <v>940940</v>
      </c>
    </row>
    <row r="15" spans="1:27" ht="15" x14ac:dyDescent="0.25">
      <c r="A15" s="88"/>
      <c r="B15" s="39" t="s">
        <v>31</v>
      </c>
      <c r="C15" s="39"/>
      <c r="D15" s="39"/>
      <c r="E15" s="39"/>
      <c r="F15" s="39"/>
      <c r="G15" s="20"/>
      <c r="H15" s="20"/>
      <c r="I15" s="20"/>
      <c r="J15" s="20"/>
      <c r="K15" s="20"/>
      <c r="L15" s="20"/>
      <c r="M15" s="92">
        <v>-125458.66666666666</v>
      </c>
    </row>
    <row r="16" spans="1:27" ht="15" x14ac:dyDescent="0.25">
      <c r="A16" s="88"/>
      <c r="B16" s="39" t="s">
        <v>137</v>
      </c>
      <c r="C16" s="40">
        <v>-58162.499999999964</v>
      </c>
      <c r="D16" s="39"/>
      <c r="E16" s="39"/>
      <c r="F16" s="39"/>
      <c r="G16" s="20"/>
      <c r="H16" s="20"/>
      <c r="I16" s="20"/>
      <c r="J16" s="20"/>
      <c r="K16" s="20"/>
      <c r="L16" s="20"/>
      <c r="M16" s="92"/>
    </row>
    <row r="17" spans="1:27" ht="15" x14ac:dyDescent="0.25">
      <c r="A17" s="88"/>
      <c r="B17" s="39" t="s">
        <v>138</v>
      </c>
      <c r="C17" s="39"/>
      <c r="D17" s="39"/>
      <c r="E17" s="39"/>
      <c r="F17" s="39"/>
      <c r="G17" s="20"/>
      <c r="H17" s="20"/>
      <c r="I17" s="20"/>
      <c r="J17" s="20"/>
      <c r="K17" s="20"/>
      <c r="L17" s="20"/>
      <c r="M17" s="92">
        <v>116324.99999999993</v>
      </c>
    </row>
    <row r="18" spans="1:27" ht="15" x14ac:dyDescent="0.25">
      <c r="A18" s="88"/>
      <c r="B18" s="39" t="s">
        <v>139</v>
      </c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93">
        <v>-23264.999999999985</v>
      </c>
    </row>
    <row r="19" spans="1:27" ht="15.75" thickBot="1" x14ac:dyDescent="0.3">
      <c r="A19" s="88"/>
      <c r="B19" s="39"/>
      <c r="C19" s="40">
        <v>-528632.5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89">
        <v>908541.33333333326</v>
      </c>
    </row>
    <row r="20" spans="1:27" ht="15.75" thickBot="1" x14ac:dyDescent="0.3">
      <c r="A20" s="79" t="s">
        <v>32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80"/>
      <c r="O20" s="222" t="s">
        <v>82</v>
      </c>
      <c r="P20" s="223"/>
      <c r="Q20" s="254">
        <f ca="1">'Realistic Option'!R145</f>
        <v>7.0841723954682079E-2</v>
      </c>
    </row>
    <row r="21" spans="1:27" ht="15" x14ac:dyDescent="0.25">
      <c r="A21" s="88"/>
      <c r="B21" s="39" t="s">
        <v>13</v>
      </c>
      <c r="C21" s="94">
        <v>0</v>
      </c>
      <c r="D21" s="40">
        <v>-2448.6301369863013</v>
      </c>
      <c r="E21" s="40">
        <v>-72.61943493150693</v>
      </c>
      <c r="F21" s="40">
        <v>-74.815442112585515</v>
      </c>
      <c r="G21" s="40">
        <v>-77.079320067866774</v>
      </c>
      <c r="H21" s="40">
        <v>-79.413216086698412</v>
      </c>
      <c r="I21" s="40">
        <v>-81.819347041757737</v>
      </c>
      <c r="J21" s="40">
        <v>-84.300001697301013</v>
      </c>
      <c r="K21" s="40">
        <v>-86.857543095728488</v>
      </c>
      <c r="L21" s="40">
        <v>-89.494411025067166</v>
      </c>
      <c r="M21" s="89">
        <v>-92.213124570258515</v>
      </c>
    </row>
    <row r="22" spans="1:27" ht="15" x14ac:dyDescent="0.25">
      <c r="A22" s="88"/>
      <c r="B22" s="39" t="s">
        <v>14</v>
      </c>
      <c r="C22" s="94">
        <v>0</v>
      </c>
      <c r="D22" s="40">
        <v>-22238.013698630137</v>
      </c>
      <c r="E22" s="40">
        <v>-1106.9193698630152</v>
      </c>
      <c r="F22" s="40">
        <v>-1162.0173884173164</v>
      </c>
      <c r="G22" s="40">
        <v>-1219.857965943178</v>
      </c>
      <c r="H22" s="40">
        <v>-1280.5776160559653</v>
      </c>
      <c r="I22" s="40">
        <v>-1344.3196474727665</v>
      </c>
      <c r="J22" s="40">
        <v>-1411.2345022453701</v>
      </c>
      <c r="K22" s="40">
        <v>-1481.4801108291358</v>
      </c>
      <c r="L22" s="40">
        <v>-1555.2222648257666</v>
      </c>
      <c r="M22" s="89">
        <v>-1632.6350082797289</v>
      </c>
    </row>
    <row r="23" spans="1:27" ht="15.75" thickBot="1" x14ac:dyDescent="0.3">
      <c r="A23" s="88"/>
      <c r="B23" s="39" t="s">
        <v>18</v>
      </c>
      <c r="C23" s="94">
        <v>0</v>
      </c>
      <c r="D23" s="40">
        <v>6177.2260273972606</v>
      </c>
      <c r="E23" s="40">
        <v>638.32982876712322</v>
      </c>
      <c r="F23" s="40">
        <v>704.29227995260317</v>
      </c>
      <c r="G23" s="40">
        <v>777.07102699378447</v>
      </c>
      <c r="H23" s="40">
        <v>857.37043863921645</v>
      </c>
      <c r="I23" s="40">
        <v>945.96767028643626</v>
      </c>
      <c r="J23" s="40">
        <v>1043.7201854631585</v>
      </c>
      <c r="K23" s="40">
        <v>1151.5740545481749</v>
      </c>
      <c r="L23" s="40">
        <v>1270.5731110489687</v>
      </c>
      <c r="M23" s="89">
        <v>1401.8690540523203</v>
      </c>
    </row>
    <row r="24" spans="1:27" ht="24" thickBot="1" x14ac:dyDescent="0.4">
      <c r="A24" s="88"/>
      <c r="B24" s="53" t="s">
        <v>88</v>
      </c>
      <c r="C24" s="19">
        <v>0</v>
      </c>
      <c r="D24" s="18">
        <v>-14802.433333333334</v>
      </c>
      <c r="E24" s="18">
        <v>1676.3862499999977</v>
      </c>
      <c r="F24" s="18">
        <v>1890.8372913749954</v>
      </c>
      <c r="G24" s="18">
        <v>2126.7232111964786</v>
      </c>
      <c r="H24" s="18">
        <v>2386.0627757627281</v>
      </c>
      <c r="I24" s="18">
        <v>2671.0604379549341</v>
      </c>
      <c r="J24" s="18">
        <v>2984.1231973070999</v>
      </c>
      <c r="K24" s="18">
        <v>3327.8789784544961</v>
      </c>
      <c r="L24" s="18">
        <v>3705.1966639658208</v>
      </c>
      <c r="M24" s="87">
        <v>4119.2079297068285</v>
      </c>
      <c r="O24" s="99" t="s">
        <v>191</v>
      </c>
      <c r="P24" s="100"/>
      <c r="Q24" s="101" t="s">
        <v>77</v>
      </c>
      <c r="R24" s="101" t="s">
        <v>78</v>
      </c>
      <c r="S24" s="101" t="s">
        <v>79</v>
      </c>
      <c r="T24" s="101" t="s">
        <v>80</v>
      </c>
      <c r="U24" s="101" t="s">
        <v>81</v>
      </c>
      <c r="V24" s="101" t="s">
        <v>121</v>
      </c>
      <c r="W24" s="101" t="s">
        <v>122</v>
      </c>
      <c r="X24" s="101" t="s">
        <v>123</v>
      </c>
      <c r="Y24" s="101" t="s">
        <v>124</v>
      </c>
      <c r="Z24" s="101" t="s">
        <v>125</v>
      </c>
      <c r="AA24" s="102" t="s">
        <v>126</v>
      </c>
    </row>
    <row r="25" spans="1:27" ht="15" x14ac:dyDescent="0.25">
      <c r="A25" s="88"/>
      <c r="B25" s="39"/>
      <c r="C25" s="40">
        <v>0</v>
      </c>
      <c r="D25" s="40">
        <v>-33311.851141552514</v>
      </c>
      <c r="E25" s="40">
        <v>1135.1772739725989</v>
      </c>
      <c r="F25" s="40">
        <v>1358.2967407976967</v>
      </c>
      <c r="G25" s="40">
        <v>1606.8569521792183</v>
      </c>
      <c r="H25" s="40">
        <v>1883.4423822592807</v>
      </c>
      <c r="I25" s="40">
        <v>2190.8891137268461</v>
      </c>
      <c r="J25" s="40">
        <v>2532.3088788275873</v>
      </c>
      <c r="K25" s="40">
        <v>2911.1153790778067</v>
      </c>
      <c r="L25" s="40">
        <v>3331.0530991639557</v>
      </c>
      <c r="M25" s="89">
        <v>3796.2288509091613</v>
      </c>
      <c r="O25" s="76"/>
      <c r="P25" s="77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5"/>
    </row>
    <row r="26" spans="1:27" ht="15" x14ac:dyDescent="0.25">
      <c r="A26" s="7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80"/>
      <c r="O26" s="79" t="s">
        <v>34</v>
      </c>
      <c r="P26" s="39"/>
      <c r="Q26" s="40">
        <f>Q8+C33</f>
        <v>-528632.5</v>
      </c>
      <c r="R26" s="40">
        <f t="shared" ref="R26:AA26" si="2">R8+D33</f>
        <v>-39833.167808219179</v>
      </c>
      <c r="S26" s="40">
        <f t="shared" si="2"/>
        <v>-2871.5600176940675</v>
      </c>
      <c r="T26" s="40">
        <f t="shared" si="2"/>
        <v>-499812.18461380649</v>
      </c>
      <c r="U26" s="40">
        <f t="shared" si="2"/>
        <v>-27387.767452036533</v>
      </c>
      <c r="V26" s="40">
        <f t="shared" si="2"/>
        <v>-10240.067788334389</v>
      </c>
      <c r="W26" s="40">
        <f t="shared" si="2"/>
        <v>8986.8619485826293</v>
      </c>
      <c r="X26" s="40">
        <f t="shared" si="2"/>
        <v>30498.594246862354</v>
      </c>
      <c r="Y26" s="40">
        <f t="shared" si="2"/>
        <v>54519.989197963696</v>
      </c>
      <c r="Z26" s="40">
        <f t="shared" si="2"/>
        <v>81296.96552933917</v>
      </c>
      <c r="AA26" s="89">
        <f t="shared" si="2"/>
        <v>1782206.2481294028</v>
      </c>
    </row>
    <row r="27" spans="1:27" ht="15" x14ac:dyDescent="0.25">
      <c r="A27" s="88"/>
      <c r="B27" s="39" t="s">
        <v>13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92">
        <v>3187.2419776150718</v>
      </c>
      <c r="O27" s="79" t="s">
        <v>35</v>
      </c>
      <c r="P27" s="39"/>
      <c r="Q27" s="20">
        <f ca="1">-PV($Q$20,RIGHT(Q24,1),,Q26)</f>
        <v>-528632.5</v>
      </c>
      <c r="R27" s="20">
        <f t="shared" ref="R27:Z27" ca="1" si="3">-PV($Q$20,RIGHT(R24,1),,R26)</f>
        <v>-37197.997535166003</v>
      </c>
      <c r="S27" s="20">
        <f t="shared" ca="1" si="3"/>
        <v>-2504.1902981749881</v>
      </c>
      <c r="T27" s="20">
        <f t="shared" ca="1" si="3"/>
        <v>-407034.27909483179</v>
      </c>
      <c r="U27" s="20">
        <f t="shared" ca="1" si="3"/>
        <v>-20828.380042873086</v>
      </c>
      <c r="V27" s="20">
        <f t="shared" ca="1" si="3"/>
        <v>-7272.3774051961454</v>
      </c>
      <c r="W27" s="20">
        <f t="shared" ca="1" si="3"/>
        <v>5960.138652148853</v>
      </c>
      <c r="X27" s="20">
        <f t="shared" ca="1" si="3"/>
        <v>18888.733107475458</v>
      </c>
      <c r="Y27" s="20">
        <f t="shared" ca="1" si="3"/>
        <v>31532.142793710231</v>
      </c>
      <c r="Z27" s="20">
        <f t="shared" ca="1" si="3"/>
        <v>43908.315329492478</v>
      </c>
      <c r="AA27" s="92">
        <f ca="1">-PV($Q$20,RIGHT(AA24,2),,AA26)</f>
        <v>898887.03456015128</v>
      </c>
    </row>
    <row r="28" spans="1:27" ht="15" x14ac:dyDescent="0.25">
      <c r="A28" s="88"/>
      <c r="B28" s="39" t="s">
        <v>14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92">
        <v>34432.27757256238</v>
      </c>
      <c r="O28" s="88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80"/>
    </row>
    <row r="29" spans="1:27" ht="15" x14ac:dyDescent="0.25">
      <c r="A29" s="88"/>
      <c r="B29" s="39" t="s">
        <v>18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92">
        <v>-14967.993677149047</v>
      </c>
      <c r="O29" s="88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80"/>
    </row>
    <row r="30" spans="1:27" ht="15" x14ac:dyDescent="0.25">
      <c r="A30" s="88"/>
      <c r="B30" s="39" t="s">
        <v>19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93">
        <v>-10085.043402390045</v>
      </c>
      <c r="O30" s="79" t="s">
        <v>36</v>
      </c>
      <c r="P30" s="39"/>
      <c r="Q30" s="41">
        <f ca="1">SUM(Q27:AA27)</f>
        <v>-4293.3599332637386</v>
      </c>
      <c r="R30" s="40"/>
      <c r="S30" s="95"/>
      <c r="T30" s="39"/>
      <c r="U30" s="39"/>
      <c r="V30" s="39"/>
      <c r="W30" s="39"/>
      <c r="X30" s="39"/>
      <c r="Y30" s="39"/>
      <c r="Z30" s="39"/>
      <c r="AA30" s="80"/>
    </row>
    <row r="31" spans="1:27" ht="15.75" thickBot="1" x14ac:dyDescent="0.3">
      <c r="A31" s="88"/>
      <c r="B31" s="39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89">
        <v>12566.482470638359</v>
      </c>
      <c r="O31" s="96" t="s">
        <v>37</v>
      </c>
      <c r="P31" s="97"/>
      <c r="Q31" s="176">
        <f>IRR(Q26:AA26)</f>
        <v>7.0297444865393244E-2</v>
      </c>
      <c r="R31" s="97"/>
      <c r="S31" s="97"/>
      <c r="T31" s="97"/>
      <c r="U31" s="97"/>
      <c r="V31" s="97"/>
      <c r="W31" s="97"/>
      <c r="X31" s="97"/>
      <c r="Y31" s="97"/>
      <c r="Z31" s="97"/>
      <c r="AA31" s="98"/>
    </row>
    <row r="32" spans="1:27" x14ac:dyDescent="0.2">
      <c r="A32" s="216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217"/>
    </row>
    <row r="33" spans="1:13" ht="15.75" thickBot="1" x14ac:dyDescent="0.3">
      <c r="A33" s="218" t="s">
        <v>193</v>
      </c>
      <c r="B33" s="219"/>
      <c r="C33" s="220">
        <f>C10+C19+C25+C31</f>
        <v>-528632.5</v>
      </c>
      <c r="D33" s="220">
        <f t="shared" ref="D33:M33" si="4">D10+D19+D25+D31</f>
        <v>-39833.167808219179</v>
      </c>
      <c r="E33" s="220">
        <f t="shared" si="4"/>
        <v>-2871.5600176940675</v>
      </c>
      <c r="F33" s="220">
        <f t="shared" si="4"/>
        <v>187.81538619351795</v>
      </c>
      <c r="G33" s="220">
        <f t="shared" si="4"/>
        <v>3626.4604143697584</v>
      </c>
      <c r="H33" s="220">
        <f t="shared" si="4"/>
        <v>7482.1400080939138</v>
      </c>
      <c r="I33" s="220">
        <f t="shared" si="4"/>
        <v>11796.177396493878</v>
      </c>
      <c r="J33" s="220">
        <f t="shared" si="4"/>
        <v>16613.781957555271</v>
      </c>
      <c r="K33" s="220">
        <f t="shared" si="4"/>
        <v>21984.406925487237</v>
      </c>
      <c r="L33" s="220">
        <f t="shared" si="4"/>
        <v>27962.139641522113</v>
      </c>
      <c r="M33" s="221">
        <f t="shared" si="4"/>
        <v>955713.94309179916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topLeftCell="F1" zoomScale="70" zoomScaleNormal="70" workbookViewId="0">
      <selection activeCell="S34" sqref="S34"/>
    </sheetView>
  </sheetViews>
  <sheetFormatPr defaultColWidth="9.42578125" defaultRowHeight="15" x14ac:dyDescent="0.25"/>
  <cols>
    <col min="1" max="1" width="5.5703125" style="26" customWidth="1"/>
    <col min="2" max="2" width="41.140625" style="26" customWidth="1"/>
    <col min="3" max="3" width="17.5703125" style="26" customWidth="1"/>
    <col min="4" max="4" width="18.7109375" style="26" customWidth="1"/>
    <col min="5" max="5" width="19.42578125" style="26" bestFit="1" customWidth="1"/>
    <col min="6" max="6" width="15" style="26" customWidth="1"/>
    <col min="7" max="7" width="15.140625" style="26" bestFit="1" customWidth="1"/>
    <col min="8" max="8" width="21.5703125" style="26" bestFit="1" customWidth="1"/>
    <col min="9" max="11" width="21.5703125" style="26" customWidth="1"/>
    <col min="12" max="12" width="20.7109375" style="26" bestFit="1" customWidth="1"/>
    <col min="13" max="13" width="7.7109375" style="26" customWidth="1"/>
    <col min="14" max="14" width="36.28515625" style="26" bestFit="1" customWidth="1"/>
    <col min="15" max="15" width="19.140625" style="26" bestFit="1" customWidth="1"/>
    <col min="16" max="16" width="21.140625" style="26" bestFit="1" customWidth="1"/>
    <col min="17" max="17" width="12" style="26" bestFit="1" customWidth="1"/>
    <col min="18" max="18" width="12.28515625" style="26" bestFit="1" customWidth="1"/>
    <col min="19" max="16384" width="9.42578125" style="26"/>
  </cols>
  <sheetData>
    <row r="1" spans="1:18" ht="21.75" thickBot="1" x14ac:dyDescent="0.35">
      <c r="A1" s="116"/>
      <c r="B1" s="117"/>
      <c r="C1" s="117"/>
      <c r="D1" s="118">
        <v>2014</v>
      </c>
      <c r="E1" s="118">
        <v>2015</v>
      </c>
      <c r="F1" s="118">
        <v>2016</v>
      </c>
      <c r="G1" s="118">
        <v>2017</v>
      </c>
      <c r="H1" s="31"/>
      <c r="I1" s="31"/>
      <c r="J1" s="31"/>
      <c r="K1" s="31"/>
      <c r="L1" s="31"/>
      <c r="M1" s="31"/>
      <c r="N1" s="165" t="s">
        <v>111</v>
      </c>
      <c r="O1" s="166">
        <v>2014</v>
      </c>
      <c r="P1" s="167">
        <v>2015</v>
      </c>
      <c r="Q1" s="167">
        <v>2016</v>
      </c>
      <c r="R1" s="168">
        <v>2017</v>
      </c>
    </row>
    <row r="2" spans="1:18" ht="27" thickBot="1" x14ac:dyDescent="0.45">
      <c r="A2" s="258" t="s">
        <v>0</v>
      </c>
      <c r="B2" s="259"/>
      <c r="C2" s="259"/>
      <c r="D2" s="259"/>
      <c r="E2" s="259"/>
      <c r="F2" s="259"/>
      <c r="G2" s="259"/>
      <c r="H2" s="32"/>
      <c r="I2" s="32"/>
      <c r="J2" s="32"/>
      <c r="K2" s="32"/>
      <c r="L2" s="32"/>
      <c r="M2" s="32"/>
      <c r="N2" s="120" t="s">
        <v>95</v>
      </c>
      <c r="O2" s="121"/>
      <c r="P2" s="121"/>
      <c r="Q2" s="121"/>
      <c r="R2" s="122"/>
    </row>
    <row r="3" spans="1:18" x14ac:dyDescent="0.25">
      <c r="A3" s="103" t="s">
        <v>1</v>
      </c>
      <c r="B3" s="104"/>
      <c r="C3" s="104"/>
      <c r="D3" s="104"/>
      <c r="E3" s="104"/>
      <c r="F3" s="104"/>
      <c r="G3" s="104"/>
      <c r="H3" s="24"/>
      <c r="I3" s="24"/>
      <c r="J3" s="24"/>
      <c r="K3" s="24"/>
      <c r="L3" s="24"/>
      <c r="M3" s="24"/>
      <c r="N3" s="123" t="s">
        <v>91</v>
      </c>
      <c r="O3" s="124">
        <v>450</v>
      </c>
      <c r="P3" s="125">
        <f t="shared" ref="P3:R7" si="0">O3*(1+$O$8)</f>
        <v>441</v>
      </c>
      <c r="Q3" s="125">
        <f t="shared" si="0"/>
        <v>432.18</v>
      </c>
      <c r="R3" s="126">
        <f t="shared" si="0"/>
        <v>423.53640000000001</v>
      </c>
    </row>
    <row r="4" spans="1:18" x14ac:dyDescent="0.25">
      <c r="A4" s="81"/>
      <c r="B4" s="82" t="s">
        <v>89</v>
      </c>
      <c r="C4" s="21"/>
      <c r="D4" s="21"/>
      <c r="E4" s="21"/>
      <c r="F4" s="21"/>
      <c r="G4" s="21"/>
      <c r="H4" s="25"/>
      <c r="I4" s="25"/>
      <c r="J4" s="25"/>
      <c r="K4" s="25"/>
      <c r="L4" s="25"/>
      <c r="M4" s="25"/>
      <c r="N4" s="123" t="s">
        <v>92</v>
      </c>
      <c r="O4" s="124">
        <v>300</v>
      </c>
      <c r="P4" s="125">
        <f t="shared" si="0"/>
        <v>294</v>
      </c>
      <c r="Q4" s="125">
        <f t="shared" si="0"/>
        <v>288.12</v>
      </c>
      <c r="R4" s="126">
        <f t="shared" si="0"/>
        <v>282.35759999999999</v>
      </c>
    </row>
    <row r="5" spans="1:18" x14ac:dyDescent="0.25">
      <c r="A5" s="81"/>
      <c r="B5" s="22" t="s">
        <v>91</v>
      </c>
      <c r="C5" s="21"/>
      <c r="D5" s="21">
        <f>O3*O14</f>
        <v>33750</v>
      </c>
      <c r="E5" s="21">
        <f t="shared" ref="E5:G9" si="1">P3*P14</f>
        <v>32413.5</v>
      </c>
      <c r="F5" s="21">
        <f t="shared" si="1"/>
        <v>31129.9254</v>
      </c>
      <c r="G5" s="21">
        <f t="shared" si="1"/>
        <v>29897.180354159998</v>
      </c>
      <c r="H5" s="25"/>
      <c r="I5" s="25"/>
      <c r="J5" s="25"/>
      <c r="K5" s="25"/>
      <c r="L5" s="25"/>
      <c r="M5" s="25"/>
      <c r="N5" s="123" t="s">
        <v>93</v>
      </c>
      <c r="O5" s="124">
        <v>200</v>
      </c>
      <c r="P5" s="125">
        <f t="shared" si="0"/>
        <v>196</v>
      </c>
      <c r="Q5" s="125">
        <f t="shared" si="0"/>
        <v>192.07999999999998</v>
      </c>
      <c r="R5" s="126">
        <f t="shared" si="0"/>
        <v>188.23839999999998</v>
      </c>
    </row>
    <row r="6" spans="1:18" x14ac:dyDescent="0.25">
      <c r="A6" s="81"/>
      <c r="B6" s="22" t="s">
        <v>92</v>
      </c>
      <c r="C6" s="21"/>
      <c r="D6" s="21">
        <f>O4*O15</f>
        <v>30000</v>
      </c>
      <c r="E6" s="21">
        <f t="shared" si="1"/>
        <v>28812</v>
      </c>
      <c r="F6" s="21">
        <f t="shared" si="1"/>
        <v>27671.0448</v>
      </c>
      <c r="G6" s="21">
        <f t="shared" si="1"/>
        <v>26575.271425919997</v>
      </c>
      <c r="H6" s="25"/>
      <c r="I6" s="25"/>
      <c r="J6" s="25"/>
      <c r="K6" s="25"/>
      <c r="L6" s="25"/>
      <c r="M6" s="25"/>
      <c r="N6" s="123" t="s">
        <v>94</v>
      </c>
      <c r="O6" s="124">
        <v>300</v>
      </c>
      <c r="P6" s="125">
        <f t="shared" si="0"/>
        <v>294</v>
      </c>
      <c r="Q6" s="125">
        <f t="shared" si="0"/>
        <v>288.12</v>
      </c>
      <c r="R6" s="126">
        <f t="shared" si="0"/>
        <v>282.35759999999999</v>
      </c>
    </row>
    <row r="7" spans="1:18" x14ac:dyDescent="0.25">
      <c r="A7" s="81"/>
      <c r="B7" s="22" t="s">
        <v>93</v>
      </c>
      <c r="C7" s="21"/>
      <c r="D7" s="21">
        <f>O5*O16</f>
        <v>20000</v>
      </c>
      <c r="E7" s="21">
        <f t="shared" si="1"/>
        <v>19208</v>
      </c>
      <c r="F7" s="21">
        <f t="shared" si="1"/>
        <v>18447.363199999996</v>
      </c>
      <c r="G7" s="21">
        <f t="shared" si="1"/>
        <v>17716.847617279996</v>
      </c>
      <c r="H7" s="25"/>
      <c r="I7" s="25"/>
      <c r="J7" s="25"/>
      <c r="K7" s="25"/>
      <c r="L7" s="25"/>
      <c r="M7" s="25"/>
      <c r="N7" s="123" t="s">
        <v>101</v>
      </c>
      <c r="O7" s="124">
        <v>500</v>
      </c>
      <c r="P7" s="125">
        <f t="shared" si="0"/>
        <v>490</v>
      </c>
      <c r="Q7" s="125">
        <f t="shared" si="0"/>
        <v>480.2</v>
      </c>
      <c r="R7" s="126">
        <f t="shared" si="0"/>
        <v>470.596</v>
      </c>
    </row>
    <row r="8" spans="1:18" x14ac:dyDescent="0.25">
      <c r="A8" s="81"/>
      <c r="B8" s="22" t="s">
        <v>94</v>
      </c>
      <c r="C8" s="21"/>
      <c r="D8" s="21">
        <f>O6*O17</f>
        <v>30000</v>
      </c>
      <c r="E8" s="21">
        <f t="shared" si="1"/>
        <v>28812</v>
      </c>
      <c r="F8" s="21">
        <f t="shared" si="1"/>
        <v>27671.0448</v>
      </c>
      <c r="G8" s="21">
        <f t="shared" si="1"/>
        <v>26575.271425919997</v>
      </c>
      <c r="H8" s="25"/>
      <c r="I8" s="25"/>
      <c r="J8" s="25"/>
      <c r="K8" s="25"/>
      <c r="L8" s="25"/>
      <c r="M8" s="25"/>
      <c r="N8" s="123" t="s">
        <v>107</v>
      </c>
      <c r="O8" s="205">
        <v>-0.02</v>
      </c>
      <c r="P8" s="124"/>
      <c r="Q8" s="124"/>
      <c r="R8" s="128"/>
    </row>
    <row r="9" spans="1:18" x14ac:dyDescent="0.25">
      <c r="A9" s="81"/>
      <c r="B9" s="114" t="s">
        <v>101</v>
      </c>
      <c r="C9" s="21"/>
      <c r="D9" s="21">
        <f>O7*O18</f>
        <v>25000</v>
      </c>
      <c r="E9" s="21">
        <f t="shared" si="1"/>
        <v>24010</v>
      </c>
      <c r="F9" s="21">
        <f t="shared" si="1"/>
        <v>23059.203999999998</v>
      </c>
      <c r="G9" s="21">
        <f t="shared" si="1"/>
        <v>22146.0595216</v>
      </c>
      <c r="H9" s="25"/>
      <c r="I9" s="25"/>
      <c r="J9" s="25"/>
      <c r="K9" s="25"/>
      <c r="L9" s="25"/>
      <c r="M9" s="25"/>
      <c r="N9" s="129" t="s">
        <v>96</v>
      </c>
      <c r="O9" s="130"/>
      <c r="P9" s="131"/>
      <c r="Q9" s="131"/>
      <c r="R9" s="132"/>
    </row>
    <row r="10" spans="1:18" x14ac:dyDescent="0.25">
      <c r="A10" s="81"/>
      <c r="B10" s="82" t="s">
        <v>90</v>
      </c>
      <c r="C10" s="21"/>
      <c r="D10" s="21"/>
      <c r="E10" s="21"/>
      <c r="F10" s="21"/>
      <c r="G10" s="21"/>
      <c r="H10" s="33"/>
      <c r="I10" s="33"/>
      <c r="J10" s="33"/>
      <c r="K10" s="33"/>
      <c r="L10" s="33"/>
      <c r="M10" s="33"/>
      <c r="N10" s="133" t="s">
        <v>99</v>
      </c>
      <c r="O10" s="125">
        <v>15</v>
      </c>
      <c r="P10" s="125">
        <f t="shared" ref="P10:R11" si="2">O10*(1+$O$12)</f>
        <v>14.7</v>
      </c>
      <c r="Q10" s="125">
        <f t="shared" si="2"/>
        <v>14.405999999999999</v>
      </c>
      <c r="R10" s="126">
        <f t="shared" si="2"/>
        <v>14.117879999999998</v>
      </c>
    </row>
    <row r="11" spans="1:18" x14ac:dyDescent="0.25">
      <c r="A11" s="81"/>
      <c r="B11" s="22" t="s">
        <v>97</v>
      </c>
      <c r="C11" s="21"/>
      <c r="D11" s="21">
        <f>O10*O22</f>
        <v>15000</v>
      </c>
      <c r="E11" s="21">
        <f>P10*P22</f>
        <v>14406</v>
      </c>
      <c r="F11" s="21">
        <f>Q10*Q22</f>
        <v>13835.522399999998</v>
      </c>
      <c r="G11" s="21">
        <f>R10*R22</f>
        <v>13287.635712959998</v>
      </c>
      <c r="H11" s="25"/>
      <c r="I11" s="25"/>
      <c r="J11" s="25"/>
      <c r="K11" s="25"/>
      <c r="L11" s="25"/>
      <c r="M11" s="25"/>
      <c r="N11" s="133" t="s">
        <v>100</v>
      </c>
      <c r="O11" s="125">
        <v>25</v>
      </c>
      <c r="P11" s="125">
        <f t="shared" si="2"/>
        <v>24.5</v>
      </c>
      <c r="Q11" s="125">
        <f t="shared" si="2"/>
        <v>24.009999999999998</v>
      </c>
      <c r="R11" s="126">
        <f t="shared" si="2"/>
        <v>23.529799999999998</v>
      </c>
    </row>
    <row r="12" spans="1:18" x14ac:dyDescent="0.25">
      <c r="A12" s="81"/>
      <c r="B12" s="22" t="s">
        <v>98</v>
      </c>
      <c r="C12" s="21"/>
      <c r="D12" s="13">
        <f>O11*O22</f>
        <v>25000</v>
      </c>
      <c r="E12" s="13">
        <f>P11*P22</f>
        <v>24010</v>
      </c>
      <c r="F12" s="13">
        <f>Q11*Q22</f>
        <v>23059.203999999998</v>
      </c>
      <c r="G12" s="13">
        <f>R11*R22</f>
        <v>22146.0595216</v>
      </c>
      <c r="H12" s="33"/>
      <c r="I12" s="33"/>
      <c r="J12" s="33"/>
      <c r="K12" s="33"/>
      <c r="L12" s="33"/>
      <c r="M12" s="33"/>
      <c r="N12" s="133" t="s">
        <v>106</v>
      </c>
      <c r="O12" s="205">
        <v>-0.02</v>
      </c>
      <c r="P12" s="131"/>
      <c r="Q12" s="131"/>
      <c r="R12" s="132"/>
    </row>
    <row r="13" spans="1:18" x14ac:dyDescent="0.25">
      <c r="A13" s="81" t="s">
        <v>59</v>
      </c>
      <c r="B13" s="82"/>
      <c r="C13" s="21"/>
      <c r="D13" s="21">
        <f>SUM(D5:D12)</f>
        <v>178750</v>
      </c>
      <c r="E13" s="21">
        <f>SUM(E5:E12)</f>
        <v>171671.5</v>
      </c>
      <c r="F13" s="21">
        <f>SUM(F5:F12)</f>
        <v>164873.30859999999</v>
      </c>
      <c r="G13" s="21">
        <f>SUM(G5:G12)</f>
        <v>158344.32557943999</v>
      </c>
      <c r="H13" s="25"/>
      <c r="I13" s="25"/>
      <c r="J13" s="25"/>
      <c r="K13" s="25"/>
      <c r="L13" s="25"/>
      <c r="M13" s="25"/>
      <c r="N13" s="134" t="s">
        <v>102</v>
      </c>
      <c r="O13" s="135"/>
      <c r="P13" s="136"/>
      <c r="Q13" s="136"/>
      <c r="R13" s="151"/>
    </row>
    <row r="14" spans="1:18" x14ac:dyDescent="0.25">
      <c r="A14" s="81" t="s">
        <v>2</v>
      </c>
      <c r="B14" s="82"/>
      <c r="C14" s="21"/>
      <c r="D14" s="21"/>
      <c r="E14" s="21"/>
      <c r="F14" s="21"/>
      <c r="G14" s="21"/>
      <c r="H14" s="25"/>
      <c r="I14" s="25"/>
      <c r="J14" s="25"/>
      <c r="K14" s="25"/>
      <c r="L14" s="25"/>
      <c r="M14" s="25"/>
      <c r="N14" s="123" t="s">
        <v>91</v>
      </c>
      <c r="O14" s="131">
        <v>75</v>
      </c>
      <c r="P14" s="131">
        <f t="shared" ref="P14:R18" si="3">O14*(1+$O$19)</f>
        <v>73.5</v>
      </c>
      <c r="Q14" s="131">
        <f t="shared" si="3"/>
        <v>72.03</v>
      </c>
      <c r="R14" s="132">
        <f t="shared" si="3"/>
        <v>70.589399999999998</v>
      </c>
    </row>
    <row r="15" spans="1:18" x14ac:dyDescent="0.25">
      <c r="A15" s="81"/>
      <c r="B15" s="22" t="s">
        <v>91</v>
      </c>
      <c r="C15" s="21"/>
      <c r="D15" s="21">
        <f>O14*O25</f>
        <v>32062.5</v>
      </c>
      <c r="E15" s="21">
        <f t="shared" ref="E15:G19" si="4">P14*P25</f>
        <v>32678.100000000002</v>
      </c>
      <c r="F15" s="21">
        <f t="shared" si="4"/>
        <v>33305.519520000002</v>
      </c>
      <c r="G15" s="21">
        <f t="shared" si="4"/>
        <v>33944.985494783999</v>
      </c>
      <c r="H15" s="33"/>
      <c r="I15" s="33"/>
      <c r="J15" s="33"/>
      <c r="K15" s="33"/>
      <c r="L15" s="33"/>
      <c r="M15" s="33"/>
      <c r="N15" s="123" t="s">
        <v>92</v>
      </c>
      <c r="O15" s="131">
        <v>100</v>
      </c>
      <c r="P15" s="131">
        <f t="shared" si="3"/>
        <v>98</v>
      </c>
      <c r="Q15" s="131">
        <f t="shared" si="3"/>
        <v>96.039999999999992</v>
      </c>
      <c r="R15" s="132">
        <f t="shared" si="3"/>
        <v>94.119199999999992</v>
      </c>
    </row>
    <row r="16" spans="1:18" x14ac:dyDescent="0.25">
      <c r="A16" s="81"/>
      <c r="B16" s="22" t="s">
        <v>92</v>
      </c>
      <c r="C16" s="21"/>
      <c r="D16" s="21">
        <f>O15*O26</f>
        <v>28500</v>
      </c>
      <c r="E16" s="21">
        <f t="shared" si="4"/>
        <v>29047.200000000004</v>
      </c>
      <c r="F16" s="21">
        <f t="shared" si="4"/>
        <v>29604.90624</v>
      </c>
      <c r="G16" s="21">
        <f t="shared" si="4"/>
        <v>30173.320439808002</v>
      </c>
      <c r="H16" s="33"/>
      <c r="I16" s="33"/>
      <c r="J16" s="33"/>
      <c r="K16" s="33"/>
      <c r="L16" s="33"/>
      <c r="M16" s="33"/>
      <c r="N16" s="123" t="s">
        <v>93</v>
      </c>
      <c r="O16" s="131">
        <v>100</v>
      </c>
      <c r="P16" s="131">
        <f t="shared" si="3"/>
        <v>98</v>
      </c>
      <c r="Q16" s="131">
        <f t="shared" si="3"/>
        <v>96.039999999999992</v>
      </c>
      <c r="R16" s="132">
        <f t="shared" si="3"/>
        <v>94.119199999999992</v>
      </c>
    </row>
    <row r="17" spans="1:18" x14ac:dyDescent="0.25">
      <c r="A17" s="81"/>
      <c r="B17" s="22" t="s">
        <v>93</v>
      </c>
      <c r="C17" s="21"/>
      <c r="D17" s="21">
        <f>O16*O27</f>
        <v>19000</v>
      </c>
      <c r="E17" s="21">
        <f t="shared" si="4"/>
        <v>19364.8</v>
      </c>
      <c r="F17" s="21">
        <f t="shared" si="4"/>
        <v>19736.604159999999</v>
      </c>
      <c r="G17" s="21">
        <f t="shared" si="4"/>
        <v>20115.546959871997</v>
      </c>
      <c r="H17" s="33"/>
      <c r="I17" s="33"/>
      <c r="J17" s="33"/>
      <c r="K17" s="33"/>
      <c r="L17" s="33"/>
      <c r="M17" s="33"/>
      <c r="N17" s="123" t="s">
        <v>94</v>
      </c>
      <c r="O17" s="131">
        <v>100</v>
      </c>
      <c r="P17" s="131">
        <f t="shared" si="3"/>
        <v>98</v>
      </c>
      <c r="Q17" s="131">
        <f t="shared" si="3"/>
        <v>96.039999999999992</v>
      </c>
      <c r="R17" s="132">
        <f t="shared" si="3"/>
        <v>94.119199999999992</v>
      </c>
    </row>
    <row r="18" spans="1:18" x14ac:dyDescent="0.25">
      <c r="A18" s="81"/>
      <c r="B18" s="22" t="s">
        <v>94</v>
      </c>
      <c r="C18" s="21"/>
      <c r="D18" s="21">
        <f>O17*O28</f>
        <v>28500</v>
      </c>
      <c r="E18" s="21">
        <f t="shared" si="4"/>
        <v>29047.200000000004</v>
      </c>
      <c r="F18" s="21">
        <f t="shared" si="4"/>
        <v>29604.90624</v>
      </c>
      <c r="G18" s="21">
        <f t="shared" si="4"/>
        <v>30173.320439808002</v>
      </c>
      <c r="H18" s="33"/>
      <c r="I18" s="33"/>
      <c r="J18" s="33"/>
      <c r="K18" s="33"/>
      <c r="L18" s="33"/>
      <c r="M18" s="33"/>
      <c r="N18" s="123" t="s">
        <v>101</v>
      </c>
      <c r="O18" s="131">
        <v>50</v>
      </c>
      <c r="P18" s="131">
        <f t="shared" si="3"/>
        <v>49</v>
      </c>
      <c r="Q18" s="131">
        <f t="shared" si="3"/>
        <v>48.019999999999996</v>
      </c>
      <c r="R18" s="132">
        <f t="shared" si="3"/>
        <v>47.059599999999996</v>
      </c>
    </row>
    <row r="19" spans="1:18" x14ac:dyDescent="0.25">
      <c r="A19" s="81"/>
      <c r="B19" s="114" t="s">
        <v>101</v>
      </c>
      <c r="C19" s="21"/>
      <c r="D19" s="13">
        <f>O18*O29</f>
        <v>23750</v>
      </c>
      <c r="E19" s="13">
        <f t="shared" si="4"/>
        <v>24206</v>
      </c>
      <c r="F19" s="13">
        <f t="shared" si="4"/>
        <v>24670.755199999996</v>
      </c>
      <c r="G19" s="13">
        <f t="shared" si="4"/>
        <v>25144.433699839996</v>
      </c>
      <c r="H19" s="33"/>
      <c r="I19" s="33"/>
      <c r="J19" s="33"/>
      <c r="K19" s="33"/>
      <c r="L19" s="33"/>
      <c r="M19" s="33"/>
      <c r="N19" s="123" t="s">
        <v>105</v>
      </c>
      <c r="O19" s="205">
        <v>-0.02</v>
      </c>
      <c r="P19" s="124"/>
      <c r="Q19" s="124"/>
      <c r="R19" s="128"/>
    </row>
    <row r="20" spans="1:18" x14ac:dyDescent="0.25">
      <c r="A20" s="81" t="s">
        <v>114</v>
      </c>
      <c r="B20" s="114"/>
      <c r="C20" s="21"/>
      <c r="D20" s="21">
        <f>SUM(D15:D19)</f>
        <v>131812.5</v>
      </c>
      <c r="E20" s="21">
        <f>SUM(E15:E19)</f>
        <v>134343.30000000002</v>
      </c>
      <c r="F20" s="21">
        <f>SUM(F15:F19)</f>
        <v>136922.69136</v>
      </c>
      <c r="G20" s="21">
        <f>SUM(G15:G19)</f>
        <v>139551.60703411198</v>
      </c>
      <c r="H20" s="25"/>
      <c r="I20" s="25"/>
      <c r="J20" s="25"/>
      <c r="K20" s="25"/>
      <c r="L20" s="25"/>
      <c r="M20" s="25"/>
      <c r="N20" s="129" t="s">
        <v>18</v>
      </c>
      <c r="O20" s="138">
        <v>25</v>
      </c>
      <c r="P20" s="131">
        <f>O20*(1+$O$21)</f>
        <v>25.75</v>
      </c>
      <c r="Q20" s="131">
        <f>P20*(1+$O$21)</f>
        <v>26.522500000000001</v>
      </c>
      <c r="R20" s="132">
        <f>Q20*(1+$O$21)</f>
        <v>27.318175</v>
      </c>
    </row>
    <row r="21" spans="1:18" x14ac:dyDescent="0.25">
      <c r="A21" s="81"/>
      <c r="B21" s="114"/>
      <c r="C21" s="21"/>
      <c r="D21" s="21"/>
      <c r="E21" s="21"/>
      <c r="F21" s="21"/>
      <c r="G21" s="21"/>
      <c r="H21" s="25"/>
      <c r="I21" s="25"/>
      <c r="J21" s="25"/>
      <c r="K21" s="25"/>
      <c r="L21" s="25"/>
      <c r="M21" s="25"/>
      <c r="N21" s="133" t="s">
        <v>43</v>
      </c>
      <c r="O21" s="135">
        <v>0.03</v>
      </c>
      <c r="P21" s="136"/>
      <c r="Q21" s="136"/>
      <c r="R21" s="151"/>
    </row>
    <row r="22" spans="1:18" x14ac:dyDescent="0.25">
      <c r="A22" s="81" t="s">
        <v>60</v>
      </c>
      <c r="B22" s="82"/>
      <c r="C22" s="21"/>
      <c r="D22" s="21">
        <f>D13-D20</f>
        <v>46937.5</v>
      </c>
      <c r="E22" s="21">
        <f>E13-E20</f>
        <v>37328.199999999983</v>
      </c>
      <c r="F22" s="21">
        <f>F13-F20</f>
        <v>27950.617239999992</v>
      </c>
      <c r="G22" s="21">
        <f>G13-G20</f>
        <v>18792.718545328011</v>
      </c>
      <c r="H22" s="25"/>
      <c r="I22" s="25"/>
      <c r="J22" s="25"/>
      <c r="K22" s="25"/>
      <c r="L22" s="25"/>
      <c r="M22" s="25"/>
      <c r="N22" s="134" t="s">
        <v>103</v>
      </c>
      <c r="O22" s="131">
        <v>1000</v>
      </c>
      <c r="P22" s="131">
        <f>O22*(1+$O$23)</f>
        <v>980</v>
      </c>
      <c r="Q22" s="131">
        <f>P22*(1+$O$23)</f>
        <v>960.4</v>
      </c>
      <c r="R22" s="132">
        <f>Q22*(1+$O$23)</f>
        <v>941.19200000000001</v>
      </c>
    </row>
    <row r="23" spans="1:18" x14ac:dyDescent="0.25">
      <c r="A23" s="81"/>
      <c r="B23" s="82"/>
      <c r="C23" s="21"/>
      <c r="D23" s="21"/>
      <c r="E23" s="21"/>
      <c r="F23" s="21"/>
      <c r="G23" s="21"/>
      <c r="H23" s="25"/>
      <c r="I23" s="25"/>
      <c r="J23" s="25"/>
      <c r="K23" s="25"/>
      <c r="L23" s="25"/>
      <c r="M23" s="25"/>
      <c r="N23" s="133" t="s">
        <v>108</v>
      </c>
      <c r="O23" s="206">
        <v>-0.02</v>
      </c>
      <c r="P23" s="139"/>
      <c r="Q23" s="139"/>
      <c r="R23" s="140"/>
    </row>
    <row r="24" spans="1:18" x14ac:dyDescent="0.25">
      <c r="A24" s="81" t="s">
        <v>3</v>
      </c>
      <c r="B24" s="82"/>
      <c r="C24" s="21"/>
      <c r="D24" s="21"/>
      <c r="E24" s="21"/>
      <c r="F24" s="21"/>
      <c r="G24" s="21"/>
      <c r="H24" s="25"/>
      <c r="I24" s="25"/>
      <c r="J24" s="25"/>
      <c r="K24" s="25"/>
      <c r="L24" s="25"/>
      <c r="M24" s="25"/>
      <c r="N24" s="134" t="s">
        <v>104</v>
      </c>
      <c r="O24" s="127"/>
      <c r="P24" s="136"/>
      <c r="Q24" s="136"/>
      <c r="R24" s="151"/>
    </row>
    <row r="25" spans="1:18" x14ac:dyDescent="0.25">
      <c r="A25" s="81"/>
      <c r="B25" s="82" t="s">
        <v>115</v>
      </c>
      <c r="C25" s="21"/>
      <c r="D25" s="21">
        <f>O38*$O$39*$O$40*52</f>
        <v>74880</v>
      </c>
      <c r="E25" s="21">
        <f>P38*$O$39*$O$40*52</f>
        <v>76377.599999999991</v>
      </c>
      <c r="F25" s="21">
        <f>Q38*$O$39*$O$40*52</f>
        <v>77905.152000000002</v>
      </c>
      <c r="G25" s="21">
        <f>R38*$O$39*$O$40*52</f>
        <v>79463.255040000004</v>
      </c>
      <c r="H25" s="25"/>
      <c r="I25" s="25"/>
      <c r="J25" s="25"/>
      <c r="K25" s="25"/>
      <c r="L25" s="25"/>
      <c r="M25" s="25"/>
      <c r="N25" s="123" t="s">
        <v>91</v>
      </c>
      <c r="O25" s="124">
        <f>O3*(1-$O$30)</f>
        <v>427.5</v>
      </c>
      <c r="P25" s="124">
        <f t="shared" ref="P25:R29" si="5">O25*(1+$O$31)</f>
        <v>444.6</v>
      </c>
      <c r="Q25" s="124">
        <f t="shared" si="5"/>
        <v>462.38400000000001</v>
      </c>
      <c r="R25" s="128">
        <f t="shared" si="5"/>
        <v>480.87936000000002</v>
      </c>
    </row>
    <row r="26" spans="1:18" x14ac:dyDescent="0.25">
      <c r="A26" s="81"/>
      <c r="B26" s="82" t="s">
        <v>144</v>
      </c>
      <c r="C26" s="21"/>
      <c r="D26" s="21">
        <f>D13*$O$42</f>
        <v>10725</v>
      </c>
      <c r="E26" s="21">
        <f>E13*$O$42</f>
        <v>10300.289999999999</v>
      </c>
      <c r="F26" s="21">
        <f>F13*$O$42</f>
        <v>9892.3985159999993</v>
      </c>
      <c r="G26" s="21">
        <f>G13*$O$42</f>
        <v>9500.6595347663988</v>
      </c>
      <c r="H26" s="25"/>
      <c r="I26" s="25"/>
      <c r="J26" s="25"/>
      <c r="K26" s="25"/>
      <c r="L26" s="25"/>
      <c r="M26" s="25"/>
      <c r="N26" s="123" t="s">
        <v>92</v>
      </c>
      <c r="O26" s="124">
        <f>O4*(1-$O$30)</f>
        <v>285</v>
      </c>
      <c r="P26" s="124">
        <f t="shared" si="5"/>
        <v>296.40000000000003</v>
      </c>
      <c r="Q26" s="124">
        <f t="shared" si="5"/>
        <v>308.25600000000003</v>
      </c>
      <c r="R26" s="128">
        <f t="shared" si="5"/>
        <v>320.58624000000003</v>
      </c>
    </row>
    <row r="27" spans="1:18" x14ac:dyDescent="0.25">
      <c r="A27" s="81"/>
      <c r="B27" s="82" t="s">
        <v>112</v>
      </c>
      <c r="C27" s="21"/>
      <c r="D27" s="21">
        <f>O36</f>
        <v>13875</v>
      </c>
      <c r="E27" s="21">
        <f>P36</f>
        <v>13325.550000000001</v>
      </c>
      <c r="F27" s="21">
        <f>Q36</f>
        <v>12797.85822</v>
      </c>
      <c r="G27" s="21">
        <f>R36</f>
        <v>12291.063034487999</v>
      </c>
      <c r="H27" s="25"/>
      <c r="I27" s="25"/>
      <c r="J27" s="25"/>
      <c r="K27" s="25"/>
      <c r="L27" s="25"/>
      <c r="M27" s="25"/>
      <c r="N27" s="123" t="s">
        <v>93</v>
      </c>
      <c r="O27" s="124">
        <f>O5*(1-$O$30)</f>
        <v>190</v>
      </c>
      <c r="P27" s="124">
        <f t="shared" si="5"/>
        <v>197.6</v>
      </c>
      <c r="Q27" s="124">
        <f t="shared" si="5"/>
        <v>205.50399999999999</v>
      </c>
      <c r="R27" s="128">
        <f t="shared" si="5"/>
        <v>213.72415999999998</v>
      </c>
    </row>
    <row r="28" spans="1:18" x14ac:dyDescent="0.25">
      <c r="A28" s="81"/>
      <c r="B28" s="82" t="s">
        <v>119</v>
      </c>
      <c r="C28" s="21"/>
      <c r="D28" s="13">
        <f>SUM(D5:D9)*$O$43</f>
        <v>10406.25</v>
      </c>
      <c r="E28" s="13">
        <f>SUM(E5:E9)*$O$43</f>
        <v>9994.1625000000004</v>
      </c>
      <c r="F28" s="13">
        <f>SUM(F5:F9)*$O$43</f>
        <v>9598.3936649999996</v>
      </c>
      <c r="G28" s="13">
        <f>SUM(G5:G9)*$O$43</f>
        <v>9218.297275865998</v>
      </c>
      <c r="H28" s="33"/>
      <c r="I28" s="33"/>
      <c r="J28" s="33"/>
      <c r="K28" s="33"/>
      <c r="L28" s="33"/>
      <c r="M28" s="33"/>
      <c r="N28" s="123" t="s">
        <v>94</v>
      </c>
      <c r="O28" s="124">
        <f>O6*(1-$O$30)</f>
        <v>285</v>
      </c>
      <c r="P28" s="124">
        <f t="shared" si="5"/>
        <v>296.40000000000003</v>
      </c>
      <c r="Q28" s="124">
        <f t="shared" si="5"/>
        <v>308.25600000000003</v>
      </c>
      <c r="R28" s="128">
        <f t="shared" si="5"/>
        <v>320.58624000000003</v>
      </c>
    </row>
    <row r="29" spans="1:18" x14ac:dyDescent="0.25">
      <c r="A29" s="81" t="s">
        <v>61</v>
      </c>
      <c r="B29" s="82"/>
      <c r="C29" s="21"/>
      <c r="D29" s="21">
        <f>SUM(D25:D28)</f>
        <v>109886.25</v>
      </c>
      <c r="E29" s="21">
        <f>SUM(E25:E28)</f>
        <v>109997.60249999999</v>
      </c>
      <c r="F29" s="21">
        <f>SUM(F25:F28)</f>
        <v>110193.80240099999</v>
      </c>
      <c r="G29" s="21">
        <f>SUM(G25:G28)</f>
        <v>110473.27488512041</v>
      </c>
      <c r="H29" s="25"/>
      <c r="I29" s="25"/>
      <c r="J29" s="25"/>
      <c r="K29" s="25"/>
      <c r="L29" s="25"/>
      <c r="M29" s="25"/>
      <c r="N29" s="123" t="s">
        <v>101</v>
      </c>
      <c r="O29" s="124">
        <f>O7*(1-$O$30)</f>
        <v>475</v>
      </c>
      <c r="P29" s="124">
        <f t="shared" si="5"/>
        <v>494</v>
      </c>
      <c r="Q29" s="124">
        <f t="shared" si="5"/>
        <v>513.76</v>
      </c>
      <c r="R29" s="128">
        <f t="shared" si="5"/>
        <v>534.31039999999996</v>
      </c>
    </row>
    <row r="30" spans="1:18" x14ac:dyDescent="0.25">
      <c r="A30" s="81"/>
      <c r="B30" s="82"/>
      <c r="C30" s="21"/>
      <c r="D30" s="21"/>
      <c r="E30" s="21"/>
      <c r="F30" s="21"/>
      <c r="G30" s="21"/>
      <c r="H30" s="25"/>
      <c r="I30" s="25"/>
      <c r="J30" s="25"/>
      <c r="K30" s="25"/>
      <c r="L30" s="25"/>
      <c r="M30" s="25"/>
      <c r="N30" s="133" t="s">
        <v>109</v>
      </c>
      <c r="O30" s="127">
        <v>0.05</v>
      </c>
      <c r="P30" s="136"/>
      <c r="Q30" s="136"/>
      <c r="R30" s="151"/>
    </row>
    <row r="31" spans="1:18" x14ac:dyDescent="0.25">
      <c r="A31" s="81" t="s">
        <v>62</v>
      </c>
      <c r="B31" s="82"/>
      <c r="C31" s="21"/>
      <c r="D31" s="21"/>
      <c r="E31" s="21"/>
      <c r="F31" s="21"/>
      <c r="G31" s="21"/>
      <c r="H31" s="25"/>
      <c r="I31" s="25"/>
      <c r="J31" s="25"/>
      <c r="K31" s="25"/>
      <c r="L31" s="25"/>
      <c r="M31" s="25"/>
      <c r="N31" s="133" t="s">
        <v>110</v>
      </c>
      <c r="O31" s="127">
        <v>0.04</v>
      </c>
      <c r="P31" s="136"/>
      <c r="Q31" s="136"/>
      <c r="R31" s="151"/>
    </row>
    <row r="32" spans="1:18" x14ac:dyDescent="0.25">
      <c r="A32" s="115" t="s">
        <v>4</v>
      </c>
      <c r="B32" s="82"/>
      <c r="C32" s="21"/>
      <c r="D32" s="21">
        <f>O55</f>
        <v>15682.333333333334</v>
      </c>
      <c r="E32" s="21">
        <f>P55</f>
        <v>15682.333333333334</v>
      </c>
      <c r="F32" s="21">
        <f>Q55</f>
        <v>15682.333333333334</v>
      </c>
      <c r="G32" s="21">
        <f>R55</f>
        <v>15682.333333333334</v>
      </c>
      <c r="H32" s="25"/>
      <c r="I32" s="25"/>
      <c r="J32" s="25"/>
      <c r="K32" s="25"/>
      <c r="L32" s="25"/>
      <c r="M32" s="25"/>
      <c r="N32" s="129" t="s">
        <v>135</v>
      </c>
      <c r="O32" s="141">
        <v>5</v>
      </c>
      <c r="P32" s="141">
        <f>O32*(1-$O$33)</f>
        <v>4.75</v>
      </c>
      <c r="Q32" s="141">
        <f>P32*(1-$O$33)</f>
        <v>4.5125000000000002</v>
      </c>
      <c r="R32" s="142">
        <f>Q32*(1-$O$33)</f>
        <v>4.2868750000000002</v>
      </c>
    </row>
    <row r="33" spans="1:18" ht="15.75" thickBot="1" x14ac:dyDescent="0.3">
      <c r="A33" s="115" t="s">
        <v>5</v>
      </c>
      <c r="B33" s="82"/>
      <c r="C33" s="21"/>
      <c r="D33" s="21">
        <f>O63</f>
        <v>15939.62181116373</v>
      </c>
      <c r="E33" s="21">
        <f>P63</f>
        <v>15800.952214313083</v>
      </c>
      <c r="F33" s="21">
        <f>Q63</f>
        <v>15650.773109314636</v>
      </c>
      <c r="G33" s="21">
        <f>R63</f>
        <v>15488.129212668529</v>
      </c>
      <c r="H33" s="25"/>
      <c r="I33" s="25"/>
      <c r="J33" s="25"/>
      <c r="K33" s="25"/>
      <c r="L33" s="25"/>
      <c r="M33" s="25"/>
      <c r="N33" s="143" t="s">
        <v>136</v>
      </c>
      <c r="O33" s="144">
        <v>0.05</v>
      </c>
      <c r="P33" s="145"/>
      <c r="Q33" s="145"/>
      <c r="R33" s="245"/>
    </row>
    <row r="34" spans="1:18" ht="15.75" thickBot="1" x14ac:dyDescent="0.3">
      <c r="A34" s="115" t="s">
        <v>6</v>
      </c>
      <c r="B34" s="82"/>
      <c r="C34" s="21"/>
      <c r="D34" s="13">
        <f ca="1">D66*$O$61</f>
        <v>17935.399741081008</v>
      </c>
      <c r="E34" s="13">
        <f ca="1">E66*$O$61</f>
        <v>31223.49004882171</v>
      </c>
      <c r="F34" s="13">
        <f ca="1">F66*$O$61</f>
        <v>47336.769491914041</v>
      </c>
      <c r="G34" s="13">
        <f ca="1">G66*$O$61</f>
        <v>66607.217701789676</v>
      </c>
      <c r="H34" s="33"/>
      <c r="I34" s="33"/>
      <c r="J34" s="33"/>
      <c r="K34" s="33"/>
      <c r="L34" s="33"/>
      <c r="M34" s="33"/>
      <c r="N34" s="27"/>
      <c r="O34" s="28"/>
      <c r="P34" s="28"/>
      <c r="Q34" s="28"/>
      <c r="R34" s="28"/>
    </row>
    <row r="35" spans="1:18" ht="19.5" thickBot="1" x14ac:dyDescent="0.35">
      <c r="A35" s="81" t="s">
        <v>63</v>
      </c>
      <c r="B35" s="82"/>
      <c r="C35" s="21"/>
      <c r="D35" s="21">
        <f ca="1">SUM(D32:D34)</f>
        <v>49557.354885578068</v>
      </c>
      <c r="E35" s="21">
        <f ca="1">SUM(E32:E34)</f>
        <v>62706.775596468127</v>
      </c>
      <c r="F35" s="21">
        <f ca="1">SUM(F32:F34)</f>
        <v>78669.875934562006</v>
      </c>
      <c r="G35" s="21">
        <f ca="1">SUM(G32:G34)</f>
        <v>97777.680247791548</v>
      </c>
      <c r="H35" s="25"/>
      <c r="I35" s="25"/>
      <c r="J35" s="25"/>
      <c r="K35" s="25"/>
      <c r="L35" s="25"/>
      <c r="M35" s="25"/>
      <c r="N35" s="165" t="s">
        <v>44</v>
      </c>
      <c r="O35" s="166">
        <v>2014</v>
      </c>
      <c r="P35" s="167">
        <v>2015</v>
      </c>
      <c r="Q35" s="167">
        <v>2016</v>
      </c>
      <c r="R35" s="168">
        <v>2017</v>
      </c>
    </row>
    <row r="36" spans="1:18" x14ac:dyDescent="0.25">
      <c r="A36" s="81"/>
      <c r="B36" s="82"/>
      <c r="C36" s="21"/>
      <c r="D36" s="21"/>
      <c r="E36" s="21"/>
      <c r="F36" s="21"/>
      <c r="G36" s="21"/>
      <c r="H36" s="25"/>
      <c r="I36" s="25"/>
      <c r="J36" s="25"/>
      <c r="K36" s="25"/>
      <c r="L36" s="25"/>
      <c r="M36" s="25"/>
      <c r="N36" s="148" t="s">
        <v>112</v>
      </c>
      <c r="O36" s="149">
        <f>SUM(D5:D9)*$O$37</f>
        <v>13875</v>
      </c>
      <c r="P36" s="149">
        <f>SUM(E5:E9)*$O$37</f>
        <v>13325.550000000001</v>
      </c>
      <c r="Q36" s="149">
        <f>SUM(F5:F9)*$O$37</f>
        <v>12797.85822</v>
      </c>
      <c r="R36" s="150">
        <f>SUM(G5:G9)*$O$37</f>
        <v>12291.063034487999</v>
      </c>
    </row>
    <row r="37" spans="1:18" x14ac:dyDescent="0.25">
      <c r="A37" s="81" t="s">
        <v>7</v>
      </c>
      <c r="B37" s="82"/>
      <c r="C37" s="21"/>
      <c r="D37" s="21">
        <f ca="1">D22-D29-D35</f>
        <v>-112506.10488557807</v>
      </c>
      <c r="E37" s="21">
        <f ca="1">E22-E29-E35</f>
        <v>-135376.17809646815</v>
      </c>
      <c r="F37" s="21">
        <f ca="1">F22-F29-F35</f>
        <v>-160913.06109556201</v>
      </c>
      <c r="G37" s="21">
        <f ca="1">G22-G29-G35</f>
        <v>-189458.23658758396</v>
      </c>
      <c r="H37" s="25"/>
      <c r="I37" s="25"/>
      <c r="J37" s="25"/>
      <c r="K37" s="25"/>
      <c r="L37" s="25"/>
      <c r="M37" s="25"/>
      <c r="N37" s="133" t="s">
        <v>113</v>
      </c>
      <c r="O37" s="127">
        <v>0.1</v>
      </c>
      <c r="P37" s="136"/>
      <c r="Q37" s="136"/>
      <c r="R37" s="151"/>
    </row>
    <row r="38" spans="1:18" x14ac:dyDescent="0.25">
      <c r="A38" s="81" t="s">
        <v>8</v>
      </c>
      <c r="B38" s="82"/>
      <c r="C38" s="21"/>
      <c r="D38" s="13">
        <f ca="1">IF(D37&lt;0,0,D37*$O$62)</f>
        <v>0</v>
      </c>
      <c r="E38" s="13">
        <f ca="1">IF(E37&lt;0,0,E37*$O$62)</f>
        <v>0</v>
      </c>
      <c r="F38" s="13">
        <f ca="1">IF(F37&lt;0,0,F37*$O$62)</f>
        <v>0</v>
      </c>
      <c r="G38" s="13">
        <f ca="1">IF(G37&lt;0,0,G37*$O$62)</f>
        <v>0</v>
      </c>
      <c r="H38" s="33"/>
      <c r="I38" s="33"/>
      <c r="J38" s="33"/>
      <c r="K38" s="33"/>
      <c r="L38" s="33"/>
      <c r="M38" s="33"/>
      <c r="N38" s="134" t="s">
        <v>142</v>
      </c>
      <c r="O38" s="125">
        <v>9</v>
      </c>
      <c r="P38" s="125">
        <f>O38*(1+$O$41)</f>
        <v>9.18</v>
      </c>
      <c r="Q38" s="125">
        <f>P38*(1+$O$41)</f>
        <v>9.3635999999999999</v>
      </c>
      <c r="R38" s="126">
        <f>Q38*(1+$O$41)</f>
        <v>9.550872</v>
      </c>
    </row>
    <row r="39" spans="1:18" x14ac:dyDescent="0.25">
      <c r="A39" s="81" t="s">
        <v>9</v>
      </c>
      <c r="B39" s="82"/>
      <c r="C39" s="21"/>
      <c r="D39" s="21">
        <f ca="1">D37-D38</f>
        <v>-112506.10488557807</v>
      </c>
      <c r="E39" s="21">
        <f ca="1">E37-E38</f>
        <v>-135376.17809646815</v>
      </c>
      <c r="F39" s="21">
        <f ca="1">F37-F38</f>
        <v>-160913.06109556201</v>
      </c>
      <c r="G39" s="21">
        <f ca="1">G37-G38</f>
        <v>-189458.23658758396</v>
      </c>
      <c r="H39" s="25"/>
      <c r="I39" s="25"/>
      <c r="J39" s="25"/>
      <c r="K39" s="25"/>
      <c r="L39" s="25"/>
      <c r="M39" s="25"/>
      <c r="N39" s="133" t="s">
        <v>116</v>
      </c>
      <c r="O39" s="131">
        <v>4</v>
      </c>
      <c r="P39" s="136"/>
      <c r="Q39" s="136"/>
      <c r="R39" s="151"/>
    </row>
    <row r="40" spans="1:18" ht="15.75" thickBot="1" x14ac:dyDescent="0.3">
      <c r="A40" s="109"/>
      <c r="B40" s="110"/>
      <c r="C40" s="111"/>
      <c r="D40" s="111"/>
      <c r="E40" s="111"/>
      <c r="F40" s="111"/>
      <c r="G40" s="111"/>
      <c r="H40" s="25"/>
      <c r="I40" s="25"/>
      <c r="J40" s="25"/>
      <c r="K40" s="25"/>
      <c r="L40" s="25"/>
      <c r="M40" s="25"/>
      <c r="N40" s="133" t="s">
        <v>117</v>
      </c>
      <c r="O40" s="131">
        <v>40</v>
      </c>
      <c r="P40" s="136"/>
      <c r="Q40" s="136"/>
      <c r="R40" s="151"/>
    </row>
    <row r="41" spans="1:18" ht="15.75" thickBot="1" x14ac:dyDescent="0.3">
      <c r="A41" s="24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33" t="s">
        <v>143</v>
      </c>
      <c r="O41" s="152">
        <v>0.02</v>
      </c>
      <c r="P41" s="136"/>
      <c r="Q41" s="136"/>
      <c r="R41" s="151"/>
    </row>
    <row r="42" spans="1:18" ht="27" thickBot="1" x14ac:dyDescent="0.45">
      <c r="A42" s="258" t="s">
        <v>10</v>
      </c>
      <c r="B42" s="259"/>
      <c r="C42" s="259"/>
      <c r="D42" s="259"/>
      <c r="E42" s="259"/>
      <c r="F42" s="259"/>
      <c r="G42" s="259"/>
      <c r="H42" s="32"/>
      <c r="I42" s="32"/>
      <c r="J42" s="32"/>
      <c r="K42" s="32"/>
      <c r="L42" s="32"/>
      <c r="M42" s="32"/>
      <c r="N42" s="134" t="s">
        <v>145</v>
      </c>
      <c r="O42" s="153">
        <v>0.06</v>
      </c>
      <c r="P42" s="136"/>
      <c r="Q42" s="136"/>
      <c r="R42" s="151"/>
    </row>
    <row r="43" spans="1:18" ht="27" thickBot="1" x14ac:dyDescent="0.45">
      <c r="A43" s="103" t="s">
        <v>72</v>
      </c>
      <c r="B43" s="104"/>
      <c r="C43" s="105"/>
      <c r="D43" s="105"/>
      <c r="E43" s="105"/>
      <c r="F43" s="105"/>
      <c r="G43" s="105"/>
      <c r="H43" s="261" t="s">
        <v>194</v>
      </c>
      <c r="I43" s="262"/>
      <c r="J43" s="263"/>
      <c r="K43" s="32"/>
      <c r="L43" s="32"/>
      <c r="M43" s="32"/>
      <c r="N43" s="134" t="s">
        <v>118</v>
      </c>
      <c r="O43" s="153">
        <v>7.4999999999999997E-2</v>
      </c>
      <c r="P43" s="136"/>
      <c r="Q43" s="136"/>
      <c r="R43" s="151"/>
    </row>
    <row r="44" spans="1:18" x14ac:dyDescent="0.25">
      <c r="A44" s="84" t="s">
        <v>11</v>
      </c>
      <c r="B44" s="82"/>
      <c r="C44" s="21"/>
      <c r="D44" s="21">
        <v>10000</v>
      </c>
      <c r="E44" s="21">
        <f>D44</f>
        <v>10000</v>
      </c>
      <c r="F44" s="21">
        <f>E44</f>
        <v>10000</v>
      </c>
      <c r="G44" s="21">
        <f>F44</f>
        <v>10000</v>
      </c>
      <c r="H44" s="226">
        <f>100%</f>
        <v>1</v>
      </c>
      <c r="I44" s="227"/>
      <c r="J44" s="227">
        <f>G44*H44</f>
        <v>10000</v>
      </c>
      <c r="K44" s="25"/>
      <c r="L44" s="25"/>
      <c r="M44" s="25"/>
      <c r="N44" s="134" t="s">
        <v>120</v>
      </c>
      <c r="O44" s="125">
        <f>D20/365*O45</f>
        <v>32501.71232876712</v>
      </c>
      <c r="P44" s="125">
        <f>E20/365*P45</f>
        <v>32463.230301369866</v>
      </c>
      <c r="Q44" s="125">
        <f>F20/365*Q45</f>
        <v>32424.793836693039</v>
      </c>
      <c r="R44" s="126">
        <f>G20/365*R45</f>
        <v>32386.402880790396</v>
      </c>
    </row>
    <row r="45" spans="1:18" x14ac:dyDescent="0.25">
      <c r="A45" s="84" t="s">
        <v>12</v>
      </c>
      <c r="B45" s="82"/>
      <c r="C45" s="21"/>
      <c r="D45" s="21">
        <f ca="1">IF(D66=0,D74-SUM(D44,D46:D47,D54),0)</f>
        <v>0</v>
      </c>
      <c r="E45" s="21">
        <f ca="1">IF(E66=0,E74-SUM(E44,E46:E47,E54),0)</f>
        <v>0</v>
      </c>
      <c r="F45" s="21">
        <f ca="1">IF(F66=0,F74-SUM(F44,F46:F47,F54),0)</f>
        <v>0</v>
      </c>
      <c r="G45" s="21">
        <f ca="1">IF(G66=0,G74-SUM(G44,G46:G47,G54),0)</f>
        <v>0</v>
      </c>
      <c r="H45" s="226"/>
      <c r="I45" s="227"/>
      <c r="J45" s="227"/>
      <c r="K45" s="25"/>
      <c r="L45" s="25"/>
      <c r="M45" s="25"/>
      <c r="N45" s="134" t="s">
        <v>147</v>
      </c>
      <c r="O45" s="164">
        <v>90</v>
      </c>
      <c r="P45" s="154">
        <f>O45*(1-$O$46)</f>
        <v>88.2</v>
      </c>
      <c r="Q45" s="154">
        <f>P45*(1-$O$46)</f>
        <v>86.436000000000007</v>
      </c>
      <c r="R45" s="155">
        <f>Q45*(1-$O$46)</f>
        <v>84.707280000000011</v>
      </c>
    </row>
    <row r="46" spans="1:18" x14ac:dyDescent="0.25">
      <c r="A46" s="84" t="s">
        <v>13</v>
      </c>
      <c r="B46" s="82"/>
      <c r="C46" s="21"/>
      <c r="D46" s="21">
        <f>D13/365*O32</f>
        <v>2448.6301369863013</v>
      </c>
      <c r="E46" s="21">
        <f>E13/365*P32</f>
        <v>2234.0811643835614</v>
      </c>
      <c r="F46" s="21">
        <f>F13/365*Q32</f>
        <v>2038.3309727602739</v>
      </c>
      <c r="G46" s="21">
        <f>G13/365*R32</f>
        <v>1859.7324129270187</v>
      </c>
      <c r="H46" s="226">
        <f>$O$66</f>
        <v>0.5</v>
      </c>
      <c r="I46" s="227"/>
      <c r="J46" s="227">
        <f>G46*H46</f>
        <v>929.86620646350934</v>
      </c>
      <c r="K46" s="25"/>
      <c r="L46" s="25"/>
      <c r="M46" s="25"/>
      <c r="N46" s="133" t="s">
        <v>148</v>
      </c>
      <c r="O46" s="127">
        <v>0.02</v>
      </c>
      <c r="P46" s="136" t="s">
        <v>149</v>
      </c>
      <c r="Q46" s="136"/>
      <c r="R46" s="151"/>
    </row>
    <row r="47" spans="1:18" x14ac:dyDescent="0.25">
      <c r="A47" s="84" t="s">
        <v>14</v>
      </c>
      <c r="B47" s="82"/>
      <c r="C47" s="21"/>
      <c r="D47" s="13">
        <f>O44</f>
        <v>32501.71232876712</v>
      </c>
      <c r="E47" s="13">
        <f>P44</f>
        <v>32463.230301369866</v>
      </c>
      <c r="F47" s="13">
        <f>Q44</f>
        <v>32424.793836693039</v>
      </c>
      <c r="G47" s="13">
        <f>R44</f>
        <v>32386.402880790396</v>
      </c>
      <c r="H47" s="226">
        <f>$O$66</f>
        <v>0.5</v>
      </c>
      <c r="I47" s="227"/>
      <c r="J47" s="227">
        <f>G47*H47</f>
        <v>16193.201440395198</v>
      </c>
      <c r="K47" s="25"/>
      <c r="L47" s="25"/>
      <c r="M47" s="25"/>
      <c r="N47" s="134" t="s">
        <v>127</v>
      </c>
      <c r="O47" s="127"/>
      <c r="P47" s="136"/>
      <c r="Q47" s="136"/>
      <c r="R47" s="151"/>
    </row>
    <row r="48" spans="1:18" x14ac:dyDescent="0.25">
      <c r="A48" s="107" t="s">
        <v>73</v>
      </c>
      <c r="B48" s="82"/>
      <c r="C48" s="21"/>
      <c r="D48" s="21">
        <f ca="1">SUM(D44:D47)</f>
        <v>44950.34246575342</v>
      </c>
      <c r="E48" s="21">
        <f ca="1">SUM(E44:E47)</f>
        <v>44697.311465753432</v>
      </c>
      <c r="F48" s="21">
        <f ca="1">SUM(F44:F47)</f>
        <v>44463.124809453315</v>
      </c>
      <c r="G48" s="21">
        <f ca="1">SUM(G44:G47)</f>
        <v>44246.135293717416</v>
      </c>
      <c r="H48" s="226"/>
      <c r="I48" s="227"/>
      <c r="J48" s="227"/>
      <c r="K48" s="33"/>
      <c r="L48" s="33"/>
      <c r="M48" s="33"/>
      <c r="N48" s="133" t="s">
        <v>128</v>
      </c>
      <c r="O48" s="125">
        <f>517-O49</f>
        <v>46.529999999999973</v>
      </c>
      <c r="P48" s="136"/>
      <c r="Q48" s="136"/>
      <c r="R48" s="151"/>
    </row>
    <row r="49" spans="1:18" x14ac:dyDescent="0.25">
      <c r="A49" s="81"/>
      <c r="B49" s="82"/>
      <c r="C49" s="21"/>
      <c r="D49" s="21"/>
      <c r="E49" s="21"/>
      <c r="F49" s="21"/>
      <c r="G49" s="21"/>
      <c r="H49" s="226"/>
      <c r="I49" s="227"/>
      <c r="J49" s="227"/>
      <c r="K49" s="25"/>
      <c r="L49" s="25"/>
      <c r="M49" s="25"/>
      <c r="N49" s="133" t="s">
        <v>129</v>
      </c>
      <c r="O49" s="125">
        <f>517*(1-0.09)</f>
        <v>470.47</v>
      </c>
      <c r="P49" s="136"/>
      <c r="Q49" s="136"/>
      <c r="R49" s="151"/>
    </row>
    <row r="50" spans="1:18" x14ac:dyDescent="0.25">
      <c r="A50" s="81" t="s">
        <v>70</v>
      </c>
      <c r="B50" s="82"/>
      <c r="C50" s="21"/>
      <c r="D50" s="21"/>
      <c r="E50" s="21"/>
      <c r="F50" s="21"/>
      <c r="G50" s="21"/>
      <c r="H50" s="226"/>
      <c r="I50" s="227"/>
      <c r="J50" s="227"/>
      <c r="K50" s="25"/>
      <c r="L50" s="25"/>
      <c r="M50" s="25"/>
      <c r="N50" s="134" t="s">
        <v>132</v>
      </c>
      <c r="O50" s="141">
        <f>O51*1.25/43560</f>
        <v>2.869605142332415E-2</v>
      </c>
      <c r="P50" s="131" t="s">
        <v>131</v>
      </c>
      <c r="Q50" s="136"/>
      <c r="R50" s="151"/>
    </row>
    <row r="51" spans="1:18" x14ac:dyDescent="0.25">
      <c r="A51" s="108" t="s">
        <v>128</v>
      </c>
      <c r="B51" s="82"/>
      <c r="C51" s="21"/>
      <c r="D51" s="21">
        <f>$O$52</f>
        <v>58162.499999999964</v>
      </c>
      <c r="E51" s="21">
        <f>$O$52</f>
        <v>58162.499999999964</v>
      </c>
      <c r="F51" s="21">
        <f>$O$52</f>
        <v>58162.499999999964</v>
      </c>
      <c r="G51" s="21">
        <f>$O$52</f>
        <v>58162.499999999964</v>
      </c>
      <c r="H51" s="226">
        <f>O65</f>
        <v>0.5</v>
      </c>
      <c r="I51" s="227">
        <f>G51*H51</f>
        <v>29081.249999999982</v>
      </c>
      <c r="J51" s="227"/>
      <c r="K51" s="25"/>
      <c r="L51" s="25"/>
      <c r="M51" s="25"/>
      <c r="N51" s="134" t="s">
        <v>133</v>
      </c>
      <c r="O51" s="156">
        <f>20*50</f>
        <v>1000</v>
      </c>
      <c r="P51" s="157" t="s">
        <v>134</v>
      </c>
      <c r="Q51" s="136"/>
      <c r="R51" s="151"/>
    </row>
    <row r="52" spans="1:18" x14ac:dyDescent="0.25">
      <c r="A52" s="108" t="s">
        <v>15</v>
      </c>
      <c r="B52" s="82"/>
      <c r="C52" s="21"/>
      <c r="D52" s="21">
        <f>O53</f>
        <v>470470</v>
      </c>
      <c r="E52" s="21">
        <f>D52</f>
        <v>470470</v>
      </c>
      <c r="F52" s="21">
        <f>E52</f>
        <v>470470</v>
      </c>
      <c r="G52" s="21">
        <f>F52</f>
        <v>470470</v>
      </c>
      <c r="H52" s="226">
        <f>O64</f>
        <v>0.75</v>
      </c>
      <c r="I52" s="227">
        <f>G52*H52</f>
        <v>352852.5</v>
      </c>
      <c r="J52" s="227"/>
      <c r="N52" s="134" t="s">
        <v>130</v>
      </c>
      <c r="O52" s="38">
        <f>O50*43560*O48</f>
        <v>58162.499999999964</v>
      </c>
      <c r="P52" s="136"/>
      <c r="Q52" s="136"/>
      <c r="R52" s="151"/>
    </row>
    <row r="53" spans="1:18" x14ac:dyDescent="0.25">
      <c r="A53" s="84" t="s">
        <v>146</v>
      </c>
      <c r="B53" s="82"/>
      <c r="C53" s="21"/>
      <c r="D53" s="13">
        <f>D32</f>
        <v>15682.333333333334</v>
      </c>
      <c r="E53" s="13">
        <f>E32+D53</f>
        <v>31364.666666666668</v>
      </c>
      <c r="F53" s="13">
        <f>F32+E53</f>
        <v>47047</v>
      </c>
      <c r="G53" s="13">
        <f>G32+F53</f>
        <v>62729.333333333336</v>
      </c>
      <c r="H53" s="226"/>
      <c r="I53" s="227"/>
      <c r="J53" s="227"/>
      <c r="N53" s="129" t="s">
        <v>45</v>
      </c>
      <c r="O53" s="158">
        <f>O51*O49</f>
        <v>470470</v>
      </c>
      <c r="P53" s="136"/>
      <c r="Q53" s="136"/>
      <c r="R53" s="151"/>
    </row>
    <row r="54" spans="1:18" x14ac:dyDescent="0.25">
      <c r="A54" s="107" t="s">
        <v>71</v>
      </c>
      <c r="B54" s="82"/>
      <c r="C54" s="21"/>
      <c r="D54" s="21">
        <f>SUM(D51:D52)-D53</f>
        <v>512950.16666666669</v>
      </c>
      <c r="E54" s="21">
        <f>SUM(E51:E52)-E53</f>
        <v>497267.83333333331</v>
      </c>
      <c r="F54" s="21">
        <f>SUM(F51:F52)-F53</f>
        <v>481585.5</v>
      </c>
      <c r="G54" s="21">
        <f>SUM(G51:G52)-G53</f>
        <v>465903.16666666669</v>
      </c>
      <c r="H54" s="226"/>
      <c r="I54" s="227"/>
      <c r="J54" s="227"/>
      <c r="N54" s="133" t="s">
        <v>46</v>
      </c>
      <c r="O54" s="138">
        <v>30</v>
      </c>
      <c r="P54" s="136" t="s">
        <v>83</v>
      </c>
      <c r="Q54" s="136"/>
      <c r="R54" s="151"/>
    </row>
    <row r="55" spans="1:18" x14ac:dyDescent="0.25">
      <c r="A55" s="81"/>
      <c r="B55" s="82"/>
      <c r="C55" s="21"/>
      <c r="D55" s="21"/>
      <c r="E55" s="21"/>
      <c r="F55" s="21"/>
      <c r="G55" s="21"/>
      <c r="H55" s="226"/>
      <c r="I55" s="227"/>
      <c r="J55" s="227"/>
      <c r="N55" s="129" t="s">
        <v>47</v>
      </c>
      <c r="O55" s="158">
        <f>O53/$O$54</f>
        <v>15682.333333333334</v>
      </c>
      <c r="P55" s="38">
        <f>$O$55</f>
        <v>15682.333333333334</v>
      </c>
      <c r="Q55" s="38">
        <f>$O$55</f>
        <v>15682.333333333334</v>
      </c>
      <c r="R55" s="159">
        <f>$O$55</f>
        <v>15682.333333333334</v>
      </c>
    </row>
    <row r="56" spans="1:18" x14ac:dyDescent="0.25">
      <c r="A56" s="81" t="s">
        <v>16</v>
      </c>
      <c r="B56" s="82"/>
      <c r="C56" s="21"/>
      <c r="D56" s="21">
        <f ca="1">D48+D54</f>
        <v>557900.50913242006</v>
      </c>
      <c r="E56" s="21">
        <f ca="1">E48+E54</f>
        <v>541965.14479908673</v>
      </c>
      <c r="F56" s="21">
        <f ca="1">F48+F54</f>
        <v>526048.62480945326</v>
      </c>
      <c r="G56" s="21">
        <f ca="1">G48+G54</f>
        <v>510149.30196038412</v>
      </c>
      <c r="H56" s="226"/>
      <c r="I56" s="227"/>
      <c r="J56" s="227"/>
      <c r="K56" s="25"/>
      <c r="L56" s="25"/>
      <c r="M56" s="25"/>
      <c r="N56" s="160" t="s">
        <v>48</v>
      </c>
      <c r="O56" s="158">
        <v>300000</v>
      </c>
      <c r="P56" s="136"/>
      <c r="Q56" s="136"/>
      <c r="R56" s="151"/>
    </row>
    <row r="57" spans="1:18" x14ac:dyDescent="0.25">
      <c r="A57" s="81"/>
      <c r="B57" s="82"/>
      <c r="C57" s="21"/>
      <c r="D57" s="21"/>
      <c r="E57" s="21"/>
      <c r="F57" s="21"/>
      <c r="G57" s="21"/>
      <c r="H57" s="226"/>
      <c r="I57" s="227"/>
      <c r="J57" s="227"/>
      <c r="K57" s="25"/>
      <c r="L57" s="25"/>
      <c r="M57" s="25"/>
      <c r="N57" s="129" t="s">
        <v>49</v>
      </c>
      <c r="O57" s="158">
        <v>200000</v>
      </c>
      <c r="P57" s="136"/>
      <c r="Q57" s="136"/>
      <c r="R57" s="151"/>
    </row>
    <row r="58" spans="1:18" x14ac:dyDescent="0.25">
      <c r="A58" s="81" t="s">
        <v>17</v>
      </c>
      <c r="B58" s="82"/>
      <c r="C58" s="21"/>
      <c r="D58" s="21"/>
      <c r="E58" s="21"/>
      <c r="F58" s="21"/>
      <c r="G58" s="21"/>
      <c r="H58" s="226"/>
      <c r="I58" s="227"/>
      <c r="J58" s="227"/>
      <c r="K58" s="25"/>
      <c r="L58" s="25"/>
      <c r="M58" s="25"/>
      <c r="N58" s="129" t="s">
        <v>21</v>
      </c>
      <c r="O58" s="158">
        <f>O52+O53-O56-O57</f>
        <v>28632.5</v>
      </c>
      <c r="P58" s="136"/>
      <c r="Q58" s="136"/>
      <c r="R58" s="151"/>
    </row>
    <row r="59" spans="1:18" x14ac:dyDescent="0.25">
      <c r="A59" s="81" t="s">
        <v>67</v>
      </c>
      <c r="B59" s="82"/>
      <c r="C59" s="21"/>
      <c r="D59" s="21"/>
      <c r="E59" s="21"/>
      <c r="F59" s="21"/>
      <c r="G59" s="21"/>
      <c r="H59" s="226"/>
      <c r="I59" s="227"/>
      <c r="J59" s="227">
        <f>IF(I61&gt;I65,I61-I65,0)</f>
        <v>189495.67274496012</v>
      </c>
      <c r="K59" s="25"/>
      <c r="L59" s="25"/>
      <c r="M59" s="25"/>
      <c r="N59" s="129" t="s">
        <v>58</v>
      </c>
      <c r="O59" s="130">
        <v>30</v>
      </c>
      <c r="P59" s="136" t="s">
        <v>83</v>
      </c>
      <c r="Q59" s="136"/>
      <c r="R59" s="151"/>
    </row>
    <row r="60" spans="1:18" x14ac:dyDescent="0.25">
      <c r="A60" s="84" t="s">
        <v>18</v>
      </c>
      <c r="B60" s="82"/>
      <c r="C60" s="21"/>
      <c r="D60" s="21">
        <f>D20/365*O20</f>
        <v>9028.2534246575342</v>
      </c>
      <c r="E60" s="21">
        <f>E20/365*P20</f>
        <v>9477.6437671232889</v>
      </c>
      <c r="F60" s="21">
        <f>F20/365*Q20</f>
        <v>9949.4029632756155</v>
      </c>
      <c r="G60" s="21">
        <f>G20/365*R20</f>
        <v>10444.644445175622</v>
      </c>
      <c r="H60" s="226">
        <f>-100%</f>
        <v>-1</v>
      </c>
      <c r="I60" s="228"/>
      <c r="J60" s="228">
        <f>G60*H60</f>
        <v>-10444.644445175622</v>
      </c>
      <c r="K60" s="25"/>
      <c r="L60" s="25"/>
      <c r="M60" s="25"/>
      <c r="N60" s="160" t="s">
        <v>50</v>
      </c>
      <c r="O60" s="135">
        <v>0.08</v>
      </c>
      <c r="P60" s="136"/>
      <c r="Q60" s="136"/>
      <c r="R60" s="151"/>
    </row>
    <row r="61" spans="1:18" x14ac:dyDescent="0.25">
      <c r="A61" s="84" t="s">
        <v>19</v>
      </c>
      <c r="B61" s="82"/>
      <c r="C61" s="21"/>
      <c r="D61" s="13">
        <f ca="1">D38</f>
        <v>0</v>
      </c>
      <c r="E61" s="13">
        <f ca="1">E38</f>
        <v>0</v>
      </c>
      <c r="F61" s="13">
        <f ca="1">F38</f>
        <v>0</v>
      </c>
      <c r="G61" s="13">
        <f ca="1">G38</f>
        <v>0</v>
      </c>
      <c r="I61" s="227">
        <f>SUM(I44:I60)</f>
        <v>381933.75</v>
      </c>
      <c r="J61" s="227">
        <f>SUM(J44:J60)</f>
        <v>206174.09594664321</v>
      </c>
      <c r="K61" s="33"/>
      <c r="L61" s="33"/>
      <c r="M61" s="33"/>
      <c r="N61" s="160" t="s">
        <v>51</v>
      </c>
      <c r="O61" s="135">
        <v>0.11</v>
      </c>
      <c r="P61" s="136"/>
      <c r="Q61" s="136"/>
      <c r="R61" s="151"/>
    </row>
    <row r="62" spans="1:18" x14ac:dyDescent="0.25">
      <c r="A62" s="107" t="s">
        <v>68</v>
      </c>
      <c r="B62" s="82"/>
      <c r="C62" s="21"/>
      <c r="D62" s="21">
        <f ca="1">SUM(D60:D61)</f>
        <v>9028.2534246575342</v>
      </c>
      <c r="E62" s="21">
        <f ca="1">SUM(E60:E61)</f>
        <v>9477.6437671232889</v>
      </c>
      <c r="F62" s="21">
        <f ca="1">SUM(F60:F61)</f>
        <v>9949.4029632756155</v>
      </c>
      <c r="G62" s="21">
        <f ca="1">SUM(G60:G61)</f>
        <v>10444.644445175622</v>
      </c>
      <c r="I62" s="227"/>
      <c r="J62" s="227"/>
      <c r="K62" s="25"/>
      <c r="L62" s="25"/>
      <c r="M62" s="25"/>
      <c r="N62" s="129" t="s">
        <v>55</v>
      </c>
      <c r="O62" s="135">
        <v>0.4</v>
      </c>
      <c r="P62" s="136"/>
      <c r="Q62" s="136"/>
      <c r="R62" s="151"/>
    </row>
    <row r="63" spans="1:18" ht="15.75" thickBot="1" x14ac:dyDescent="0.3">
      <c r="A63" s="84"/>
      <c r="B63" s="82"/>
      <c r="C63" s="21"/>
      <c r="D63" s="21"/>
      <c r="E63" s="21"/>
      <c r="F63" s="21"/>
      <c r="G63" s="21"/>
      <c r="H63" s="25"/>
      <c r="J63" s="25"/>
      <c r="K63" s="25"/>
      <c r="L63" s="25"/>
      <c r="M63" s="25"/>
      <c r="N63" s="129" t="s">
        <v>57</v>
      </c>
      <c r="O63" s="125">
        <f>Mortgage!E14</f>
        <v>15939.62181116373</v>
      </c>
      <c r="P63" s="125">
        <f>Mortgage!E28</f>
        <v>15800.952214313083</v>
      </c>
      <c r="Q63" s="125">
        <f>Mortgage!E42</f>
        <v>15650.773109314636</v>
      </c>
      <c r="R63" s="126">
        <f>Mortgage!E56</f>
        <v>15488.129212668529</v>
      </c>
    </row>
    <row r="64" spans="1:18" ht="15.75" thickBot="1" x14ac:dyDescent="0.3">
      <c r="A64" s="81" t="s">
        <v>64</v>
      </c>
      <c r="B64" s="82"/>
      <c r="C64" s="21"/>
      <c r="D64" s="21"/>
      <c r="E64" s="21"/>
      <c r="F64" s="21"/>
      <c r="G64" s="21"/>
      <c r="H64" s="229"/>
      <c r="I64" s="230" t="s">
        <v>195</v>
      </c>
      <c r="J64" s="230" t="s">
        <v>196</v>
      </c>
      <c r="K64" s="230" t="s">
        <v>197</v>
      </c>
      <c r="L64" s="264" t="s">
        <v>198</v>
      </c>
      <c r="M64" s="265"/>
      <c r="N64" s="129" t="s">
        <v>75</v>
      </c>
      <c r="O64" s="135">
        <v>0.75</v>
      </c>
      <c r="P64" s="136" t="s">
        <v>76</v>
      </c>
      <c r="Q64" s="136"/>
      <c r="R64" s="151"/>
    </row>
    <row r="65" spans="1:18" x14ac:dyDescent="0.25">
      <c r="A65" s="84" t="s">
        <v>20</v>
      </c>
      <c r="B65" s="82"/>
      <c r="C65" s="21"/>
      <c r="D65" s="21">
        <f>O57-Mortgage!D14</f>
        <v>198329.2720380587</v>
      </c>
      <c r="E65" s="21">
        <f>D65-Mortgage!D28</f>
        <v>196519.87447926676</v>
      </c>
      <c r="F65" s="21">
        <f>E65-Mortgage!D42</f>
        <v>194560.29781547637</v>
      </c>
      <c r="G65" s="21">
        <f>F65-Mortgage!D56</f>
        <v>192438.07725503988</v>
      </c>
      <c r="H65" s="231" t="s">
        <v>199</v>
      </c>
      <c r="I65" s="232">
        <f>G65</f>
        <v>192438.07725503988</v>
      </c>
      <c r="J65" s="233">
        <f>IF(I65&lt;I61,I65,I61+M65*J61)</f>
        <v>192438.07725503988</v>
      </c>
      <c r="K65" s="234">
        <f>J65/I65</f>
        <v>1</v>
      </c>
      <c r="L65" s="235">
        <f>MAX(0,I65-I61)</f>
        <v>0</v>
      </c>
      <c r="M65" s="236">
        <f ca="1">MAX(L65/L67,0)</f>
        <v>0</v>
      </c>
      <c r="N65" s="129" t="s">
        <v>140</v>
      </c>
      <c r="O65" s="161">
        <v>0.5</v>
      </c>
      <c r="P65" s="136" t="s">
        <v>141</v>
      </c>
      <c r="Q65" s="136"/>
      <c r="R65" s="151"/>
    </row>
    <row r="66" spans="1:18" ht="15.75" thickBot="1" x14ac:dyDescent="0.3">
      <c r="A66" s="84" t="s">
        <v>21</v>
      </c>
      <c r="B66" s="82"/>
      <c r="C66" s="21"/>
      <c r="D66" s="13">
        <f ca="1">D56-D62-D65-D72</f>
        <v>163049.08855528189</v>
      </c>
      <c r="E66" s="13">
        <f ca="1">E56-E62-E65-E72</f>
        <v>283849.90953474282</v>
      </c>
      <c r="F66" s="13">
        <f ca="1">F56-F62-F65-F72</f>
        <v>430334.26810830948</v>
      </c>
      <c r="G66" s="13">
        <f ca="1">G56-G62-G65-G72</f>
        <v>605520.16092536075</v>
      </c>
      <c r="H66" s="237" t="s">
        <v>200</v>
      </c>
      <c r="I66" s="238">
        <f ca="1">G66</f>
        <v>605520.16092536075</v>
      </c>
      <c r="J66" s="239">
        <f ca="1">J61*M66</f>
        <v>206174.09594664321</v>
      </c>
      <c r="K66" s="240">
        <f ca="1">J66/I66</f>
        <v>0.34049088577259973</v>
      </c>
      <c r="L66" s="241">
        <f ca="1">I66</f>
        <v>605520.16092536075</v>
      </c>
      <c r="M66" s="236">
        <f ca="1">MIN(1,L66/L67)</f>
        <v>1</v>
      </c>
      <c r="N66" s="129" t="s">
        <v>201</v>
      </c>
      <c r="O66" s="161">
        <v>0.5</v>
      </c>
      <c r="P66" s="136" t="s">
        <v>76</v>
      </c>
      <c r="Q66" s="136"/>
      <c r="R66" s="151"/>
    </row>
    <row r="67" spans="1:18" ht="15.75" thickBot="1" x14ac:dyDescent="0.3">
      <c r="A67" s="81" t="s">
        <v>65</v>
      </c>
      <c r="B67" s="82"/>
      <c r="C67" s="21"/>
      <c r="D67" s="21">
        <f ca="1">SUM(D65:D66)</f>
        <v>361378.36059334059</v>
      </c>
      <c r="E67" s="21">
        <f ca="1">SUM(E65:E66)</f>
        <v>480369.78401400958</v>
      </c>
      <c r="F67" s="21">
        <f ca="1">SUM(F65:F66)</f>
        <v>624894.56592378579</v>
      </c>
      <c r="G67" s="21">
        <f ca="1">SUM(G65:G66)</f>
        <v>797958.23818040057</v>
      </c>
      <c r="H67" s="170"/>
      <c r="I67" s="170"/>
      <c r="J67" s="242"/>
      <c r="K67" s="170"/>
      <c r="L67" s="243">
        <f ca="1">SUM(L65:L66)</f>
        <v>605520.16092536075</v>
      </c>
      <c r="M67" s="244"/>
      <c r="N67" s="162" t="s">
        <v>82</v>
      </c>
      <c r="O67" s="163">
        <f ca="1">L145</f>
        <v>6.2069971204873509E-2</v>
      </c>
      <c r="P67" s="145"/>
      <c r="Q67" s="145"/>
      <c r="R67" s="245"/>
    </row>
    <row r="68" spans="1:18" x14ac:dyDescent="0.25">
      <c r="A68" s="81"/>
      <c r="B68" s="82"/>
      <c r="C68" s="21"/>
      <c r="D68" s="21"/>
      <c r="E68" s="21"/>
      <c r="F68" s="21"/>
      <c r="G68" s="21"/>
      <c r="H68" s="25"/>
      <c r="I68" s="25"/>
      <c r="J68" s="25"/>
      <c r="K68" s="25"/>
      <c r="L68" s="25"/>
      <c r="M68" s="25"/>
      <c r="N68" s="28"/>
      <c r="O68" s="28"/>
      <c r="P68" s="28"/>
      <c r="Q68" s="28"/>
    </row>
    <row r="69" spans="1:18" x14ac:dyDescent="0.25">
      <c r="A69" s="81" t="s">
        <v>66</v>
      </c>
      <c r="B69" s="82"/>
      <c r="C69" s="21"/>
      <c r="D69" s="21"/>
      <c r="E69" s="21"/>
      <c r="F69" s="21"/>
      <c r="G69" s="21"/>
      <c r="H69" s="25"/>
      <c r="I69" s="25"/>
      <c r="J69" s="25"/>
      <c r="K69" s="25"/>
      <c r="L69" s="25"/>
      <c r="M69" s="25"/>
      <c r="N69" s="28"/>
    </row>
    <row r="70" spans="1:18" x14ac:dyDescent="0.25">
      <c r="A70" s="84" t="s">
        <v>22</v>
      </c>
      <c r="B70" s="82"/>
      <c r="C70" s="21"/>
      <c r="D70" s="21">
        <f>O56</f>
        <v>300000</v>
      </c>
      <c r="E70" s="21">
        <f>D70</f>
        <v>300000</v>
      </c>
      <c r="F70" s="21">
        <f>D70</f>
        <v>300000</v>
      </c>
      <c r="G70" s="21">
        <f>D70</f>
        <v>300000</v>
      </c>
      <c r="H70" s="25"/>
      <c r="I70" s="25"/>
      <c r="J70" s="25"/>
      <c r="K70" s="25"/>
      <c r="L70" s="25"/>
      <c r="M70" s="25"/>
    </row>
    <row r="71" spans="1:18" x14ac:dyDescent="0.25">
      <c r="A71" s="84" t="s">
        <v>23</v>
      </c>
      <c r="B71" s="82"/>
      <c r="C71" s="21"/>
      <c r="D71" s="13">
        <f ca="1">D39</f>
        <v>-112506.10488557807</v>
      </c>
      <c r="E71" s="13">
        <f ca="1">E39+D71</f>
        <v>-247882.28298204622</v>
      </c>
      <c r="F71" s="13">
        <f ca="1">F39+E71</f>
        <v>-408795.3440776082</v>
      </c>
      <c r="G71" s="13">
        <f ca="1">G39+F71</f>
        <v>-598253.5806651921</v>
      </c>
      <c r="H71" s="33"/>
      <c r="I71" s="33"/>
      <c r="J71" s="33"/>
      <c r="K71" s="33"/>
      <c r="L71" s="33"/>
      <c r="M71" s="33"/>
    </row>
    <row r="72" spans="1:18" x14ac:dyDescent="0.25">
      <c r="A72" s="107" t="s">
        <v>69</v>
      </c>
      <c r="B72" s="82"/>
      <c r="C72" s="21"/>
      <c r="D72" s="21">
        <f ca="1">SUM(D70:D71)</f>
        <v>187493.89511442193</v>
      </c>
      <c r="E72" s="21">
        <f ca="1">SUM(E70:E71)</f>
        <v>52117.717017953779</v>
      </c>
      <c r="F72" s="21">
        <f ca="1">SUM(F70:F71)</f>
        <v>-108795.3440776082</v>
      </c>
      <c r="G72" s="21">
        <f ca="1">SUM(G70:G71)</f>
        <v>-298253.5806651921</v>
      </c>
      <c r="H72" s="25"/>
      <c r="I72" s="25"/>
      <c r="J72" s="25"/>
      <c r="K72" s="25"/>
      <c r="L72" s="25"/>
      <c r="M72" s="25"/>
    </row>
    <row r="73" spans="1:18" x14ac:dyDescent="0.25">
      <c r="A73" s="81"/>
      <c r="B73" s="82"/>
      <c r="C73" s="82"/>
      <c r="D73" s="21"/>
      <c r="E73" s="21"/>
      <c r="F73" s="21"/>
      <c r="G73" s="21"/>
      <c r="H73" s="25"/>
      <c r="I73" s="25"/>
      <c r="J73" s="25"/>
      <c r="K73" s="25"/>
      <c r="L73" s="25"/>
      <c r="M73" s="25"/>
    </row>
    <row r="74" spans="1:18" ht="15.75" thickBot="1" x14ac:dyDescent="0.3">
      <c r="A74" s="109" t="s">
        <v>24</v>
      </c>
      <c r="B74" s="110"/>
      <c r="C74" s="110"/>
      <c r="D74" s="111">
        <f ca="1">D62+D67+D72</f>
        <v>557900.50913242006</v>
      </c>
      <c r="E74" s="111">
        <f ca="1">E62+E67+E72</f>
        <v>541965.14479908661</v>
      </c>
      <c r="F74" s="111">
        <f ca="1">F62+F67+F72</f>
        <v>526048.62480945326</v>
      </c>
      <c r="G74" s="111">
        <f ca="1">G62+G67+G72</f>
        <v>510149.30196038412</v>
      </c>
      <c r="H74" s="25"/>
      <c r="I74" s="25"/>
      <c r="J74" s="25"/>
      <c r="K74" s="25"/>
      <c r="L74" s="25"/>
      <c r="M74" s="25"/>
    </row>
    <row r="75" spans="1:18" ht="24" thickBot="1" x14ac:dyDescent="0.4">
      <c r="A75" s="23"/>
      <c r="B75" s="23"/>
      <c r="C75" s="23"/>
      <c r="D75" s="44" t="str">
        <f ca="1">IF(ABS(D56-D74)&gt;1,ABS(D74-D56),"")</f>
        <v/>
      </c>
      <c r="E75" s="44" t="str">
        <f ca="1">IF(ABS(E56-E74)&gt;1,ABS(E74-E56),"")</f>
        <v/>
      </c>
      <c r="F75" s="44" t="str">
        <f ca="1">IF(ABS(F56-F74)&gt;1,ABS(F74-F56),"")</f>
        <v/>
      </c>
      <c r="G75" s="44" t="str">
        <f ca="1">IF(ABS(G56-G74)&gt;1,ABS(G74-G56),"")</f>
        <v/>
      </c>
      <c r="H75" s="34"/>
      <c r="I75" s="34"/>
      <c r="J75" s="34"/>
      <c r="K75" s="34"/>
      <c r="L75" s="34"/>
      <c r="M75" s="27"/>
    </row>
    <row r="76" spans="1:18" ht="24" thickBot="1" x14ac:dyDescent="0.4">
      <c r="A76" s="99" t="s">
        <v>25</v>
      </c>
      <c r="B76" s="100"/>
      <c r="C76" s="101" t="s">
        <v>77</v>
      </c>
      <c r="D76" s="101" t="s">
        <v>78</v>
      </c>
      <c r="E76" s="101" t="s">
        <v>79</v>
      </c>
      <c r="F76" s="101" t="s">
        <v>80</v>
      </c>
      <c r="G76" s="101" t="s">
        <v>81</v>
      </c>
      <c r="H76" s="35"/>
      <c r="I76" s="35"/>
      <c r="J76" s="35"/>
      <c r="K76" s="35"/>
      <c r="L76" s="35"/>
      <c r="M76" s="27"/>
    </row>
    <row r="77" spans="1:18" x14ac:dyDescent="0.25">
      <c r="A77" s="76"/>
      <c r="B77" s="77"/>
      <c r="C77" s="77"/>
      <c r="D77" s="77"/>
      <c r="E77" s="77"/>
      <c r="F77" s="77"/>
      <c r="G77" s="77"/>
      <c r="H77" s="35"/>
      <c r="I77" s="35"/>
      <c r="J77" s="35"/>
      <c r="K77" s="35"/>
      <c r="L77" s="35"/>
      <c r="M77" s="27"/>
    </row>
    <row r="78" spans="1:18" x14ac:dyDescent="0.25">
      <c r="A78" s="79" t="s">
        <v>26</v>
      </c>
      <c r="B78" s="39"/>
      <c r="C78" s="39"/>
      <c r="D78" s="39"/>
      <c r="E78" s="39"/>
      <c r="F78" s="39"/>
      <c r="G78" s="39"/>
      <c r="H78" s="25"/>
      <c r="I78" s="25"/>
      <c r="J78" s="25"/>
      <c r="K78" s="25"/>
      <c r="L78" s="25"/>
      <c r="M78" s="27"/>
    </row>
    <row r="79" spans="1:18" x14ac:dyDescent="0.25">
      <c r="A79" s="81" t="s">
        <v>84</v>
      </c>
      <c r="B79" s="82"/>
      <c r="C79" s="21"/>
      <c r="D79" s="21">
        <f>D22-D29</f>
        <v>-62948.75</v>
      </c>
      <c r="E79" s="21">
        <f>E22-E29</f>
        <v>-72669.402500000011</v>
      </c>
      <c r="F79" s="21">
        <f>F22-F29</f>
        <v>-82243.185161000001</v>
      </c>
      <c r="G79" s="21">
        <f>G22-G29</f>
        <v>-91680.556339792398</v>
      </c>
      <c r="H79" s="33"/>
      <c r="I79" s="33"/>
      <c r="J79" s="33"/>
      <c r="K79" s="33"/>
      <c r="L79" s="33"/>
      <c r="M79" s="27"/>
    </row>
    <row r="80" spans="1:18" x14ac:dyDescent="0.25">
      <c r="A80" s="84" t="s">
        <v>85</v>
      </c>
      <c r="B80" s="82"/>
      <c r="C80" s="21"/>
      <c r="D80" s="13">
        <f>D32</f>
        <v>15682.333333333334</v>
      </c>
      <c r="E80" s="13">
        <f>E32</f>
        <v>15682.333333333334</v>
      </c>
      <c r="F80" s="13">
        <f>F32</f>
        <v>15682.333333333334</v>
      </c>
      <c r="G80" s="13">
        <f>G32</f>
        <v>15682.333333333334</v>
      </c>
      <c r="H80" s="25"/>
      <c r="I80" s="25"/>
      <c r="J80" s="25"/>
      <c r="K80" s="25"/>
      <c r="L80" s="25"/>
      <c r="M80" s="27"/>
    </row>
    <row r="81" spans="1:13" x14ac:dyDescent="0.25">
      <c r="A81" s="81" t="s">
        <v>7</v>
      </c>
      <c r="B81" s="82"/>
      <c r="C81" s="21"/>
      <c r="D81" s="21">
        <f>D79-D80</f>
        <v>-78631.083333333328</v>
      </c>
      <c r="E81" s="21">
        <f>E79-E80</f>
        <v>-88351.73583333334</v>
      </c>
      <c r="F81" s="21">
        <f>F79-F80</f>
        <v>-97925.51849433333</v>
      </c>
      <c r="G81" s="21">
        <f>G79-G80</f>
        <v>-107362.88967312573</v>
      </c>
      <c r="H81" s="36"/>
      <c r="I81" s="36"/>
      <c r="J81" s="36"/>
      <c r="K81" s="36"/>
      <c r="L81" s="36"/>
      <c r="M81" s="27"/>
    </row>
    <row r="82" spans="1:13" x14ac:dyDescent="0.25">
      <c r="A82" s="86" t="s">
        <v>86</v>
      </c>
      <c r="B82" s="39"/>
      <c r="C82" s="39"/>
      <c r="D82" s="18">
        <f>D81*$O$62</f>
        <v>-31452.433333333334</v>
      </c>
      <c r="E82" s="18">
        <f>E81*$O$62</f>
        <v>-35340.69433333334</v>
      </c>
      <c r="F82" s="18">
        <f>F81*$O$62</f>
        <v>-39170.207397733335</v>
      </c>
      <c r="G82" s="18">
        <f>G81*$O$62</f>
        <v>-42945.155869250295</v>
      </c>
      <c r="H82" s="37"/>
      <c r="I82" s="37"/>
      <c r="J82" s="37"/>
      <c r="K82" s="37"/>
      <c r="L82" s="37"/>
      <c r="M82" s="27"/>
    </row>
    <row r="83" spans="1:13" x14ac:dyDescent="0.25">
      <c r="A83" s="88" t="s">
        <v>87</v>
      </c>
      <c r="B83" s="39"/>
      <c r="C83" s="39"/>
      <c r="D83" s="40">
        <f>D81-D82</f>
        <v>-47178.649999999994</v>
      </c>
      <c r="E83" s="40">
        <f>E81-E82</f>
        <v>-53011.041499999999</v>
      </c>
      <c r="F83" s="40">
        <f>F81-F82</f>
        <v>-58755.311096599995</v>
      </c>
      <c r="G83" s="40">
        <f>G81-G82</f>
        <v>-64417.733803875431</v>
      </c>
      <c r="H83" s="37"/>
      <c r="I83" s="37"/>
      <c r="J83" s="37"/>
      <c r="K83" s="37"/>
      <c r="L83" s="37"/>
      <c r="M83" s="27"/>
    </row>
    <row r="84" spans="1:13" x14ac:dyDescent="0.25">
      <c r="A84" s="86" t="s">
        <v>74</v>
      </c>
      <c r="B84" s="39"/>
      <c r="C84" s="39"/>
      <c r="D84" s="40">
        <f>D80</f>
        <v>15682.333333333334</v>
      </c>
      <c r="E84" s="40">
        <f>E80</f>
        <v>15682.333333333334</v>
      </c>
      <c r="F84" s="40">
        <f>F80</f>
        <v>15682.333333333334</v>
      </c>
      <c r="G84" s="40">
        <f>G80</f>
        <v>15682.333333333334</v>
      </c>
      <c r="H84" s="36"/>
      <c r="I84" s="36"/>
      <c r="J84" s="36"/>
      <c r="K84" s="36"/>
      <c r="L84" s="36"/>
      <c r="M84" s="42"/>
    </row>
    <row r="85" spans="1:13" x14ac:dyDescent="0.25">
      <c r="A85" s="88"/>
      <c r="B85" s="90" t="s">
        <v>27</v>
      </c>
      <c r="C85" s="15">
        <v>0</v>
      </c>
      <c r="D85" s="14">
        <f>D83+D84</f>
        <v>-31496.316666666658</v>
      </c>
      <c r="E85" s="14">
        <f>E83+E84</f>
        <v>-37328.708166666664</v>
      </c>
      <c r="F85" s="14">
        <f>F83+F84</f>
        <v>-43072.977763266659</v>
      </c>
      <c r="G85" s="14">
        <f>G83+G84</f>
        <v>-48735.400470542096</v>
      </c>
      <c r="H85" s="35"/>
      <c r="I85" s="35"/>
      <c r="J85" s="35"/>
      <c r="K85" s="35"/>
      <c r="L85" s="35"/>
      <c r="M85" s="29"/>
    </row>
    <row r="86" spans="1:13" x14ac:dyDescent="0.25">
      <c r="A86" s="88"/>
      <c r="B86" s="39"/>
      <c r="C86" s="39"/>
      <c r="D86" s="39"/>
      <c r="E86" s="39"/>
      <c r="F86" s="39"/>
      <c r="G86" s="39"/>
      <c r="H86" s="35"/>
      <c r="I86" s="35"/>
      <c r="J86" s="35"/>
      <c r="K86" s="35"/>
      <c r="L86" s="35"/>
    </row>
    <row r="87" spans="1:13" x14ac:dyDescent="0.25">
      <c r="A87" s="79" t="s">
        <v>28</v>
      </c>
      <c r="B87" s="39"/>
      <c r="C87" s="39"/>
      <c r="D87" s="39"/>
      <c r="E87" s="39"/>
      <c r="F87" s="39"/>
      <c r="G87" s="39"/>
      <c r="H87" s="35"/>
      <c r="I87" s="35"/>
      <c r="J87" s="35"/>
      <c r="K87" s="35"/>
      <c r="L87" s="35"/>
    </row>
    <row r="88" spans="1:13" x14ac:dyDescent="0.25">
      <c r="A88" s="88"/>
      <c r="B88" s="39" t="s">
        <v>29</v>
      </c>
      <c r="C88" s="40">
        <f>-O53</f>
        <v>-470470</v>
      </c>
      <c r="D88" s="39"/>
      <c r="E88" s="39"/>
      <c r="F88" s="39"/>
      <c r="G88" s="39"/>
      <c r="H88" s="37"/>
      <c r="I88" s="37"/>
      <c r="J88" s="37"/>
      <c r="K88" s="37"/>
      <c r="L88" s="37"/>
    </row>
    <row r="89" spans="1:13" x14ac:dyDescent="0.25">
      <c r="A89" s="88"/>
      <c r="B89" s="39" t="s">
        <v>30</v>
      </c>
      <c r="C89" s="39"/>
      <c r="D89" s="39"/>
      <c r="E89" s="39"/>
      <c r="F89" s="39"/>
      <c r="G89" s="40"/>
      <c r="H89" s="38"/>
      <c r="I89" s="38"/>
      <c r="J89" s="38"/>
      <c r="K89" s="38"/>
      <c r="L89" s="38"/>
    </row>
    <row r="90" spans="1:13" x14ac:dyDescent="0.25">
      <c r="A90" s="88"/>
      <c r="B90" s="39" t="s">
        <v>31</v>
      </c>
      <c r="C90" s="39"/>
      <c r="D90" s="39"/>
      <c r="E90" s="39"/>
      <c r="F90" s="39"/>
      <c r="G90" s="20"/>
      <c r="H90" s="37"/>
      <c r="I90" s="37"/>
      <c r="J90" s="37"/>
      <c r="K90" s="37"/>
      <c r="L90" s="37"/>
    </row>
    <row r="91" spans="1:13" x14ac:dyDescent="0.25">
      <c r="A91" s="88"/>
      <c r="B91" s="39" t="s">
        <v>137</v>
      </c>
      <c r="C91" s="40">
        <f>-O52</f>
        <v>-58162.499999999964</v>
      </c>
      <c r="D91" s="39"/>
      <c r="E91" s="39"/>
      <c r="F91" s="39"/>
      <c r="G91" s="20"/>
      <c r="H91" s="35"/>
      <c r="I91" s="35"/>
      <c r="J91" s="35"/>
      <c r="K91" s="35"/>
      <c r="L91" s="35"/>
    </row>
    <row r="92" spans="1:13" x14ac:dyDescent="0.25">
      <c r="A92" s="88"/>
      <c r="B92" s="39" t="s">
        <v>138</v>
      </c>
      <c r="C92" s="39"/>
      <c r="D92" s="39"/>
      <c r="E92" s="39"/>
      <c r="F92" s="39"/>
      <c r="G92" s="20"/>
      <c r="H92" s="37"/>
      <c r="I92" s="37"/>
      <c r="J92" s="37"/>
      <c r="K92" s="37"/>
      <c r="L92" s="37"/>
    </row>
    <row r="93" spans="1:13" x14ac:dyDescent="0.25">
      <c r="A93" s="88"/>
      <c r="B93" s="39" t="s">
        <v>139</v>
      </c>
      <c r="C93" s="16"/>
      <c r="D93" s="16"/>
      <c r="E93" s="16"/>
      <c r="F93" s="16"/>
      <c r="G93" s="17"/>
      <c r="H93" s="37"/>
      <c r="I93" s="37"/>
      <c r="J93" s="37"/>
      <c r="K93" s="37"/>
      <c r="L93" s="37"/>
    </row>
    <row r="94" spans="1:13" x14ac:dyDescent="0.25">
      <c r="A94" s="88"/>
      <c r="B94" s="39"/>
      <c r="C94" s="40">
        <f>SUM(C88:C93)</f>
        <v>-528632.5</v>
      </c>
      <c r="D94" s="40">
        <f>SUM(D88:D93)</f>
        <v>0</v>
      </c>
      <c r="E94" s="40">
        <f>SUM(E88:E93)</f>
        <v>0</v>
      </c>
      <c r="F94" s="40">
        <f>SUM(F88:F93)</f>
        <v>0</v>
      </c>
      <c r="G94" s="40">
        <f>SUM(G88:G93)</f>
        <v>0</v>
      </c>
      <c r="H94" s="37"/>
      <c r="I94" s="37"/>
      <c r="J94" s="37"/>
      <c r="K94" s="37"/>
      <c r="L94" s="37"/>
    </row>
    <row r="95" spans="1:13" x14ac:dyDescent="0.25">
      <c r="A95" s="79" t="s">
        <v>32</v>
      </c>
      <c r="B95" s="39"/>
      <c r="C95" s="39"/>
      <c r="D95" s="39"/>
      <c r="E95" s="39"/>
      <c r="F95" s="39"/>
      <c r="G95" s="39"/>
      <c r="H95" s="36"/>
      <c r="I95" s="36"/>
      <c r="J95" s="36"/>
      <c r="K95" s="36"/>
      <c r="L95" s="36"/>
    </row>
    <row r="96" spans="1:13" x14ac:dyDescent="0.25">
      <c r="A96" s="88"/>
      <c r="B96" s="39" t="s">
        <v>13</v>
      </c>
      <c r="C96" s="94">
        <v>0</v>
      </c>
      <c r="D96" s="40">
        <f>C46-D46</f>
        <v>-2448.6301369863013</v>
      </c>
      <c r="E96" s="40">
        <f t="shared" ref="D96:G97" si="6">D46-E46</f>
        <v>214.54897260273992</v>
      </c>
      <c r="F96" s="40">
        <f t="shared" si="6"/>
        <v>195.75019162328749</v>
      </c>
      <c r="G96" s="40">
        <f t="shared" si="6"/>
        <v>178.59855983325519</v>
      </c>
      <c r="H96" s="37"/>
      <c r="I96" s="37"/>
      <c r="J96" s="37"/>
      <c r="K96" s="37"/>
      <c r="L96" s="37"/>
    </row>
    <row r="97" spans="1:12" x14ac:dyDescent="0.25">
      <c r="A97" s="88"/>
      <c r="B97" s="39" t="s">
        <v>14</v>
      </c>
      <c r="C97" s="94">
        <v>0</v>
      </c>
      <c r="D97" s="40">
        <f t="shared" si="6"/>
        <v>-32501.71232876712</v>
      </c>
      <c r="E97" s="40">
        <f t="shared" si="6"/>
        <v>38.482027397254569</v>
      </c>
      <c r="F97" s="40">
        <f t="shared" si="6"/>
        <v>38.43646467682629</v>
      </c>
      <c r="G97" s="40">
        <f t="shared" si="6"/>
        <v>38.390955902643327</v>
      </c>
      <c r="H97" s="35"/>
      <c r="I97" s="35"/>
      <c r="J97" s="35"/>
      <c r="K97" s="35"/>
      <c r="L97" s="35"/>
    </row>
    <row r="98" spans="1:12" x14ac:dyDescent="0.25">
      <c r="A98" s="88"/>
      <c r="B98" s="39" t="s">
        <v>18</v>
      </c>
      <c r="C98" s="94">
        <v>0</v>
      </c>
      <c r="D98" s="40">
        <f>D60-C60</f>
        <v>9028.2534246575342</v>
      </c>
      <c r="E98" s="40">
        <f>E60-D60</f>
        <v>449.39034246575466</v>
      </c>
      <c r="F98" s="40">
        <f>F60-E60</f>
        <v>471.75919615232669</v>
      </c>
      <c r="G98" s="40">
        <f>G60-F60</f>
        <v>495.24148190000597</v>
      </c>
      <c r="H98" s="38"/>
      <c r="I98" s="38"/>
      <c r="J98" s="38"/>
      <c r="K98" s="38"/>
      <c r="L98" s="38"/>
    </row>
    <row r="99" spans="1:12" x14ac:dyDescent="0.25">
      <c r="A99" s="88"/>
      <c r="B99" s="53" t="s">
        <v>88</v>
      </c>
      <c r="C99" s="19">
        <v>0</v>
      </c>
      <c r="D99" s="18">
        <f>D82-C82</f>
        <v>-31452.433333333334</v>
      </c>
      <c r="E99" s="18">
        <f>E82-D82</f>
        <v>-3888.2610000000059</v>
      </c>
      <c r="F99" s="18">
        <f>F82-E82</f>
        <v>-3829.5130643999946</v>
      </c>
      <c r="G99" s="18">
        <f>G82-F82</f>
        <v>-3774.9484715169601</v>
      </c>
      <c r="H99" s="38"/>
      <c r="I99" s="38"/>
      <c r="J99" s="38"/>
      <c r="K99" s="38"/>
      <c r="L99" s="38"/>
    </row>
    <row r="100" spans="1:12" x14ac:dyDescent="0.25">
      <c r="A100" s="88"/>
      <c r="B100" s="39"/>
      <c r="C100" s="40">
        <f>SUM(C96:C99)</f>
        <v>0</v>
      </c>
      <c r="D100" s="40">
        <f>SUM(D96:D99)</f>
        <v>-57374.522374429216</v>
      </c>
      <c r="E100" s="40">
        <f>SUM(E96:E99)</f>
        <v>-3185.8396575342567</v>
      </c>
      <c r="F100" s="40">
        <f>SUM(F96:F99)</f>
        <v>-3123.5672119475539</v>
      </c>
      <c r="G100" s="40">
        <f>SUM(G96:G99)</f>
        <v>-3062.7174738810554</v>
      </c>
      <c r="H100" s="38"/>
      <c r="I100" s="38"/>
      <c r="J100" s="38"/>
      <c r="K100" s="38"/>
      <c r="L100" s="38"/>
    </row>
    <row r="101" spans="1:12" x14ac:dyDescent="0.25">
      <c r="A101" s="79" t="s">
        <v>33</v>
      </c>
      <c r="B101" s="39"/>
      <c r="C101" s="39"/>
      <c r="D101" s="39"/>
      <c r="E101" s="39"/>
      <c r="F101" s="39"/>
      <c r="G101" s="39"/>
      <c r="H101" s="38"/>
      <c r="I101" s="38"/>
      <c r="J101" s="38"/>
      <c r="K101" s="38"/>
      <c r="L101" s="38"/>
    </row>
    <row r="102" spans="1:12" x14ac:dyDescent="0.25">
      <c r="A102" s="88"/>
      <c r="B102" s="39" t="s">
        <v>13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37"/>
      <c r="I102" s="37"/>
      <c r="J102" s="37"/>
      <c r="K102" s="37"/>
      <c r="L102" s="37"/>
    </row>
    <row r="103" spans="1:12" x14ac:dyDescent="0.25">
      <c r="A103" s="88"/>
      <c r="B103" s="39" t="s">
        <v>14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37"/>
      <c r="I103" s="37"/>
      <c r="J103" s="37"/>
      <c r="K103" s="37"/>
      <c r="L103" s="37"/>
    </row>
    <row r="104" spans="1:12" x14ac:dyDescent="0.25">
      <c r="A104" s="88"/>
      <c r="B104" s="39" t="s">
        <v>18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37"/>
      <c r="I104" s="37"/>
      <c r="J104" s="37"/>
      <c r="K104" s="37"/>
      <c r="L104" s="37"/>
    </row>
    <row r="105" spans="1:12" x14ac:dyDescent="0.25">
      <c r="A105" s="88"/>
      <c r="B105" s="39" t="s">
        <v>19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30"/>
      <c r="I105" s="30"/>
      <c r="J105" s="30"/>
      <c r="K105" s="30"/>
      <c r="L105" s="30"/>
    </row>
    <row r="106" spans="1:12" x14ac:dyDescent="0.25">
      <c r="A106" s="88"/>
      <c r="B106" s="39"/>
      <c r="C106" s="40">
        <f>SUM(C102:C105)</f>
        <v>0</v>
      </c>
      <c r="D106" s="40">
        <f>SUM(D102:D105)</f>
        <v>0</v>
      </c>
      <c r="E106" s="40">
        <f>SUM(E102:E105)</f>
        <v>0</v>
      </c>
      <c r="F106" s="40">
        <f>SUM(F102:F105)</f>
        <v>0</v>
      </c>
      <c r="G106" s="40">
        <f>SUM(G102:G105)</f>
        <v>0</v>
      </c>
      <c r="H106" s="35"/>
      <c r="I106" s="35"/>
      <c r="J106" s="35"/>
      <c r="K106" s="35"/>
      <c r="L106" s="35"/>
    </row>
    <row r="107" spans="1:12" x14ac:dyDescent="0.25">
      <c r="A107" s="88"/>
      <c r="B107" s="39"/>
      <c r="C107" s="40"/>
      <c r="D107" s="40"/>
      <c r="E107" s="40"/>
      <c r="F107" s="40"/>
      <c r="G107" s="40"/>
      <c r="H107" s="35"/>
      <c r="I107" s="35"/>
      <c r="J107" s="35"/>
      <c r="K107" s="35"/>
      <c r="L107" s="35"/>
    </row>
    <row r="108" spans="1:12" x14ac:dyDescent="0.25">
      <c r="A108" s="79" t="s">
        <v>34</v>
      </c>
      <c r="B108" s="39"/>
      <c r="C108" s="40">
        <f>C85+C94+C100+C106</f>
        <v>-528632.5</v>
      </c>
      <c r="D108" s="40">
        <f>D85+D94+D100+D106</f>
        <v>-88870.839041095867</v>
      </c>
      <c r="E108" s="40">
        <f>E85+E94+E100+E106</f>
        <v>-40514.547824200919</v>
      </c>
      <c r="F108" s="40">
        <f>F85+F94+F100+F106</f>
        <v>-46196.544975214216</v>
      </c>
      <c r="G108" s="40">
        <f>G85+G94+G100+G106</f>
        <v>-51798.117944423153</v>
      </c>
      <c r="H108" s="35"/>
      <c r="I108" s="35"/>
      <c r="J108" s="35"/>
      <c r="K108" s="35"/>
      <c r="L108" s="35"/>
    </row>
    <row r="109" spans="1:12" x14ac:dyDescent="0.25">
      <c r="A109" s="79" t="s">
        <v>35</v>
      </c>
      <c r="B109" s="39"/>
      <c r="C109" s="20">
        <f ca="1">-PV($O$67,RIGHT(C76,1),,C108)</f>
        <v>-528632.5</v>
      </c>
      <c r="D109" s="20">
        <f ca="1">-PV($O$67,RIGHT(D76,1),,D108)</f>
        <v>-83677.009472620382</v>
      </c>
      <c r="E109" s="20">
        <f ca="1">-PV($O$67,RIGHT(E76,1),,E108)</f>
        <v>-35917.387198903067</v>
      </c>
      <c r="F109" s="20">
        <f ca="1">-PV($O$67,RIGHT(F76,1),,F108)</f>
        <v>-38561.161473371067</v>
      </c>
      <c r="G109" s="20">
        <f ca="1">-PV($O$67,RIGHT(G76,1),,G108)</f>
        <v>-40710.033599853501</v>
      </c>
      <c r="H109" s="35"/>
      <c r="I109" s="35"/>
      <c r="J109" s="35"/>
      <c r="K109" s="35"/>
      <c r="L109" s="35"/>
    </row>
    <row r="110" spans="1:12" x14ac:dyDescent="0.25">
      <c r="A110" s="88"/>
      <c r="B110" s="39"/>
      <c r="C110" s="39"/>
      <c r="D110" s="39"/>
      <c r="E110" s="39"/>
      <c r="F110" s="39"/>
      <c r="G110" s="39"/>
      <c r="H110" s="253"/>
    </row>
    <row r="111" spans="1:12" x14ac:dyDescent="0.25">
      <c r="A111" s="88"/>
      <c r="B111" s="39"/>
      <c r="C111" s="39"/>
      <c r="D111" s="39"/>
      <c r="E111" s="39"/>
      <c r="F111" s="39"/>
      <c r="G111" s="39"/>
    </row>
    <row r="112" spans="1:12" x14ac:dyDescent="0.25">
      <c r="A112" s="79" t="s">
        <v>36</v>
      </c>
      <c r="B112" s="39"/>
      <c r="C112" s="41">
        <f ca="1">SUM(C109:G109)</f>
        <v>-727498.09174474806</v>
      </c>
      <c r="D112" s="40"/>
      <c r="E112" s="95"/>
      <c r="F112" s="39"/>
      <c r="G112" s="39"/>
    </row>
    <row r="113" spans="1:13" ht="15.75" thickBot="1" x14ac:dyDescent="0.3">
      <c r="A113" s="96" t="s">
        <v>37</v>
      </c>
      <c r="B113" s="97"/>
      <c r="C113" s="176" t="e">
        <f>IRR(C108:H108,-97%)</f>
        <v>#NUM!</v>
      </c>
      <c r="D113" s="97"/>
      <c r="E113" s="97"/>
      <c r="F113" s="97"/>
      <c r="G113" s="97"/>
      <c r="H113" s="253"/>
      <c r="I113" s="255"/>
    </row>
    <row r="114" spans="1:13" ht="15.75" thickBot="1" x14ac:dyDescent="0.3"/>
    <row r="115" spans="1:13" ht="29.25" thickBot="1" x14ac:dyDescent="0.5">
      <c r="A115" s="73" t="s">
        <v>150</v>
      </c>
      <c r="B115" s="74"/>
      <c r="C115" s="74"/>
      <c r="D115" s="74"/>
      <c r="E115" s="74"/>
      <c r="F115" s="74"/>
      <c r="G115" s="74"/>
    </row>
    <row r="116" spans="1:13" x14ac:dyDescent="0.25">
      <c r="A116" s="49"/>
      <c r="B116" s="50"/>
      <c r="C116" s="50"/>
      <c r="D116" s="50"/>
      <c r="E116" s="50"/>
      <c r="F116" s="50"/>
      <c r="G116" s="50"/>
      <c r="H116" s="173" t="s">
        <v>173</v>
      </c>
      <c r="I116" s="173"/>
      <c r="J116" s="173"/>
      <c r="K116" s="173"/>
      <c r="L116" s="169">
        <v>1.08</v>
      </c>
      <c r="M116" s="170" t="s">
        <v>174</v>
      </c>
    </row>
    <row r="117" spans="1:13" x14ac:dyDescent="0.25">
      <c r="A117" s="52" t="s">
        <v>151</v>
      </c>
      <c r="B117" s="53"/>
      <c r="C117" s="53"/>
      <c r="D117" s="53"/>
      <c r="E117" s="53"/>
      <c r="F117" s="53"/>
      <c r="G117" s="53"/>
      <c r="H117" s="170" t="s">
        <v>175</v>
      </c>
      <c r="I117" s="170"/>
      <c r="J117" s="170"/>
      <c r="K117" s="170"/>
      <c r="L117" s="171">
        <f>O62</f>
        <v>0.4</v>
      </c>
      <c r="M117" s="170"/>
    </row>
    <row r="118" spans="1:13" x14ac:dyDescent="0.25">
      <c r="A118" s="52"/>
      <c r="B118" s="53" t="s">
        <v>152</v>
      </c>
      <c r="C118" s="175">
        <f ca="1">L120</f>
        <v>-7.6842437153743059</v>
      </c>
      <c r="D118" s="53"/>
      <c r="E118" s="53"/>
      <c r="F118" s="53"/>
      <c r="G118" s="53"/>
      <c r="H118" s="170"/>
      <c r="I118" s="170"/>
      <c r="J118" s="170"/>
      <c r="K118" s="170"/>
      <c r="L118" s="171"/>
      <c r="M118" s="170"/>
    </row>
    <row r="119" spans="1:13" x14ac:dyDescent="0.25">
      <c r="A119" s="52"/>
      <c r="B119" s="53" t="s">
        <v>153</v>
      </c>
      <c r="C119" s="45">
        <f>0.0005*4</f>
        <v>2E-3</v>
      </c>
      <c r="D119" s="53" t="s">
        <v>172</v>
      </c>
      <c r="E119" s="53"/>
      <c r="F119" s="53"/>
      <c r="G119" s="53"/>
      <c r="H119" s="170"/>
      <c r="I119" s="170"/>
      <c r="J119" s="170"/>
      <c r="K119" s="170"/>
      <c r="L119" s="170"/>
      <c r="M119" s="170"/>
    </row>
    <row r="120" spans="1:13" x14ac:dyDescent="0.25">
      <c r="A120" s="52"/>
      <c r="B120" s="53" t="s">
        <v>154</v>
      </c>
      <c r="C120" s="46">
        <v>0.1583</v>
      </c>
      <c r="D120" s="53" t="s">
        <v>171</v>
      </c>
      <c r="E120" s="53"/>
      <c r="F120" s="53"/>
      <c r="G120" s="53"/>
      <c r="H120" s="173" t="s">
        <v>176</v>
      </c>
      <c r="I120" s="173"/>
      <c r="J120" s="173"/>
      <c r="K120" s="173"/>
      <c r="L120" s="169">
        <f ca="1">L116*(1+(1-L117)*L121/L122)</f>
        <v>-7.6842437153743059</v>
      </c>
      <c r="M120" s="170" t="s">
        <v>174</v>
      </c>
    </row>
    <row r="121" spans="1:13" x14ac:dyDescent="0.25">
      <c r="A121" s="52"/>
      <c r="B121" s="53"/>
      <c r="C121" s="46"/>
      <c r="D121" s="53"/>
      <c r="E121" s="53"/>
      <c r="F121" s="53"/>
      <c r="G121" s="53"/>
      <c r="H121" s="170" t="s">
        <v>177</v>
      </c>
      <c r="I121" s="170"/>
      <c r="J121" s="170"/>
      <c r="K121" s="170"/>
      <c r="L121" s="171">
        <f ca="1">H134/H145</f>
        <v>1.0798398893286703</v>
      </c>
      <c r="M121" s="170"/>
    </row>
    <row r="122" spans="1:13" x14ac:dyDescent="0.25">
      <c r="A122" s="52"/>
      <c r="B122" s="53" t="s">
        <v>155</v>
      </c>
      <c r="C122" s="46">
        <f ca="1">+C118*(C120-C119)</f>
        <v>-1.201047292713004</v>
      </c>
      <c r="D122" s="53"/>
      <c r="E122" s="53"/>
      <c r="F122" s="53"/>
      <c r="G122" s="53"/>
      <c r="H122" s="170" t="s">
        <v>178</v>
      </c>
      <c r="I122" s="170"/>
      <c r="J122" s="170"/>
      <c r="K122" s="170"/>
      <c r="L122" s="171">
        <f ca="1">100%-L121</f>
        <v>-7.9839889328670255E-2</v>
      </c>
      <c r="M122" s="170"/>
    </row>
    <row r="123" spans="1:13" x14ac:dyDescent="0.25">
      <c r="A123" s="52"/>
      <c r="B123" s="55" t="s">
        <v>156</v>
      </c>
      <c r="C123" s="46">
        <f ca="1">C119+C118*(C120-C119)</f>
        <v>-1.199047292713004</v>
      </c>
      <c r="D123" s="53"/>
      <c r="E123" s="53"/>
      <c r="F123" s="53"/>
      <c r="G123" s="56"/>
      <c r="H123" s="170"/>
      <c r="I123" s="170"/>
      <c r="J123" s="170"/>
      <c r="K123" s="170"/>
      <c r="L123" s="170"/>
      <c r="M123" s="170"/>
    </row>
    <row r="124" spans="1:13" x14ac:dyDescent="0.25">
      <c r="A124" s="52"/>
      <c r="B124" s="53"/>
      <c r="C124" s="46"/>
      <c r="D124" s="53"/>
      <c r="E124" s="53"/>
      <c r="F124" s="53"/>
      <c r="G124" s="56"/>
      <c r="H124" s="30"/>
      <c r="I124" s="30"/>
      <c r="J124" s="30"/>
      <c r="K124" s="30"/>
      <c r="L124" s="30"/>
    </row>
    <row r="125" spans="1:13" x14ac:dyDescent="0.25">
      <c r="A125" s="52" t="s">
        <v>157</v>
      </c>
      <c r="B125" s="53"/>
      <c r="C125" s="46"/>
      <c r="D125" s="57" t="s">
        <v>158</v>
      </c>
      <c r="E125" s="53"/>
      <c r="F125" s="53"/>
      <c r="G125" s="53"/>
      <c r="H125" s="172"/>
      <c r="I125" s="172"/>
      <c r="J125" s="172"/>
      <c r="K125" s="172"/>
      <c r="L125" s="35"/>
    </row>
    <row r="126" spans="1:13" x14ac:dyDescent="0.25">
      <c r="A126" s="52"/>
      <c r="B126" s="53" t="s">
        <v>159</v>
      </c>
      <c r="C126" s="46">
        <f>O60</f>
        <v>0.08</v>
      </c>
      <c r="D126" s="58">
        <f ca="1">$C$126*(D132/SUM(D$132:D$133))+$C$127*(D133/SUM(D$132:D$133))</f>
        <v>9.353559922245272E-2</v>
      </c>
      <c r="E126" s="58">
        <f ca="1">$C$126*(E132/SUM(E$132:E$133))+$C$127*(E133/SUM(E$132:E$133))</f>
        <v>9.7726962788720978E-2</v>
      </c>
      <c r="F126" s="58">
        <f ca="1">$C$126*(F132/SUM(F$132:F$133))+$C$127*(F133/SUM(F$132:F$133))</f>
        <v>0.10065953001873892</v>
      </c>
      <c r="G126" s="58">
        <f ca="1">$C$126*(G132/SUM(G$132:G$133))+$C$127*(G133/SUM(G$132:G$133))</f>
        <v>0.10276510719305837</v>
      </c>
      <c r="H126" s="37"/>
      <c r="I126" s="37"/>
      <c r="J126" s="37"/>
      <c r="K126" s="37"/>
      <c r="L126" s="35"/>
    </row>
    <row r="127" spans="1:13" x14ac:dyDescent="0.25">
      <c r="A127" s="52"/>
      <c r="B127" s="53" t="s">
        <v>160</v>
      </c>
      <c r="C127" s="46">
        <f>O61</f>
        <v>0.11</v>
      </c>
      <c r="D127" s="53"/>
      <c r="E127" s="53"/>
      <c r="F127" s="53"/>
      <c r="G127" s="53"/>
      <c r="H127" s="35"/>
      <c r="I127" s="35"/>
      <c r="J127" s="35"/>
      <c r="K127" s="35"/>
      <c r="L127" s="35"/>
    </row>
    <row r="128" spans="1:13" x14ac:dyDescent="0.25">
      <c r="A128" s="52"/>
      <c r="B128" s="53"/>
      <c r="C128" s="46"/>
      <c r="D128" s="53"/>
      <c r="E128" s="53"/>
      <c r="F128" s="53"/>
      <c r="G128" s="53"/>
    </row>
    <row r="129" spans="1:15" x14ac:dyDescent="0.25">
      <c r="A129" s="52" t="s">
        <v>161</v>
      </c>
      <c r="B129" s="53"/>
      <c r="C129" s="46">
        <v>0.2</v>
      </c>
      <c r="D129" s="53"/>
      <c r="E129" s="53"/>
      <c r="F129" s="53"/>
      <c r="G129" s="53"/>
    </row>
    <row r="130" spans="1:15" ht="15.75" thickBot="1" x14ac:dyDescent="0.3">
      <c r="A130" s="52"/>
      <c r="B130" s="53"/>
      <c r="C130" s="62"/>
      <c r="D130" s="53"/>
      <c r="E130" s="53"/>
      <c r="F130" s="53"/>
      <c r="G130" s="53"/>
    </row>
    <row r="131" spans="1:15" x14ac:dyDescent="0.25">
      <c r="A131" s="63" t="s">
        <v>162</v>
      </c>
      <c r="B131" s="53"/>
      <c r="C131" s="47"/>
      <c r="D131" s="53"/>
      <c r="E131" s="53"/>
      <c r="F131" s="53"/>
      <c r="G131" s="53"/>
      <c r="H131" s="194" t="s">
        <v>179</v>
      </c>
      <c r="I131" s="195" t="s">
        <v>183</v>
      </c>
      <c r="J131" s="195" t="s">
        <v>184</v>
      </c>
      <c r="K131" s="195" t="s">
        <v>185</v>
      </c>
      <c r="L131" s="198" t="s">
        <v>186</v>
      </c>
    </row>
    <row r="132" spans="1:15" x14ac:dyDescent="0.25">
      <c r="A132" s="174" t="str">
        <f>A65</f>
        <v>Mortgage Loan</v>
      </c>
      <c r="B132" s="53"/>
      <c r="C132" s="47"/>
      <c r="D132" s="64">
        <f>D65</f>
        <v>198329.2720380587</v>
      </c>
      <c r="E132" s="64">
        <f t="shared" ref="E132:G133" si="7">E65</f>
        <v>196519.87447926676</v>
      </c>
      <c r="F132" s="64">
        <f t="shared" si="7"/>
        <v>194560.29781547637</v>
      </c>
      <c r="G132" s="64">
        <f t="shared" si="7"/>
        <v>192438.07725503988</v>
      </c>
      <c r="H132" s="178">
        <f>AVERAGE(D132:G132)</f>
        <v>195461.88039696042</v>
      </c>
      <c r="I132" s="179">
        <f ca="1">H132/$H$145</f>
        <v>0.37281188178591224</v>
      </c>
      <c r="J132" s="180">
        <f>O60</f>
        <v>0.08</v>
      </c>
      <c r="K132" s="181">
        <f>J132*(1-O62)</f>
        <v>4.8000000000000001E-2</v>
      </c>
      <c r="L132" s="200">
        <f ca="1">K132*I132</f>
        <v>1.7894970325723788E-2</v>
      </c>
    </row>
    <row r="133" spans="1:15" x14ac:dyDescent="0.25">
      <c r="A133" s="174" t="str">
        <f>A66</f>
        <v>Extra Bank Loan</v>
      </c>
      <c r="B133" s="53"/>
      <c r="C133" s="47"/>
      <c r="D133" s="64">
        <f ca="1">D66</f>
        <v>163049.08855528189</v>
      </c>
      <c r="E133" s="64">
        <f t="shared" ca="1" si="7"/>
        <v>283849.90953474282</v>
      </c>
      <c r="F133" s="64">
        <f t="shared" ca="1" si="7"/>
        <v>430334.26810830948</v>
      </c>
      <c r="G133" s="64">
        <f t="shared" ca="1" si="7"/>
        <v>605520.16092536075</v>
      </c>
      <c r="H133" s="182">
        <f ca="1">AVERAGE(D133:G133)</f>
        <v>370688.35678092373</v>
      </c>
      <c r="I133" s="183">
        <f ca="1">H133/$H$145</f>
        <v>0.70702800754275796</v>
      </c>
      <c r="J133" s="184">
        <f>O61</f>
        <v>0.11</v>
      </c>
      <c r="K133" s="185">
        <f>J133*(1-O62)</f>
        <v>6.6000000000000003E-2</v>
      </c>
      <c r="L133" s="201">
        <f ca="1">K133*I133</f>
        <v>4.6663848497822027E-2</v>
      </c>
      <c r="N133" s="43"/>
      <c r="O133" s="43"/>
    </row>
    <row r="134" spans="1:15" x14ac:dyDescent="0.25">
      <c r="A134" s="52" t="s">
        <v>180</v>
      </c>
      <c r="B134" s="53"/>
      <c r="C134" s="47"/>
      <c r="D134" s="64">
        <f ca="1">SUM(D132:D133)</f>
        <v>361378.36059334059</v>
      </c>
      <c r="E134" s="64">
        <f ca="1">SUM(E132:E133)</f>
        <v>480369.78401400958</v>
      </c>
      <c r="F134" s="64">
        <f ca="1">SUM(F132:F133)</f>
        <v>624894.56592378579</v>
      </c>
      <c r="G134" s="64">
        <f ca="1">SUM(G132:G133)</f>
        <v>797958.23818040057</v>
      </c>
      <c r="H134" s="178">
        <f ca="1">H132+H133</f>
        <v>566150.23717788421</v>
      </c>
      <c r="I134" s="179">
        <f ca="1">H134/$H$145</f>
        <v>1.0798398893286703</v>
      </c>
      <c r="J134" s="186"/>
      <c r="K134" s="186"/>
      <c r="L134" s="202">
        <f ca="1">SUM(L132:L133)</f>
        <v>6.4558818823545819E-2</v>
      </c>
    </row>
    <row r="135" spans="1:15" x14ac:dyDescent="0.25">
      <c r="A135" s="52"/>
      <c r="B135" s="53"/>
      <c r="C135" s="47"/>
      <c r="D135" s="64"/>
      <c r="E135" s="64"/>
      <c r="F135" s="64"/>
      <c r="G135" s="64"/>
      <c r="H135" s="187"/>
      <c r="I135" s="186"/>
      <c r="J135" s="186"/>
      <c r="K135" s="186"/>
      <c r="L135" s="203"/>
    </row>
    <row r="136" spans="1:15" x14ac:dyDescent="0.25">
      <c r="A136" s="52" t="s">
        <v>163</v>
      </c>
      <c r="B136" s="53"/>
      <c r="C136" s="47"/>
      <c r="D136" s="66">
        <f ca="1">(D132+D133)/D145</f>
        <v>0.65840158039569441</v>
      </c>
      <c r="E136" s="66">
        <f ca="1">(E132+E133)/E145</f>
        <v>0.90212405565022757</v>
      </c>
      <c r="F136" s="66">
        <f ca="1">(F132+F133)/F145</f>
        <v>1.210803154650046</v>
      </c>
      <c r="G136" s="66">
        <f ca="1">(G132+G133)/G145</f>
        <v>1.5968597173943986</v>
      </c>
      <c r="H136" s="188"/>
      <c r="I136" s="186"/>
      <c r="J136" s="186"/>
      <c r="K136" s="186"/>
      <c r="L136" s="203"/>
    </row>
    <row r="137" spans="1:15" x14ac:dyDescent="0.25">
      <c r="A137" s="52"/>
      <c r="B137" s="53"/>
      <c r="C137" s="53"/>
      <c r="D137" s="53"/>
      <c r="E137" s="53"/>
      <c r="F137" s="53"/>
      <c r="G137" s="53"/>
      <c r="H137" s="189"/>
      <c r="I137" s="186"/>
      <c r="J137" s="186"/>
      <c r="K137" s="186"/>
      <c r="L137" s="203"/>
    </row>
    <row r="138" spans="1:15" x14ac:dyDescent="0.25">
      <c r="A138" s="63" t="s">
        <v>164</v>
      </c>
      <c r="B138" s="53"/>
      <c r="C138" s="53"/>
      <c r="D138" s="53"/>
      <c r="E138" s="53"/>
      <c r="F138" s="53"/>
      <c r="G138" s="53"/>
      <c r="H138" s="196" t="s">
        <v>179</v>
      </c>
      <c r="I138" s="197" t="s">
        <v>183</v>
      </c>
      <c r="J138" s="197" t="s">
        <v>184</v>
      </c>
      <c r="K138" s="197" t="s">
        <v>185</v>
      </c>
      <c r="L138" s="199" t="s">
        <v>186</v>
      </c>
    </row>
    <row r="139" spans="1:15" x14ac:dyDescent="0.25">
      <c r="A139" s="174" t="s">
        <v>165</v>
      </c>
      <c r="B139" s="53"/>
      <c r="C139" s="53"/>
      <c r="D139" s="47">
        <f>D70</f>
        <v>300000</v>
      </c>
      <c r="E139" s="47">
        <f t="shared" ref="E139:G140" si="8">E70</f>
        <v>300000</v>
      </c>
      <c r="F139" s="47">
        <f t="shared" si="8"/>
        <v>300000</v>
      </c>
      <c r="G139" s="47">
        <f t="shared" si="8"/>
        <v>300000</v>
      </c>
      <c r="H139" s="178">
        <f>AVERAGE(D139:G139)</f>
        <v>300000</v>
      </c>
      <c r="I139" s="179">
        <f ca="1">H139/$H$145</f>
        <v>0.57220141496967258</v>
      </c>
      <c r="J139" s="180">
        <f ca="1">C123</f>
        <v>-1.199047292713004</v>
      </c>
      <c r="K139" s="181">
        <f ca="1">J139</f>
        <v>-1.199047292713004</v>
      </c>
      <c r="L139" s="200">
        <f ca="1">K139*I139</f>
        <v>-0.68609655750593612</v>
      </c>
    </row>
    <row r="140" spans="1:15" x14ac:dyDescent="0.25">
      <c r="A140" s="174" t="s">
        <v>23</v>
      </c>
      <c r="B140" s="53"/>
      <c r="C140" s="53"/>
      <c r="D140" s="47">
        <f ca="1">D71</f>
        <v>-112506.10488557807</v>
      </c>
      <c r="E140" s="47">
        <f t="shared" ca="1" si="8"/>
        <v>-247882.28298204622</v>
      </c>
      <c r="F140" s="47">
        <f t="shared" ca="1" si="8"/>
        <v>-408795.3440776082</v>
      </c>
      <c r="G140" s="47">
        <f t="shared" ca="1" si="8"/>
        <v>-598253.5806651921</v>
      </c>
      <c r="H140" s="182">
        <f ca="1">AVERAGE(D140:G140)</f>
        <v>-341859.32815260615</v>
      </c>
      <c r="I140" s="183">
        <f ca="1">H140/$H$145</f>
        <v>-0.65204130429834295</v>
      </c>
      <c r="J140" s="184">
        <f ca="1">C123</f>
        <v>-1.199047292713004</v>
      </c>
      <c r="K140" s="185">
        <f ca="1">J140</f>
        <v>-1.199047292713004</v>
      </c>
      <c r="L140" s="201">
        <f ca="1">K140*I140</f>
        <v>0.78182836065598416</v>
      </c>
      <c r="N140" s="43"/>
      <c r="O140" s="43"/>
    </row>
    <row r="141" spans="1:15" x14ac:dyDescent="0.25">
      <c r="A141" s="52" t="s">
        <v>181</v>
      </c>
      <c r="B141" s="53"/>
      <c r="C141" s="53"/>
      <c r="D141" s="64">
        <f ca="1">SUM(D139:D140)</f>
        <v>187493.89511442193</v>
      </c>
      <c r="E141" s="47">
        <f ca="1">SUM(E139:E140)</f>
        <v>52117.717017953779</v>
      </c>
      <c r="F141" s="47">
        <f ca="1">SUM(F139:F140)</f>
        <v>-108795.3440776082</v>
      </c>
      <c r="G141" s="47">
        <f ca="1">SUM(G139:G140)</f>
        <v>-298253.5806651921</v>
      </c>
      <c r="H141" s="178">
        <f ca="1">AVERAGE(D141:G141)</f>
        <v>-41859.328152606147</v>
      </c>
      <c r="I141" s="179">
        <f ca="1">H141/$H$145</f>
        <v>-7.9839889328670297E-2</v>
      </c>
      <c r="J141" s="190">
        <f ca="1">C123</f>
        <v>-1.199047292713004</v>
      </c>
      <c r="K141" s="190">
        <f ca="1">J141</f>
        <v>-1.199047292713004</v>
      </c>
      <c r="L141" s="202">
        <f ca="1">SUM(L139:L140)</f>
        <v>9.5731803150048034E-2</v>
      </c>
    </row>
    <row r="142" spans="1:15" x14ac:dyDescent="0.25">
      <c r="A142" s="52"/>
      <c r="B142" s="53"/>
      <c r="C142" s="53"/>
      <c r="D142" s="47"/>
      <c r="E142" s="47"/>
      <c r="F142" s="47"/>
      <c r="G142" s="47"/>
      <c r="H142" s="189"/>
      <c r="I142" s="186"/>
      <c r="J142" s="186"/>
      <c r="K142" s="186"/>
      <c r="L142" s="203"/>
      <c r="M142" s="177"/>
    </row>
    <row r="143" spans="1:15" x14ac:dyDescent="0.25">
      <c r="A143" s="52" t="s">
        <v>163</v>
      </c>
      <c r="B143" s="53"/>
      <c r="C143" s="53"/>
      <c r="D143" s="66">
        <f ca="1">(+D139+D140)/D145</f>
        <v>0.34159841960430548</v>
      </c>
      <c r="E143" s="66">
        <f ca="1">(+E139+E140)/E145</f>
        <v>9.7875944349772315E-2</v>
      </c>
      <c r="F143" s="66">
        <f ca="1">(+F139+F140)/F145</f>
        <v>-0.21080315465004604</v>
      </c>
      <c r="G143" s="66">
        <f ca="1">(+G139+G140)/G145</f>
        <v>-0.59685971739439869</v>
      </c>
      <c r="H143" s="189"/>
      <c r="I143" s="186"/>
      <c r="J143" s="186"/>
      <c r="K143" s="186"/>
      <c r="L143" s="203"/>
    </row>
    <row r="144" spans="1:15" x14ac:dyDescent="0.25">
      <c r="A144" s="52"/>
      <c r="B144" s="53"/>
      <c r="C144" s="47"/>
      <c r="D144" s="53"/>
      <c r="E144" s="53"/>
      <c r="F144" s="53"/>
      <c r="G144" s="53"/>
      <c r="H144" s="196" t="s">
        <v>182</v>
      </c>
      <c r="I144" s="186"/>
      <c r="J144" s="186"/>
      <c r="K144" s="186"/>
      <c r="L144" s="199" t="s">
        <v>170</v>
      </c>
    </row>
    <row r="145" spans="1:12" ht="15.75" thickBot="1" x14ac:dyDescent="0.3">
      <c r="A145" s="63" t="s">
        <v>166</v>
      </c>
      <c r="B145" s="53"/>
      <c r="C145" s="53"/>
      <c r="D145" s="64">
        <f ca="1">+D132++D133+D139+D140</f>
        <v>548872.25570776255</v>
      </c>
      <c r="E145" s="64">
        <f ca="1">+E132++E133+E139+E140</f>
        <v>532487.50103196339</v>
      </c>
      <c r="F145" s="64">
        <f ca="1">+F132++F133+F139+F140</f>
        <v>516099.22184617759</v>
      </c>
      <c r="G145" s="64">
        <f ca="1">+G132++G133+G139+G140</f>
        <v>499704.65751520847</v>
      </c>
      <c r="H145" s="191">
        <f ca="1">H134+H141</f>
        <v>524290.90902527806</v>
      </c>
      <c r="I145" s="192"/>
      <c r="J145" s="193"/>
      <c r="K145" s="193"/>
      <c r="L145" s="204">
        <f ca="1">I141*L141+L134*I134</f>
        <v>6.2069971204873509E-2</v>
      </c>
    </row>
    <row r="146" spans="1:12" x14ac:dyDescent="0.25">
      <c r="A146" s="52"/>
      <c r="B146" s="53"/>
      <c r="C146" s="53"/>
      <c r="D146" s="53"/>
      <c r="E146" s="53"/>
      <c r="F146" s="53"/>
      <c r="G146" s="53"/>
      <c r="H146" s="42"/>
      <c r="I146" s="42"/>
      <c r="J146" s="42"/>
      <c r="K146" s="42"/>
    </row>
    <row r="147" spans="1:12" x14ac:dyDescent="0.25">
      <c r="A147" s="52" t="s">
        <v>167</v>
      </c>
      <c r="B147" s="53"/>
      <c r="C147" s="53"/>
      <c r="D147" s="60">
        <f ca="1">D136*D126*(1-$O$62)</f>
        <v>3.6950391810792689E-2</v>
      </c>
      <c r="E147" s="60">
        <f ca="1">E136*E126*(1-$O$62)</f>
        <v>5.2897106410403905E-2</v>
      </c>
      <c r="F147" s="60">
        <f ca="1">F136*F126*(1-$O$62)</f>
        <v>7.3127325895368051E-2</v>
      </c>
      <c r="G147" s="60">
        <f ca="1">G136*G126*(1-$O$62)</f>
        <v>9.8460876018187357E-2</v>
      </c>
    </row>
    <row r="148" spans="1:12" x14ac:dyDescent="0.25">
      <c r="A148" s="52" t="s">
        <v>168</v>
      </c>
      <c r="B148" s="53"/>
      <c r="C148" s="53"/>
      <c r="D148" s="60">
        <f ca="1">D143*$C$123</f>
        <v>-0.40959266022158325</v>
      </c>
      <c r="E148" s="60">
        <f ca="1">E143*$C$123</f>
        <v>-0.11735788609432314</v>
      </c>
      <c r="F148" s="60">
        <f ca="1">F143*$C$123</f>
        <v>0.2527629518784984</v>
      </c>
      <c r="G148" s="60">
        <f ca="1">G143*$C$123</f>
        <v>0.71566302827120243</v>
      </c>
    </row>
    <row r="149" spans="1:12" ht="15.75" thickBot="1" x14ac:dyDescent="0.3">
      <c r="A149" s="63" t="s">
        <v>169</v>
      </c>
      <c r="B149" s="53"/>
      <c r="C149" s="53"/>
      <c r="D149" s="48">
        <f ca="1">SUM(D147:D148)</f>
        <v>-0.37264226841079057</v>
      </c>
      <c r="E149" s="48">
        <f ca="1">SUM(E147:E148)</f>
        <v>-6.4460779683919237E-2</v>
      </c>
      <c r="F149" s="48">
        <f ca="1">SUM(F147:F148)</f>
        <v>0.32589027777386648</v>
      </c>
      <c r="G149" s="48">
        <f ca="1">SUM(G147:G148)</f>
        <v>0.81412390428938974</v>
      </c>
    </row>
    <row r="150" spans="1:12" ht="16.5" thickTop="1" thickBot="1" x14ac:dyDescent="0.3">
      <c r="A150" s="70"/>
      <c r="B150" s="71"/>
      <c r="C150" s="71"/>
      <c r="D150" s="71"/>
      <c r="E150" s="71"/>
      <c r="F150" s="71"/>
      <c r="G150" s="71"/>
    </row>
    <row r="154" spans="1:12" x14ac:dyDescent="0.25">
      <c r="A154" s="28" t="s">
        <v>202</v>
      </c>
      <c r="B154" s="170"/>
      <c r="C154" s="170"/>
      <c r="D154" s="170"/>
      <c r="E154" s="170"/>
      <c r="F154" s="170"/>
      <c r="G154" s="170"/>
      <c r="H154" s="170"/>
    </row>
    <row r="155" spans="1:12" x14ac:dyDescent="0.25">
      <c r="A155" s="170" t="s">
        <v>203</v>
      </c>
      <c r="B155" s="170"/>
      <c r="C155" s="170"/>
      <c r="D155" s="170"/>
      <c r="E155" s="170"/>
      <c r="F155" s="170"/>
      <c r="G155" s="170"/>
      <c r="H155" s="170"/>
    </row>
    <row r="156" spans="1:12" x14ac:dyDescent="0.25">
      <c r="A156" s="170"/>
      <c r="B156" s="170" t="s">
        <v>204</v>
      </c>
      <c r="C156" s="246">
        <f>-D65</f>
        <v>-198329.2720380587</v>
      </c>
      <c r="D156" s="170"/>
      <c r="E156" s="170"/>
      <c r="F156" s="170"/>
      <c r="G156" s="170"/>
      <c r="H156" s="170"/>
    </row>
    <row r="157" spans="1:12" x14ac:dyDescent="0.25">
      <c r="A157" s="170"/>
      <c r="B157" s="170" t="s">
        <v>205</v>
      </c>
      <c r="C157" s="170"/>
      <c r="D157" s="247">
        <f>D33</f>
        <v>15939.62181116373</v>
      </c>
      <c r="E157" s="247">
        <f>E33</f>
        <v>15800.952214313083</v>
      </c>
      <c r="F157" s="247">
        <f>F33</f>
        <v>15650.773109314636</v>
      </c>
      <c r="G157" s="247">
        <f>G33</f>
        <v>15488.129212668529</v>
      </c>
      <c r="H157" s="170"/>
    </row>
    <row r="158" spans="1:12" x14ac:dyDescent="0.25">
      <c r="A158" s="170"/>
      <c r="B158" s="170" t="s">
        <v>206</v>
      </c>
      <c r="C158" s="248"/>
      <c r="D158" s="246">
        <f>D65-E65</f>
        <v>1809.3975587919413</v>
      </c>
      <c r="E158" s="246">
        <f>E65-F65</f>
        <v>1959.5766637903871</v>
      </c>
      <c r="F158" s="246">
        <f>F65-G65</f>
        <v>2122.2205604364863</v>
      </c>
      <c r="G158" s="246"/>
      <c r="H158" s="170"/>
    </row>
    <row r="159" spans="1:12" x14ac:dyDescent="0.25">
      <c r="A159" s="170"/>
      <c r="B159" s="170" t="s">
        <v>207</v>
      </c>
      <c r="C159" s="249"/>
      <c r="D159" s="250"/>
      <c r="E159" s="250"/>
      <c r="F159" s="250"/>
      <c r="G159" s="250">
        <f>J65</f>
        <v>192438.07725503988</v>
      </c>
      <c r="H159" s="170"/>
    </row>
    <row r="160" spans="1:12" x14ac:dyDescent="0.25">
      <c r="A160" s="170"/>
      <c r="B160" s="170" t="s">
        <v>208</v>
      </c>
      <c r="C160" s="246">
        <f>SUM(C156:C159)</f>
        <v>-198329.2720380587</v>
      </c>
      <c r="D160" s="246">
        <f>SUM(D156:D159)</f>
        <v>17749.019369955669</v>
      </c>
      <c r="E160" s="246">
        <f>SUM(E156:E159)</f>
        <v>17760.528878103469</v>
      </c>
      <c r="F160" s="246">
        <f>SUM(F156:F159)</f>
        <v>17772.993669751122</v>
      </c>
      <c r="G160" s="246">
        <f>SUM(G156:G159)</f>
        <v>207926.2064677084</v>
      </c>
      <c r="H160" s="170"/>
    </row>
    <row r="161" spans="1:8" x14ac:dyDescent="0.25">
      <c r="A161" s="170"/>
      <c r="B161" s="170" t="s">
        <v>209</v>
      </c>
      <c r="C161" s="251">
        <f>IRR(C160:H160,-0.08)</f>
        <v>8.0420556765290252E-2</v>
      </c>
      <c r="D161" s="171">
        <v>0.08</v>
      </c>
      <c r="E161" s="251">
        <f>C161*D161</f>
        <v>6.4336445412232204E-3</v>
      </c>
      <c r="F161" s="170"/>
      <c r="G161" s="170"/>
      <c r="H161" s="170"/>
    </row>
    <row r="162" spans="1:8" x14ac:dyDescent="0.25">
      <c r="A162" s="170"/>
      <c r="B162" s="170" t="s">
        <v>210</v>
      </c>
      <c r="C162" s="251">
        <f>O60</f>
        <v>0.08</v>
      </c>
      <c r="D162" s="171">
        <f>1-D161</f>
        <v>0.92</v>
      </c>
      <c r="E162" s="251">
        <f>C162*D162</f>
        <v>7.3599999999999999E-2</v>
      </c>
      <c r="F162" s="170"/>
      <c r="G162" s="170"/>
      <c r="H162" s="170"/>
    </row>
    <row r="163" spans="1:8" ht="15.75" thickBot="1" x14ac:dyDescent="0.3">
      <c r="A163" s="170"/>
      <c r="B163" s="170"/>
      <c r="C163" s="251"/>
      <c r="D163" s="170"/>
      <c r="E163" s="252">
        <f>SUM(E161:E162)</f>
        <v>8.003364454122322E-2</v>
      </c>
      <c r="F163" s="170"/>
      <c r="G163" s="170"/>
      <c r="H163" s="170"/>
    </row>
    <row r="164" spans="1:8" ht="15.75" thickTop="1" x14ac:dyDescent="0.25">
      <c r="A164" s="170" t="s">
        <v>21</v>
      </c>
      <c r="B164" s="170"/>
      <c r="C164" s="170"/>
      <c r="D164" s="170"/>
      <c r="E164" s="170"/>
      <c r="F164" s="170"/>
      <c r="G164" s="170"/>
      <c r="H164" s="170"/>
    </row>
    <row r="165" spans="1:8" x14ac:dyDescent="0.25">
      <c r="A165" s="170"/>
      <c r="B165" s="170" t="s">
        <v>204</v>
      </c>
      <c r="C165" s="246">
        <f ca="1">-D66</f>
        <v>-163049.08855528189</v>
      </c>
      <c r="D165" s="170"/>
      <c r="E165" s="170"/>
      <c r="F165" s="170"/>
      <c r="G165" s="170"/>
      <c r="H165" s="170"/>
    </row>
    <row r="166" spans="1:8" x14ac:dyDescent="0.25">
      <c r="A166" s="170"/>
      <c r="B166" s="170" t="s">
        <v>205</v>
      </c>
      <c r="C166" s="170"/>
      <c r="D166" s="246">
        <f ca="1">D34</f>
        <v>17935.399741081008</v>
      </c>
      <c r="E166" s="246">
        <f ca="1">E34</f>
        <v>31223.49004882171</v>
      </c>
      <c r="F166" s="246">
        <f ca="1">F34</f>
        <v>47336.769491914041</v>
      </c>
      <c r="G166" s="246">
        <f ca="1">G34</f>
        <v>66607.217701789676</v>
      </c>
      <c r="H166" s="170"/>
    </row>
    <row r="167" spans="1:8" x14ac:dyDescent="0.25">
      <c r="A167" s="170"/>
      <c r="B167" s="170" t="s">
        <v>206</v>
      </c>
      <c r="C167" s="170"/>
      <c r="D167" s="246">
        <f ca="1">D66-E66</f>
        <v>-120800.82097946093</v>
      </c>
      <c r="E167" s="246">
        <f ca="1">E66-F66</f>
        <v>-146484.35857356666</v>
      </c>
      <c r="F167" s="246">
        <f ca="1">F66-G66</f>
        <v>-175185.89281705127</v>
      </c>
      <c r="G167" s="246"/>
      <c r="H167" s="170"/>
    </row>
    <row r="168" spans="1:8" x14ac:dyDescent="0.25">
      <c r="A168" s="170"/>
      <c r="B168" s="170" t="s">
        <v>207</v>
      </c>
      <c r="C168" s="249"/>
      <c r="D168" s="249"/>
      <c r="E168" s="249"/>
      <c r="F168" s="249"/>
      <c r="G168" s="256">
        <f ca="1">J66</f>
        <v>206174.09594664321</v>
      </c>
      <c r="H168" s="170"/>
    </row>
    <row r="169" spans="1:8" x14ac:dyDescent="0.25">
      <c r="A169" s="170"/>
      <c r="B169" s="170" t="s">
        <v>208</v>
      </c>
      <c r="C169" s="246">
        <f ca="1">SUM(C165:C168)</f>
        <v>-163049.08855528189</v>
      </c>
      <c r="D169" s="246">
        <f ca="1">SUM(D165:D168)</f>
        <v>-102865.42123837992</v>
      </c>
      <c r="E169" s="246">
        <f ca="1">SUM(E165:E168)</f>
        <v>-115260.86852474495</v>
      </c>
      <c r="F169" s="246">
        <f ca="1">SUM(F165:F168)</f>
        <v>-127849.12332513722</v>
      </c>
      <c r="G169" s="246">
        <f ca="1">SUM(G165:G168)</f>
        <v>272781.3136484329</v>
      </c>
      <c r="H169" s="170"/>
    </row>
    <row r="170" spans="1:8" x14ac:dyDescent="0.25">
      <c r="A170" s="170"/>
      <c r="B170" s="170" t="s">
        <v>209</v>
      </c>
      <c r="C170" s="251">
        <f ca="1">IRR(C169:H169,-97%)</f>
        <v>-0.22781609933548885</v>
      </c>
      <c r="D170" s="171">
        <f>D161</f>
        <v>0.08</v>
      </c>
      <c r="E170" s="251">
        <f ca="1">C170*D170</f>
        <v>-1.822528794683911E-2</v>
      </c>
      <c r="F170" s="170"/>
      <c r="G170" s="170"/>
      <c r="H170" s="170"/>
    </row>
    <row r="171" spans="1:8" x14ac:dyDescent="0.25">
      <c r="A171" s="170"/>
      <c r="B171" s="170" t="s">
        <v>210</v>
      </c>
      <c r="C171" s="251">
        <f>O61</f>
        <v>0.11</v>
      </c>
      <c r="D171" s="171">
        <f>1-D170</f>
        <v>0.92</v>
      </c>
      <c r="E171" s="251">
        <f>C171*D171</f>
        <v>0.1012</v>
      </c>
      <c r="F171" s="170"/>
      <c r="G171" s="170"/>
      <c r="H171" s="170"/>
    </row>
    <row r="172" spans="1:8" ht="15.75" thickBot="1" x14ac:dyDescent="0.3">
      <c r="A172" s="170"/>
      <c r="B172" s="170"/>
      <c r="C172" s="170"/>
      <c r="D172" s="170"/>
      <c r="E172" s="252">
        <f ca="1">SUM(E170:E171)</f>
        <v>8.2974712053160884E-2</v>
      </c>
      <c r="F172" s="170"/>
      <c r="G172" s="170"/>
      <c r="H172" s="170"/>
    </row>
    <row r="173" spans="1:8" ht="15.75" thickTop="1" x14ac:dyDescent="0.25">
      <c r="H173" s="170"/>
    </row>
    <row r="174" spans="1:8" x14ac:dyDescent="0.25">
      <c r="H174" s="170"/>
    </row>
    <row r="175" spans="1:8" x14ac:dyDescent="0.25">
      <c r="H175" s="170"/>
    </row>
    <row r="176" spans="1:8" x14ac:dyDescent="0.25">
      <c r="H176" s="170"/>
    </row>
    <row r="177" spans="8:8" x14ac:dyDescent="0.25">
      <c r="H177" s="170"/>
    </row>
  </sheetData>
  <mergeCells count="4">
    <mergeCell ref="A2:G2"/>
    <mergeCell ref="A42:G42"/>
    <mergeCell ref="H43:J43"/>
    <mergeCell ref="L64:M64"/>
  </mergeCells>
  <conditionalFormatting sqref="D75:G75">
    <cfRule type="notContainsBlanks" dxfId="1" priority="3" stopIfTrue="1">
      <formula>LEN(TRIM(D75))&gt;0</formula>
    </cfRule>
    <cfRule type="containsText" dxfId="0" priority="4" stopIfTrue="1" operator="containsText" text="Try Again">
      <formula>NOT(ISERROR(SEARCH("Try Again",D75)))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Realistic Option</vt:lpstr>
      <vt:lpstr>Mortgage</vt:lpstr>
      <vt:lpstr>Expansion</vt:lpstr>
      <vt:lpstr>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2013-12-20T19:30:27Z</dcterms:created>
  <dcterms:modified xsi:type="dcterms:W3CDTF">2019-07-31T21:42:29Z</dcterms:modified>
</cp:coreProperties>
</file>