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/>
  <bookViews>
    <workbookView xWindow="0" yWindow="0" windowWidth="15600" windowHeight="9240" tabRatio="500"/>
  </bookViews>
  <sheets>
    <sheet name="Answer" sheetId="1" r:id="rId1"/>
    <sheet name="Mortgage" sheetId="2" r:id="rId2"/>
    <sheet name="Good Market" sheetId="3" r:id="rId3"/>
    <sheet name="Good Mortgage" sheetId="4" r:id="rId4"/>
    <sheet name="Bad Market" sheetId="5" r:id="rId5"/>
    <sheet name="Bad Market Chapter 7 Bankruptcy" sheetId="6" r:id="rId6"/>
    <sheet name="Bad Mortgage" sheetId="7" r:id="rId7"/>
    <sheet name="Expected Value" sheetId="8" r:id="rId8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1" i="1" l="1"/>
  <c r="M71" i="1"/>
  <c r="M42" i="1"/>
  <c r="D42" i="1"/>
  <c r="D26" i="1"/>
  <c r="D43" i="1"/>
  <c r="E42" i="1"/>
  <c r="E26" i="1"/>
  <c r="E43" i="1"/>
  <c r="F42" i="1"/>
  <c r="F26" i="1"/>
  <c r="F43" i="1"/>
  <c r="G42" i="1"/>
  <c r="G26" i="1"/>
  <c r="G43" i="1"/>
  <c r="H42" i="1"/>
  <c r="H26" i="1"/>
  <c r="H43" i="1"/>
  <c r="I42" i="1"/>
  <c r="I26" i="1"/>
  <c r="I43" i="1"/>
  <c r="J42" i="1"/>
  <c r="J26" i="1"/>
  <c r="J43" i="1"/>
  <c r="K42" i="1"/>
  <c r="K26" i="1"/>
  <c r="K43" i="1"/>
  <c r="L42" i="1"/>
  <c r="L26" i="1"/>
  <c r="L43" i="1"/>
  <c r="M26" i="1"/>
  <c r="M43" i="1"/>
  <c r="O70" i="1"/>
  <c r="O69" i="1"/>
  <c r="M73" i="1"/>
  <c r="O74" i="1"/>
  <c r="M74" i="1"/>
  <c r="C20" i="8"/>
  <c r="M14" i="8"/>
  <c r="L14" i="8"/>
  <c r="K14" i="8"/>
  <c r="J14" i="8"/>
  <c r="I14" i="8"/>
  <c r="H14" i="8"/>
  <c r="G14" i="8"/>
  <c r="F14" i="8"/>
  <c r="E14" i="8"/>
  <c r="D14" i="8"/>
  <c r="C14" i="8"/>
  <c r="M5" i="8"/>
  <c r="L5" i="8"/>
  <c r="K5" i="8"/>
  <c r="J5" i="8"/>
  <c r="I5" i="8"/>
  <c r="H5" i="8"/>
  <c r="G5" i="8"/>
  <c r="F5" i="8"/>
  <c r="E5" i="8"/>
  <c r="D5" i="8"/>
  <c r="C5" i="8"/>
  <c r="B2" i="7"/>
  <c r="J2" i="7"/>
  <c r="J3" i="7"/>
  <c r="J5" i="7"/>
  <c r="J6" i="7"/>
  <c r="E2" i="7"/>
  <c r="D2" i="7"/>
  <c r="C2" i="7"/>
  <c r="F2" i="7"/>
  <c r="B3" i="7"/>
  <c r="E3" i="7"/>
  <c r="D3" i="7"/>
  <c r="C3" i="7"/>
  <c r="F3" i="7"/>
  <c r="B4" i="7"/>
  <c r="E4" i="7"/>
  <c r="D4" i="7"/>
  <c r="C4" i="7"/>
  <c r="F4" i="7"/>
  <c r="B5" i="7"/>
  <c r="E5" i="7"/>
  <c r="D5" i="7"/>
  <c r="C5" i="7"/>
  <c r="F5" i="7"/>
  <c r="B6" i="7"/>
  <c r="E6" i="7"/>
  <c r="D6" i="7"/>
  <c r="C6" i="7"/>
  <c r="F6" i="7"/>
  <c r="B7" i="7"/>
  <c r="E7" i="7"/>
  <c r="D7" i="7"/>
  <c r="C7" i="7"/>
  <c r="F7" i="7"/>
  <c r="B8" i="7"/>
  <c r="E8" i="7"/>
  <c r="D8" i="7"/>
  <c r="C8" i="7"/>
  <c r="F8" i="7"/>
  <c r="B9" i="7"/>
  <c r="E9" i="7"/>
  <c r="D9" i="7"/>
  <c r="C9" i="7"/>
  <c r="F9" i="7"/>
  <c r="B10" i="7"/>
  <c r="E10" i="7"/>
  <c r="D10" i="7"/>
  <c r="C10" i="7"/>
  <c r="F10" i="7"/>
  <c r="B11" i="7"/>
  <c r="E11" i="7"/>
  <c r="D11" i="7"/>
  <c r="C11" i="7"/>
  <c r="F11" i="7"/>
  <c r="B12" i="7"/>
  <c r="E12" i="7"/>
  <c r="D12" i="7"/>
  <c r="C12" i="7"/>
  <c r="F12" i="7"/>
  <c r="B13" i="7"/>
  <c r="E13" i="7"/>
  <c r="D13" i="7"/>
  <c r="C13" i="7"/>
  <c r="F13" i="7"/>
  <c r="B16" i="7"/>
  <c r="E16" i="7"/>
  <c r="D16" i="7"/>
  <c r="C16" i="7"/>
  <c r="F16" i="7"/>
  <c r="B17" i="7"/>
  <c r="E17" i="7"/>
  <c r="D17" i="7"/>
  <c r="C17" i="7"/>
  <c r="F17" i="7"/>
  <c r="B18" i="7"/>
  <c r="E18" i="7"/>
  <c r="D18" i="7"/>
  <c r="C18" i="7"/>
  <c r="F18" i="7"/>
  <c r="B19" i="7"/>
  <c r="E19" i="7"/>
  <c r="D19" i="7"/>
  <c r="C19" i="7"/>
  <c r="F19" i="7"/>
  <c r="B20" i="7"/>
  <c r="E20" i="7"/>
  <c r="D20" i="7"/>
  <c r="C20" i="7"/>
  <c r="F20" i="7"/>
  <c r="B21" i="7"/>
  <c r="E21" i="7"/>
  <c r="D21" i="7"/>
  <c r="C21" i="7"/>
  <c r="F21" i="7"/>
  <c r="B22" i="7"/>
  <c r="E22" i="7"/>
  <c r="D22" i="7"/>
  <c r="C22" i="7"/>
  <c r="F22" i="7"/>
  <c r="B23" i="7"/>
  <c r="E23" i="7"/>
  <c r="D23" i="7"/>
  <c r="C23" i="7"/>
  <c r="F23" i="7"/>
  <c r="B24" i="7"/>
  <c r="E24" i="7"/>
  <c r="D24" i="7"/>
  <c r="C24" i="7"/>
  <c r="F24" i="7"/>
  <c r="B25" i="7"/>
  <c r="E25" i="7"/>
  <c r="D25" i="7"/>
  <c r="C25" i="7"/>
  <c r="F25" i="7"/>
  <c r="B26" i="7"/>
  <c r="E26" i="7"/>
  <c r="D26" i="7"/>
  <c r="C26" i="7"/>
  <c r="F26" i="7"/>
  <c r="B27" i="7"/>
  <c r="E27" i="7"/>
  <c r="D27" i="7"/>
  <c r="C27" i="7"/>
  <c r="F27" i="7"/>
  <c r="B30" i="7"/>
  <c r="E30" i="7"/>
  <c r="D30" i="7"/>
  <c r="C30" i="7"/>
  <c r="F30" i="7"/>
  <c r="B31" i="7"/>
  <c r="E31" i="7"/>
  <c r="D31" i="7"/>
  <c r="C31" i="7"/>
  <c r="F31" i="7"/>
  <c r="B32" i="7"/>
  <c r="E32" i="7"/>
  <c r="D32" i="7"/>
  <c r="C32" i="7"/>
  <c r="F32" i="7"/>
  <c r="B33" i="7"/>
  <c r="E33" i="7"/>
  <c r="D33" i="7"/>
  <c r="C33" i="7"/>
  <c r="F33" i="7"/>
  <c r="B34" i="7"/>
  <c r="E34" i="7"/>
  <c r="D34" i="7"/>
  <c r="C34" i="7"/>
  <c r="F34" i="7"/>
  <c r="B35" i="7"/>
  <c r="E35" i="7"/>
  <c r="D35" i="7"/>
  <c r="C35" i="7"/>
  <c r="F35" i="7"/>
  <c r="B36" i="7"/>
  <c r="E36" i="7"/>
  <c r="D36" i="7"/>
  <c r="C36" i="7"/>
  <c r="F36" i="7"/>
  <c r="B37" i="7"/>
  <c r="E37" i="7"/>
  <c r="D37" i="7"/>
  <c r="C37" i="7"/>
  <c r="F37" i="7"/>
  <c r="B38" i="7"/>
  <c r="E38" i="7"/>
  <c r="D38" i="7"/>
  <c r="C38" i="7"/>
  <c r="F38" i="7"/>
  <c r="B39" i="7"/>
  <c r="E39" i="7"/>
  <c r="D39" i="7"/>
  <c r="C39" i="7"/>
  <c r="F39" i="7"/>
  <c r="B40" i="7"/>
  <c r="E40" i="7"/>
  <c r="D40" i="7"/>
  <c r="C40" i="7"/>
  <c r="F40" i="7"/>
  <c r="B41" i="7"/>
  <c r="E41" i="7"/>
  <c r="D41" i="7"/>
  <c r="C41" i="7"/>
  <c r="F41" i="7"/>
  <c r="B44" i="7"/>
  <c r="E44" i="7"/>
  <c r="D44" i="7"/>
  <c r="C44" i="7"/>
  <c r="F44" i="7"/>
  <c r="B45" i="7"/>
  <c r="E45" i="7"/>
  <c r="D45" i="7"/>
  <c r="C45" i="7"/>
  <c r="F45" i="7"/>
  <c r="B46" i="7"/>
  <c r="E46" i="7"/>
  <c r="D46" i="7"/>
  <c r="C46" i="7"/>
  <c r="F46" i="7"/>
  <c r="B47" i="7"/>
  <c r="E47" i="7"/>
  <c r="D47" i="7"/>
  <c r="C47" i="7"/>
  <c r="F47" i="7"/>
  <c r="B48" i="7"/>
  <c r="E48" i="7"/>
  <c r="D48" i="7"/>
  <c r="C48" i="7"/>
  <c r="F48" i="7"/>
  <c r="B49" i="7"/>
  <c r="E49" i="7"/>
  <c r="D49" i="7"/>
  <c r="C49" i="7"/>
  <c r="F49" i="7"/>
  <c r="B50" i="7"/>
  <c r="E50" i="7"/>
  <c r="D50" i="7"/>
  <c r="C50" i="7"/>
  <c r="F50" i="7"/>
  <c r="B51" i="7"/>
  <c r="E51" i="7"/>
  <c r="D51" i="7"/>
  <c r="C51" i="7"/>
  <c r="F51" i="7"/>
  <c r="B52" i="7"/>
  <c r="E52" i="7"/>
  <c r="D52" i="7"/>
  <c r="C52" i="7"/>
  <c r="F52" i="7"/>
  <c r="B53" i="7"/>
  <c r="E53" i="7"/>
  <c r="D53" i="7"/>
  <c r="C53" i="7"/>
  <c r="F53" i="7"/>
  <c r="B54" i="7"/>
  <c r="E54" i="7"/>
  <c r="D54" i="7"/>
  <c r="C54" i="7"/>
  <c r="F54" i="7"/>
  <c r="B55" i="7"/>
  <c r="E55" i="7"/>
  <c r="D55" i="7"/>
  <c r="C55" i="7"/>
  <c r="F55" i="7"/>
  <c r="B57" i="7"/>
  <c r="E57" i="7"/>
  <c r="D57" i="7"/>
  <c r="C57" i="7"/>
  <c r="F57" i="7"/>
  <c r="B58" i="7"/>
  <c r="E58" i="7"/>
  <c r="D58" i="7"/>
  <c r="C58" i="7"/>
  <c r="F58" i="7"/>
  <c r="B59" i="7"/>
  <c r="E59" i="7"/>
  <c r="D59" i="7"/>
  <c r="C59" i="7"/>
  <c r="F59" i="7"/>
  <c r="B60" i="7"/>
  <c r="E60" i="7"/>
  <c r="D60" i="7"/>
  <c r="C60" i="7"/>
  <c r="F60" i="7"/>
  <c r="B61" i="7"/>
  <c r="E61" i="7"/>
  <c r="D61" i="7"/>
  <c r="C61" i="7"/>
  <c r="F61" i="7"/>
  <c r="B62" i="7"/>
  <c r="E62" i="7"/>
  <c r="D62" i="7"/>
  <c r="C62" i="7"/>
  <c r="F62" i="7"/>
  <c r="B63" i="7"/>
  <c r="E63" i="7"/>
  <c r="D63" i="7"/>
  <c r="C63" i="7"/>
  <c r="F63" i="7"/>
  <c r="B64" i="7"/>
  <c r="E64" i="7"/>
  <c r="D64" i="7"/>
  <c r="C64" i="7"/>
  <c r="F64" i="7"/>
  <c r="B65" i="7"/>
  <c r="E65" i="7"/>
  <c r="D65" i="7"/>
  <c r="C65" i="7"/>
  <c r="F65" i="7"/>
  <c r="B66" i="7"/>
  <c r="E66" i="7"/>
  <c r="D66" i="7"/>
  <c r="C66" i="7"/>
  <c r="F66" i="7"/>
  <c r="B67" i="7"/>
  <c r="E67" i="7"/>
  <c r="D67" i="7"/>
  <c r="C67" i="7"/>
  <c r="F67" i="7"/>
  <c r="B68" i="7"/>
  <c r="E68" i="7"/>
  <c r="D68" i="7"/>
  <c r="C68" i="7"/>
  <c r="F68" i="7"/>
  <c r="B70" i="7"/>
  <c r="E70" i="7"/>
  <c r="D70" i="7"/>
  <c r="C70" i="7"/>
  <c r="F70" i="7"/>
  <c r="B71" i="7"/>
  <c r="E71" i="7"/>
  <c r="D71" i="7"/>
  <c r="C71" i="7"/>
  <c r="F71" i="7"/>
  <c r="B72" i="7"/>
  <c r="E72" i="7"/>
  <c r="D72" i="7"/>
  <c r="C72" i="7"/>
  <c r="F72" i="7"/>
  <c r="B73" i="7"/>
  <c r="E73" i="7"/>
  <c r="D73" i="7"/>
  <c r="C73" i="7"/>
  <c r="F73" i="7"/>
  <c r="B74" i="7"/>
  <c r="E74" i="7"/>
  <c r="D74" i="7"/>
  <c r="C74" i="7"/>
  <c r="F74" i="7"/>
  <c r="B75" i="7"/>
  <c r="E75" i="7"/>
  <c r="D75" i="7"/>
  <c r="C75" i="7"/>
  <c r="F75" i="7"/>
  <c r="B76" i="7"/>
  <c r="E76" i="7"/>
  <c r="D76" i="7"/>
  <c r="C76" i="7"/>
  <c r="F76" i="7"/>
  <c r="B77" i="7"/>
  <c r="E77" i="7"/>
  <c r="D77" i="7"/>
  <c r="C77" i="7"/>
  <c r="F77" i="7"/>
  <c r="B78" i="7"/>
  <c r="E78" i="7"/>
  <c r="D78" i="7"/>
  <c r="C78" i="7"/>
  <c r="F78" i="7"/>
  <c r="B79" i="7"/>
  <c r="E79" i="7"/>
  <c r="D79" i="7"/>
  <c r="C79" i="7"/>
  <c r="F79" i="7"/>
  <c r="B80" i="7"/>
  <c r="E80" i="7"/>
  <c r="D80" i="7"/>
  <c r="C80" i="7"/>
  <c r="F80" i="7"/>
  <c r="B81" i="7"/>
  <c r="E81" i="7"/>
  <c r="D81" i="7"/>
  <c r="C81" i="7"/>
  <c r="F81" i="7"/>
  <c r="B84" i="7"/>
  <c r="E84" i="7"/>
  <c r="D84" i="7"/>
  <c r="C84" i="7"/>
  <c r="F84" i="7"/>
  <c r="B85" i="7"/>
  <c r="E85" i="7"/>
  <c r="D85" i="7"/>
  <c r="C85" i="7"/>
  <c r="F85" i="7"/>
  <c r="B86" i="7"/>
  <c r="E86" i="7"/>
  <c r="D86" i="7"/>
  <c r="C86" i="7"/>
  <c r="F86" i="7"/>
  <c r="B87" i="7"/>
  <c r="E87" i="7"/>
  <c r="D87" i="7"/>
  <c r="C87" i="7"/>
  <c r="F87" i="7"/>
  <c r="B88" i="7"/>
  <c r="E88" i="7"/>
  <c r="D88" i="7"/>
  <c r="C88" i="7"/>
  <c r="F88" i="7"/>
  <c r="B89" i="7"/>
  <c r="E89" i="7"/>
  <c r="D89" i="7"/>
  <c r="C89" i="7"/>
  <c r="F89" i="7"/>
  <c r="B90" i="7"/>
  <c r="E90" i="7"/>
  <c r="D90" i="7"/>
  <c r="C90" i="7"/>
  <c r="F90" i="7"/>
  <c r="B91" i="7"/>
  <c r="E91" i="7"/>
  <c r="D91" i="7"/>
  <c r="C91" i="7"/>
  <c r="F91" i="7"/>
  <c r="B92" i="7"/>
  <c r="E92" i="7"/>
  <c r="D92" i="7"/>
  <c r="C92" i="7"/>
  <c r="F92" i="7"/>
  <c r="B93" i="7"/>
  <c r="E93" i="7"/>
  <c r="D93" i="7"/>
  <c r="C93" i="7"/>
  <c r="F93" i="7"/>
  <c r="B94" i="7"/>
  <c r="E94" i="7"/>
  <c r="D94" i="7"/>
  <c r="C94" i="7"/>
  <c r="F94" i="7"/>
  <c r="B95" i="7"/>
  <c r="E95" i="7"/>
  <c r="D95" i="7"/>
  <c r="C95" i="7"/>
  <c r="F95" i="7"/>
  <c r="B98" i="7"/>
  <c r="E98" i="7"/>
  <c r="D98" i="7"/>
  <c r="C98" i="7"/>
  <c r="F98" i="7"/>
  <c r="B99" i="7"/>
  <c r="E99" i="7"/>
  <c r="D99" i="7"/>
  <c r="C99" i="7"/>
  <c r="F99" i="7"/>
  <c r="B100" i="7"/>
  <c r="E100" i="7"/>
  <c r="D100" i="7"/>
  <c r="C100" i="7"/>
  <c r="F100" i="7"/>
  <c r="B101" i="7"/>
  <c r="E101" i="7"/>
  <c r="D101" i="7"/>
  <c r="C101" i="7"/>
  <c r="F101" i="7"/>
  <c r="B102" i="7"/>
  <c r="E102" i="7"/>
  <c r="D102" i="7"/>
  <c r="C102" i="7"/>
  <c r="F102" i="7"/>
  <c r="B103" i="7"/>
  <c r="E103" i="7"/>
  <c r="D103" i="7"/>
  <c r="C103" i="7"/>
  <c r="F103" i="7"/>
  <c r="B104" i="7"/>
  <c r="E104" i="7"/>
  <c r="D104" i="7"/>
  <c r="C104" i="7"/>
  <c r="F104" i="7"/>
  <c r="B105" i="7"/>
  <c r="E105" i="7"/>
  <c r="D105" i="7"/>
  <c r="C105" i="7"/>
  <c r="F105" i="7"/>
  <c r="B106" i="7"/>
  <c r="E106" i="7"/>
  <c r="D106" i="7"/>
  <c r="C106" i="7"/>
  <c r="F106" i="7"/>
  <c r="B107" i="7"/>
  <c r="E107" i="7"/>
  <c r="D107" i="7"/>
  <c r="C107" i="7"/>
  <c r="F107" i="7"/>
  <c r="B108" i="7"/>
  <c r="E108" i="7"/>
  <c r="D108" i="7"/>
  <c r="C108" i="7"/>
  <c r="F108" i="7"/>
  <c r="B109" i="7"/>
  <c r="E109" i="7"/>
  <c r="D109" i="7"/>
  <c r="C109" i="7"/>
  <c r="F109" i="7"/>
  <c r="B112" i="7"/>
  <c r="E112" i="7"/>
  <c r="D112" i="7"/>
  <c r="C112" i="7"/>
  <c r="F112" i="7"/>
  <c r="B113" i="7"/>
  <c r="E113" i="7"/>
  <c r="D113" i="7"/>
  <c r="C113" i="7"/>
  <c r="F113" i="7"/>
  <c r="B114" i="7"/>
  <c r="E114" i="7"/>
  <c r="D114" i="7"/>
  <c r="C114" i="7"/>
  <c r="F114" i="7"/>
  <c r="B115" i="7"/>
  <c r="E115" i="7"/>
  <c r="D115" i="7"/>
  <c r="C115" i="7"/>
  <c r="F115" i="7"/>
  <c r="B116" i="7"/>
  <c r="E116" i="7"/>
  <c r="D116" i="7"/>
  <c r="C116" i="7"/>
  <c r="F116" i="7"/>
  <c r="B117" i="7"/>
  <c r="E117" i="7"/>
  <c r="D117" i="7"/>
  <c r="C117" i="7"/>
  <c r="F117" i="7"/>
  <c r="B118" i="7"/>
  <c r="E118" i="7"/>
  <c r="D118" i="7"/>
  <c r="C118" i="7"/>
  <c r="F118" i="7"/>
  <c r="B119" i="7"/>
  <c r="E119" i="7"/>
  <c r="D119" i="7"/>
  <c r="C119" i="7"/>
  <c r="F119" i="7"/>
  <c r="B120" i="7"/>
  <c r="E120" i="7"/>
  <c r="D120" i="7"/>
  <c r="C120" i="7"/>
  <c r="F120" i="7"/>
  <c r="B121" i="7"/>
  <c r="E121" i="7"/>
  <c r="D121" i="7"/>
  <c r="C121" i="7"/>
  <c r="F121" i="7"/>
  <c r="B122" i="7"/>
  <c r="E122" i="7"/>
  <c r="D122" i="7"/>
  <c r="C122" i="7"/>
  <c r="F122" i="7"/>
  <c r="B123" i="7"/>
  <c r="E123" i="7"/>
  <c r="D123" i="7"/>
  <c r="C123" i="7"/>
  <c r="F123" i="7"/>
  <c r="B125" i="7"/>
  <c r="E125" i="7"/>
  <c r="D125" i="7"/>
  <c r="C125" i="7"/>
  <c r="F125" i="7"/>
  <c r="B126" i="7"/>
  <c r="E126" i="7"/>
  <c r="D126" i="7"/>
  <c r="C126" i="7"/>
  <c r="F126" i="7"/>
  <c r="B127" i="7"/>
  <c r="E127" i="7"/>
  <c r="D127" i="7"/>
  <c r="C127" i="7"/>
  <c r="F127" i="7"/>
  <c r="B128" i="7"/>
  <c r="E128" i="7"/>
  <c r="D128" i="7"/>
  <c r="C128" i="7"/>
  <c r="F128" i="7"/>
  <c r="B129" i="7"/>
  <c r="E129" i="7"/>
  <c r="D129" i="7"/>
  <c r="C129" i="7"/>
  <c r="F129" i="7"/>
  <c r="B130" i="7"/>
  <c r="E130" i="7"/>
  <c r="D130" i="7"/>
  <c r="C130" i="7"/>
  <c r="F130" i="7"/>
  <c r="B131" i="7"/>
  <c r="E131" i="7"/>
  <c r="D131" i="7"/>
  <c r="C131" i="7"/>
  <c r="F131" i="7"/>
  <c r="B132" i="7"/>
  <c r="E132" i="7"/>
  <c r="D132" i="7"/>
  <c r="C132" i="7"/>
  <c r="F132" i="7"/>
  <c r="B133" i="7"/>
  <c r="E133" i="7"/>
  <c r="D133" i="7"/>
  <c r="C133" i="7"/>
  <c r="F133" i="7"/>
  <c r="B134" i="7"/>
  <c r="E134" i="7"/>
  <c r="D134" i="7"/>
  <c r="C134" i="7"/>
  <c r="F134" i="7"/>
  <c r="B135" i="7"/>
  <c r="E135" i="7"/>
  <c r="D135" i="7"/>
  <c r="C135" i="7"/>
  <c r="F135" i="7"/>
  <c r="B136" i="7"/>
  <c r="E136" i="7"/>
  <c r="D136" i="7"/>
  <c r="C136" i="7"/>
  <c r="F136" i="7"/>
  <c r="B138" i="7"/>
  <c r="E138" i="7"/>
  <c r="D138" i="7"/>
  <c r="C138" i="7"/>
  <c r="F138" i="7"/>
  <c r="B139" i="7"/>
  <c r="E139" i="7"/>
  <c r="D139" i="7"/>
  <c r="C139" i="7"/>
  <c r="F139" i="7"/>
  <c r="B140" i="7"/>
  <c r="E140" i="7"/>
  <c r="D140" i="7"/>
  <c r="C140" i="7"/>
  <c r="F140" i="7"/>
  <c r="B141" i="7"/>
  <c r="E141" i="7"/>
  <c r="D141" i="7"/>
  <c r="C141" i="7"/>
  <c r="F141" i="7"/>
  <c r="B142" i="7"/>
  <c r="E142" i="7"/>
  <c r="D142" i="7"/>
  <c r="C142" i="7"/>
  <c r="F142" i="7"/>
  <c r="B143" i="7"/>
  <c r="E143" i="7"/>
  <c r="D143" i="7"/>
  <c r="C143" i="7"/>
  <c r="F143" i="7"/>
  <c r="B144" i="7"/>
  <c r="E144" i="7"/>
  <c r="D144" i="7"/>
  <c r="C144" i="7"/>
  <c r="F144" i="7"/>
  <c r="B145" i="7"/>
  <c r="E145" i="7"/>
  <c r="D145" i="7"/>
  <c r="C145" i="7"/>
  <c r="F145" i="7"/>
  <c r="B146" i="7"/>
  <c r="E146" i="7"/>
  <c r="D146" i="7"/>
  <c r="C146" i="7"/>
  <c r="F146" i="7"/>
  <c r="B147" i="7"/>
  <c r="E147" i="7"/>
  <c r="D147" i="7"/>
  <c r="C147" i="7"/>
  <c r="F147" i="7"/>
  <c r="B148" i="7"/>
  <c r="E148" i="7"/>
  <c r="D148" i="7"/>
  <c r="C148" i="7"/>
  <c r="F148" i="7"/>
  <c r="B149" i="7"/>
  <c r="E149" i="7"/>
  <c r="D149" i="7"/>
  <c r="C149" i="7"/>
  <c r="F149" i="7"/>
  <c r="B152" i="7"/>
  <c r="E152" i="7"/>
  <c r="D152" i="7"/>
  <c r="C152" i="7"/>
  <c r="F152" i="7"/>
  <c r="B153" i="7"/>
  <c r="E153" i="7"/>
  <c r="D153" i="7"/>
  <c r="C153" i="7"/>
  <c r="F153" i="7"/>
  <c r="B154" i="7"/>
  <c r="E154" i="7"/>
  <c r="D154" i="7"/>
  <c r="C154" i="7"/>
  <c r="F154" i="7"/>
  <c r="B155" i="7"/>
  <c r="E155" i="7"/>
  <c r="D155" i="7"/>
  <c r="C155" i="7"/>
  <c r="F155" i="7"/>
  <c r="B156" i="7"/>
  <c r="E156" i="7"/>
  <c r="D156" i="7"/>
  <c r="C156" i="7"/>
  <c r="F156" i="7"/>
  <c r="B157" i="7"/>
  <c r="E157" i="7"/>
  <c r="D157" i="7"/>
  <c r="C157" i="7"/>
  <c r="F157" i="7"/>
  <c r="B158" i="7"/>
  <c r="E158" i="7"/>
  <c r="D158" i="7"/>
  <c r="C158" i="7"/>
  <c r="F158" i="7"/>
  <c r="B159" i="7"/>
  <c r="E159" i="7"/>
  <c r="D159" i="7"/>
  <c r="C159" i="7"/>
  <c r="F159" i="7"/>
  <c r="B160" i="7"/>
  <c r="E160" i="7"/>
  <c r="D160" i="7"/>
  <c r="C160" i="7"/>
  <c r="F160" i="7"/>
  <c r="B161" i="7"/>
  <c r="E161" i="7"/>
  <c r="D161" i="7"/>
  <c r="C161" i="7"/>
  <c r="F161" i="7"/>
  <c r="B162" i="7"/>
  <c r="E162" i="7"/>
  <c r="D162" i="7"/>
  <c r="C162" i="7"/>
  <c r="F162" i="7"/>
  <c r="B163" i="7"/>
  <c r="E163" i="7"/>
  <c r="D163" i="7"/>
  <c r="C163" i="7"/>
  <c r="F163" i="7"/>
  <c r="B166" i="7"/>
  <c r="E166" i="7"/>
  <c r="D166" i="7"/>
  <c r="C166" i="7"/>
  <c r="F166" i="7"/>
  <c r="B167" i="7"/>
  <c r="E167" i="7"/>
  <c r="D167" i="7"/>
  <c r="C167" i="7"/>
  <c r="F167" i="7"/>
  <c r="B168" i="7"/>
  <c r="E168" i="7"/>
  <c r="D168" i="7"/>
  <c r="C168" i="7"/>
  <c r="F168" i="7"/>
  <c r="B169" i="7"/>
  <c r="E169" i="7"/>
  <c r="D169" i="7"/>
  <c r="C169" i="7"/>
  <c r="F169" i="7"/>
  <c r="B170" i="7"/>
  <c r="E170" i="7"/>
  <c r="D170" i="7"/>
  <c r="C170" i="7"/>
  <c r="F170" i="7"/>
  <c r="B171" i="7"/>
  <c r="E171" i="7"/>
  <c r="D171" i="7"/>
  <c r="C171" i="7"/>
  <c r="F171" i="7"/>
  <c r="B172" i="7"/>
  <c r="E172" i="7"/>
  <c r="D172" i="7"/>
  <c r="C172" i="7"/>
  <c r="F172" i="7"/>
  <c r="B173" i="7"/>
  <c r="E173" i="7"/>
  <c r="D173" i="7"/>
  <c r="C173" i="7"/>
  <c r="F173" i="7"/>
  <c r="B174" i="7"/>
  <c r="E174" i="7"/>
  <c r="D174" i="7"/>
  <c r="C174" i="7"/>
  <c r="F174" i="7"/>
  <c r="B175" i="7"/>
  <c r="E175" i="7"/>
  <c r="D175" i="7"/>
  <c r="C175" i="7"/>
  <c r="F175" i="7"/>
  <c r="B176" i="7"/>
  <c r="E176" i="7"/>
  <c r="D176" i="7"/>
  <c r="C176" i="7"/>
  <c r="F176" i="7"/>
  <c r="B177" i="7"/>
  <c r="E177" i="7"/>
  <c r="D177" i="7"/>
  <c r="C177" i="7"/>
  <c r="F177" i="7"/>
  <c r="B180" i="7"/>
  <c r="E180" i="7"/>
  <c r="D180" i="7"/>
  <c r="C180" i="7"/>
  <c r="F180" i="7"/>
  <c r="B181" i="7"/>
  <c r="E181" i="7"/>
  <c r="D181" i="7"/>
  <c r="C181" i="7"/>
  <c r="F181" i="7"/>
  <c r="B182" i="7"/>
  <c r="E182" i="7"/>
  <c r="D182" i="7"/>
  <c r="C182" i="7"/>
  <c r="F182" i="7"/>
  <c r="B183" i="7"/>
  <c r="E183" i="7"/>
  <c r="D183" i="7"/>
  <c r="C183" i="7"/>
  <c r="F183" i="7"/>
  <c r="B184" i="7"/>
  <c r="E184" i="7"/>
  <c r="D184" i="7"/>
  <c r="C184" i="7"/>
  <c r="F184" i="7"/>
  <c r="B185" i="7"/>
  <c r="E185" i="7"/>
  <c r="D185" i="7"/>
  <c r="C185" i="7"/>
  <c r="F185" i="7"/>
  <c r="B186" i="7"/>
  <c r="E186" i="7"/>
  <c r="D186" i="7"/>
  <c r="C186" i="7"/>
  <c r="F186" i="7"/>
  <c r="B187" i="7"/>
  <c r="E187" i="7"/>
  <c r="D187" i="7"/>
  <c r="C187" i="7"/>
  <c r="F187" i="7"/>
  <c r="B188" i="7"/>
  <c r="E188" i="7"/>
  <c r="D188" i="7"/>
  <c r="C188" i="7"/>
  <c r="F188" i="7"/>
  <c r="B189" i="7"/>
  <c r="E189" i="7"/>
  <c r="D189" i="7"/>
  <c r="C189" i="7"/>
  <c r="F189" i="7"/>
  <c r="B190" i="7"/>
  <c r="E190" i="7"/>
  <c r="D190" i="7"/>
  <c r="C190" i="7"/>
  <c r="F190" i="7"/>
  <c r="B191" i="7"/>
  <c r="E191" i="7"/>
  <c r="D191" i="7"/>
  <c r="C191" i="7"/>
  <c r="F191" i="7"/>
  <c r="B194" i="7"/>
  <c r="D194" i="7"/>
  <c r="E194" i="7"/>
  <c r="C194" i="7"/>
  <c r="F194" i="7"/>
  <c r="B195" i="7"/>
  <c r="D195" i="7"/>
  <c r="E195" i="7"/>
  <c r="C195" i="7"/>
  <c r="F195" i="7"/>
  <c r="B196" i="7"/>
  <c r="D196" i="7"/>
  <c r="E196" i="7"/>
  <c r="C196" i="7"/>
  <c r="F196" i="7"/>
  <c r="B197" i="7"/>
  <c r="D197" i="7"/>
  <c r="E197" i="7"/>
  <c r="C197" i="7"/>
  <c r="F197" i="7"/>
  <c r="B198" i="7"/>
  <c r="D198" i="7"/>
  <c r="E198" i="7"/>
  <c r="C198" i="7"/>
  <c r="F198" i="7"/>
  <c r="B199" i="7"/>
  <c r="D199" i="7"/>
  <c r="E199" i="7"/>
  <c r="C199" i="7"/>
  <c r="F199" i="7"/>
  <c r="B200" i="7"/>
  <c r="D200" i="7"/>
  <c r="E200" i="7"/>
  <c r="C200" i="7"/>
  <c r="F200" i="7"/>
  <c r="B201" i="7"/>
  <c r="D201" i="7"/>
  <c r="E201" i="7"/>
  <c r="C201" i="7"/>
  <c r="F201" i="7"/>
  <c r="B202" i="7"/>
  <c r="D202" i="7"/>
  <c r="E202" i="7"/>
  <c r="C202" i="7"/>
  <c r="F202" i="7"/>
  <c r="B203" i="7"/>
  <c r="D203" i="7"/>
  <c r="E203" i="7"/>
  <c r="C203" i="7"/>
  <c r="F203" i="7"/>
  <c r="B204" i="7"/>
  <c r="D204" i="7"/>
  <c r="E204" i="7"/>
  <c r="C204" i="7"/>
  <c r="F204" i="7"/>
  <c r="B205" i="7"/>
  <c r="D205" i="7"/>
  <c r="D206" i="7"/>
  <c r="E205" i="7"/>
  <c r="C205" i="7"/>
  <c r="F205" i="7"/>
  <c r="D192" i="7"/>
  <c r="D178" i="7"/>
  <c r="D164" i="7"/>
  <c r="D150" i="7"/>
  <c r="D137" i="7"/>
  <c r="D124" i="7"/>
  <c r="D110" i="7"/>
  <c r="D96" i="7"/>
  <c r="D82" i="7"/>
  <c r="D69" i="7"/>
  <c r="D56" i="7"/>
  <c r="D42" i="7"/>
  <c r="D28" i="7"/>
  <c r="D14" i="7"/>
  <c r="D42" i="6"/>
  <c r="C70" i="6"/>
  <c r="C72" i="6"/>
  <c r="C88" i="6"/>
  <c r="D17" i="6"/>
  <c r="D18" i="6"/>
  <c r="D3" i="6"/>
  <c r="D6" i="6"/>
  <c r="D20" i="6"/>
  <c r="D23" i="6"/>
  <c r="D24" i="6"/>
  <c r="D62" i="6"/>
  <c r="D26" i="6"/>
  <c r="D63" i="6"/>
  <c r="D64" i="6"/>
  <c r="D65" i="6"/>
  <c r="D66" i="6"/>
  <c r="D67" i="6"/>
  <c r="D38" i="6"/>
  <c r="D77" i="6"/>
  <c r="D11" i="6"/>
  <c r="D39" i="6"/>
  <c r="D78" i="6"/>
  <c r="D48" i="6"/>
  <c r="D79" i="6"/>
  <c r="D80" i="6"/>
  <c r="D88" i="6"/>
  <c r="E4" i="6"/>
  <c r="E5" i="6"/>
  <c r="E17" i="6"/>
  <c r="E7" i="6"/>
  <c r="E8" i="6"/>
  <c r="E18" i="6"/>
  <c r="E3" i="6"/>
  <c r="E6" i="6"/>
  <c r="E20" i="6"/>
  <c r="E23" i="6"/>
  <c r="E24" i="6"/>
  <c r="E62" i="6"/>
  <c r="E42" i="6"/>
  <c r="E26" i="6"/>
  <c r="E63" i="6"/>
  <c r="E64" i="6"/>
  <c r="E65" i="6"/>
  <c r="E66" i="6"/>
  <c r="E67" i="6"/>
  <c r="E10" i="6"/>
  <c r="E38" i="6"/>
  <c r="E77" i="6"/>
  <c r="E11" i="6"/>
  <c r="E39" i="6"/>
  <c r="E78" i="6"/>
  <c r="E12" i="6"/>
  <c r="E48" i="6"/>
  <c r="E79" i="6"/>
  <c r="E80" i="6"/>
  <c r="E88" i="6"/>
  <c r="F4" i="6"/>
  <c r="F5" i="6"/>
  <c r="F17" i="6"/>
  <c r="F7" i="6"/>
  <c r="F8" i="6"/>
  <c r="F18" i="6"/>
  <c r="F3" i="6"/>
  <c r="F6" i="6"/>
  <c r="F20" i="6"/>
  <c r="F23" i="6"/>
  <c r="F24" i="6"/>
  <c r="F62" i="6"/>
  <c r="F42" i="6"/>
  <c r="F26" i="6"/>
  <c r="F63" i="6"/>
  <c r="F64" i="6"/>
  <c r="F65" i="6"/>
  <c r="F66" i="6"/>
  <c r="F67" i="6"/>
  <c r="F10" i="6"/>
  <c r="F38" i="6"/>
  <c r="F77" i="6"/>
  <c r="F11" i="6"/>
  <c r="F39" i="6"/>
  <c r="F78" i="6"/>
  <c r="F12" i="6"/>
  <c r="F48" i="6"/>
  <c r="F79" i="6"/>
  <c r="F80" i="6"/>
  <c r="F88" i="6"/>
  <c r="G4" i="6"/>
  <c r="G5" i="6"/>
  <c r="G17" i="6"/>
  <c r="G7" i="6"/>
  <c r="G8" i="6"/>
  <c r="G18" i="6"/>
  <c r="G3" i="6"/>
  <c r="G6" i="6"/>
  <c r="G20" i="6"/>
  <c r="G23" i="6"/>
  <c r="G24" i="6"/>
  <c r="G62" i="6"/>
  <c r="G42" i="6"/>
  <c r="G26" i="6"/>
  <c r="G63" i="6"/>
  <c r="G64" i="6"/>
  <c r="G65" i="6"/>
  <c r="G66" i="6"/>
  <c r="G67" i="6"/>
  <c r="G10" i="6"/>
  <c r="G38" i="6"/>
  <c r="G77" i="6"/>
  <c r="G11" i="6"/>
  <c r="G39" i="6"/>
  <c r="G78" i="6"/>
  <c r="G12" i="6"/>
  <c r="G48" i="6"/>
  <c r="G79" i="6"/>
  <c r="G80" i="6"/>
  <c r="G88" i="6"/>
  <c r="C93" i="6"/>
  <c r="C89" i="6"/>
  <c r="D89" i="6"/>
  <c r="E89" i="6"/>
  <c r="F89" i="6"/>
  <c r="G89" i="6"/>
  <c r="C92" i="6"/>
  <c r="I74" i="6"/>
  <c r="H71" i="6"/>
  <c r="I70" i="6"/>
  <c r="I69" i="6"/>
  <c r="E36" i="6"/>
  <c r="F36" i="6"/>
  <c r="G36" i="6"/>
  <c r="E41" i="6"/>
  <c r="F41" i="6"/>
  <c r="G41" i="6"/>
  <c r="D43" i="6"/>
  <c r="E43" i="6"/>
  <c r="F43" i="6"/>
  <c r="G43" i="6"/>
  <c r="G45" i="6"/>
  <c r="B2" i="2"/>
  <c r="J2" i="2"/>
  <c r="J3" i="2"/>
  <c r="J5" i="2"/>
  <c r="J6" i="2"/>
  <c r="E2" i="2"/>
  <c r="D2" i="2"/>
  <c r="C2" i="2"/>
  <c r="F2" i="2"/>
  <c r="B3" i="2"/>
  <c r="E3" i="2"/>
  <c r="D3" i="2"/>
  <c r="C3" i="2"/>
  <c r="F3" i="2"/>
  <c r="B4" i="2"/>
  <c r="E4" i="2"/>
  <c r="D4" i="2"/>
  <c r="C4" i="2"/>
  <c r="F4" i="2"/>
  <c r="B5" i="2"/>
  <c r="E5" i="2"/>
  <c r="D5" i="2"/>
  <c r="C5" i="2"/>
  <c r="F5" i="2"/>
  <c r="B6" i="2"/>
  <c r="E6" i="2"/>
  <c r="D6" i="2"/>
  <c r="C6" i="2"/>
  <c r="F6" i="2"/>
  <c r="B7" i="2"/>
  <c r="E7" i="2"/>
  <c r="D7" i="2"/>
  <c r="C7" i="2"/>
  <c r="F7" i="2"/>
  <c r="B8" i="2"/>
  <c r="E8" i="2"/>
  <c r="D8" i="2"/>
  <c r="C8" i="2"/>
  <c r="F8" i="2"/>
  <c r="B9" i="2"/>
  <c r="E9" i="2"/>
  <c r="D9" i="2"/>
  <c r="C9" i="2"/>
  <c r="F9" i="2"/>
  <c r="B10" i="2"/>
  <c r="E10" i="2"/>
  <c r="D10" i="2"/>
  <c r="C10" i="2"/>
  <c r="F10" i="2"/>
  <c r="B11" i="2"/>
  <c r="E11" i="2"/>
  <c r="D11" i="2"/>
  <c r="C11" i="2"/>
  <c r="F11" i="2"/>
  <c r="B12" i="2"/>
  <c r="E12" i="2"/>
  <c r="D12" i="2"/>
  <c r="C12" i="2"/>
  <c r="F12" i="2"/>
  <c r="B13" i="2"/>
  <c r="E13" i="2"/>
  <c r="D13" i="2"/>
  <c r="C13" i="2"/>
  <c r="F13" i="2"/>
  <c r="B16" i="2"/>
  <c r="E16" i="2"/>
  <c r="D16" i="2"/>
  <c r="C16" i="2"/>
  <c r="F16" i="2"/>
  <c r="B17" i="2"/>
  <c r="E17" i="2"/>
  <c r="D17" i="2"/>
  <c r="C17" i="2"/>
  <c r="F17" i="2"/>
  <c r="B18" i="2"/>
  <c r="E18" i="2"/>
  <c r="D18" i="2"/>
  <c r="C18" i="2"/>
  <c r="F18" i="2"/>
  <c r="B19" i="2"/>
  <c r="E19" i="2"/>
  <c r="D19" i="2"/>
  <c r="C19" i="2"/>
  <c r="F19" i="2"/>
  <c r="B20" i="2"/>
  <c r="E20" i="2"/>
  <c r="D20" i="2"/>
  <c r="C20" i="2"/>
  <c r="F20" i="2"/>
  <c r="B21" i="2"/>
  <c r="E21" i="2"/>
  <c r="D21" i="2"/>
  <c r="C21" i="2"/>
  <c r="F21" i="2"/>
  <c r="B22" i="2"/>
  <c r="E22" i="2"/>
  <c r="D22" i="2"/>
  <c r="C22" i="2"/>
  <c r="F22" i="2"/>
  <c r="B23" i="2"/>
  <c r="E23" i="2"/>
  <c r="D23" i="2"/>
  <c r="C23" i="2"/>
  <c r="F23" i="2"/>
  <c r="B24" i="2"/>
  <c r="E24" i="2"/>
  <c r="D24" i="2"/>
  <c r="C24" i="2"/>
  <c r="F24" i="2"/>
  <c r="B25" i="2"/>
  <c r="E25" i="2"/>
  <c r="D25" i="2"/>
  <c r="C25" i="2"/>
  <c r="F25" i="2"/>
  <c r="B26" i="2"/>
  <c r="E26" i="2"/>
  <c r="D26" i="2"/>
  <c r="C26" i="2"/>
  <c r="F26" i="2"/>
  <c r="B27" i="2"/>
  <c r="E27" i="2"/>
  <c r="D27" i="2"/>
  <c r="C27" i="2"/>
  <c r="F27" i="2"/>
  <c r="B30" i="2"/>
  <c r="E30" i="2"/>
  <c r="D30" i="2"/>
  <c r="C30" i="2"/>
  <c r="F30" i="2"/>
  <c r="B31" i="2"/>
  <c r="E31" i="2"/>
  <c r="D31" i="2"/>
  <c r="C31" i="2"/>
  <c r="F31" i="2"/>
  <c r="B32" i="2"/>
  <c r="E32" i="2"/>
  <c r="D32" i="2"/>
  <c r="C32" i="2"/>
  <c r="F32" i="2"/>
  <c r="B33" i="2"/>
  <c r="E33" i="2"/>
  <c r="D33" i="2"/>
  <c r="C33" i="2"/>
  <c r="F33" i="2"/>
  <c r="B34" i="2"/>
  <c r="E34" i="2"/>
  <c r="D34" i="2"/>
  <c r="C34" i="2"/>
  <c r="F34" i="2"/>
  <c r="B35" i="2"/>
  <c r="E35" i="2"/>
  <c r="D35" i="2"/>
  <c r="C35" i="2"/>
  <c r="F35" i="2"/>
  <c r="B36" i="2"/>
  <c r="E36" i="2"/>
  <c r="D36" i="2"/>
  <c r="C36" i="2"/>
  <c r="F36" i="2"/>
  <c r="B37" i="2"/>
  <c r="E37" i="2"/>
  <c r="D37" i="2"/>
  <c r="C37" i="2"/>
  <c r="F37" i="2"/>
  <c r="B38" i="2"/>
  <c r="E38" i="2"/>
  <c r="D38" i="2"/>
  <c r="C38" i="2"/>
  <c r="F38" i="2"/>
  <c r="B39" i="2"/>
  <c r="E39" i="2"/>
  <c r="D39" i="2"/>
  <c r="C39" i="2"/>
  <c r="F39" i="2"/>
  <c r="B40" i="2"/>
  <c r="E40" i="2"/>
  <c r="D40" i="2"/>
  <c r="C40" i="2"/>
  <c r="F40" i="2"/>
  <c r="B41" i="2"/>
  <c r="E41" i="2"/>
  <c r="D41" i="2"/>
  <c r="C41" i="2"/>
  <c r="F41" i="2"/>
  <c r="B44" i="2"/>
  <c r="D44" i="2"/>
  <c r="E44" i="2"/>
  <c r="C44" i="2"/>
  <c r="F44" i="2"/>
  <c r="B45" i="2"/>
  <c r="D45" i="2"/>
  <c r="E45" i="2"/>
  <c r="C45" i="2"/>
  <c r="F45" i="2"/>
  <c r="B46" i="2"/>
  <c r="D46" i="2"/>
  <c r="E46" i="2"/>
  <c r="C46" i="2"/>
  <c r="F46" i="2"/>
  <c r="B47" i="2"/>
  <c r="D47" i="2"/>
  <c r="E47" i="2"/>
  <c r="C47" i="2"/>
  <c r="F47" i="2"/>
  <c r="B48" i="2"/>
  <c r="D48" i="2"/>
  <c r="E48" i="2"/>
  <c r="C48" i="2"/>
  <c r="F48" i="2"/>
  <c r="B49" i="2"/>
  <c r="D49" i="2"/>
  <c r="E49" i="2"/>
  <c r="C49" i="2"/>
  <c r="F49" i="2"/>
  <c r="B50" i="2"/>
  <c r="D50" i="2"/>
  <c r="E50" i="2"/>
  <c r="C50" i="2"/>
  <c r="F50" i="2"/>
  <c r="B51" i="2"/>
  <c r="D51" i="2"/>
  <c r="E51" i="2"/>
  <c r="C51" i="2"/>
  <c r="F51" i="2"/>
  <c r="B52" i="2"/>
  <c r="D52" i="2"/>
  <c r="E52" i="2"/>
  <c r="C52" i="2"/>
  <c r="F52" i="2"/>
  <c r="B53" i="2"/>
  <c r="D53" i="2"/>
  <c r="E53" i="2"/>
  <c r="C53" i="2"/>
  <c r="F53" i="2"/>
  <c r="B54" i="2"/>
  <c r="D54" i="2"/>
  <c r="E54" i="2"/>
  <c r="C54" i="2"/>
  <c r="F54" i="2"/>
  <c r="B55" i="2"/>
  <c r="D55" i="2"/>
  <c r="D56" i="2"/>
  <c r="G27" i="6"/>
  <c r="G28" i="6"/>
  <c r="G30" i="6"/>
  <c r="G31" i="6"/>
  <c r="G49" i="6"/>
  <c r="G51" i="6"/>
  <c r="E54" i="6"/>
  <c r="F54" i="6"/>
  <c r="G54" i="6"/>
  <c r="D14" i="2"/>
  <c r="D27" i="6"/>
  <c r="D28" i="6"/>
  <c r="D30" i="6"/>
  <c r="D31" i="6"/>
  <c r="D32" i="6"/>
  <c r="D55" i="6"/>
  <c r="D28" i="2"/>
  <c r="E27" i="6"/>
  <c r="E28" i="6"/>
  <c r="E30" i="6"/>
  <c r="E31" i="6"/>
  <c r="E32" i="6"/>
  <c r="E55" i="6"/>
  <c r="D42" i="2"/>
  <c r="F27" i="6"/>
  <c r="F28" i="6"/>
  <c r="F30" i="6"/>
  <c r="F31" i="6"/>
  <c r="F32" i="6"/>
  <c r="F55" i="6"/>
  <c r="G32" i="6"/>
  <c r="G55" i="6"/>
  <c r="G57" i="6"/>
  <c r="G58" i="6"/>
  <c r="F45" i="6"/>
  <c r="F49" i="6"/>
  <c r="F51" i="6"/>
  <c r="F57" i="6"/>
  <c r="F58" i="6"/>
  <c r="E45" i="6"/>
  <c r="E49" i="6"/>
  <c r="E51" i="6"/>
  <c r="E57" i="6"/>
  <c r="E58" i="6"/>
  <c r="D45" i="6"/>
  <c r="D49" i="6"/>
  <c r="D51" i="6"/>
  <c r="D57" i="6"/>
  <c r="D58" i="6"/>
  <c r="J42" i="6"/>
  <c r="J51" i="6"/>
  <c r="K51" i="6"/>
  <c r="K52" i="6"/>
  <c r="K53" i="6"/>
  <c r="L52" i="6"/>
  <c r="K49" i="6"/>
  <c r="M52" i="6"/>
  <c r="N52" i="6"/>
  <c r="O52" i="6"/>
  <c r="L51" i="6"/>
  <c r="M51" i="6"/>
  <c r="N51" i="6"/>
  <c r="O51" i="6"/>
  <c r="J50" i="6"/>
  <c r="D42" i="5"/>
  <c r="C70" i="5"/>
  <c r="C72" i="5"/>
  <c r="C88" i="5"/>
  <c r="D17" i="5"/>
  <c r="D18" i="5"/>
  <c r="D3" i="5"/>
  <c r="D6" i="5"/>
  <c r="D20" i="5"/>
  <c r="D23" i="5"/>
  <c r="D24" i="5"/>
  <c r="D62" i="5"/>
  <c r="D26" i="5"/>
  <c r="D63" i="5"/>
  <c r="D64" i="5"/>
  <c r="D65" i="5"/>
  <c r="D66" i="5"/>
  <c r="D67" i="5"/>
  <c r="D38" i="5"/>
  <c r="D77" i="5"/>
  <c r="D11" i="5"/>
  <c r="D39" i="5"/>
  <c r="D78" i="5"/>
  <c r="D48" i="5"/>
  <c r="D79" i="5"/>
  <c r="D80" i="5"/>
  <c r="D88" i="5"/>
  <c r="E4" i="5"/>
  <c r="E5" i="5"/>
  <c r="E17" i="5"/>
  <c r="E7" i="5"/>
  <c r="E8" i="5"/>
  <c r="E18" i="5"/>
  <c r="E3" i="5"/>
  <c r="E6" i="5"/>
  <c r="E20" i="5"/>
  <c r="E23" i="5"/>
  <c r="E24" i="5"/>
  <c r="E62" i="5"/>
  <c r="E42" i="5"/>
  <c r="E26" i="5"/>
  <c r="E63" i="5"/>
  <c r="E64" i="5"/>
  <c r="E65" i="5"/>
  <c r="E66" i="5"/>
  <c r="E67" i="5"/>
  <c r="E10" i="5"/>
  <c r="E38" i="5"/>
  <c r="E77" i="5"/>
  <c r="E11" i="5"/>
  <c r="E39" i="5"/>
  <c r="E78" i="5"/>
  <c r="E12" i="5"/>
  <c r="E48" i="5"/>
  <c r="E79" i="5"/>
  <c r="E80" i="5"/>
  <c r="E88" i="5"/>
  <c r="F4" i="5"/>
  <c r="F5" i="5"/>
  <c r="F17" i="5"/>
  <c r="F7" i="5"/>
  <c r="F8" i="5"/>
  <c r="F18" i="5"/>
  <c r="F3" i="5"/>
  <c r="F6" i="5"/>
  <c r="F20" i="5"/>
  <c r="F23" i="5"/>
  <c r="F24" i="5"/>
  <c r="F62" i="5"/>
  <c r="F42" i="5"/>
  <c r="F26" i="5"/>
  <c r="F63" i="5"/>
  <c r="F64" i="5"/>
  <c r="F65" i="5"/>
  <c r="F66" i="5"/>
  <c r="F67" i="5"/>
  <c r="F10" i="5"/>
  <c r="F38" i="5"/>
  <c r="F77" i="5"/>
  <c r="F11" i="5"/>
  <c r="F39" i="5"/>
  <c r="F78" i="5"/>
  <c r="F12" i="5"/>
  <c r="F48" i="5"/>
  <c r="F79" i="5"/>
  <c r="F80" i="5"/>
  <c r="F88" i="5"/>
  <c r="G4" i="5"/>
  <c r="G5" i="5"/>
  <c r="G17" i="5"/>
  <c r="G7" i="5"/>
  <c r="G8" i="5"/>
  <c r="G18" i="5"/>
  <c r="G3" i="5"/>
  <c r="G6" i="5"/>
  <c r="G20" i="5"/>
  <c r="G23" i="5"/>
  <c r="G24" i="5"/>
  <c r="G62" i="5"/>
  <c r="G42" i="5"/>
  <c r="G26" i="5"/>
  <c r="G63" i="5"/>
  <c r="G64" i="5"/>
  <c r="G65" i="5"/>
  <c r="G66" i="5"/>
  <c r="G67" i="5"/>
  <c r="G10" i="5"/>
  <c r="G38" i="5"/>
  <c r="G77" i="5"/>
  <c r="G11" i="5"/>
  <c r="G39" i="5"/>
  <c r="G78" i="5"/>
  <c r="G12" i="5"/>
  <c r="G48" i="5"/>
  <c r="G79" i="5"/>
  <c r="G80" i="5"/>
  <c r="G83" i="5"/>
  <c r="G84" i="5"/>
  <c r="G85" i="5"/>
  <c r="G88" i="5"/>
  <c r="C93" i="5"/>
  <c r="C89" i="5"/>
  <c r="D89" i="5"/>
  <c r="E89" i="5"/>
  <c r="F89" i="5"/>
  <c r="G89" i="5"/>
  <c r="C92" i="5"/>
  <c r="I74" i="5"/>
  <c r="H71" i="5"/>
  <c r="I70" i="5"/>
  <c r="I69" i="5"/>
  <c r="I60" i="5"/>
  <c r="I61" i="5"/>
  <c r="D51" i="5"/>
  <c r="E51" i="5"/>
  <c r="F51" i="5"/>
  <c r="G51" i="5"/>
  <c r="H51" i="5"/>
  <c r="H52" i="5"/>
  <c r="E54" i="5"/>
  <c r="F54" i="5"/>
  <c r="G54" i="5"/>
  <c r="H54" i="5"/>
  <c r="D27" i="5"/>
  <c r="D28" i="5"/>
  <c r="D30" i="5"/>
  <c r="D31" i="5"/>
  <c r="D32" i="5"/>
  <c r="D55" i="5"/>
  <c r="E27" i="5"/>
  <c r="E28" i="5"/>
  <c r="E30" i="5"/>
  <c r="E31" i="5"/>
  <c r="E32" i="5"/>
  <c r="E55" i="5"/>
  <c r="F27" i="5"/>
  <c r="F28" i="5"/>
  <c r="F30" i="5"/>
  <c r="F31" i="5"/>
  <c r="F32" i="5"/>
  <c r="F55" i="5"/>
  <c r="G27" i="5"/>
  <c r="G28" i="5"/>
  <c r="G30" i="5"/>
  <c r="G31" i="5"/>
  <c r="G32" i="5"/>
  <c r="G55" i="5"/>
  <c r="H55" i="5"/>
  <c r="H57" i="5"/>
  <c r="I51" i="5"/>
  <c r="I52" i="5"/>
  <c r="I54" i="5"/>
  <c r="I62" i="5"/>
  <c r="E36" i="5"/>
  <c r="F36" i="5"/>
  <c r="G36" i="5"/>
  <c r="E41" i="5"/>
  <c r="F41" i="5"/>
  <c r="G41" i="5"/>
  <c r="D43" i="5"/>
  <c r="E43" i="5"/>
  <c r="F43" i="5"/>
  <c r="G43" i="5"/>
  <c r="G45" i="5"/>
  <c r="G49" i="5"/>
  <c r="G57" i="5"/>
  <c r="G58" i="5"/>
  <c r="F45" i="5"/>
  <c r="F49" i="5"/>
  <c r="F57" i="5"/>
  <c r="F58" i="5"/>
  <c r="E45" i="5"/>
  <c r="E49" i="5"/>
  <c r="E57" i="5"/>
  <c r="E58" i="5"/>
  <c r="D45" i="5"/>
  <c r="D49" i="5"/>
  <c r="D57" i="5"/>
  <c r="D58" i="5"/>
  <c r="J51" i="5"/>
  <c r="K51" i="5"/>
  <c r="L51" i="5"/>
  <c r="J52" i="5"/>
  <c r="K52" i="5"/>
  <c r="L52" i="5"/>
  <c r="I46" i="5"/>
  <c r="I48" i="5"/>
  <c r="J54" i="5"/>
  <c r="K54" i="5"/>
  <c r="L54" i="5"/>
  <c r="L57" i="5"/>
  <c r="K42" i="5"/>
  <c r="B2" i="4"/>
  <c r="J2" i="4"/>
  <c r="J3" i="4"/>
  <c r="J5" i="4"/>
  <c r="J6" i="4"/>
  <c r="E2" i="4"/>
  <c r="D2" i="4"/>
  <c r="C2" i="4"/>
  <c r="F2" i="4"/>
  <c r="B3" i="4"/>
  <c r="E3" i="4"/>
  <c r="D3" i="4"/>
  <c r="C3" i="4"/>
  <c r="F3" i="4"/>
  <c r="B4" i="4"/>
  <c r="E4" i="4"/>
  <c r="D4" i="4"/>
  <c r="C4" i="4"/>
  <c r="F4" i="4"/>
  <c r="B5" i="4"/>
  <c r="E5" i="4"/>
  <c r="D5" i="4"/>
  <c r="C5" i="4"/>
  <c r="F5" i="4"/>
  <c r="B6" i="4"/>
  <c r="E6" i="4"/>
  <c r="D6" i="4"/>
  <c r="C6" i="4"/>
  <c r="F6" i="4"/>
  <c r="B7" i="4"/>
  <c r="E7" i="4"/>
  <c r="D7" i="4"/>
  <c r="C7" i="4"/>
  <c r="F7" i="4"/>
  <c r="B8" i="4"/>
  <c r="E8" i="4"/>
  <c r="D8" i="4"/>
  <c r="C8" i="4"/>
  <c r="F8" i="4"/>
  <c r="B9" i="4"/>
  <c r="E9" i="4"/>
  <c r="D9" i="4"/>
  <c r="C9" i="4"/>
  <c r="F9" i="4"/>
  <c r="B10" i="4"/>
  <c r="E10" i="4"/>
  <c r="D10" i="4"/>
  <c r="C10" i="4"/>
  <c r="F10" i="4"/>
  <c r="B11" i="4"/>
  <c r="E11" i="4"/>
  <c r="D11" i="4"/>
  <c r="C11" i="4"/>
  <c r="F11" i="4"/>
  <c r="B12" i="4"/>
  <c r="E12" i="4"/>
  <c r="D12" i="4"/>
  <c r="C12" i="4"/>
  <c r="F12" i="4"/>
  <c r="B13" i="4"/>
  <c r="E13" i="4"/>
  <c r="D13" i="4"/>
  <c r="C13" i="4"/>
  <c r="F13" i="4"/>
  <c r="B16" i="4"/>
  <c r="E16" i="4"/>
  <c r="D16" i="4"/>
  <c r="C16" i="4"/>
  <c r="F16" i="4"/>
  <c r="B17" i="4"/>
  <c r="E17" i="4"/>
  <c r="D17" i="4"/>
  <c r="C17" i="4"/>
  <c r="F17" i="4"/>
  <c r="B18" i="4"/>
  <c r="E18" i="4"/>
  <c r="D18" i="4"/>
  <c r="C18" i="4"/>
  <c r="F18" i="4"/>
  <c r="B19" i="4"/>
  <c r="E19" i="4"/>
  <c r="D19" i="4"/>
  <c r="C19" i="4"/>
  <c r="F19" i="4"/>
  <c r="B20" i="4"/>
  <c r="E20" i="4"/>
  <c r="D20" i="4"/>
  <c r="C20" i="4"/>
  <c r="F20" i="4"/>
  <c r="B21" i="4"/>
  <c r="E21" i="4"/>
  <c r="D21" i="4"/>
  <c r="C21" i="4"/>
  <c r="F21" i="4"/>
  <c r="B22" i="4"/>
  <c r="E22" i="4"/>
  <c r="D22" i="4"/>
  <c r="C22" i="4"/>
  <c r="F22" i="4"/>
  <c r="B23" i="4"/>
  <c r="E23" i="4"/>
  <c r="D23" i="4"/>
  <c r="C23" i="4"/>
  <c r="F23" i="4"/>
  <c r="B24" i="4"/>
  <c r="E24" i="4"/>
  <c r="D24" i="4"/>
  <c r="C24" i="4"/>
  <c r="F24" i="4"/>
  <c r="B25" i="4"/>
  <c r="E25" i="4"/>
  <c r="D25" i="4"/>
  <c r="C25" i="4"/>
  <c r="F25" i="4"/>
  <c r="B26" i="4"/>
  <c r="E26" i="4"/>
  <c r="D26" i="4"/>
  <c r="C26" i="4"/>
  <c r="F26" i="4"/>
  <c r="B27" i="4"/>
  <c r="E27" i="4"/>
  <c r="D27" i="4"/>
  <c r="C27" i="4"/>
  <c r="F27" i="4"/>
  <c r="B30" i="4"/>
  <c r="E30" i="4"/>
  <c r="D30" i="4"/>
  <c r="C30" i="4"/>
  <c r="F30" i="4"/>
  <c r="B31" i="4"/>
  <c r="E31" i="4"/>
  <c r="D31" i="4"/>
  <c r="C31" i="4"/>
  <c r="F31" i="4"/>
  <c r="B32" i="4"/>
  <c r="E32" i="4"/>
  <c r="D32" i="4"/>
  <c r="C32" i="4"/>
  <c r="F32" i="4"/>
  <c r="B33" i="4"/>
  <c r="E33" i="4"/>
  <c r="D33" i="4"/>
  <c r="C33" i="4"/>
  <c r="F33" i="4"/>
  <c r="B34" i="4"/>
  <c r="E34" i="4"/>
  <c r="D34" i="4"/>
  <c r="C34" i="4"/>
  <c r="F34" i="4"/>
  <c r="B35" i="4"/>
  <c r="E35" i="4"/>
  <c r="D35" i="4"/>
  <c r="C35" i="4"/>
  <c r="F35" i="4"/>
  <c r="B36" i="4"/>
  <c r="E36" i="4"/>
  <c r="D36" i="4"/>
  <c r="C36" i="4"/>
  <c r="F36" i="4"/>
  <c r="B37" i="4"/>
  <c r="E37" i="4"/>
  <c r="D37" i="4"/>
  <c r="C37" i="4"/>
  <c r="F37" i="4"/>
  <c r="B38" i="4"/>
  <c r="E38" i="4"/>
  <c r="D38" i="4"/>
  <c r="C38" i="4"/>
  <c r="F38" i="4"/>
  <c r="B39" i="4"/>
  <c r="E39" i="4"/>
  <c r="D39" i="4"/>
  <c r="C39" i="4"/>
  <c r="F39" i="4"/>
  <c r="B40" i="4"/>
  <c r="E40" i="4"/>
  <c r="D40" i="4"/>
  <c r="C40" i="4"/>
  <c r="F40" i="4"/>
  <c r="B41" i="4"/>
  <c r="E41" i="4"/>
  <c r="D41" i="4"/>
  <c r="C41" i="4"/>
  <c r="F41" i="4"/>
  <c r="B44" i="4"/>
  <c r="E44" i="4"/>
  <c r="D44" i="4"/>
  <c r="C44" i="4"/>
  <c r="F44" i="4"/>
  <c r="B45" i="4"/>
  <c r="E45" i="4"/>
  <c r="D45" i="4"/>
  <c r="C45" i="4"/>
  <c r="F45" i="4"/>
  <c r="B46" i="4"/>
  <c r="E46" i="4"/>
  <c r="D46" i="4"/>
  <c r="C46" i="4"/>
  <c r="F46" i="4"/>
  <c r="B47" i="4"/>
  <c r="E47" i="4"/>
  <c r="D47" i="4"/>
  <c r="C47" i="4"/>
  <c r="F47" i="4"/>
  <c r="B48" i="4"/>
  <c r="E48" i="4"/>
  <c r="D48" i="4"/>
  <c r="C48" i="4"/>
  <c r="F48" i="4"/>
  <c r="B49" i="4"/>
  <c r="E49" i="4"/>
  <c r="D49" i="4"/>
  <c r="C49" i="4"/>
  <c r="F49" i="4"/>
  <c r="B50" i="4"/>
  <c r="E50" i="4"/>
  <c r="D50" i="4"/>
  <c r="C50" i="4"/>
  <c r="F50" i="4"/>
  <c r="B51" i="4"/>
  <c r="E51" i="4"/>
  <c r="D51" i="4"/>
  <c r="C51" i="4"/>
  <c r="F51" i="4"/>
  <c r="B52" i="4"/>
  <c r="E52" i="4"/>
  <c r="D52" i="4"/>
  <c r="C52" i="4"/>
  <c r="F52" i="4"/>
  <c r="B53" i="4"/>
  <c r="E53" i="4"/>
  <c r="D53" i="4"/>
  <c r="C53" i="4"/>
  <c r="F53" i="4"/>
  <c r="B54" i="4"/>
  <c r="E54" i="4"/>
  <c r="D54" i="4"/>
  <c r="C54" i="4"/>
  <c r="F54" i="4"/>
  <c r="B55" i="4"/>
  <c r="E55" i="4"/>
  <c r="D55" i="4"/>
  <c r="C55" i="4"/>
  <c r="F55" i="4"/>
  <c r="B57" i="4"/>
  <c r="E57" i="4"/>
  <c r="D57" i="4"/>
  <c r="C57" i="4"/>
  <c r="F57" i="4"/>
  <c r="B58" i="4"/>
  <c r="E58" i="4"/>
  <c r="D58" i="4"/>
  <c r="C58" i="4"/>
  <c r="F58" i="4"/>
  <c r="B59" i="4"/>
  <c r="E59" i="4"/>
  <c r="D59" i="4"/>
  <c r="C59" i="4"/>
  <c r="F59" i="4"/>
  <c r="B60" i="4"/>
  <c r="E60" i="4"/>
  <c r="D60" i="4"/>
  <c r="C60" i="4"/>
  <c r="F60" i="4"/>
  <c r="B61" i="4"/>
  <c r="E61" i="4"/>
  <c r="D61" i="4"/>
  <c r="C61" i="4"/>
  <c r="F61" i="4"/>
  <c r="B62" i="4"/>
  <c r="E62" i="4"/>
  <c r="D62" i="4"/>
  <c r="C62" i="4"/>
  <c r="F62" i="4"/>
  <c r="B63" i="4"/>
  <c r="E63" i="4"/>
  <c r="D63" i="4"/>
  <c r="C63" i="4"/>
  <c r="F63" i="4"/>
  <c r="B64" i="4"/>
  <c r="E64" i="4"/>
  <c r="D64" i="4"/>
  <c r="C64" i="4"/>
  <c r="F64" i="4"/>
  <c r="B65" i="4"/>
  <c r="E65" i="4"/>
  <c r="D65" i="4"/>
  <c r="C65" i="4"/>
  <c r="F65" i="4"/>
  <c r="B66" i="4"/>
  <c r="E66" i="4"/>
  <c r="D66" i="4"/>
  <c r="C66" i="4"/>
  <c r="F66" i="4"/>
  <c r="B67" i="4"/>
  <c r="E67" i="4"/>
  <c r="D67" i="4"/>
  <c r="C67" i="4"/>
  <c r="F67" i="4"/>
  <c r="B68" i="4"/>
  <c r="E68" i="4"/>
  <c r="D68" i="4"/>
  <c r="C68" i="4"/>
  <c r="F68" i="4"/>
  <c r="B70" i="4"/>
  <c r="E70" i="4"/>
  <c r="D70" i="4"/>
  <c r="C70" i="4"/>
  <c r="F70" i="4"/>
  <c r="B71" i="4"/>
  <c r="E71" i="4"/>
  <c r="D71" i="4"/>
  <c r="C71" i="4"/>
  <c r="F71" i="4"/>
  <c r="B72" i="4"/>
  <c r="E72" i="4"/>
  <c r="D72" i="4"/>
  <c r="C72" i="4"/>
  <c r="F72" i="4"/>
  <c r="B73" i="4"/>
  <c r="E73" i="4"/>
  <c r="D73" i="4"/>
  <c r="C73" i="4"/>
  <c r="F73" i="4"/>
  <c r="B74" i="4"/>
  <c r="E74" i="4"/>
  <c r="D74" i="4"/>
  <c r="C74" i="4"/>
  <c r="F74" i="4"/>
  <c r="B75" i="4"/>
  <c r="E75" i="4"/>
  <c r="D75" i="4"/>
  <c r="C75" i="4"/>
  <c r="F75" i="4"/>
  <c r="B76" i="4"/>
  <c r="E76" i="4"/>
  <c r="D76" i="4"/>
  <c r="C76" i="4"/>
  <c r="F76" i="4"/>
  <c r="B77" i="4"/>
  <c r="E77" i="4"/>
  <c r="D77" i="4"/>
  <c r="C77" i="4"/>
  <c r="F77" i="4"/>
  <c r="B78" i="4"/>
  <c r="E78" i="4"/>
  <c r="D78" i="4"/>
  <c r="C78" i="4"/>
  <c r="F78" i="4"/>
  <c r="B79" i="4"/>
  <c r="E79" i="4"/>
  <c r="D79" i="4"/>
  <c r="C79" i="4"/>
  <c r="F79" i="4"/>
  <c r="B80" i="4"/>
  <c r="E80" i="4"/>
  <c r="D80" i="4"/>
  <c r="C80" i="4"/>
  <c r="F80" i="4"/>
  <c r="B81" i="4"/>
  <c r="E81" i="4"/>
  <c r="D81" i="4"/>
  <c r="C81" i="4"/>
  <c r="F81" i="4"/>
  <c r="B84" i="4"/>
  <c r="E84" i="4"/>
  <c r="D84" i="4"/>
  <c r="C84" i="4"/>
  <c r="F84" i="4"/>
  <c r="B85" i="4"/>
  <c r="E85" i="4"/>
  <c r="D85" i="4"/>
  <c r="C85" i="4"/>
  <c r="F85" i="4"/>
  <c r="B86" i="4"/>
  <c r="E86" i="4"/>
  <c r="D86" i="4"/>
  <c r="C86" i="4"/>
  <c r="F86" i="4"/>
  <c r="B87" i="4"/>
  <c r="E87" i="4"/>
  <c r="D87" i="4"/>
  <c r="C87" i="4"/>
  <c r="F87" i="4"/>
  <c r="B88" i="4"/>
  <c r="E88" i="4"/>
  <c r="D88" i="4"/>
  <c r="C88" i="4"/>
  <c r="F88" i="4"/>
  <c r="B89" i="4"/>
  <c r="E89" i="4"/>
  <c r="D89" i="4"/>
  <c r="C89" i="4"/>
  <c r="F89" i="4"/>
  <c r="B90" i="4"/>
  <c r="E90" i="4"/>
  <c r="D90" i="4"/>
  <c r="C90" i="4"/>
  <c r="F90" i="4"/>
  <c r="B91" i="4"/>
  <c r="E91" i="4"/>
  <c r="D91" i="4"/>
  <c r="C91" i="4"/>
  <c r="F91" i="4"/>
  <c r="B92" i="4"/>
  <c r="E92" i="4"/>
  <c r="D92" i="4"/>
  <c r="C92" i="4"/>
  <c r="F92" i="4"/>
  <c r="B93" i="4"/>
  <c r="E93" i="4"/>
  <c r="D93" i="4"/>
  <c r="C93" i="4"/>
  <c r="F93" i="4"/>
  <c r="B94" i="4"/>
  <c r="E94" i="4"/>
  <c r="D94" i="4"/>
  <c r="C94" i="4"/>
  <c r="F94" i="4"/>
  <c r="B95" i="4"/>
  <c r="E95" i="4"/>
  <c r="D95" i="4"/>
  <c r="C95" i="4"/>
  <c r="F95" i="4"/>
  <c r="B98" i="4"/>
  <c r="E98" i="4"/>
  <c r="D98" i="4"/>
  <c r="C98" i="4"/>
  <c r="F98" i="4"/>
  <c r="B99" i="4"/>
  <c r="E99" i="4"/>
  <c r="D99" i="4"/>
  <c r="C99" i="4"/>
  <c r="F99" i="4"/>
  <c r="B100" i="4"/>
  <c r="E100" i="4"/>
  <c r="D100" i="4"/>
  <c r="C100" i="4"/>
  <c r="F100" i="4"/>
  <c r="B101" i="4"/>
  <c r="E101" i="4"/>
  <c r="D101" i="4"/>
  <c r="C101" i="4"/>
  <c r="F101" i="4"/>
  <c r="B102" i="4"/>
  <c r="E102" i="4"/>
  <c r="D102" i="4"/>
  <c r="C102" i="4"/>
  <c r="F102" i="4"/>
  <c r="B103" i="4"/>
  <c r="E103" i="4"/>
  <c r="D103" i="4"/>
  <c r="C103" i="4"/>
  <c r="F103" i="4"/>
  <c r="B104" i="4"/>
  <c r="E104" i="4"/>
  <c r="D104" i="4"/>
  <c r="C104" i="4"/>
  <c r="F104" i="4"/>
  <c r="B105" i="4"/>
  <c r="E105" i="4"/>
  <c r="D105" i="4"/>
  <c r="C105" i="4"/>
  <c r="F105" i="4"/>
  <c r="B106" i="4"/>
  <c r="E106" i="4"/>
  <c r="D106" i="4"/>
  <c r="C106" i="4"/>
  <c r="F106" i="4"/>
  <c r="B107" i="4"/>
  <c r="E107" i="4"/>
  <c r="D107" i="4"/>
  <c r="C107" i="4"/>
  <c r="F107" i="4"/>
  <c r="B108" i="4"/>
  <c r="E108" i="4"/>
  <c r="D108" i="4"/>
  <c r="C108" i="4"/>
  <c r="F108" i="4"/>
  <c r="B109" i="4"/>
  <c r="E109" i="4"/>
  <c r="D109" i="4"/>
  <c r="C109" i="4"/>
  <c r="F109" i="4"/>
  <c r="B112" i="4"/>
  <c r="E112" i="4"/>
  <c r="D112" i="4"/>
  <c r="C112" i="4"/>
  <c r="F112" i="4"/>
  <c r="B113" i="4"/>
  <c r="E113" i="4"/>
  <c r="D113" i="4"/>
  <c r="C113" i="4"/>
  <c r="F113" i="4"/>
  <c r="B114" i="4"/>
  <c r="E114" i="4"/>
  <c r="D114" i="4"/>
  <c r="C114" i="4"/>
  <c r="F114" i="4"/>
  <c r="B115" i="4"/>
  <c r="E115" i="4"/>
  <c r="D115" i="4"/>
  <c r="C115" i="4"/>
  <c r="F115" i="4"/>
  <c r="B116" i="4"/>
  <c r="E116" i="4"/>
  <c r="D116" i="4"/>
  <c r="C116" i="4"/>
  <c r="F116" i="4"/>
  <c r="B117" i="4"/>
  <c r="E117" i="4"/>
  <c r="D117" i="4"/>
  <c r="C117" i="4"/>
  <c r="F117" i="4"/>
  <c r="B118" i="4"/>
  <c r="E118" i="4"/>
  <c r="D118" i="4"/>
  <c r="C118" i="4"/>
  <c r="F118" i="4"/>
  <c r="B119" i="4"/>
  <c r="E119" i="4"/>
  <c r="D119" i="4"/>
  <c r="C119" i="4"/>
  <c r="F119" i="4"/>
  <c r="B120" i="4"/>
  <c r="E120" i="4"/>
  <c r="D120" i="4"/>
  <c r="C120" i="4"/>
  <c r="F120" i="4"/>
  <c r="B121" i="4"/>
  <c r="E121" i="4"/>
  <c r="D121" i="4"/>
  <c r="C121" i="4"/>
  <c r="F121" i="4"/>
  <c r="B122" i="4"/>
  <c r="E122" i="4"/>
  <c r="D122" i="4"/>
  <c r="C122" i="4"/>
  <c r="F122" i="4"/>
  <c r="B123" i="4"/>
  <c r="E123" i="4"/>
  <c r="D123" i="4"/>
  <c r="C123" i="4"/>
  <c r="F123" i="4"/>
  <c r="B125" i="4"/>
  <c r="E125" i="4"/>
  <c r="D125" i="4"/>
  <c r="C125" i="4"/>
  <c r="F125" i="4"/>
  <c r="B126" i="4"/>
  <c r="E126" i="4"/>
  <c r="D126" i="4"/>
  <c r="C126" i="4"/>
  <c r="F126" i="4"/>
  <c r="B127" i="4"/>
  <c r="E127" i="4"/>
  <c r="D127" i="4"/>
  <c r="C127" i="4"/>
  <c r="F127" i="4"/>
  <c r="B128" i="4"/>
  <c r="E128" i="4"/>
  <c r="D128" i="4"/>
  <c r="C128" i="4"/>
  <c r="F128" i="4"/>
  <c r="B129" i="4"/>
  <c r="E129" i="4"/>
  <c r="D129" i="4"/>
  <c r="C129" i="4"/>
  <c r="F129" i="4"/>
  <c r="B130" i="4"/>
  <c r="E130" i="4"/>
  <c r="D130" i="4"/>
  <c r="C130" i="4"/>
  <c r="F130" i="4"/>
  <c r="B131" i="4"/>
  <c r="E131" i="4"/>
  <c r="D131" i="4"/>
  <c r="C131" i="4"/>
  <c r="F131" i="4"/>
  <c r="B132" i="4"/>
  <c r="E132" i="4"/>
  <c r="D132" i="4"/>
  <c r="C132" i="4"/>
  <c r="F132" i="4"/>
  <c r="B133" i="4"/>
  <c r="E133" i="4"/>
  <c r="D133" i="4"/>
  <c r="C133" i="4"/>
  <c r="F133" i="4"/>
  <c r="B134" i="4"/>
  <c r="E134" i="4"/>
  <c r="D134" i="4"/>
  <c r="C134" i="4"/>
  <c r="F134" i="4"/>
  <c r="B135" i="4"/>
  <c r="E135" i="4"/>
  <c r="D135" i="4"/>
  <c r="C135" i="4"/>
  <c r="F135" i="4"/>
  <c r="B136" i="4"/>
  <c r="E136" i="4"/>
  <c r="D136" i="4"/>
  <c r="C136" i="4"/>
  <c r="F136" i="4"/>
  <c r="B138" i="4"/>
  <c r="E138" i="4"/>
  <c r="D138" i="4"/>
  <c r="C138" i="4"/>
  <c r="F138" i="4"/>
  <c r="B139" i="4"/>
  <c r="E139" i="4"/>
  <c r="D139" i="4"/>
  <c r="C139" i="4"/>
  <c r="F139" i="4"/>
  <c r="B140" i="4"/>
  <c r="E140" i="4"/>
  <c r="D140" i="4"/>
  <c r="C140" i="4"/>
  <c r="F140" i="4"/>
  <c r="B141" i="4"/>
  <c r="E141" i="4"/>
  <c r="D141" i="4"/>
  <c r="C141" i="4"/>
  <c r="F141" i="4"/>
  <c r="B142" i="4"/>
  <c r="E142" i="4"/>
  <c r="D142" i="4"/>
  <c r="C142" i="4"/>
  <c r="F142" i="4"/>
  <c r="B143" i="4"/>
  <c r="E143" i="4"/>
  <c r="D143" i="4"/>
  <c r="C143" i="4"/>
  <c r="F143" i="4"/>
  <c r="B144" i="4"/>
  <c r="E144" i="4"/>
  <c r="D144" i="4"/>
  <c r="C144" i="4"/>
  <c r="F144" i="4"/>
  <c r="B145" i="4"/>
  <c r="E145" i="4"/>
  <c r="D145" i="4"/>
  <c r="C145" i="4"/>
  <c r="F145" i="4"/>
  <c r="B146" i="4"/>
  <c r="E146" i="4"/>
  <c r="D146" i="4"/>
  <c r="C146" i="4"/>
  <c r="F146" i="4"/>
  <c r="B147" i="4"/>
  <c r="E147" i="4"/>
  <c r="D147" i="4"/>
  <c r="C147" i="4"/>
  <c r="F147" i="4"/>
  <c r="B148" i="4"/>
  <c r="E148" i="4"/>
  <c r="D148" i="4"/>
  <c r="C148" i="4"/>
  <c r="F148" i="4"/>
  <c r="B149" i="4"/>
  <c r="E149" i="4"/>
  <c r="D149" i="4"/>
  <c r="C149" i="4"/>
  <c r="F149" i="4"/>
  <c r="B152" i="4"/>
  <c r="E152" i="4"/>
  <c r="D152" i="4"/>
  <c r="C152" i="4"/>
  <c r="F152" i="4"/>
  <c r="B153" i="4"/>
  <c r="E153" i="4"/>
  <c r="D153" i="4"/>
  <c r="C153" i="4"/>
  <c r="F153" i="4"/>
  <c r="B154" i="4"/>
  <c r="E154" i="4"/>
  <c r="D154" i="4"/>
  <c r="C154" i="4"/>
  <c r="F154" i="4"/>
  <c r="B155" i="4"/>
  <c r="E155" i="4"/>
  <c r="D155" i="4"/>
  <c r="C155" i="4"/>
  <c r="F155" i="4"/>
  <c r="B156" i="4"/>
  <c r="E156" i="4"/>
  <c r="D156" i="4"/>
  <c r="C156" i="4"/>
  <c r="F156" i="4"/>
  <c r="B157" i="4"/>
  <c r="E157" i="4"/>
  <c r="D157" i="4"/>
  <c r="C157" i="4"/>
  <c r="F157" i="4"/>
  <c r="B158" i="4"/>
  <c r="E158" i="4"/>
  <c r="D158" i="4"/>
  <c r="C158" i="4"/>
  <c r="F158" i="4"/>
  <c r="B159" i="4"/>
  <c r="E159" i="4"/>
  <c r="D159" i="4"/>
  <c r="C159" i="4"/>
  <c r="F159" i="4"/>
  <c r="B160" i="4"/>
  <c r="E160" i="4"/>
  <c r="D160" i="4"/>
  <c r="C160" i="4"/>
  <c r="F160" i="4"/>
  <c r="B161" i="4"/>
  <c r="E161" i="4"/>
  <c r="D161" i="4"/>
  <c r="C161" i="4"/>
  <c r="F161" i="4"/>
  <c r="B162" i="4"/>
  <c r="E162" i="4"/>
  <c r="D162" i="4"/>
  <c r="C162" i="4"/>
  <c r="F162" i="4"/>
  <c r="B163" i="4"/>
  <c r="E163" i="4"/>
  <c r="D163" i="4"/>
  <c r="C163" i="4"/>
  <c r="F163" i="4"/>
  <c r="B166" i="4"/>
  <c r="E166" i="4"/>
  <c r="D166" i="4"/>
  <c r="C166" i="4"/>
  <c r="F166" i="4"/>
  <c r="B167" i="4"/>
  <c r="E167" i="4"/>
  <c r="D167" i="4"/>
  <c r="C167" i="4"/>
  <c r="F167" i="4"/>
  <c r="B168" i="4"/>
  <c r="E168" i="4"/>
  <c r="D168" i="4"/>
  <c r="C168" i="4"/>
  <c r="F168" i="4"/>
  <c r="B169" i="4"/>
  <c r="E169" i="4"/>
  <c r="D169" i="4"/>
  <c r="C169" i="4"/>
  <c r="F169" i="4"/>
  <c r="B170" i="4"/>
  <c r="E170" i="4"/>
  <c r="D170" i="4"/>
  <c r="C170" i="4"/>
  <c r="F170" i="4"/>
  <c r="B171" i="4"/>
  <c r="E171" i="4"/>
  <c r="D171" i="4"/>
  <c r="C171" i="4"/>
  <c r="F171" i="4"/>
  <c r="B172" i="4"/>
  <c r="E172" i="4"/>
  <c r="D172" i="4"/>
  <c r="C172" i="4"/>
  <c r="F172" i="4"/>
  <c r="B173" i="4"/>
  <c r="E173" i="4"/>
  <c r="D173" i="4"/>
  <c r="C173" i="4"/>
  <c r="F173" i="4"/>
  <c r="B174" i="4"/>
  <c r="E174" i="4"/>
  <c r="D174" i="4"/>
  <c r="C174" i="4"/>
  <c r="F174" i="4"/>
  <c r="B175" i="4"/>
  <c r="E175" i="4"/>
  <c r="D175" i="4"/>
  <c r="C175" i="4"/>
  <c r="F175" i="4"/>
  <c r="B176" i="4"/>
  <c r="E176" i="4"/>
  <c r="D176" i="4"/>
  <c r="C176" i="4"/>
  <c r="F176" i="4"/>
  <c r="B177" i="4"/>
  <c r="E177" i="4"/>
  <c r="D177" i="4"/>
  <c r="C177" i="4"/>
  <c r="F177" i="4"/>
  <c r="B180" i="4"/>
  <c r="E180" i="4"/>
  <c r="D180" i="4"/>
  <c r="C180" i="4"/>
  <c r="F180" i="4"/>
  <c r="B181" i="4"/>
  <c r="E181" i="4"/>
  <c r="D181" i="4"/>
  <c r="C181" i="4"/>
  <c r="F181" i="4"/>
  <c r="B182" i="4"/>
  <c r="E182" i="4"/>
  <c r="D182" i="4"/>
  <c r="C182" i="4"/>
  <c r="F182" i="4"/>
  <c r="B183" i="4"/>
  <c r="E183" i="4"/>
  <c r="D183" i="4"/>
  <c r="C183" i="4"/>
  <c r="F183" i="4"/>
  <c r="B184" i="4"/>
  <c r="E184" i="4"/>
  <c r="D184" i="4"/>
  <c r="C184" i="4"/>
  <c r="F184" i="4"/>
  <c r="B185" i="4"/>
  <c r="E185" i="4"/>
  <c r="D185" i="4"/>
  <c r="C185" i="4"/>
  <c r="F185" i="4"/>
  <c r="B186" i="4"/>
  <c r="E186" i="4"/>
  <c r="D186" i="4"/>
  <c r="C186" i="4"/>
  <c r="F186" i="4"/>
  <c r="B187" i="4"/>
  <c r="E187" i="4"/>
  <c r="D187" i="4"/>
  <c r="C187" i="4"/>
  <c r="F187" i="4"/>
  <c r="B188" i="4"/>
  <c r="E188" i="4"/>
  <c r="D188" i="4"/>
  <c r="C188" i="4"/>
  <c r="F188" i="4"/>
  <c r="B189" i="4"/>
  <c r="E189" i="4"/>
  <c r="D189" i="4"/>
  <c r="C189" i="4"/>
  <c r="F189" i="4"/>
  <c r="B190" i="4"/>
  <c r="E190" i="4"/>
  <c r="D190" i="4"/>
  <c r="C190" i="4"/>
  <c r="F190" i="4"/>
  <c r="B191" i="4"/>
  <c r="E191" i="4"/>
  <c r="D191" i="4"/>
  <c r="C191" i="4"/>
  <c r="F191" i="4"/>
  <c r="B194" i="4"/>
  <c r="D194" i="4"/>
  <c r="E194" i="4"/>
  <c r="C194" i="4"/>
  <c r="F194" i="4"/>
  <c r="B195" i="4"/>
  <c r="D195" i="4"/>
  <c r="E195" i="4"/>
  <c r="C195" i="4"/>
  <c r="F195" i="4"/>
  <c r="B196" i="4"/>
  <c r="D196" i="4"/>
  <c r="E196" i="4"/>
  <c r="C196" i="4"/>
  <c r="F196" i="4"/>
  <c r="B197" i="4"/>
  <c r="D197" i="4"/>
  <c r="E197" i="4"/>
  <c r="C197" i="4"/>
  <c r="F197" i="4"/>
  <c r="B198" i="4"/>
  <c r="D198" i="4"/>
  <c r="E198" i="4"/>
  <c r="C198" i="4"/>
  <c r="F198" i="4"/>
  <c r="B199" i="4"/>
  <c r="D199" i="4"/>
  <c r="E199" i="4"/>
  <c r="C199" i="4"/>
  <c r="F199" i="4"/>
  <c r="B200" i="4"/>
  <c r="D200" i="4"/>
  <c r="E200" i="4"/>
  <c r="C200" i="4"/>
  <c r="F200" i="4"/>
  <c r="B201" i="4"/>
  <c r="D201" i="4"/>
  <c r="E201" i="4"/>
  <c r="C201" i="4"/>
  <c r="F201" i="4"/>
  <c r="B202" i="4"/>
  <c r="D202" i="4"/>
  <c r="E202" i="4"/>
  <c r="C202" i="4"/>
  <c r="F202" i="4"/>
  <c r="B203" i="4"/>
  <c r="D203" i="4"/>
  <c r="E203" i="4"/>
  <c r="C203" i="4"/>
  <c r="F203" i="4"/>
  <c r="B204" i="4"/>
  <c r="D204" i="4"/>
  <c r="E204" i="4"/>
  <c r="C204" i="4"/>
  <c r="F204" i="4"/>
  <c r="B205" i="4"/>
  <c r="D205" i="4"/>
  <c r="D206" i="4"/>
  <c r="E205" i="4"/>
  <c r="C205" i="4"/>
  <c r="F205" i="4"/>
  <c r="D192" i="4"/>
  <c r="D178" i="4"/>
  <c r="D164" i="4"/>
  <c r="D150" i="4"/>
  <c r="D137" i="4"/>
  <c r="D124" i="4"/>
  <c r="D110" i="4"/>
  <c r="D96" i="4"/>
  <c r="D82" i="4"/>
  <c r="D69" i="4"/>
  <c r="D56" i="4"/>
  <c r="D42" i="4"/>
  <c r="D28" i="4"/>
  <c r="D14" i="4"/>
  <c r="D42" i="3"/>
  <c r="C70" i="3"/>
  <c r="D41" i="3"/>
  <c r="C72" i="3"/>
  <c r="C88" i="3"/>
  <c r="D17" i="3"/>
  <c r="D18" i="3"/>
  <c r="D3" i="3"/>
  <c r="D6" i="3"/>
  <c r="D20" i="3"/>
  <c r="D23" i="3"/>
  <c r="D24" i="3"/>
  <c r="D62" i="3"/>
  <c r="D26" i="3"/>
  <c r="D63" i="3"/>
  <c r="D64" i="3"/>
  <c r="D65" i="3"/>
  <c r="D66" i="3"/>
  <c r="D67" i="3"/>
  <c r="D38" i="3"/>
  <c r="D77" i="3"/>
  <c r="D11" i="3"/>
  <c r="D39" i="3"/>
  <c r="D78" i="3"/>
  <c r="D48" i="3"/>
  <c r="D79" i="3"/>
  <c r="D80" i="3"/>
  <c r="D88" i="3"/>
  <c r="E4" i="3"/>
  <c r="E5" i="3"/>
  <c r="E17" i="3"/>
  <c r="E7" i="3"/>
  <c r="E8" i="3"/>
  <c r="E18" i="3"/>
  <c r="E3" i="3"/>
  <c r="E6" i="3"/>
  <c r="E20" i="3"/>
  <c r="E23" i="3"/>
  <c r="E24" i="3"/>
  <c r="E62" i="3"/>
  <c r="E42" i="3"/>
  <c r="E26" i="3"/>
  <c r="E63" i="3"/>
  <c r="E64" i="3"/>
  <c r="E65" i="3"/>
  <c r="E66" i="3"/>
  <c r="E67" i="3"/>
  <c r="E10" i="3"/>
  <c r="E38" i="3"/>
  <c r="E77" i="3"/>
  <c r="E11" i="3"/>
  <c r="E39" i="3"/>
  <c r="E78" i="3"/>
  <c r="E12" i="3"/>
  <c r="E48" i="3"/>
  <c r="E79" i="3"/>
  <c r="E80" i="3"/>
  <c r="E88" i="3"/>
  <c r="F4" i="3"/>
  <c r="F5" i="3"/>
  <c r="F17" i="3"/>
  <c r="F7" i="3"/>
  <c r="F8" i="3"/>
  <c r="F18" i="3"/>
  <c r="F3" i="3"/>
  <c r="F6" i="3"/>
  <c r="F20" i="3"/>
  <c r="F23" i="3"/>
  <c r="F24" i="3"/>
  <c r="F62" i="3"/>
  <c r="F42" i="3"/>
  <c r="F26" i="3"/>
  <c r="F63" i="3"/>
  <c r="F64" i="3"/>
  <c r="F65" i="3"/>
  <c r="F66" i="3"/>
  <c r="F67" i="3"/>
  <c r="F10" i="3"/>
  <c r="F38" i="3"/>
  <c r="F77" i="3"/>
  <c r="F11" i="3"/>
  <c r="F39" i="3"/>
  <c r="F78" i="3"/>
  <c r="F12" i="3"/>
  <c r="F48" i="3"/>
  <c r="F79" i="3"/>
  <c r="F80" i="3"/>
  <c r="F88" i="3"/>
  <c r="G4" i="3"/>
  <c r="G5" i="3"/>
  <c r="G17" i="3"/>
  <c r="G7" i="3"/>
  <c r="G8" i="3"/>
  <c r="G18" i="3"/>
  <c r="G3" i="3"/>
  <c r="G6" i="3"/>
  <c r="G20" i="3"/>
  <c r="G23" i="3"/>
  <c r="G24" i="3"/>
  <c r="G62" i="3"/>
  <c r="G42" i="3"/>
  <c r="G26" i="3"/>
  <c r="G63" i="3"/>
  <c r="G64" i="3"/>
  <c r="G65" i="3"/>
  <c r="G66" i="3"/>
  <c r="G67" i="3"/>
  <c r="G10" i="3"/>
  <c r="G38" i="3"/>
  <c r="G77" i="3"/>
  <c r="G11" i="3"/>
  <c r="G39" i="3"/>
  <c r="G78" i="3"/>
  <c r="G12" i="3"/>
  <c r="G48" i="3"/>
  <c r="G79" i="3"/>
  <c r="G80" i="3"/>
  <c r="G88" i="3"/>
  <c r="H4" i="3"/>
  <c r="H5" i="3"/>
  <c r="H17" i="3"/>
  <c r="H7" i="3"/>
  <c r="H8" i="3"/>
  <c r="H18" i="3"/>
  <c r="H3" i="3"/>
  <c r="H6" i="3"/>
  <c r="H20" i="3"/>
  <c r="H23" i="3"/>
  <c r="H24" i="3"/>
  <c r="H62" i="3"/>
  <c r="H42" i="3"/>
  <c r="H26" i="3"/>
  <c r="H63" i="3"/>
  <c r="H64" i="3"/>
  <c r="H65" i="3"/>
  <c r="H66" i="3"/>
  <c r="H67" i="3"/>
  <c r="H10" i="3"/>
  <c r="H38" i="3"/>
  <c r="H77" i="3"/>
  <c r="H11" i="3"/>
  <c r="H39" i="3"/>
  <c r="H78" i="3"/>
  <c r="H12" i="3"/>
  <c r="H48" i="3"/>
  <c r="H79" i="3"/>
  <c r="H80" i="3"/>
  <c r="H88" i="3"/>
  <c r="I4" i="3"/>
  <c r="I5" i="3"/>
  <c r="I17" i="3"/>
  <c r="I7" i="3"/>
  <c r="I8" i="3"/>
  <c r="I18" i="3"/>
  <c r="I3" i="3"/>
  <c r="I6" i="3"/>
  <c r="I20" i="3"/>
  <c r="I23" i="3"/>
  <c r="I24" i="3"/>
  <c r="I62" i="3"/>
  <c r="I42" i="3"/>
  <c r="I26" i="3"/>
  <c r="I63" i="3"/>
  <c r="I64" i="3"/>
  <c r="I65" i="3"/>
  <c r="I66" i="3"/>
  <c r="I67" i="3"/>
  <c r="I10" i="3"/>
  <c r="I38" i="3"/>
  <c r="I77" i="3"/>
  <c r="I11" i="3"/>
  <c r="I39" i="3"/>
  <c r="I78" i="3"/>
  <c r="I12" i="3"/>
  <c r="I48" i="3"/>
  <c r="I79" i="3"/>
  <c r="I80" i="3"/>
  <c r="I88" i="3"/>
  <c r="J4" i="3"/>
  <c r="J5" i="3"/>
  <c r="J17" i="3"/>
  <c r="J7" i="3"/>
  <c r="J8" i="3"/>
  <c r="J18" i="3"/>
  <c r="J3" i="3"/>
  <c r="J6" i="3"/>
  <c r="J20" i="3"/>
  <c r="J23" i="3"/>
  <c r="J24" i="3"/>
  <c r="J62" i="3"/>
  <c r="J42" i="3"/>
  <c r="J26" i="3"/>
  <c r="J63" i="3"/>
  <c r="J64" i="3"/>
  <c r="J65" i="3"/>
  <c r="J66" i="3"/>
  <c r="J67" i="3"/>
  <c r="J10" i="3"/>
  <c r="J38" i="3"/>
  <c r="J77" i="3"/>
  <c r="J11" i="3"/>
  <c r="J39" i="3"/>
  <c r="J78" i="3"/>
  <c r="J12" i="3"/>
  <c r="J48" i="3"/>
  <c r="J79" i="3"/>
  <c r="J80" i="3"/>
  <c r="J88" i="3"/>
  <c r="K4" i="3"/>
  <c r="K5" i="3"/>
  <c r="K17" i="3"/>
  <c r="K7" i="3"/>
  <c r="K8" i="3"/>
  <c r="K18" i="3"/>
  <c r="K3" i="3"/>
  <c r="K6" i="3"/>
  <c r="K20" i="3"/>
  <c r="K23" i="3"/>
  <c r="K24" i="3"/>
  <c r="K62" i="3"/>
  <c r="K42" i="3"/>
  <c r="K26" i="3"/>
  <c r="K63" i="3"/>
  <c r="K64" i="3"/>
  <c r="K65" i="3"/>
  <c r="K66" i="3"/>
  <c r="K67" i="3"/>
  <c r="K10" i="3"/>
  <c r="K38" i="3"/>
  <c r="K77" i="3"/>
  <c r="K11" i="3"/>
  <c r="K39" i="3"/>
  <c r="K78" i="3"/>
  <c r="K12" i="3"/>
  <c r="K48" i="3"/>
  <c r="K79" i="3"/>
  <c r="K80" i="3"/>
  <c r="K88" i="3"/>
  <c r="L4" i="3"/>
  <c r="L5" i="3"/>
  <c r="L17" i="3"/>
  <c r="L7" i="3"/>
  <c r="L8" i="3"/>
  <c r="L18" i="3"/>
  <c r="L3" i="3"/>
  <c r="L6" i="3"/>
  <c r="L20" i="3"/>
  <c r="L23" i="3"/>
  <c r="L24" i="3"/>
  <c r="L62" i="3"/>
  <c r="L42" i="3"/>
  <c r="L26" i="3"/>
  <c r="L63" i="3"/>
  <c r="L64" i="3"/>
  <c r="L65" i="3"/>
  <c r="L66" i="3"/>
  <c r="L67" i="3"/>
  <c r="L10" i="3"/>
  <c r="L38" i="3"/>
  <c r="L77" i="3"/>
  <c r="L11" i="3"/>
  <c r="L39" i="3"/>
  <c r="L78" i="3"/>
  <c r="L12" i="3"/>
  <c r="L48" i="3"/>
  <c r="L79" i="3"/>
  <c r="L80" i="3"/>
  <c r="L88" i="3"/>
  <c r="M4" i="3"/>
  <c r="M5" i="3"/>
  <c r="M17" i="3"/>
  <c r="M7" i="3"/>
  <c r="M8" i="3"/>
  <c r="M18" i="3"/>
  <c r="M3" i="3"/>
  <c r="M6" i="3"/>
  <c r="M20" i="3"/>
  <c r="M23" i="3"/>
  <c r="M24" i="3"/>
  <c r="M62" i="3"/>
  <c r="M42" i="3"/>
  <c r="M26" i="3"/>
  <c r="M63" i="3"/>
  <c r="M64" i="3"/>
  <c r="M65" i="3"/>
  <c r="M66" i="3"/>
  <c r="M67" i="3"/>
  <c r="N71" i="3"/>
  <c r="M71" i="3"/>
  <c r="M73" i="3"/>
  <c r="D43" i="3"/>
  <c r="E43" i="3"/>
  <c r="F43" i="3"/>
  <c r="G43" i="3"/>
  <c r="H43" i="3"/>
  <c r="I43" i="3"/>
  <c r="J43" i="3"/>
  <c r="K43" i="3"/>
  <c r="L43" i="3"/>
  <c r="M43" i="3"/>
  <c r="O70" i="3"/>
  <c r="O69" i="3"/>
  <c r="O74" i="3"/>
  <c r="M74" i="3"/>
  <c r="M10" i="3"/>
  <c r="M38" i="3"/>
  <c r="M77" i="3"/>
  <c r="M11" i="3"/>
  <c r="M39" i="3"/>
  <c r="M78" i="3"/>
  <c r="M12" i="3"/>
  <c r="M48" i="3"/>
  <c r="M79" i="3"/>
  <c r="M80" i="3"/>
  <c r="M83" i="3"/>
  <c r="M84" i="3"/>
  <c r="M85" i="3"/>
  <c r="M86" i="3"/>
  <c r="M88" i="3"/>
  <c r="C93" i="3"/>
  <c r="C89" i="3"/>
  <c r="D89" i="3"/>
  <c r="E89" i="3"/>
  <c r="F89" i="3"/>
  <c r="G89" i="3"/>
  <c r="H89" i="3"/>
  <c r="I89" i="3"/>
  <c r="J89" i="3"/>
  <c r="K89" i="3"/>
  <c r="L89" i="3"/>
  <c r="M89" i="3"/>
  <c r="C92" i="3"/>
  <c r="O60" i="3"/>
  <c r="O61" i="3"/>
  <c r="D51" i="3"/>
  <c r="E51" i="3"/>
  <c r="F51" i="3"/>
  <c r="G51" i="3"/>
  <c r="H51" i="3"/>
  <c r="I51" i="3"/>
  <c r="J51" i="3"/>
  <c r="K51" i="3"/>
  <c r="L51" i="3"/>
  <c r="M51" i="3"/>
  <c r="N51" i="3"/>
  <c r="N52" i="3"/>
  <c r="E54" i="3"/>
  <c r="F54" i="3"/>
  <c r="G54" i="3"/>
  <c r="H54" i="3"/>
  <c r="I54" i="3"/>
  <c r="J54" i="3"/>
  <c r="K54" i="3"/>
  <c r="L54" i="3"/>
  <c r="M54" i="3"/>
  <c r="N54" i="3"/>
  <c r="D27" i="3"/>
  <c r="D28" i="3"/>
  <c r="D30" i="3"/>
  <c r="D31" i="3"/>
  <c r="D32" i="3"/>
  <c r="D55" i="3"/>
  <c r="E27" i="3"/>
  <c r="E28" i="3"/>
  <c r="E30" i="3"/>
  <c r="E31" i="3"/>
  <c r="E32" i="3"/>
  <c r="E55" i="3"/>
  <c r="F27" i="3"/>
  <c r="F28" i="3"/>
  <c r="F30" i="3"/>
  <c r="F31" i="3"/>
  <c r="F32" i="3"/>
  <c r="F55" i="3"/>
  <c r="G27" i="3"/>
  <c r="G28" i="3"/>
  <c r="G30" i="3"/>
  <c r="G31" i="3"/>
  <c r="G32" i="3"/>
  <c r="G55" i="3"/>
  <c r="E55" i="2"/>
  <c r="C55" i="2"/>
  <c r="F55" i="2"/>
  <c r="B57" i="2"/>
  <c r="D57" i="2"/>
  <c r="E57" i="2"/>
  <c r="C57" i="2"/>
  <c r="F57" i="2"/>
  <c r="B58" i="2"/>
  <c r="D58" i="2"/>
  <c r="E58" i="2"/>
  <c r="C58" i="2"/>
  <c r="F58" i="2"/>
  <c r="B59" i="2"/>
  <c r="D59" i="2"/>
  <c r="E59" i="2"/>
  <c r="C59" i="2"/>
  <c r="F59" i="2"/>
  <c r="B60" i="2"/>
  <c r="D60" i="2"/>
  <c r="E60" i="2"/>
  <c r="C60" i="2"/>
  <c r="F60" i="2"/>
  <c r="B61" i="2"/>
  <c r="D61" i="2"/>
  <c r="E61" i="2"/>
  <c r="C61" i="2"/>
  <c r="F61" i="2"/>
  <c r="B62" i="2"/>
  <c r="D62" i="2"/>
  <c r="E62" i="2"/>
  <c r="C62" i="2"/>
  <c r="F62" i="2"/>
  <c r="B63" i="2"/>
  <c r="D63" i="2"/>
  <c r="E63" i="2"/>
  <c r="C63" i="2"/>
  <c r="F63" i="2"/>
  <c r="B64" i="2"/>
  <c r="D64" i="2"/>
  <c r="E64" i="2"/>
  <c r="C64" i="2"/>
  <c r="F64" i="2"/>
  <c r="B65" i="2"/>
  <c r="D65" i="2"/>
  <c r="E65" i="2"/>
  <c r="C65" i="2"/>
  <c r="F65" i="2"/>
  <c r="B66" i="2"/>
  <c r="D66" i="2"/>
  <c r="E66" i="2"/>
  <c r="C66" i="2"/>
  <c r="F66" i="2"/>
  <c r="B67" i="2"/>
  <c r="D67" i="2"/>
  <c r="E67" i="2"/>
  <c r="C67" i="2"/>
  <c r="F67" i="2"/>
  <c r="B68" i="2"/>
  <c r="D68" i="2"/>
  <c r="D69" i="2"/>
  <c r="H27" i="3"/>
  <c r="H28" i="3"/>
  <c r="H30" i="3"/>
  <c r="H31" i="3"/>
  <c r="H32" i="3"/>
  <c r="H55" i="3"/>
  <c r="E68" i="2"/>
  <c r="C68" i="2"/>
  <c r="F68" i="2"/>
  <c r="B70" i="2"/>
  <c r="D70" i="2"/>
  <c r="E70" i="2"/>
  <c r="C70" i="2"/>
  <c r="F70" i="2"/>
  <c r="B71" i="2"/>
  <c r="D71" i="2"/>
  <c r="E71" i="2"/>
  <c r="C71" i="2"/>
  <c r="F71" i="2"/>
  <c r="B72" i="2"/>
  <c r="D72" i="2"/>
  <c r="E72" i="2"/>
  <c r="C72" i="2"/>
  <c r="F72" i="2"/>
  <c r="B73" i="2"/>
  <c r="D73" i="2"/>
  <c r="E73" i="2"/>
  <c r="C73" i="2"/>
  <c r="F73" i="2"/>
  <c r="B74" i="2"/>
  <c r="D74" i="2"/>
  <c r="E74" i="2"/>
  <c r="C74" i="2"/>
  <c r="F74" i="2"/>
  <c r="B75" i="2"/>
  <c r="D75" i="2"/>
  <c r="E75" i="2"/>
  <c r="C75" i="2"/>
  <c r="F75" i="2"/>
  <c r="B76" i="2"/>
  <c r="D76" i="2"/>
  <c r="E76" i="2"/>
  <c r="C76" i="2"/>
  <c r="F76" i="2"/>
  <c r="B77" i="2"/>
  <c r="D77" i="2"/>
  <c r="E77" i="2"/>
  <c r="C77" i="2"/>
  <c r="F77" i="2"/>
  <c r="B78" i="2"/>
  <c r="D78" i="2"/>
  <c r="E78" i="2"/>
  <c r="C78" i="2"/>
  <c r="F78" i="2"/>
  <c r="B79" i="2"/>
  <c r="D79" i="2"/>
  <c r="E79" i="2"/>
  <c r="C79" i="2"/>
  <c r="F79" i="2"/>
  <c r="B80" i="2"/>
  <c r="D80" i="2"/>
  <c r="E80" i="2"/>
  <c r="C80" i="2"/>
  <c r="F80" i="2"/>
  <c r="B81" i="2"/>
  <c r="D81" i="2"/>
  <c r="D82" i="2"/>
  <c r="I27" i="3"/>
  <c r="I28" i="3"/>
  <c r="I30" i="3"/>
  <c r="I31" i="3"/>
  <c r="I32" i="3"/>
  <c r="I55" i="3"/>
  <c r="E81" i="2"/>
  <c r="C81" i="2"/>
  <c r="F81" i="2"/>
  <c r="B84" i="2"/>
  <c r="D84" i="2"/>
  <c r="E84" i="2"/>
  <c r="C84" i="2"/>
  <c r="F84" i="2"/>
  <c r="B85" i="2"/>
  <c r="D85" i="2"/>
  <c r="E85" i="2"/>
  <c r="C85" i="2"/>
  <c r="F85" i="2"/>
  <c r="B86" i="2"/>
  <c r="D86" i="2"/>
  <c r="E86" i="2"/>
  <c r="C86" i="2"/>
  <c r="F86" i="2"/>
  <c r="B87" i="2"/>
  <c r="D87" i="2"/>
  <c r="E87" i="2"/>
  <c r="C87" i="2"/>
  <c r="F87" i="2"/>
  <c r="B88" i="2"/>
  <c r="D88" i="2"/>
  <c r="E88" i="2"/>
  <c r="C88" i="2"/>
  <c r="F88" i="2"/>
  <c r="B89" i="2"/>
  <c r="D89" i="2"/>
  <c r="E89" i="2"/>
  <c r="C89" i="2"/>
  <c r="F89" i="2"/>
  <c r="B90" i="2"/>
  <c r="D90" i="2"/>
  <c r="E90" i="2"/>
  <c r="C90" i="2"/>
  <c r="F90" i="2"/>
  <c r="B91" i="2"/>
  <c r="D91" i="2"/>
  <c r="E91" i="2"/>
  <c r="C91" i="2"/>
  <c r="F91" i="2"/>
  <c r="B92" i="2"/>
  <c r="D92" i="2"/>
  <c r="E92" i="2"/>
  <c r="C92" i="2"/>
  <c r="F92" i="2"/>
  <c r="B93" i="2"/>
  <c r="D93" i="2"/>
  <c r="E93" i="2"/>
  <c r="C93" i="2"/>
  <c r="F93" i="2"/>
  <c r="B94" i="2"/>
  <c r="D94" i="2"/>
  <c r="E94" i="2"/>
  <c r="C94" i="2"/>
  <c r="F94" i="2"/>
  <c r="B95" i="2"/>
  <c r="D95" i="2"/>
  <c r="D96" i="2"/>
  <c r="J27" i="3"/>
  <c r="J28" i="3"/>
  <c r="J30" i="3"/>
  <c r="J31" i="3"/>
  <c r="J32" i="3"/>
  <c r="J55" i="3"/>
  <c r="E95" i="2"/>
  <c r="C95" i="2"/>
  <c r="F95" i="2"/>
  <c r="B98" i="2"/>
  <c r="D98" i="2"/>
  <c r="E98" i="2"/>
  <c r="C98" i="2"/>
  <c r="F98" i="2"/>
  <c r="B99" i="2"/>
  <c r="D99" i="2"/>
  <c r="E99" i="2"/>
  <c r="C99" i="2"/>
  <c r="F99" i="2"/>
  <c r="B100" i="2"/>
  <c r="D100" i="2"/>
  <c r="E100" i="2"/>
  <c r="C100" i="2"/>
  <c r="F100" i="2"/>
  <c r="B101" i="2"/>
  <c r="D101" i="2"/>
  <c r="E101" i="2"/>
  <c r="C101" i="2"/>
  <c r="F101" i="2"/>
  <c r="B102" i="2"/>
  <c r="D102" i="2"/>
  <c r="E102" i="2"/>
  <c r="C102" i="2"/>
  <c r="F102" i="2"/>
  <c r="B103" i="2"/>
  <c r="D103" i="2"/>
  <c r="E103" i="2"/>
  <c r="C103" i="2"/>
  <c r="F103" i="2"/>
  <c r="B104" i="2"/>
  <c r="D104" i="2"/>
  <c r="E104" i="2"/>
  <c r="C104" i="2"/>
  <c r="F104" i="2"/>
  <c r="B105" i="2"/>
  <c r="D105" i="2"/>
  <c r="E105" i="2"/>
  <c r="C105" i="2"/>
  <c r="F105" i="2"/>
  <c r="B106" i="2"/>
  <c r="D106" i="2"/>
  <c r="E106" i="2"/>
  <c r="C106" i="2"/>
  <c r="F106" i="2"/>
  <c r="B107" i="2"/>
  <c r="D107" i="2"/>
  <c r="E107" i="2"/>
  <c r="C107" i="2"/>
  <c r="F107" i="2"/>
  <c r="B108" i="2"/>
  <c r="D108" i="2"/>
  <c r="E108" i="2"/>
  <c r="C108" i="2"/>
  <c r="F108" i="2"/>
  <c r="B109" i="2"/>
  <c r="D109" i="2"/>
  <c r="D110" i="2"/>
  <c r="K27" i="3"/>
  <c r="K28" i="3"/>
  <c r="K30" i="3"/>
  <c r="K31" i="3"/>
  <c r="K32" i="3"/>
  <c r="K55" i="3"/>
  <c r="E109" i="2"/>
  <c r="C109" i="2"/>
  <c r="F109" i="2"/>
  <c r="B112" i="2"/>
  <c r="D112" i="2"/>
  <c r="E112" i="2"/>
  <c r="C112" i="2"/>
  <c r="F112" i="2"/>
  <c r="B113" i="2"/>
  <c r="D113" i="2"/>
  <c r="E113" i="2"/>
  <c r="C113" i="2"/>
  <c r="F113" i="2"/>
  <c r="B114" i="2"/>
  <c r="D114" i="2"/>
  <c r="E114" i="2"/>
  <c r="C114" i="2"/>
  <c r="F114" i="2"/>
  <c r="B115" i="2"/>
  <c r="D115" i="2"/>
  <c r="E115" i="2"/>
  <c r="C115" i="2"/>
  <c r="F115" i="2"/>
  <c r="B116" i="2"/>
  <c r="D116" i="2"/>
  <c r="E116" i="2"/>
  <c r="C116" i="2"/>
  <c r="F116" i="2"/>
  <c r="B117" i="2"/>
  <c r="D117" i="2"/>
  <c r="E117" i="2"/>
  <c r="C117" i="2"/>
  <c r="F117" i="2"/>
  <c r="B118" i="2"/>
  <c r="D118" i="2"/>
  <c r="E118" i="2"/>
  <c r="C118" i="2"/>
  <c r="F118" i="2"/>
  <c r="B119" i="2"/>
  <c r="D119" i="2"/>
  <c r="E119" i="2"/>
  <c r="C119" i="2"/>
  <c r="F119" i="2"/>
  <c r="B120" i="2"/>
  <c r="D120" i="2"/>
  <c r="E120" i="2"/>
  <c r="C120" i="2"/>
  <c r="F120" i="2"/>
  <c r="B121" i="2"/>
  <c r="D121" i="2"/>
  <c r="E121" i="2"/>
  <c r="C121" i="2"/>
  <c r="F121" i="2"/>
  <c r="B122" i="2"/>
  <c r="D122" i="2"/>
  <c r="E122" i="2"/>
  <c r="C122" i="2"/>
  <c r="F122" i="2"/>
  <c r="B123" i="2"/>
  <c r="D123" i="2"/>
  <c r="D124" i="2"/>
  <c r="L27" i="3"/>
  <c r="L28" i="3"/>
  <c r="L30" i="3"/>
  <c r="L31" i="3"/>
  <c r="L32" i="3"/>
  <c r="L55" i="3"/>
  <c r="E123" i="2"/>
  <c r="C123" i="2"/>
  <c r="F123" i="2"/>
  <c r="B125" i="2"/>
  <c r="D125" i="2"/>
  <c r="E125" i="2"/>
  <c r="C125" i="2"/>
  <c r="F125" i="2"/>
  <c r="B126" i="2"/>
  <c r="D126" i="2"/>
  <c r="E126" i="2"/>
  <c r="C126" i="2"/>
  <c r="F126" i="2"/>
  <c r="B127" i="2"/>
  <c r="D127" i="2"/>
  <c r="E127" i="2"/>
  <c r="C127" i="2"/>
  <c r="F127" i="2"/>
  <c r="B128" i="2"/>
  <c r="D128" i="2"/>
  <c r="E128" i="2"/>
  <c r="C128" i="2"/>
  <c r="F128" i="2"/>
  <c r="B129" i="2"/>
  <c r="D129" i="2"/>
  <c r="E129" i="2"/>
  <c r="C129" i="2"/>
  <c r="F129" i="2"/>
  <c r="B130" i="2"/>
  <c r="D130" i="2"/>
  <c r="E130" i="2"/>
  <c r="C130" i="2"/>
  <c r="F130" i="2"/>
  <c r="B131" i="2"/>
  <c r="D131" i="2"/>
  <c r="E131" i="2"/>
  <c r="C131" i="2"/>
  <c r="F131" i="2"/>
  <c r="B132" i="2"/>
  <c r="D132" i="2"/>
  <c r="E132" i="2"/>
  <c r="C132" i="2"/>
  <c r="F132" i="2"/>
  <c r="B133" i="2"/>
  <c r="D133" i="2"/>
  <c r="E133" i="2"/>
  <c r="C133" i="2"/>
  <c r="F133" i="2"/>
  <c r="B134" i="2"/>
  <c r="D134" i="2"/>
  <c r="E134" i="2"/>
  <c r="C134" i="2"/>
  <c r="F134" i="2"/>
  <c r="B135" i="2"/>
  <c r="D135" i="2"/>
  <c r="E135" i="2"/>
  <c r="C135" i="2"/>
  <c r="F135" i="2"/>
  <c r="B136" i="2"/>
  <c r="D136" i="2"/>
  <c r="D137" i="2"/>
  <c r="M27" i="3"/>
  <c r="M28" i="3"/>
  <c r="M30" i="3"/>
  <c r="M31" i="3"/>
  <c r="M32" i="3"/>
  <c r="M55" i="3"/>
  <c r="N55" i="3"/>
  <c r="N57" i="3"/>
  <c r="O51" i="3"/>
  <c r="O52" i="3"/>
  <c r="O54" i="3"/>
  <c r="O62" i="3"/>
  <c r="E36" i="3"/>
  <c r="F36" i="3"/>
  <c r="G36" i="3"/>
  <c r="H36" i="3"/>
  <c r="I36" i="3"/>
  <c r="J36" i="3"/>
  <c r="K36" i="3"/>
  <c r="L36" i="3"/>
  <c r="M36" i="3"/>
  <c r="E41" i="3"/>
  <c r="F41" i="3"/>
  <c r="G41" i="3"/>
  <c r="H41" i="3"/>
  <c r="I41" i="3"/>
  <c r="J41" i="3"/>
  <c r="K41" i="3"/>
  <c r="L41" i="3"/>
  <c r="M41" i="3"/>
  <c r="M45" i="3"/>
  <c r="M49" i="3"/>
  <c r="M57" i="3"/>
  <c r="M58" i="3"/>
  <c r="L45" i="3"/>
  <c r="L49" i="3"/>
  <c r="L57" i="3"/>
  <c r="L58" i="3"/>
  <c r="K45" i="3"/>
  <c r="K49" i="3"/>
  <c r="K57" i="3"/>
  <c r="K58" i="3"/>
  <c r="J45" i="3"/>
  <c r="J49" i="3"/>
  <c r="J57" i="3"/>
  <c r="J58" i="3"/>
  <c r="I45" i="3"/>
  <c r="I49" i="3"/>
  <c r="I57" i="3"/>
  <c r="I58" i="3"/>
  <c r="H45" i="3"/>
  <c r="H49" i="3"/>
  <c r="H57" i="3"/>
  <c r="H58" i="3"/>
  <c r="G45" i="3"/>
  <c r="G49" i="3"/>
  <c r="G57" i="3"/>
  <c r="G58" i="3"/>
  <c r="F45" i="3"/>
  <c r="F49" i="3"/>
  <c r="F57" i="3"/>
  <c r="F58" i="3"/>
  <c r="E45" i="3"/>
  <c r="E49" i="3"/>
  <c r="E57" i="3"/>
  <c r="E58" i="3"/>
  <c r="D45" i="3"/>
  <c r="D49" i="3"/>
  <c r="D57" i="3"/>
  <c r="D58" i="3"/>
  <c r="P51" i="3"/>
  <c r="Q51" i="3"/>
  <c r="R51" i="3"/>
  <c r="P52" i="3"/>
  <c r="Q52" i="3"/>
  <c r="R52" i="3"/>
  <c r="O46" i="3"/>
  <c r="O48" i="3"/>
  <c r="P54" i="3"/>
  <c r="Q54" i="3"/>
  <c r="R54" i="3"/>
  <c r="R57" i="3"/>
  <c r="E136" i="2"/>
  <c r="C136" i="2"/>
  <c r="F136" i="2"/>
  <c r="B138" i="2"/>
  <c r="E138" i="2"/>
  <c r="D138" i="2"/>
  <c r="C138" i="2"/>
  <c r="F138" i="2"/>
  <c r="B139" i="2"/>
  <c r="E139" i="2"/>
  <c r="D139" i="2"/>
  <c r="C139" i="2"/>
  <c r="F139" i="2"/>
  <c r="B140" i="2"/>
  <c r="E140" i="2"/>
  <c r="D140" i="2"/>
  <c r="C140" i="2"/>
  <c r="F140" i="2"/>
  <c r="B141" i="2"/>
  <c r="E141" i="2"/>
  <c r="D141" i="2"/>
  <c r="C141" i="2"/>
  <c r="F141" i="2"/>
  <c r="B142" i="2"/>
  <c r="E142" i="2"/>
  <c r="D142" i="2"/>
  <c r="C142" i="2"/>
  <c r="F142" i="2"/>
  <c r="B143" i="2"/>
  <c r="E143" i="2"/>
  <c r="D143" i="2"/>
  <c r="C143" i="2"/>
  <c r="F143" i="2"/>
  <c r="B144" i="2"/>
  <c r="E144" i="2"/>
  <c r="D144" i="2"/>
  <c r="C144" i="2"/>
  <c r="F144" i="2"/>
  <c r="B145" i="2"/>
  <c r="E145" i="2"/>
  <c r="D145" i="2"/>
  <c r="C145" i="2"/>
  <c r="F145" i="2"/>
  <c r="B146" i="2"/>
  <c r="E146" i="2"/>
  <c r="D146" i="2"/>
  <c r="C146" i="2"/>
  <c r="F146" i="2"/>
  <c r="B147" i="2"/>
  <c r="E147" i="2"/>
  <c r="D147" i="2"/>
  <c r="C147" i="2"/>
  <c r="F147" i="2"/>
  <c r="B148" i="2"/>
  <c r="E148" i="2"/>
  <c r="D148" i="2"/>
  <c r="C148" i="2"/>
  <c r="F148" i="2"/>
  <c r="B149" i="2"/>
  <c r="E149" i="2"/>
  <c r="D149" i="2"/>
  <c r="C149" i="2"/>
  <c r="F149" i="2"/>
  <c r="B152" i="2"/>
  <c r="E152" i="2"/>
  <c r="D152" i="2"/>
  <c r="C152" i="2"/>
  <c r="F152" i="2"/>
  <c r="B153" i="2"/>
  <c r="E153" i="2"/>
  <c r="D153" i="2"/>
  <c r="C153" i="2"/>
  <c r="F153" i="2"/>
  <c r="B154" i="2"/>
  <c r="E154" i="2"/>
  <c r="D154" i="2"/>
  <c r="C154" i="2"/>
  <c r="F154" i="2"/>
  <c r="B155" i="2"/>
  <c r="E155" i="2"/>
  <c r="D155" i="2"/>
  <c r="C155" i="2"/>
  <c r="F155" i="2"/>
  <c r="B156" i="2"/>
  <c r="E156" i="2"/>
  <c r="D156" i="2"/>
  <c r="C156" i="2"/>
  <c r="F156" i="2"/>
  <c r="B157" i="2"/>
  <c r="E157" i="2"/>
  <c r="D157" i="2"/>
  <c r="C157" i="2"/>
  <c r="F157" i="2"/>
  <c r="B158" i="2"/>
  <c r="E158" i="2"/>
  <c r="D158" i="2"/>
  <c r="C158" i="2"/>
  <c r="F158" i="2"/>
  <c r="B159" i="2"/>
  <c r="E159" i="2"/>
  <c r="D159" i="2"/>
  <c r="C159" i="2"/>
  <c r="F159" i="2"/>
  <c r="B160" i="2"/>
  <c r="E160" i="2"/>
  <c r="D160" i="2"/>
  <c r="C160" i="2"/>
  <c r="F160" i="2"/>
  <c r="B161" i="2"/>
  <c r="E161" i="2"/>
  <c r="D161" i="2"/>
  <c r="C161" i="2"/>
  <c r="F161" i="2"/>
  <c r="B162" i="2"/>
  <c r="E162" i="2"/>
  <c r="D162" i="2"/>
  <c r="C162" i="2"/>
  <c r="F162" i="2"/>
  <c r="B163" i="2"/>
  <c r="E163" i="2"/>
  <c r="D163" i="2"/>
  <c r="C163" i="2"/>
  <c r="F163" i="2"/>
  <c r="B166" i="2"/>
  <c r="E166" i="2"/>
  <c r="D166" i="2"/>
  <c r="C166" i="2"/>
  <c r="F166" i="2"/>
  <c r="B167" i="2"/>
  <c r="E167" i="2"/>
  <c r="D167" i="2"/>
  <c r="C167" i="2"/>
  <c r="F167" i="2"/>
  <c r="B168" i="2"/>
  <c r="E168" i="2"/>
  <c r="D168" i="2"/>
  <c r="C168" i="2"/>
  <c r="F168" i="2"/>
  <c r="B169" i="2"/>
  <c r="E169" i="2"/>
  <c r="D169" i="2"/>
  <c r="C169" i="2"/>
  <c r="F169" i="2"/>
  <c r="B170" i="2"/>
  <c r="E170" i="2"/>
  <c r="D170" i="2"/>
  <c r="C170" i="2"/>
  <c r="F170" i="2"/>
  <c r="B171" i="2"/>
  <c r="E171" i="2"/>
  <c r="D171" i="2"/>
  <c r="C171" i="2"/>
  <c r="F171" i="2"/>
  <c r="B172" i="2"/>
  <c r="E172" i="2"/>
  <c r="D172" i="2"/>
  <c r="C172" i="2"/>
  <c r="F172" i="2"/>
  <c r="B173" i="2"/>
  <c r="E173" i="2"/>
  <c r="D173" i="2"/>
  <c r="C173" i="2"/>
  <c r="F173" i="2"/>
  <c r="B174" i="2"/>
  <c r="E174" i="2"/>
  <c r="D174" i="2"/>
  <c r="C174" i="2"/>
  <c r="F174" i="2"/>
  <c r="B175" i="2"/>
  <c r="E175" i="2"/>
  <c r="D175" i="2"/>
  <c r="C175" i="2"/>
  <c r="F175" i="2"/>
  <c r="B176" i="2"/>
  <c r="E176" i="2"/>
  <c r="D176" i="2"/>
  <c r="C176" i="2"/>
  <c r="F176" i="2"/>
  <c r="B177" i="2"/>
  <c r="E177" i="2"/>
  <c r="D177" i="2"/>
  <c r="C177" i="2"/>
  <c r="F177" i="2"/>
  <c r="B180" i="2"/>
  <c r="E180" i="2"/>
  <c r="D180" i="2"/>
  <c r="C180" i="2"/>
  <c r="F180" i="2"/>
  <c r="B181" i="2"/>
  <c r="E181" i="2"/>
  <c r="D181" i="2"/>
  <c r="C181" i="2"/>
  <c r="F181" i="2"/>
  <c r="B182" i="2"/>
  <c r="E182" i="2"/>
  <c r="D182" i="2"/>
  <c r="C182" i="2"/>
  <c r="F182" i="2"/>
  <c r="B183" i="2"/>
  <c r="E183" i="2"/>
  <c r="D183" i="2"/>
  <c r="C183" i="2"/>
  <c r="F183" i="2"/>
  <c r="B184" i="2"/>
  <c r="E184" i="2"/>
  <c r="D184" i="2"/>
  <c r="C184" i="2"/>
  <c r="F184" i="2"/>
  <c r="B185" i="2"/>
  <c r="E185" i="2"/>
  <c r="D185" i="2"/>
  <c r="C185" i="2"/>
  <c r="F185" i="2"/>
  <c r="B186" i="2"/>
  <c r="E186" i="2"/>
  <c r="D186" i="2"/>
  <c r="C186" i="2"/>
  <c r="F186" i="2"/>
  <c r="B187" i="2"/>
  <c r="E187" i="2"/>
  <c r="D187" i="2"/>
  <c r="C187" i="2"/>
  <c r="F187" i="2"/>
  <c r="B188" i="2"/>
  <c r="E188" i="2"/>
  <c r="D188" i="2"/>
  <c r="C188" i="2"/>
  <c r="F188" i="2"/>
  <c r="B189" i="2"/>
  <c r="E189" i="2"/>
  <c r="D189" i="2"/>
  <c r="C189" i="2"/>
  <c r="F189" i="2"/>
  <c r="B190" i="2"/>
  <c r="E190" i="2"/>
  <c r="D190" i="2"/>
  <c r="C190" i="2"/>
  <c r="F190" i="2"/>
  <c r="B191" i="2"/>
  <c r="E191" i="2"/>
  <c r="D191" i="2"/>
  <c r="C191" i="2"/>
  <c r="F191" i="2"/>
  <c r="B194" i="2"/>
  <c r="D194" i="2"/>
  <c r="E194" i="2"/>
  <c r="C194" i="2"/>
  <c r="F194" i="2"/>
  <c r="B195" i="2"/>
  <c r="D195" i="2"/>
  <c r="E195" i="2"/>
  <c r="C195" i="2"/>
  <c r="F195" i="2"/>
  <c r="B196" i="2"/>
  <c r="D196" i="2"/>
  <c r="E196" i="2"/>
  <c r="C196" i="2"/>
  <c r="F196" i="2"/>
  <c r="B197" i="2"/>
  <c r="D197" i="2"/>
  <c r="E197" i="2"/>
  <c r="C197" i="2"/>
  <c r="F197" i="2"/>
  <c r="B198" i="2"/>
  <c r="D198" i="2"/>
  <c r="E198" i="2"/>
  <c r="C198" i="2"/>
  <c r="F198" i="2"/>
  <c r="B199" i="2"/>
  <c r="D199" i="2"/>
  <c r="E199" i="2"/>
  <c r="C199" i="2"/>
  <c r="F199" i="2"/>
  <c r="B200" i="2"/>
  <c r="D200" i="2"/>
  <c r="E200" i="2"/>
  <c r="C200" i="2"/>
  <c r="F200" i="2"/>
  <c r="B201" i="2"/>
  <c r="D201" i="2"/>
  <c r="E201" i="2"/>
  <c r="C201" i="2"/>
  <c r="F201" i="2"/>
  <c r="B202" i="2"/>
  <c r="D202" i="2"/>
  <c r="E202" i="2"/>
  <c r="C202" i="2"/>
  <c r="F202" i="2"/>
  <c r="B203" i="2"/>
  <c r="D203" i="2"/>
  <c r="E203" i="2"/>
  <c r="C203" i="2"/>
  <c r="F203" i="2"/>
  <c r="B204" i="2"/>
  <c r="D204" i="2"/>
  <c r="E204" i="2"/>
  <c r="C204" i="2"/>
  <c r="F204" i="2"/>
  <c r="B205" i="2"/>
  <c r="D205" i="2"/>
  <c r="D206" i="2"/>
  <c r="E205" i="2"/>
  <c r="C205" i="2"/>
  <c r="F205" i="2"/>
  <c r="D192" i="2"/>
  <c r="D178" i="2"/>
  <c r="D164" i="2"/>
  <c r="D150" i="2"/>
  <c r="C70" i="1"/>
  <c r="D41" i="1"/>
  <c r="C72" i="1"/>
  <c r="C88" i="1"/>
  <c r="D17" i="1"/>
  <c r="D18" i="1"/>
  <c r="D3" i="1"/>
  <c r="D6" i="1"/>
  <c r="D20" i="1"/>
  <c r="D23" i="1"/>
  <c r="D24" i="1"/>
  <c r="D62" i="1"/>
  <c r="D63" i="1"/>
  <c r="D64" i="1"/>
  <c r="D65" i="1"/>
  <c r="D66" i="1"/>
  <c r="D67" i="1"/>
  <c r="D38" i="1"/>
  <c r="D77" i="1"/>
  <c r="D11" i="1"/>
  <c r="D39" i="1"/>
  <c r="D78" i="1"/>
  <c r="D48" i="1"/>
  <c r="D79" i="1"/>
  <c r="D80" i="1"/>
  <c r="D88" i="1"/>
  <c r="E4" i="1"/>
  <c r="E5" i="1"/>
  <c r="E17" i="1"/>
  <c r="E7" i="1"/>
  <c r="E8" i="1"/>
  <c r="E18" i="1"/>
  <c r="E3" i="1"/>
  <c r="E6" i="1"/>
  <c r="E20" i="1"/>
  <c r="E23" i="1"/>
  <c r="E24" i="1"/>
  <c r="E62" i="1"/>
  <c r="E63" i="1"/>
  <c r="E64" i="1"/>
  <c r="E65" i="1"/>
  <c r="E66" i="1"/>
  <c r="E67" i="1"/>
  <c r="E10" i="1"/>
  <c r="E38" i="1"/>
  <c r="E77" i="1"/>
  <c r="E11" i="1"/>
  <c r="E39" i="1"/>
  <c r="E78" i="1"/>
  <c r="E12" i="1"/>
  <c r="E48" i="1"/>
  <c r="E79" i="1"/>
  <c r="E80" i="1"/>
  <c r="E88" i="1"/>
  <c r="F4" i="1"/>
  <c r="F5" i="1"/>
  <c r="F17" i="1"/>
  <c r="F7" i="1"/>
  <c r="F8" i="1"/>
  <c r="F18" i="1"/>
  <c r="F3" i="1"/>
  <c r="F6" i="1"/>
  <c r="F20" i="1"/>
  <c r="F23" i="1"/>
  <c r="F24" i="1"/>
  <c r="F62" i="1"/>
  <c r="F63" i="1"/>
  <c r="F64" i="1"/>
  <c r="F65" i="1"/>
  <c r="F66" i="1"/>
  <c r="F67" i="1"/>
  <c r="F10" i="1"/>
  <c r="F38" i="1"/>
  <c r="F77" i="1"/>
  <c r="F11" i="1"/>
  <c r="F39" i="1"/>
  <c r="F78" i="1"/>
  <c r="F12" i="1"/>
  <c r="F48" i="1"/>
  <c r="F79" i="1"/>
  <c r="F80" i="1"/>
  <c r="F88" i="1"/>
  <c r="G4" i="1"/>
  <c r="G5" i="1"/>
  <c r="G17" i="1"/>
  <c r="G7" i="1"/>
  <c r="G8" i="1"/>
  <c r="G18" i="1"/>
  <c r="G3" i="1"/>
  <c r="G6" i="1"/>
  <c r="G20" i="1"/>
  <c r="G23" i="1"/>
  <c r="G24" i="1"/>
  <c r="G62" i="1"/>
  <c r="G63" i="1"/>
  <c r="G64" i="1"/>
  <c r="G65" i="1"/>
  <c r="G66" i="1"/>
  <c r="G67" i="1"/>
  <c r="G10" i="1"/>
  <c r="G38" i="1"/>
  <c r="G77" i="1"/>
  <c r="G11" i="1"/>
  <c r="G39" i="1"/>
  <c r="G78" i="1"/>
  <c r="G12" i="1"/>
  <c r="G48" i="1"/>
  <c r="G79" i="1"/>
  <c r="G80" i="1"/>
  <c r="G88" i="1"/>
  <c r="H4" i="1"/>
  <c r="H5" i="1"/>
  <c r="H17" i="1"/>
  <c r="H7" i="1"/>
  <c r="H8" i="1"/>
  <c r="H18" i="1"/>
  <c r="H3" i="1"/>
  <c r="H6" i="1"/>
  <c r="H20" i="1"/>
  <c r="H23" i="1"/>
  <c r="H24" i="1"/>
  <c r="H62" i="1"/>
  <c r="H63" i="1"/>
  <c r="H64" i="1"/>
  <c r="H65" i="1"/>
  <c r="H66" i="1"/>
  <c r="H67" i="1"/>
  <c r="H10" i="1"/>
  <c r="H38" i="1"/>
  <c r="H77" i="1"/>
  <c r="H11" i="1"/>
  <c r="H39" i="1"/>
  <c r="H78" i="1"/>
  <c r="H12" i="1"/>
  <c r="H48" i="1"/>
  <c r="H79" i="1"/>
  <c r="H80" i="1"/>
  <c r="H88" i="1"/>
  <c r="I4" i="1"/>
  <c r="I5" i="1"/>
  <c r="I17" i="1"/>
  <c r="I7" i="1"/>
  <c r="I8" i="1"/>
  <c r="I18" i="1"/>
  <c r="I3" i="1"/>
  <c r="I6" i="1"/>
  <c r="I20" i="1"/>
  <c r="I23" i="1"/>
  <c r="I24" i="1"/>
  <c r="I62" i="1"/>
  <c r="I63" i="1"/>
  <c r="I64" i="1"/>
  <c r="I65" i="1"/>
  <c r="I66" i="1"/>
  <c r="I67" i="1"/>
  <c r="I10" i="1"/>
  <c r="I38" i="1"/>
  <c r="I77" i="1"/>
  <c r="I11" i="1"/>
  <c r="I39" i="1"/>
  <c r="I78" i="1"/>
  <c r="I12" i="1"/>
  <c r="I48" i="1"/>
  <c r="I79" i="1"/>
  <c r="I80" i="1"/>
  <c r="I88" i="1"/>
  <c r="J4" i="1"/>
  <c r="J5" i="1"/>
  <c r="J17" i="1"/>
  <c r="J7" i="1"/>
  <c r="J8" i="1"/>
  <c r="J18" i="1"/>
  <c r="J3" i="1"/>
  <c r="J6" i="1"/>
  <c r="J20" i="1"/>
  <c r="J23" i="1"/>
  <c r="J24" i="1"/>
  <c r="J62" i="1"/>
  <c r="J63" i="1"/>
  <c r="J64" i="1"/>
  <c r="J65" i="1"/>
  <c r="J66" i="1"/>
  <c r="J67" i="1"/>
  <c r="J10" i="1"/>
  <c r="J38" i="1"/>
  <c r="J77" i="1"/>
  <c r="J11" i="1"/>
  <c r="J39" i="1"/>
  <c r="J78" i="1"/>
  <c r="J12" i="1"/>
  <c r="J48" i="1"/>
  <c r="J79" i="1"/>
  <c r="J80" i="1"/>
  <c r="J88" i="1"/>
  <c r="K4" i="1"/>
  <c r="K5" i="1"/>
  <c r="K17" i="1"/>
  <c r="K7" i="1"/>
  <c r="K8" i="1"/>
  <c r="K18" i="1"/>
  <c r="K3" i="1"/>
  <c r="K6" i="1"/>
  <c r="K20" i="1"/>
  <c r="K23" i="1"/>
  <c r="K24" i="1"/>
  <c r="K62" i="1"/>
  <c r="K63" i="1"/>
  <c r="K64" i="1"/>
  <c r="K65" i="1"/>
  <c r="K66" i="1"/>
  <c r="K67" i="1"/>
  <c r="K10" i="1"/>
  <c r="K38" i="1"/>
  <c r="K77" i="1"/>
  <c r="K11" i="1"/>
  <c r="K39" i="1"/>
  <c r="K78" i="1"/>
  <c r="K12" i="1"/>
  <c r="K48" i="1"/>
  <c r="K79" i="1"/>
  <c r="K80" i="1"/>
  <c r="K88" i="1"/>
  <c r="L4" i="1"/>
  <c r="L5" i="1"/>
  <c r="L17" i="1"/>
  <c r="L7" i="1"/>
  <c r="L8" i="1"/>
  <c r="L18" i="1"/>
  <c r="L3" i="1"/>
  <c r="L6" i="1"/>
  <c r="L20" i="1"/>
  <c r="L23" i="1"/>
  <c r="L24" i="1"/>
  <c r="L62" i="1"/>
  <c r="L63" i="1"/>
  <c r="L64" i="1"/>
  <c r="L65" i="1"/>
  <c r="L66" i="1"/>
  <c r="L67" i="1"/>
  <c r="L10" i="1"/>
  <c r="L38" i="1"/>
  <c r="L77" i="1"/>
  <c r="L11" i="1"/>
  <c r="L39" i="1"/>
  <c r="L78" i="1"/>
  <c r="L12" i="1"/>
  <c r="L48" i="1"/>
  <c r="L79" i="1"/>
  <c r="L80" i="1"/>
  <c r="L88" i="1"/>
  <c r="M4" i="1"/>
  <c r="M5" i="1"/>
  <c r="M17" i="1"/>
  <c r="M7" i="1"/>
  <c r="M8" i="1"/>
  <c r="M18" i="1"/>
  <c r="M3" i="1"/>
  <c r="M6" i="1"/>
  <c r="M20" i="1"/>
  <c r="M23" i="1"/>
  <c r="M24" i="1"/>
  <c r="M62" i="1"/>
  <c r="M63" i="1"/>
  <c r="M64" i="1"/>
  <c r="M65" i="1"/>
  <c r="M66" i="1"/>
  <c r="M67" i="1"/>
  <c r="M10" i="1"/>
  <c r="M38" i="1"/>
  <c r="M77" i="1"/>
  <c r="M11" i="1"/>
  <c r="M39" i="1"/>
  <c r="M78" i="1"/>
  <c r="M12" i="1"/>
  <c r="M48" i="1"/>
  <c r="M79" i="1"/>
  <c r="M80" i="1"/>
  <c r="M83" i="1"/>
  <c r="M84" i="1"/>
  <c r="M85" i="1"/>
  <c r="M86" i="1"/>
  <c r="M88" i="1"/>
  <c r="C93" i="1"/>
  <c r="C89" i="1"/>
  <c r="D89" i="1"/>
  <c r="E89" i="1"/>
  <c r="F89" i="1"/>
  <c r="G89" i="1"/>
  <c r="H89" i="1"/>
  <c r="I89" i="1"/>
  <c r="J89" i="1"/>
  <c r="K89" i="1"/>
  <c r="L89" i="1"/>
  <c r="M89" i="1"/>
  <c r="C92" i="1"/>
  <c r="E36" i="1"/>
  <c r="F36" i="1"/>
  <c r="G36" i="1"/>
  <c r="H36" i="1"/>
  <c r="I36" i="1"/>
  <c r="J36" i="1"/>
  <c r="K36" i="1"/>
  <c r="L36" i="1"/>
  <c r="M36" i="1"/>
  <c r="E41" i="1"/>
  <c r="F41" i="1"/>
  <c r="G41" i="1"/>
  <c r="H41" i="1"/>
  <c r="I41" i="1"/>
  <c r="J41" i="1"/>
  <c r="K41" i="1"/>
  <c r="L41" i="1"/>
  <c r="M41" i="1"/>
  <c r="M45" i="1"/>
  <c r="M27" i="1"/>
  <c r="M28" i="1"/>
  <c r="M30" i="1"/>
  <c r="M31" i="1"/>
  <c r="M49" i="1"/>
  <c r="M51" i="1"/>
  <c r="E54" i="1"/>
  <c r="F54" i="1"/>
  <c r="G54" i="1"/>
  <c r="H54" i="1"/>
  <c r="I54" i="1"/>
  <c r="J54" i="1"/>
  <c r="K54" i="1"/>
  <c r="L54" i="1"/>
  <c r="M54" i="1"/>
  <c r="D27" i="1"/>
  <c r="D28" i="1"/>
  <c r="D30" i="1"/>
  <c r="D31" i="1"/>
  <c r="D32" i="1"/>
  <c r="D55" i="1"/>
  <c r="E27" i="1"/>
  <c r="E28" i="1"/>
  <c r="E30" i="1"/>
  <c r="E31" i="1"/>
  <c r="E32" i="1"/>
  <c r="E55" i="1"/>
  <c r="F27" i="1"/>
  <c r="F28" i="1"/>
  <c r="F30" i="1"/>
  <c r="F31" i="1"/>
  <c r="F32" i="1"/>
  <c r="F55" i="1"/>
  <c r="G27" i="1"/>
  <c r="G28" i="1"/>
  <c r="G30" i="1"/>
  <c r="G31" i="1"/>
  <c r="G32" i="1"/>
  <c r="G55" i="1"/>
  <c r="H27" i="1"/>
  <c r="H28" i="1"/>
  <c r="H30" i="1"/>
  <c r="H31" i="1"/>
  <c r="H32" i="1"/>
  <c r="H55" i="1"/>
  <c r="I27" i="1"/>
  <c r="I28" i="1"/>
  <c r="I30" i="1"/>
  <c r="I31" i="1"/>
  <c r="I32" i="1"/>
  <c r="I55" i="1"/>
  <c r="J27" i="1"/>
  <c r="J28" i="1"/>
  <c r="J30" i="1"/>
  <c r="J31" i="1"/>
  <c r="J32" i="1"/>
  <c r="J55" i="1"/>
  <c r="K27" i="1"/>
  <c r="K28" i="1"/>
  <c r="K30" i="1"/>
  <c r="K31" i="1"/>
  <c r="K32" i="1"/>
  <c r="K55" i="1"/>
  <c r="L27" i="1"/>
  <c r="L28" i="1"/>
  <c r="L30" i="1"/>
  <c r="L31" i="1"/>
  <c r="L32" i="1"/>
  <c r="L55" i="1"/>
  <c r="M32" i="1"/>
  <c r="M55" i="1"/>
  <c r="M57" i="1"/>
  <c r="M58" i="1"/>
  <c r="L45" i="1"/>
  <c r="L49" i="1"/>
  <c r="L51" i="1"/>
  <c r="L57" i="1"/>
  <c r="L58" i="1"/>
  <c r="K45" i="1"/>
  <c r="K49" i="1"/>
  <c r="K51" i="1"/>
  <c r="K57" i="1"/>
  <c r="K58" i="1"/>
  <c r="J45" i="1"/>
  <c r="J49" i="1"/>
  <c r="J51" i="1"/>
  <c r="J57" i="1"/>
  <c r="J58" i="1"/>
  <c r="I45" i="1"/>
  <c r="I49" i="1"/>
  <c r="I51" i="1"/>
  <c r="I57" i="1"/>
  <c r="I58" i="1"/>
  <c r="H45" i="1"/>
  <c r="H49" i="1"/>
  <c r="H51" i="1"/>
  <c r="H57" i="1"/>
  <c r="H58" i="1"/>
  <c r="G45" i="1"/>
  <c r="G49" i="1"/>
  <c r="G51" i="1"/>
  <c r="G57" i="1"/>
  <c r="G58" i="1"/>
  <c r="F45" i="1"/>
  <c r="F49" i="1"/>
  <c r="F51" i="1"/>
  <c r="F57" i="1"/>
  <c r="F58" i="1"/>
  <c r="E45" i="1"/>
  <c r="E49" i="1"/>
  <c r="E51" i="1"/>
  <c r="E57" i="1"/>
  <c r="E58" i="1"/>
  <c r="D45" i="1"/>
  <c r="D49" i="1"/>
  <c r="D51" i="1"/>
  <c r="D57" i="1"/>
  <c r="D58" i="1"/>
  <c r="P51" i="1"/>
  <c r="Q51" i="1"/>
  <c r="N51" i="1"/>
  <c r="N52" i="1"/>
  <c r="N54" i="1"/>
  <c r="N55" i="1"/>
  <c r="N57" i="1"/>
  <c r="O51" i="1"/>
  <c r="R51" i="1"/>
  <c r="P52" i="1"/>
  <c r="Q52" i="1"/>
  <c r="O52" i="1"/>
  <c r="R52" i="1"/>
  <c r="R45" i="1"/>
  <c r="O54" i="1"/>
  <c r="R46" i="1"/>
  <c r="O45" i="1"/>
  <c r="O46" i="1"/>
  <c r="O48" i="1"/>
  <c r="P54" i="1"/>
  <c r="Q54" i="1"/>
  <c r="R54" i="1"/>
  <c r="R57" i="1"/>
</calcChain>
</file>

<file path=xl/sharedStrings.xml><?xml version="1.0" encoding="utf-8"?>
<sst xmlns="http://schemas.openxmlformats.org/spreadsheetml/2006/main" count="631" uniqueCount="144">
  <si>
    <t>OUTSIDE NUMBERS / ASSUMPTIONS</t>
  </si>
  <si>
    <t>Average gun cost</t>
  </si>
  <si>
    <t>Average Gun Price</t>
  </si>
  <si>
    <t>yearly change</t>
  </si>
  <si>
    <t>Guns sold</t>
  </si>
  <si>
    <t>Average cost of other items</t>
  </si>
  <si>
    <t>Average price of other items</t>
  </si>
  <si>
    <t>Other items sold</t>
  </si>
  <si>
    <t>Days of Accounts Receivable</t>
  </si>
  <si>
    <t>Day of Inventory</t>
  </si>
  <si>
    <t>Days of Accounts Payable (COGS)</t>
  </si>
  <si>
    <t>INCOME STATEMENT</t>
  </si>
  <si>
    <t>Revenue</t>
  </si>
  <si>
    <t>Gun</t>
  </si>
  <si>
    <t>Other Items (ammo, etc)</t>
  </si>
  <si>
    <t>Cost of Goods Sold</t>
  </si>
  <si>
    <t>Operating Expenses</t>
  </si>
  <si>
    <t>Employee Labor</t>
  </si>
  <si>
    <t>percent of Swim sales</t>
  </si>
  <si>
    <t>General and Admin</t>
  </si>
  <si>
    <t>percent of sales</t>
  </si>
  <si>
    <t>Depreciation</t>
  </si>
  <si>
    <t>year life</t>
  </si>
  <si>
    <t>Mortgage Loan Interest</t>
  </si>
  <si>
    <t>Mortgage Loan Interest Rate</t>
  </si>
  <si>
    <t>Extra Bank Loan Interest</t>
  </si>
  <si>
    <t>Extra Loan Interest Rate</t>
  </si>
  <si>
    <t>Taxable Income</t>
  </si>
  <si>
    <t>Income Tax Expense</t>
  </si>
  <si>
    <t>tax rate</t>
  </si>
  <si>
    <t>Net Income</t>
  </si>
  <si>
    <t>BALANCE SHEET</t>
  </si>
  <si>
    <t>Assets</t>
  </si>
  <si>
    <t>Minimum Cash Inventory</t>
  </si>
  <si>
    <t>Extra Cash Above Minimum</t>
  </si>
  <si>
    <t>Accounts Receivable</t>
  </si>
  <si>
    <t>Inventory</t>
  </si>
  <si>
    <t>Land</t>
  </si>
  <si>
    <t>Buildings</t>
  </si>
  <si>
    <t>building cost</t>
  </si>
  <si>
    <t>Accumulated Depreciation</t>
  </si>
  <si>
    <t>return equity holders want:</t>
  </si>
  <si>
    <t>unlevered beta</t>
  </si>
  <si>
    <t>Total Assets</t>
  </si>
  <si>
    <t>beta</t>
  </si>
  <si>
    <t>t-bill</t>
  </si>
  <si>
    <t>relevered beta</t>
  </si>
  <si>
    <t>Liabilities and Owners Equity</t>
  </si>
  <si>
    <t>s&amp;p</t>
  </si>
  <si>
    <t>Accounts Payable</t>
  </si>
  <si>
    <t>holders want</t>
  </si>
  <si>
    <t>Income Tax Payable</t>
  </si>
  <si>
    <t>average</t>
  </si>
  <si>
    <t>proportion</t>
  </si>
  <si>
    <t>rate</t>
  </si>
  <si>
    <t>after-tax rate</t>
  </si>
  <si>
    <t>weighted</t>
  </si>
  <si>
    <t>Mortgage Loan</t>
  </si>
  <si>
    <t>Extra Bank Loan</t>
  </si>
  <si>
    <t>Common Stock</t>
  </si>
  <si>
    <t>Retained Earnings</t>
  </si>
  <si>
    <t>Total Liabilities and Owners Equity</t>
  </si>
  <si>
    <t>WACC</t>
  </si>
  <si>
    <t>DFN</t>
  </si>
  <si>
    <t>FCF, NPV, IRR</t>
  </si>
  <si>
    <t>Cash from Operations</t>
  </si>
  <si>
    <t>Operating Profit</t>
  </si>
  <si>
    <t>Less: Depreciation</t>
  </si>
  <si>
    <t>Taxable Operating Income</t>
  </si>
  <si>
    <t>Taxes on OPERATIONS ONLY (=Taxes Payable)</t>
  </si>
  <si>
    <t>Add back: Depreciation</t>
  </si>
  <si>
    <t>Total Cash from Operations</t>
  </si>
  <si>
    <t>Cash in/out from Capital Expenditures</t>
  </si>
  <si>
    <t>gain</t>
  </si>
  <si>
    <t>Buy Building</t>
  </si>
  <si>
    <t>book</t>
  </si>
  <si>
    <t>Sell Building</t>
  </si>
  <si>
    <t>Buy Land</t>
  </si>
  <si>
    <t>Sell Land</t>
  </si>
  <si>
    <t>Taxes on Sale</t>
  </si>
  <si>
    <t>Cash in/out from Changes in Working Capital</t>
  </si>
  <si>
    <t>-</t>
  </si>
  <si>
    <t>+</t>
  </si>
  <si>
    <t>Income Tax Payable ON OPERATIONS ONLY</t>
  </si>
  <si>
    <t>Cash in/out from Liquidation of Working Capital</t>
  </si>
  <si>
    <t>Total Free Cash Flows</t>
  </si>
  <si>
    <t>Present Value of Total Free Cash Flows</t>
  </si>
  <si>
    <t>Cost of Capital</t>
  </si>
  <si>
    <t>NPV of Total Free Cash Flows</t>
  </si>
  <si>
    <t>IRR</t>
  </si>
  <si>
    <t>Beg Balance</t>
  </si>
  <si>
    <t>Principal</t>
  </si>
  <si>
    <t>Interest</t>
  </si>
  <si>
    <t>Payment</t>
  </si>
  <si>
    <t>End Balance</t>
  </si>
  <si>
    <t>Beginning Balance</t>
  </si>
  <si>
    <t>Jan Year 1</t>
  </si>
  <si>
    <t>Annual rate</t>
  </si>
  <si>
    <t>Monthly rate</t>
  </si>
  <si>
    <t>No. of years</t>
  </si>
  <si>
    <t>No. of months</t>
  </si>
  <si>
    <t>Dec Year 1</t>
  </si>
  <si>
    <t>TOTALS</t>
  </si>
  <si>
    <t>Jan Year 2</t>
  </si>
  <si>
    <t>Dec Year 2</t>
  </si>
  <si>
    <t>Jan Year 3</t>
  </si>
  <si>
    <t>Dec Year 3</t>
  </si>
  <si>
    <t>Jan Year 4</t>
  </si>
  <si>
    <t>Dec Year 4</t>
  </si>
  <si>
    <t>Jan Year 5</t>
  </si>
  <si>
    <t>Dec Year 5</t>
  </si>
  <si>
    <t>Jan Year 6</t>
  </si>
  <si>
    <t>Dec Year 6</t>
  </si>
  <si>
    <t>Jan Year 7</t>
  </si>
  <si>
    <t>Dec Year 7</t>
  </si>
  <si>
    <t>Jan Year 8</t>
  </si>
  <si>
    <t>Dec Year 8</t>
  </si>
  <si>
    <t>Jan Year 9</t>
  </si>
  <si>
    <t>Dec Year 9</t>
  </si>
  <si>
    <t>Jan Year 10</t>
  </si>
  <si>
    <t>Dec Year 10</t>
  </si>
  <si>
    <t>Jan Year 11</t>
  </si>
  <si>
    <t>Dec Year 11</t>
  </si>
  <si>
    <t>Jan Year 12</t>
  </si>
  <si>
    <t>Dec Year 12</t>
  </si>
  <si>
    <t>Jan Year 13</t>
  </si>
  <si>
    <t>Dec Year 13</t>
  </si>
  <si>
    <t>Jan Year 14</t>
  </si>
  <si>
    <t>Dec Year 14</t>
  </si>
  <si>
    <t>Good Market</t>
  </si>
  <si>
    <t>Sales Doubled</t>
  </si>
  <si>
    <t>Inventory cut in half</t>
  </si>
  <si>
    <t>took out more in</t>
  </si>
  <si>
    <t>mortgage and</t>
  </si>
  <si>
    <t>less in cs</t>
  </si>
  <si>
    <t/>
  </si>
  <si>
    <t>sell secured asset</t>
  </si>
  <si>
    <t>sell unsecured assets</t>
  </si>
  <si>
    <t>prop</t>
  </si>
  <si>
    <t>paid</t>
  </si>
  <si>
    <t>total paid</t>
  </si>
  <si>
    <t>paid on the dollar</t>
  </si>
  <si>
    <t>Bad Market</t>
  </si>
  <si>
    <t>Expected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</si>
</sst>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3" formatCode="_(* #,##0.00_);_(* \(#,##0.00\);_(* &quot;-&quot;??_);_(@_)"/>
    <numFmt numFmtId="164" formatCode="&quot;$&quot;#,##0.00;&quot;$&quot;\-#,##0.00"/>
    <numFmt numFmtId="165" formatCode="&quot;$&quot;#,##0;&quot;$&quot;\(#,##0\)"/>
    <numFmt numFmtId="166" formatCode="0.0%"/>
    <numFmt numFmtId="167" formatCode="&quot;$&quot;#,##0.00;&quot;$&quot;\(#,##0.00\)"/>
    <numFmt numFmtId="168" formatCode="&quot;$&quot;#,##0.00"/>
    <numFmt numFmtId="169" formatCode="#,##0.0;\(#,##0.0\)"/>
    <numFmt numFmtId="170" formatCode="&quot;$&quot;#,##0.00\ ;&quot;$&quot;\(#,##0.00\)"/>
    <numFmt numFmtId="171" formatCode="#,##0.###############"/>
    <numFmt numFmtId="172" formatCode="0.000%"/>
  </numFmts>
  <fonts count="50" x14ac:knownFonts="1">
    <font>
      <sz val="10"/>
      <color rgb="FF000000"/>
      <name val="Arial"/>
    </font>
    <font>
      <sz val="11"/>
      <color rgb="FF000000"/>
      <name val="Calibri"/>
    </font>
    <font>
      <sz val="10"/>
      <color rgb="FF000000"/>
      <name val="Arial"/>
    </font>
    <font>
      <sz val="11"/>
      <color rgb="FF000000"/>
      <name val="Calibri"/>
    </font>
    <font>
      <b/>
      <sz val="10"/>
      <color rgb="FF000000"/>
      <name val="Arial"/>
    </font>
    <font>
      <sz val="11"/>
      <color rgb="FF000000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rgb="FF000000"/>
      <name val="Calibri"/>
    </font>
    <font>
      <b/>
      <sz val="10"/>
      <color rgb="FF000000"/>
      <name val="Arial"/>
    </font>
    <font>
      <sz val="11"/>
      <color rgb="FF000000"/>
      <name val="Calibri"/>
    </font>
    <font>
      <sz val="11"/>
      <color rgb="FF000000"/>
      <name val="Calibri"/>
    </font>
    <font>
      <sz val="10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Arial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rgb="FF000000"/>
      <name val="Arial"/>
    </font>
    <font>
      <sz val="11"/>
      <color rgb="FF000000"/>
      <name val="Calibri"/>
    </font>
    <font>
      <sz val="10"/>
      <color rgb="FF000000"/>
      <name val="Arial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rgb="FF000000"/>
      <name val="Arial"/>
    </font>
    <font>
      <b/>
      <sz val="11"/>
      <color rgb="FF000000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10"/>
      <color rgb="FF000000"/>
      <name val="Arial"/>
    </font>
    <font>
      <sz val="11"/>
      <color rgb="FF000000"/>
      <name val="Calibri"/>
    </font>
    <font>
      <sz val="11"/>
      <color rgb="FF000000"/>
      <name val="Calibri"/>
    </font>
    <font>
      <sz val="10"/>
      <color rgb="FF000000"/>
      <name val="Arial"/>
    </font>
    <font>
      <sz val="10"/>
      <color rgb="FF000000"/>
      <name val="Arial"/>
    </font>
  </fonts>
  <fills count="28">
    <fill>
      <patternFill patternType="none"/>
    </fill>
    <fill>
      <patternFill patternType="gray125"/>
    </fill>
    <fill>
      <patternFill patternType="solid">
        <fgColor rgb="FFC6D9F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C6D9F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 applyAlignment="1">
      <alignment wrapText="1"/>
    </xf>
    <xf numFmtId="10" fontId="1" fillId="0" borderId="0" xfId="0" applyNumberFormat="1" applyFont="1"/>
    <xf numFmtId="164" fontId="2" fillId="0" borderId="0" xfId="0" applyNumberFormat="1" applyFont="1" applyAlignment="1">
      <alignment wrapText="1"/>
    </xf>
    <xf numFmtId="9" fontId="3" fillId="0" borderId="0" xfId="0" applyNumberFormat="1" applyFont="1"/>
    <xf numFmtId="0" fontId="4" fillId="0" borderId="0" xfId="0" applyFont="1"/>
    <xf numFmtId="0" fontId="5" fillId="2" borderId="1" xfId="0" applyFont="1" applyFill="1" applyBorder="1"/>
    <xf numFmtId="0" fontId="6" fillId="0" borderId="0" xfId="0" applyFont="1"/>
    <xf numFmtId="0" fontId="7" fillId="3" borderId="2" xfId="0" applyFont="1" applyFill="1" applyBorder="1"/>
    <xf numFmtId="3" fontId="8" fillId="4" borderId="0" xfId="0" applyNumberFormat="1" applyFont="1" applyFill="1"/>
    <xf numFmtId="0" fontId="9" fillId="0" borderId="0" xfId="0" applyFont="1" applyAlignment="1">
      <alignment wrapText="1"/>
    </xf>
    <xf numFmtId="165" fontId="10" fillId="5" borderId="0" xfId="0" applyNumberFormat="1" applyFont="1" applyFill="1"/>
    <xf numFmtId="4" fontId="11" fillId="6" borderId="0" xfId="0" applyNumberFormat="1" applyFont="1" applyFill="1"/>
    <xf numFmtId="0" fontId="12" fillId="0" borderId="0" xfId="0" applyFont="1" applyAlignment="1">
      <alignment wrapText="1"/>
    </xf>
    <xf numFmtId="166" fontId="13" fillId="0" borderId="0" xfId="0" applyNumberFormat="1" applyFont="1"/>
    <xf numFmtId="4" fontId="0" fillId="0" borderId="0" xfId="0" applyNumberFormat="1" applyAlignment="1">
      <alignment wrapText="1"/>
    </xf>
    <xf numFmtId="0" fontId="14" fillId="7" borderId="0" xfId="0" applyFont="1" applyFill="1"/>
    <xf numFmtId="167" fontId="15" fillId="8" borderId="0" xfId="0" applyNumberFormat="1" applyFont="1" applyFill="1"/>
    <xf numFmtId="0" fontId="16" fillId="9" borderId="3" xfId="0" applyFont="1" applyFill="1" applyBorder="1"/>
    <xf numFmtId="0" fontId="17" fillId="10" borderId="0" xfId="0" applyFont="1" applyFill="1"/>
    <xf numFmtId="1" fontId="18" fillId="0" borderId="0" xfId="0" applyNumberFormat="1" applyFont="1"/>
    <xf numFmtId="167" fontId="19" fillId="0" borderId="0" xfId="0" applyNumberFormat="1" applyFont="1"/>
    <xf numFmtId="165" fontId="20" fillId="11" borderId="4" xfId="0" applyNumberFormat="1" applyFont="1" applyFill="1" applyBorder="1"/>
    <xf numFmtId="0" fontId="21" fillId="12" borderId="5" xfId="0" applyFont="1" applyFill="1" applyBorder="1"/>
    <xf numFmtId="0" fontId="22" fillId="0" borderId="0" xfId="0" applyFont="1"/>
    <xf numFmtId="168" fontId="23" fillId="0" borderId="0" xfId="0" applyNumberFormat="1" applyFont="1"/>
    <xf numFmtId="41" fontId="24" fillId="13" borderId="0" xfId="0" applyNumberFormat="1" applyFont="1" applyFill="1"/>
    <xf numFmtId="10" fontId="25" fillId="14" borderId="6" xfId="0" applyNumberFormat="1" applyFont="1" applyFill="1" applyBorder="1"/>
    <xf numFmtId="169" fontId="26" fillId="15" borderId="0" xfId="0" applyNumberFormat="1" applyFont="1" applyFill="1"/>
    <xf numFmtId="4" fontId="27" fillId="0" borderId="0" xfId="0" applyNumberFormat="1" applyFont="1" applyAlignment="1">
      <alignment wrapText="1"/>
    </xf>
    <xf numFmtId="165" fontId="28" fillId="16" borderId="0" xfId="0" applyNumberFormat="1" applyFont="1" applyFill="1"/>
    <xf numFmtId="0" fontId="0" fillId="0" borderId="7" xfId="0" applyBorder="1" applyAlignment="1">
      <alignment wrapText="1"/>
    </xf>
    <xf numFmtId="3" fontId="29" fillId="0" borderId="0" xfId="0" applyNumberFormat="1" applyFont="1"/>
    <xf numFmtId="0" fontId="30" fillId="17" borderId="8" xfId="0" applyFont="1" applyFill="1" applyBorder="1"/>
    <xf numFmtId="9" fontId="31" fillId="0" borderId="0" xfId="0" applyNumberFormat="1" applyFont="1"/>
    <xf numFmtId="165" fontId="32" fillId="0" borderId="0" xfId="0" applyNumberFormat="1" applyFont="1"/>
    <xf numFmtId="0" fontId="33" fillId="0" borderId="9" xfId="0" applyFont="1" applyBorder="1"/>
    <xf numFmtId="168" fontId="0" fillId="0" borderId="0" xfId="0" applyNumberFormat="1" applyAlignment="1">
      <alignment wrapText="1"/>
    </xf>
    <xf numFmtId="0" fontId="34" fillId="18" borderId="10" xfId="0" applyFont="1" applyFill="1" applyBorder="1"/>
    <xf numFmtId="43" fontId="35" fillId="19" borderId="0" xfId="0" applyNumberFormat="1" applyFont="1" applyFill="1"/>
    <xf numFmtId="9" fontId="36" fillId="20" borderId="11" xfId="0" applyNumberFormat="1" applyFont="1" applyFill="1" applyBorder="1"/>
    <xf numFmtId="0" fontId="37" fillId="21" borderId="0" xfId="0" applyFont="1" applyFill="1" applyAlignment="1">
      <alignment wrapText="1"/>
    </xf>
    <xf numFmtId="0" fontId="38" fillId="22" borderId="0" xfId="0" applyFont="1" applyFill="1"/>
    <xf numFmtId="170" fontId="39" fillId="0" borderId="0" xfId="0" applyNumberFormat="1" applyFont="1"/>
    <xf numFmtId="4" fontId="40" fillId="0" borderId="0" xfId="0" applyNumberFormat="1" applyFont="1"/>
    <xf numFmtId="168" fontId="41" fillId="23" borderId="0" xfId="0" applyNumberFormat="1" applyFont="1" applyFill="1"/>
    <xf numFmtId="9" fontId="42" fillId="24" borderId="12" xfId="0" applyNumberFormat="1" applyFont="1" applyFill="1" applyBorder="1"/>
    <xf numFmtId="10" fontId="43" fillId="25" borderId="13" xfId="0" applyNumberFormat="1" applyFont="1" applyFill="1" applyBorder="1"/>
    <xf numFmtId="165" fontId="44" fillId="26" borderId="14" xfId="0" applyNumberFormat="1" applyFont="1" applyFill="1" applyBorder="1"/>
    <xf numFmtId="164" fontId="45" fillId="0" borderId="0" xfId="0" applyNumberFormat="1" applyFont="1" applyAlignment="1">
      <alignment wrapText="1"/>
    </xf>
    <xf numFmtId="171" fontId="46" fillId="0" borderId="0" xfId="0" applyNumberFormat="1" applyFont="1"/>
    <xf numFmtId="0" fontId="47" fillId="27" borderId="0" xfId="0" applyFont="1" applyFill="1"/>
    <xf numFmtId="10" fontId="48" fillId="0" borderId="0" xfId="0" applyNumberFormat="1" applyFont="1" applyAlignment="1">
      <alignment wrapText="1"/>
    </xf>
    <xf numFmtId="172" fontId="49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1447800</xdr:colOff>
      <xdr:row>76</xdr:row>
      <xdr:rowOff>152400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695325</xdr:colOff>
      <xdr:row>55</xdr:row>
      <xdr:rowOff>95250</xdr:rowOff>
    </xdr:to>
    <xdr:sp macro="" textlink="">
      <xdr:nvSpPr>
        <xdr:cNvPr id="2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695325</xdr:colOff>
      <xdr:row>55</xdr:row>
      <xdr:rowOff>95250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abSelected="1" workbookViewId="0">
      <selection activeCell="R45" sqref="R45"/>
    </sheetView>
  </sheetViews>
  <sheetFormatPr defaultColWidth="9.42578125" defaultRowHeight="13.5" customHeight="1" x14ac:dyDescent="0.25"/>
  <cols>
    <col min="1" max="1" width="31.7109375" style="23" customWidth="1"/>
    <col min="2" max="2" width="34.7109375" style="23" customWidth="1"/>
    <col min="3" max="3" width="12.140625" style="23" customWidth="1"/>
    <col min="4" max="4" width="18.7109375" style="23" customWidth="1"/>
    <col min="5" max="5" width="14.28515625" style="23" customWidth="1"/>
    <col min="6" max="6" width="15" style="23" customWidth="1"/>
    <col min="7" max="7" width="14.28515625" style="23" customWidth="1"/>
    <col min="14" max="14" width="15.140625" style="23" customWidth="1"/>
    <col min="15" max="15" width="19.28515625" style="23" customWidth="1"/>
    <col min="16" max="16" width="9.42578125" style="23"/>
    <col min="17" max="17" width="11.42578125" style="23" customWidth="1"/>
    <col min="18" max="18" width="10" customWidth="1"/>
  </cols>
  <sheetData>
    <row r="1" spans="1:19" ht="13.5" customHeight="1" x14ac:dyDescent="0.25">
      <c r="A1" s="50"/>
      <c r="B1" s="50"/>
      <c r="C1" s="50"/>
      <c r="D1" s="50">
        <v>2014</v>
      </c>
      <c r="E1" s="50">
        <v>2015</v>
      </c>
      <c r="F1" s="50">
        <v>2016</v>
      </c>
      <c r="G1" s="50">
        <v>2017</v>
      </c>
      <c r="H1" s="50">
        <v>2018</v>
      </c>
      <c r="I1" s="50">
        <v>2019</v>
      </c>
      <c r="J1" s="50">
        <v>2020</v>
      </c>
      <c r="K1" s="50">
        <v>2021</v>
      </c>
      <c r="L1" s="50">
        <v>2022</v>
      </c>
      <c r="M1" s="50">
        <v>2023</v>
      </c>
      <c r="N1" s="12"/>
      <c r="O1" s="12"/>
      <c r="P1" s="12"/>
      <c r="Q1" s="12"/>
      <c r="R1" s="12"/>
      <c r="S1" s="12"/>
    </row>
    <row r="2" spans="1:19" ht="13.5" customHeight="1" x14ac:dyDescent="0.2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12"/>
      <c r="O2" s="12"/>
      <c r="P2" s="12"/>
      <c r="Q2" s="12"/>
      <c r="R2" s="12"/>
      <c r="S2" s="12"/>
    </row>
    <row r="3" spans="1:19" ht="13.5" customHeight="1" x14ac:dyDescent="0.25">
      <c r="A3" s="50" t="s">
        <v>1</v>
      </c>
      <c r="B3" s="50"/>
      <c r="C3" s="50"/>
      <c r="D3" s="44">
        <f t="shared" ref="D3:M3" si="0">(D4/3)*2</f>
        <v>666.66666666666663</v>
      </c>
      <c r="E3" s="44">
        <f t="shared" si="0"/>
        <v>680</v>
      </c>
      <c r="F3" s="44">
        <f t="shared" si="0"/>
        <v>693.6</v>
      </c>
      <c r="G3" s="44">
        <f t="shared" si="0"/>
        <v>707.47200000000009</v>
      </c>
      <c r="H3" s="44">
        <f t="shared" si="0"/>
        <v>721.62144000000001</v>
      </c>
      <c r="I3" s="44">
        <f t="shared" si="0"/>
        <v>736.05386880000003</v>
      </c>
      <c r="J3" s="44">
        <f t="shared" si="0"/>
        <v>750.77494617599996</v>
      </c>
      <c r="K3" s="44">
        <f t="shared" si="0"/>
        <v>765.79044509952007</v>
      </c>
      <c r="L3" s="44">
        <f t="shared" si="0"/>
        <v>781.10625400151048</v>
      </c>
      <c r="M3" s="44">
        <f t="shared" si="0"/>
        <v>796.72837908154077</v>
      </c>
      <c r="N3" s="12"/>
      <c r="O3" s="12"/>
      <c r="P3" s="12"/>
      <c r="Q3" s="12"/>
      <c r="R3" s="12"/>
      <c r="S3" s="12"/>
    </row>
    <row r="4" spans="1:19" ht="13.5" customHeight="1" x14ac:dyDescent="0.25">
      <c r="A4" s="50" t="s">
        <v>2</v>
      </c>
      <c r="B4" s="50"/>
      <c r="C4" s="50"/>
      <c r="D4" s="16">
        <v>1000</v>
      </c>
      <c r="E4" s="16">
        <f t="shared" ref="E4:M4" si="1">D4*(1+$N$4)</f>
        <v>1020</v>
      </c>
      <c r="F4" s="16">
        <f t="shared" si="1"/>
        <v>1040.4000000000001</v>
      </c>
      <c r="G4" s="16">
        <f t="shared" si="1"/>
        <v>1061.2080000000001</v>
      </c>
      <c r="H4" s="16">
        <f t="shared" si="1"/>
        <v>1082.4321600000001</v>
      </c>
      <c r="I4" s="16">
        <f t="shared" si="1"/>
        <v>1104.0808032</v>
      </c>
      <c r="J4" s="16">
        <f t="shared" si="1"/>
        <v>1126.1624192639999</v>
      </c>
      <c r="K4" s="16">
        <f t="shared" si="1"/>
        <v>1148.68566764928</v>
      </c>
      <c r="L4" s="16">
        <f t="shared" si="1"/>
        <v>1171.6593810022657</v>
      </c>
      <c r="M4" s="16">
        <f t="shared" si="1"/>
        <v>1195.0925686223111</v>
      </c>
      <c r="N4" s="1">
        <v>0.02</v>
      </c>
      <c r="O4" s="23" t="s">
        <v>3</v>
      </c>
      <c r="P4" s="12"/>
      <c r="Q4" s="12"/>
      <c r="R4" s="12"/>
      <c r="S4" s="12"/>
    </row>
    <row r="5" spans="1:19" ht="13.5" customHeight="1" x14ac:dyDescent="0.25">
      <c r="A5" s="50" t="s">
        <v>4</v>
      </c>
      <c r="B5" s="50"/>
      <c r="C5" s="50"/>
      <c r="D5" s="8">
        <v>200</v>
      </c>
      <c r="E5" s="8">
        <f t="shared" ref="E5:M5" si="2">D5*(1+$N$5)</f>
        <v>220.00000000000003</v>
      </c>
      <c r="F5" s="8">
        <f t="shared" si="2"/>
        <v>242.00000000000006</v>
      </c>
      <c r="G5" s="8">
        <f t="shared" si="2"/>
        <v>266.2000000000001</v>
      </c>
      <c r="H5" s="8">
        <f t="shared" si="2"/>
        <v>292.82000000000016</v>
      </c>
      <c r="I5" s="8">
        <f t="shared" si="2"/>
        <v>322.1020000000002</v>
      </c>
      <c r="J5" s="8">
        <f t="shared" si="2"/>
        <v>354.31220000000025</v>
      </c>
      <c r="K5" s="8">
        <f t="shared" si="2"/>
        <v>389.7434200000003</v>
      </c>
      <c r="L5" s="8">
        <f t="shared" si="2"/>
        <v>428.71776200000039</v>
      </c>
      <c r="M5" s="8">
        <f t="shared" si="2"/>
        <v>471.58953820000045</v>
      </c>
      <c r="N5" s="13">
        <v>0.1</v>
      </c>
      <c r="O5" s="23" t="s">
        <v>3</v>
      </c>
      <c r="P5" s="12"/>
      <c r="Q5" s="12"/>
      <c r="R5" s="12"/>
      <c r="S5" s="12"/>
    </row>
    <row r="6" spans="1:19" ht="13.5" customHeight="1" x14ac:dyDescent="0.25">
      <c r="A6" s="50" t="s">
        <v>5</v>
      </c>
      <c r="B6" s="50"/>
      <c r="C6" s="50"/>
      <c r="D6" s="38">
        <f>D7*0.6</f>
        <v>36</v>
      </c>
      <c r="E6" s="38">
        <f t="shared" ref="E6:M6" si="3">D6*(1+$N$6)</f>
        <v>36.72</v>
      </c>
      <c r="F6" s="38">
        <f t="shared" si="3"/>
        <v>37.4544</v>
      </c>
      <c r="G6" s="38">
        <f t="shared" si="3"/>
        <v>38.203488</v>
      </c>
      <c r="H6" s="38">
        <f t="shared" si="3"/>
        <v>38.967557759999998</v>
      </c>
      <c r="I6" s="38">
        <f t="shared" si="3"/>
        <v>39.746908915200002</v>
      </c>
      <c r="J6" s="38">
        <f t="shared" si="3"/>
        <v>40.541847093504003</v>
      </c>
      <c r="K6" s="38">
        <f t="shared" si="3"/>
        <v>41.352684035374082</v>
      </c>
      <c r="L6" s="38">
        <f t="shared" si="3"/>
        <v>42.179737716081561</v>
      </c>
      <c r="M6" s="38">
        <f t="shared" si="3"/>
        <v>43.02333247040319</v>
      </c>
      <c r="N6" s="13">
        <v>0.02</v>
      </c>
      <c r="O6" s="23" t="s">
        <v>3</v>
      </c>
      <c r="P6" s="12"/>
      <c r="Q6" s="12"/>
      <c r="R6" s="12"/>
      <c r="S6" s="12"/>
    </row>
    <row r="7" spans="1:19" ht="13.5" customHeight="1" x14ac:dyDescent="0.25">
      <c r="A7" s="50" t="s">
        <v>6</v>
      </c>
      <c r="B7" s="50"/>
      <c r="C7" s="50"/>
      <c r="D7" s="11">
        <v>60</v>
      </c>
      <c r="E7" s="11">
        <f t="shared" ref="E7:M7" si="4">D7*(1+$N$7)</f>
        <v>61.2</v>
      </c>
      <c r="F7" s="11">
        <f t="shared" si="4"/>
        <v>62.424000000000007</v>
      </c>
      <c r="G7" s="11">
        <f t="shared" si="4"/>
        <v>63.672480000000007</v>
      </c>
      <c r="H7" s="11">
        <f t="shared" si="4"/>
        <v>64.945929600000014</v>
      </c>
      <c r="I7" s="11">
        <f t="shared" si="4"/>
        <v>66.244848192000021</v>
      </c>
      <c r="J7" s="11">
        <f t="shared" si="4"/>
        <v>67.569745155840025</v>
      </c>
      <c r="K7" s="11">
        <f t="shared" si="4"/>
        <v>68.921140058956823</v>
      </c>
      <c r="L7" s="11">
        <f t="shared" si="4"/>
        <v>70.299562860135964</v>
      </c>
      <c r="M7" s="11">
        <f t="shared" si="4"/>
        <v>71.705554117338679</v>
      </c>
      <c r="N7" s="13">
        <v>0.02</v>
      </c>
      <c r="O7" s="23" t="s">
        <v>3</v>
      </c>
      <c r="P7" s="12"/>
      <c r="Q7" s="12"/>
      <c r="R7" s="12"/>
      <c r="S7" s="12"/>
    </row>
    <row r="8" spans="1:19" ht="13.5" customHeight="1" x14ac:dyDescent="0.25">
      <c r="A8" s="50" t="s">
        <v>7</v>
      </c>
      <c r="B8" s="50"/>
      <c r="C8" s="50"/>
      <c r="D8" s="11">
        <v>1000</v>
      </c>
      <c r="E8" s="11">
        <f t="shared" ref="E8:M8" si="5">D8*(1+$N$8)</f>
        <v>1080</v>
      </c>
      <c r="F8" s="11">
        <f t="shared" si="5"/>
        <v>1166.4000000000001</v>
      </c>
      <c r="G8" s="11">
        <f t="shared" si="5"/>
        <v>1259.7120000000002</v>
      </c>
      <c r="H8" s="11">
        <f t="shared" si="5"/>
        <v>1360.4889600000004</v>
      </c>
      <c r="I8" s="11">
        <f t="shared" si="5"/>
        <v>1469.3280768000004</v>
      </c>
      <c r="J8" s="11">
        <f t="shared" si="5"/>
        <v>1586.8743229440006</v>
      </c>
      <c r="K8" s="11">
        <f t="shared" si="5"/>
        <v>1713.8242687795207</v>
      </c>
      <c r="L8" s="11">
        <f t="shared" si="5"/>
        <v>1850.9302102818824</v>
      </c>
      <c r="M8" s="11">
        <f t="shared" si="5"/>
        <v>1999.0046271044332</v>
      </c>
      <c r="N8" s="13">
        <v>0.08</v>
      </c>
      <c r="O8" s="23" t="s">
        <v>3</v>
      </c>
      <c r="P8" s="12"/>
      <c r="Q8" s="12"/>
      <c r="R8" s="12"/>
      <c r="S8" s="12"/>
    </row>
    <row r="9" spans="1:19" ht="13.5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13"/>
      <c r="O9" s="12"/>
      <c r="P9" s="12"/>
      <c r="Q9" s="12"/>
      <c r="R9" s="12"/>
      <c r="S9" s="12"/>
    </row>
    <row r="10" spans="1:19" ht="13.5" customHeight="1" x14ac:dyDescent="0.25">
      <c r="A10" s="50" t="s">
        <v>8</v>
      </c>
      <c r="B10" s="50"/>
      <c r="C10" s="50"/>
      <c r="D10" s="27">
        <v>3</v>
      </c>
      <c r="E10" s="27">
        <f t="shared" ref="E10:M10" si="6">D10*(1+$N$10)</f>
        <v>2.9849999999999999</v>
      </c>
      <c r="F10" s="27">
        <f t="shared" si="6"/>
        <v>2.970075</v>
      </c>
      <c r="G10" s="27">
        <f t="shared" si="6"/>
        <v>2.955224625</v>
      </c>
      <c r="H10" s="27">
        <f t="shared" si="6"/>
        <v>2.9404485018750002</v>
      </c>
      <c r="I10" s="27">
        <f t="shared" si="6"/>
        <v>2.9257462593656252</v>
      </c>
      <c r="J10" s="27">
        <f t="shared" si="6"/>
        <v>2.9111175280687971</v>
      </c>
      <c r="K10" s="27">
        <f t="shared" si="6"/>
        <v>2.8965619404284531</v>
      </c>
      <c r="L10" s="27">
        <f t="shared" si="6"/>
        <v>2.8820791307263107</v>
      </c>
      <c r="M10" s="27">
        <f t="shared" si="6"/>
        <v>2.8676687350726793</v>
      </c>
      <c r="N10" s="13">
        <v>-5.0000000000000001E-3</v>
      </c>
      <c r="O10" s="23" t="s">
        <v>3</v>
      </c>
      <c r="P10" s="12"/>
      <c r="Q10" s="12"/>
      <c r="R10" s="12"/>
      <c r="S10" s="12"/>
    </row>
    <row r="11" spans="1:19" ht="13.5" customHeight="1" x14ac:dyDescent="0.25">
      <c r="A11" s="50" t="s">
        <v>9</v>
      </c>
      <c r="B11" s="50"/>
      <c r="C11" s="50"/>
      <c r="D11" s="27">
        <f>365/2</f>
        <v>182.5</v>
      </c>
      <c r="E11" s="27">
        <f t="shared" ref="E11:M11" si="7">D11*(1+$N$11)</f>
        <v>173.375</v>
      </c>
      <c r="F11" s="27">
        <f t="shared" si="7"/>
        <v>164.70624999999998</v>
      </c>
      <c r="G11" s="27">
        <f t="shared" si="7"/>
        <v>156.47093749999996</v>
      </c>
      <c r="H11" s="27">
        <f t="shared" si="7"/>
        <v>148.64739062499996</v>
      </c>
      <c r="I11" s="27">
        <f t="shared" si="7"/>
        <v>141.21502109374995</v>
      </c>
      <c r="J11" s="27">
        <f t="shared" si="7"/>
        <v>134.15427003906245</v>
      </c>
      <c r="K11" s="27">
        <f t="shared" si="7"/>
        <v>127.44655653710933</v>
      </c>
      <c r="L11" s="27">
        <f t="shared" si="7"/>
        <v>121.07422871025386</v>
      </c>
      <c r="M11" s="27">
        <f t="shared" si="7"/>
        <v>115.02051727474117</v>
      </c>
      <c r="N11" s="13">
        <v>-0.05</v>
      </c>
      <c r="O11" s="23" t="s">
        <v>3</v>
      </c>
      <c r="P11" s="12"/>
      <c r="Q11" s="12"/>
      <c r="R11" s="12"/>
      <c r="S11" s="12"/>
    </row>
    <row r="12" spans="1:19" ht="13.5" customHeight="1" x14ac:dyDescent="0.25">
      <c r="A12" s="50" t="s">
        <v>10</v>
      </c>
      <c r="B12" s="50"/>
      <c r="C12" s="50"/>
      <c r="D12" s="27">
        <v>30</v>
      </c>
      <c r="E12" s="27">
        <f t="shared" ref="E12:M12" si="8">D12*(1+$N$12)</f>
        <v>29.85</v>
      </c>
      <c r="F12" s="27">
        <f t="shared" si="8"/>
        <v>29.700750000000003</v>
      </c>
      <c r="G12" s="27">
        <f t="shared" si="8"/>
        <v>29.552246250000003</v>
      </c>
      <c r="H12" s="27">
        <f t="shared" si="8"/>
        <v>29.404485018750002</v>
      </c>
      <c r="I12" s="27">
        <f t="shared" si="8"/>
        <v>29.257462593656253</v>
      </c>
      <c r="J12" s="27">
        <f t="shared" si="8"/>
        <v>29.111175280687974</v>
      </c>
      <c r="K12" s="27">
        <f t="shared" si="8"/>
        <v>28.965619404284535</v>
      </c>
      <c r="L12" s="27">
        <f t="shared" si="8"/>
        <v>28.820791307263111</v>
      </c>
      <c r="M12" s="27">
        <f t="shared" si="8"/>
        <v>28.676687350726795</v>
      </c>
      <c r="N12" s="23">
        <v>-5.0000000000000001E-3</v>
      </c>
      <c r="O12" s="23" t="s">
        <v>3</v>
      </c>
      <c r="P12" s="12"/>
      <c r="Q12" s="12"/>
      <c r="R12" s="12"/>
      <c r="S12" s="12"/>
    </row>
    <row r="13" spans="1:19" ht="13.5" customHeight="1" x14ac:dyDescent="0.2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12"/>
      <c r="O13" s="12"/>
      <c r="P13" s="12"/>
      <c r="Q13" s="12"/>
      <c r="R13" s="12"/>
      <c r="S13" s="12"/>
    </row>
    <row r="14" spans="1:19" ht="13.5" customHeight="1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12"/>
      <c r="O14" s="12"/>
      <c r="P14" s="12"/>
      <c r="Q14" s="12"/>
      <c r="R14" s="12"/>
      <c r="S14" s="12"/>
    </row>
    <row r="15" spans="1:19" ht="13.5" customHeight="1" x14ac:dyDescent="0.25">
      <c r="A15" s="15" t="s">
        <v>11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12"/>
      <c r="O15" s="12"/>
      <c r="P15" s="12"/>
      <c r="Q15" s="12"/>
      <c r="R15" s="12"/>
      <c r="S15" s="12"/>
    </row>
    <row r="16" spans="1:19" ht="13.5" customHeight="1" x14ac:dyDescent="0.25">
      <c r="A16" s="50" t="s">
        <v>12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12"/>
      <c r="O16" s="12"/>
      <c r="P16" s="12"/>
      <c r="Q16" s="12"/>
      <c r="R16" s="12"/>
      <c r="S16" s="12"/>
    </row>
    <row r="17" spans="1:19" ht="13.5" customHeight="1" x14ac:dyDescent="0.25">
      <c r="A17" s="50"/>
      <c r="B17" s="50" t="s">
        <v>13</v>
      </c>
      <c r="C17" s="10"/>
      <c r="D17" s="10">
        <f t="shared" ref="D17:M17" si="9">D4*D5</f>
        <v>200000</v>
      </c>
      <c r="E17" s="10">
        <f t="shared" si="9"/>
        <v>224400.00000000003</v>
      </c>
      <c r="F17" s="10">
        <f t="shared" si="9"/>
        <v>251776.80000000008</v>
      </c>
      <c r="G17" s="10">
        <f t="shared" si="9"/>
        <v>282493.5696000001</v>
      </c>
      <c r="H17" s="10">
        <f t="shared" si="9"/>
        <v>316957.7850912002</v>
      </c>
      <c r="I17" s="10">
        <f t="shared" si="9"/>
        <v>355626.63487232663</v>
      </c>
      <c r="J17" s="10">
        <f t="shared" si="9"/>
        <v>399013.08432675048</v>
      </c>
      <c r="K17" s="10">
        <f t="shared" si="9"/>
        <v>447692.6806146141</v>
      </c>
      <c r="L17" s="10">
        <f t="shared" si="9"/>
        <v>502311.18764959712</v>
      </c>
      <c r="M17" s="10">
        <f t="shared" si="9"/>
        <v>563593.15254284802</v>
      </c>
      <c r="N17" s="12"/>
      <c r="O17" s="12"/>
      <c r="P17" s="12"/>
      <c r="Q17" s="12"/>
      <c r="R17" s="12"/>
      <c r="S17" s="12"/>
    </row>
    <row r="18" spans="1:19" ht="13.5" customHeight="1" x14ac:dyDescent="0.25">
      <c r="A18" s="50"/>
      <c r="B18" s="50" t="s">
        <v>14</v>
      </c>
      <c r="C18" s="10"/>
      <c r="D18" s="10">
        <f t="shared" ref="D18:M18" si="10">D7*D8</f>
        <v>60000</v>
      </c>
      <c r="E18" s="10">
        <f t="shared" si="10"/>
        <v>66096</v>
      </c>
      <c r="F18" s="10">
        <f t="shared" si="10"/>
        <v>72811.353600000017</v>
      </c>
      <c r="G18" s="10">
        <f t="shared" si="10"/>
        <v>80208.987125760017</v>
      </c>
      <c r="H18" s="10">
        <f t="shared" si="10"/>
        <v>88358.220217737253</v>
      </c>
      <c r="I18" s="10">
        <f t="shared" si="10"/>
        <v>97335.41539185938</v>
      </c>
      <c r="J18" s="10">
        <f t="shared" si="10"/>
        <v>107224.6935956723</v>
      </c>
      <c r="K18" s="10">
        <f t="shared" si="10"/>
        <v>118118.72246499261</v>
      </c>
      <c r="L18" s="10">
        <f t="shared" si="10"/>
        <v>130119.58466743588</v>
      </c>
      <c r="M18" s="10">
        <f t="shared" si="10"/>
        <v>143339.73446964737</v>
      </c>
      <c r="N18" s="12"/>
      <c r="O18" s="12"/>
      <c r="P18" s="12"/>
      <c r="Q18" s="12"/>
      <c r="R18" s="12"/>
      <c r="S18" s="12"/>
    </row>
    <row r="19" spans="1:19" ht="13.5" customHeight="1" x14ac:dyDescent="0.25">
      <c r="A19" s="50"/>
      <c r="B19" s="5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2"/>
      <c r="O19" s="12"/>
      <c r="P19" s="12"/>
      <c r="Q19" s="12"/>
      <c r="R19" s="12"/>
      <c r="S19" s="12"/>
    </row>
    <row r="20" spans="1:19" ht="13.5" customHeight="1" x14ac:dyDescent="0.25">
      <c r="A20" s="50" t="s">
        <v>15</v>
      </c>
      <c r="B20" s="50"/>
      <c r="C20" s="10"/>
      <c r="D20" s="10">
        <f t="shared" ref="D20:M20" si="11">(D5*D3)+(D6*D8)</f>
        <v>169333.33333333331</v>
      </c>
      <c r="E20" s="10">
        <f t="shared" si="11"/>
        <v>189257.60000000003</v>
      </c>
      <c r="F20" s="10">
        <f t="shared" si="11"/>
        <v>211538.01216000004</v>
      </c>
      <c r="G20" s="10">
        <f t="shared" si="11"/>
        <v>236454.43867545613</v>
      </c>
      <c r="H20" s="10">
        <f t="shared" si="11"/>
        <v>264320.12219144247</v>
      </c>
      <c r="I20" s="10">
        <f t="shared" si="11"/>
        <v>295485.67248333339</v>
      </c>
      <c r="J20" s="10">
        <f t="shared" si="11"/>
        <v>330343.53904190368</v>
      </c>
      <c r="K20" s="10">
        <f t="shared" si="11"/>
        <v>369333.020555405</v>
      </c>
      <c r="L20" s="10">
        <f t="shared" si="11"/>
        <v>412945.87590019294</v>
      </c>
      <c r="M20" s="10">
        <f t="shared" si="11"/>
        <v>461732.60904368712</v>
      </c>
      <c r="N20" s="12"/>
      <c r="O20" s="12"/>
      <c r="P20" s="12"/>
      <c r="Q20" s="12"/>
      <c r="R20" s="12"/>
      <c r="S20" s="12"/>
    </row>
    <row r="21" spans="1:19" ht="13.5" customHeight="1" x14ac:dyDescent="0.25">
      <c r="A21" s="50"/>
      <c r="B21" s="5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2"/>
      <c r="O21" s="12"/>
      <c r="P21" s="12"/>
      <c r="Q21" s="12"/>
      <c r="R21" s="12"/>
      <c r="S21" s="12"/>
    </row>
    <row r="22" spans="1:19" ht="13.5" customHeight="1" x14ac:dyDescent="0.25">
      <c r="A22" s="50" t="s">
        <v>16</v>
      </c>
      <c r="B22" s="5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2"/>
      <c r="O22" s="12"/>
      <c r="P22" s="12"/>
      <c r="Q22" s="12"/>
      <c r="R22" s="12"/>
      <c r="S22" s="12"/>
    </row>
    <row r="23" spans="1:19" ht="13.5" customHeight="1" x14ac:dyDescent="0.25">
      <c r="A23" s="50"/>
      <c r="B23" s="50" t="s">
        <v>17</v>
      </c>
      <c r="C23" s="10"/>
      <c r="D23" s="10">
        <f t="shared" ref="D23:M23" si="12">(D17+D18)*$N$23</f>
        <v>18200</v>
      </c>
      <c r="E23" s="10">
        <f t="shared" si="12"/>
        <v>20334.72</v>
      </c>
      <c r="F23" s="10">
        <f t="shared" si="12"/>
        <v>22721.170752000009</v>
      </c>
      <c r="G23" s="10">
        <f t="shared" si="12"/>
        <v>25389.178970803208</v>
      </c>
      <c r="H23" s="10">
        <f t="shared" si="12"/>
        <v>28372.120371625624</v>
      </c>
      <c r="I23" s="10">
        <f t="shared" si="12"/>
        <v>31707.343518493024</v>
      </c>
      <c r="J23" s="10">
        <f t="shared" si="12"/>
        <v>35436.644454569599</v>
      </c>
      <c r="K23" s="10">
        <f t="shared" si="12"/>
        <v>39606.798215572475</v>
      </c>
      <c r="L23" s="10">
        <f t="shared" si="12"/>
        <v>44270.15406219232</v>
      </c>
      <c r="M23" s="10">
        <f t="shared" si="12"/>
        <v>49485.302090874684</v>
      </c>
      <c r="N23" s="13">
        <v>7.0000000000000007E-2</v>
      </c>
      <c r="O23" s="23" t="s">
        <v>18</v>
      </c>
      <c r="P23" s="12"/>
      <c r="Q23" s="12"/>
      <c r="R23" s="12"/>
      <c r="S23" s="12"/>
    </row>
    <row r="24" spans="1:19" ht="13.5" customHeight="1" x14ac:dyDescent="0.25">
      <c r="A24" s="50"/>
      <c r="B24" s="50" t="s">
        <v>19</v>
      </c>
      <c r="C24" s="10"/>
      <c r="D24" s="10">
        <f t="shared" ref="D24:M24" si="13">(D17+D18)*$N$24</f>
        <v>39000</v>
      </c>
      <c r="E24" s="10">
        <f t="shared" si="13"/>
        <v>43574.400000000001</v>
      </c>
      <c r="F24" s="10">
        <f t="shared" si="13"/>
        <v>48688.223040000012</v>
      </c>
      <c r="G24" s="10">
        <f t="shared" si="13"/>
        <v>54405.383508864012</v>
      </c>
      <c r="H24" s="10">
        <f t="shared" si="13"/>
        <v>60797.400796340618</v>
      </c>
      <c r="I24" s="10">
        <f t="shared" si="13"/>
        <v>67944.307539627902</v>
      </c>
      <c r="J24" s="10">
        <f t="shared" si="13"/>
        <v>75935.666688363417</v>
      </c>
      <c r="K24" s="10">
        <f t="shared" si="13"/>
        <v>84871.710461941009</v>
      </c>
      <c r="L24" s="10">
        <f t="shared" si="13"/>
        <v>94864.615847554946</v>
      </c>
      <c r="M24" s="10">
        <f t="shared" si="13"/>
        <v>106039.93305187431</v>
      </c>
      <c r="N24" s="13">
        <v>0.15</v>
      </c>
      <c r="O24" s="23" t="s">
        <v>20</v>
      </c>
      <c r="P24" s="12"/>
      <c r="Q24" s="12"/>
      <c r="R24" s="12"/>
      <c r="S24" s="12"/>
    </row>
    <row r="25" spans="1:19" ht="13.5" customHeight="1" x14ac:dyDescent="0.25">
      <c r="A25" s="50"/>
      <c r="B25" s="5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2"/>
      <c r="O25" s="12"/>
      <c r="P25" s="12"/>
      <c r="Q25" s="12"/>
      <c r="R25" s="12"/>
      <c r="S25" s="12"/>
    </row>
    <row r="26" spans="1:19" ht="13.5" customHeight="1" x14ac:dyDescent="0.25">
      <c r="A26" s="50" t="s">
        <v>21</v>
      </c>
      <c r="B26" s="50"/>
      <c r="C26" s="10"/>
      <c r="D26" s="10">
        <f t="shared" ref="D26:M26" si="14">D42/$N$26</f>
        <v>11666.666666666666</v>
      </c>
      <c r="E26" s="10">
        <f t="shared" si="14"/>
        <v>11666.666666666666</v>
      </c>
      <c r="F26" s="10">
        <f t="shared" si="14"/>
        <v>11666.666666666666</v>
      </c>
      <c r="G26" s="10">
        <f t="shared" si="14"/>
        <v>11666.666666666666</v>
      </c>
      <c r="H26" s="10">
        <f t="shared" si="14"/>
        <v>11666.666666666666</v>
      </c>
      <c r="I26" s="10">
        <f t="shared" si="14"/>
        <v>11666.666666666666</v>
      </c>
      <c r="J26" s="10">
        <f t="shared" si="14"/>
        <v>11666.666666666666</v>
      </c>
      <c r="K26" s="10">
        <f t="shared" si="14"/>
        <v>11666.666666666666</v>
      </c>
      <c r="L26" s="10">
        <f t="shared" si="14"/>
        <v>11666.666666666666</v>
      </c>
      <c r="M26" s="10">
        <f t="shared" si="14"/>
        <v>11666.666666666666</v>
      </c>
      <c r="N26" s="23">
        <v>30</v>
      </c>
      <c r="O26" s="23" t="s">
        <v>22</v>
      </c>
      <c r="P26" s="12"/>
      <c r="Q26" s="12"/>
      <c r="R26" s="12"/>
      <c r="S26" s="12"/>
    </row>
    <row r="27" spans="1:19" ht="13.5" customHeight="1" x14ac:dyDescent="0.25">
      <c r="A27" s="50" t="s">
        <v>23</v>
      </c>
      <c r="B27" s="50"/>
      <c r="C27" s="10"/>
      <c r="D27" s="10">
        <f>Mortgage!D14</f>
        <v>27139.231920287843</v>
      </c>
      <c r="E27" s="10">
        <f>Mortgage!D28</f>
        <v>25162.319977479125</v>
      </c>
      <c r="F27" s="10">
        <f>Mortgage!D42</f>
        <v>23021.325318415398</v>
      </c>
      <c r="G27" s="10">
        <f>Mortgage!D56</f>
        <v>20702.629158571865</v>
      </c>
      <c r="H27" s="10">
        <f>Mortgage!D69</f>
        <v>18191.482361024857</v>
      </c>
      <c r="I27" s="10">
        <f>Mortgage!D82</f>
        <v>15471.911617760183</v>
      </c>
      <c r="J27" s="10">
        <f>Mortgage!D96</f>
        <v>12526.617844076402</v>
      </c>
      <c r="K27" s="10">
        <f>Mortgage!D110</f>
        <v>9336.8661397736396</v>
      </c>
      <c r="L27" s="10">
        <f>Mortgage!D124</f>
        <v>5882.3666171753293</v>
      </c>
      <c r="M27" s="10">
        <f>Mortgage!D137</f>
        <v>2141.1453379345803</v>
      </c>
      <c r="N27" s="3">
        <v>0.08</v>
      </c>
      <c r="O27" s="23" t="s">
        <v>24</v>
      </c>
      <c r="P27" s="12"/>
      <c r="Q27" s="12"/>
      <c r="R27" s="12"/>
      <c r="S27" s="12"/>
    </row>
    <row r="28" spans="1:19" ht="13.5" customHeight="1" x14ac:dyDescent="0.25">
      <c r="A28" s="50" t="s">
        <v>25</v>
      </c>
      <c r="B28" s="50"/>
      <c r="C28" s="10"/>
      <c r="D28" s="10">
        <f t="shared" ref="D28:M28" si="15">$N$28*D52</f>
        <v>0</v>
      </c>
      <c r="E28" s="10">
        <f t="shared" si="15"/>
        <v>0</v>
      </c>
      <c r="F28" s="10">
        <f t="shared" si="15"/>
        <v>0</v>
      </c>
      <c r="G28" s="10">
        <f t="shared" si="15"/>
        <v>882.2796019961836</v>
      </c>
      <c r="H28" s="10">
        <f t="shared" si="15"/>
        <v>1753.764136696132</v>
      </c>
      <c r="I28" s="10">
        <f t="shared" si="15"/>
        <v>2187.6364974377207</v>
      </c>
      <c r="J28" s="10">
        <f t="shared" si="15"/>
        <v>2075.0288632446232</v>
      </c>
      <c r="K28" s="10">
        <f t="shared" si="15"/>
        <v>1288.2894754183078</v>
      </c>
      <c r="L28" s="10">
        <f t="shared" si="15"/>
        <v>0</v>
      </c>
      <c r="M28" s="10">
        <f t="shared" si="15"/>
        <v>0</v>
      </c>
      <c r="N28" s="13">
        <v>0.11</v>
      </c>
      <c r="O28" s="23" t="s">
        <v>26</v>
      </c>
      <c r="P28" s="12"/>
      <c r="Q28" s="12"/>
      <c r="R28" s="12"/>
      <c r="S28" s="12"/>
    </row>
    <row r="29" spans="1:19" ht="13.5" customHeight="1" x14ac:dyDescent="0.25">
      <c r="A29" s="50"/>
      <c r="B29" s="5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3"/>
      <c r="O29" s="12"/>
      <c r="P29" s="12"/>
      <c r="Q29" s="12"/>
      <c r="R29" s="12"/>
      <c r="S29" s="12"/>
    </row>
    <row r="30" spans="1:19" ht="13.5" customHeight="1" x14ac:dyDescent="0.25">
      <c r="A30" s="50" t="s">
        <v>27</v>
      </c>
      <c r="B30" s="50"/>
      <c r="C30" s="10"/>
      <c r="D30" s="10">
        <f t="shared" ref="D30:M30" si="16">SUM(D17:D18)-SUM(D20:D28)</f>
        <v>-5339.231920287828</v>
      </c>
      <c r="E30" s="10">
        <f t="shared" si="16"/>
        <v>500.29335585416993</v>
      </c>
      <c r="F30" s="10">
        <f t="shared" si="16"/>
        <v>6952.7556629179162</v>
      </c>
      <c r="G30" s="10">
        <f t="shared" si="16"/>
        <v>13201.980143402005</v>
      </c>
      <c r="H30" s="10">
        <f t="shared" si="16"/>
        <v>20214.448785141052</v>
      </c>
      <c r="I30" s="10">
        <f t="shared" si="16"/>
        <v>28498.511940867116</v>
      </c>
      <c r="J30" s="10">
        <f t="shared" si="16"/>
        <v>38253.614363598346</v>
      </c>
      <c r="K30" s="10">
        <f t="shared" si="16"/>
        <v>49708.05156482954</v>
      </c>
      <c r="L30" s="10">
        <f t="shared" si="16"/>
        <v>62801.093223250937</v>
      </c>
      <c r="M30" s="10">
        <f t="shared" si="16"/>
        <v>75867.230821458041</v>
      </c>
      <c r="N30" s="13"/>
      <c r="O30" s="12"/>
      <c r="P30" s="12"/>
      <c r="Q30" s="12"/>
      <c r="R30" s="12"/>
      <c r="S30" s="12"/>
    </row>
    <row r="31" spans="1:19" ht="13.5" customHeight="1" x14ac:dyDescent="0.25">
      <c r="A31" s="50" t="s">
        <v>28</v>
      </c>
      <c r="B31" s="50"/>
      <c r="C31" s="10"/>
      <c r="D31" s="10">
        <f t="shared" ref="D31:M31" si="17">IF((D30&lt;0),0,(D30*$N$31))</f>
        <v>0</v>
      </c>
      <c r="E31" s="10">
        <f t="shared" si="17"/>
        <v>100.05867117083399</v>
      </c>
      <c r="F31" s="10">
        <f t="shared" si="17"/>
        <v>1390.5511325835832</v>
      </c>
      <c r="G31" s="10">
        <f t="shared" si="17"/>
        <v>2640.3960286804013</v>
      </c>
      <c r="H31" s="10">
        <f t="shared" si="17"/>
        <v>4042.8897570282106</v>
      </c>
      <c r="I31" s="10">
        <f t="shared" si="17"/>
        <v>5699.702388173424</v>
      </c>
      <c r="J31" s="10">
        <f t="shared" si="17"/>
        <v>7650.7228727196698</v>
      </c>
      <c r="K31" s="10">
        <f t="shared" si="17"/>
        <v>9941.6103129659095</v>
      </c>
      <c r="L31" s="10">
        <f t="shared" si="17"/>
        <v>12560.218644650187</v>
      </c>
      <c r="M31" s="10">
        <f t="shared" si="17"/>
        <v>15173.446164291609</v>
      </c>
      <c r="N31" s="13">
        <v>0.2</v>
      </c>
      <c r="O31" s="23" t="s">
        <v>29</v>
      </c>
      <c r="P31" s="12"/>
      <c r="Q31" s="12"/>
      <c r="R31" s="12"/>
      <c r="S31" s="12"/>
    </row>
    <row r="32" spans="1:19" ht="13.5" customHeight="1" x14ac:dyDescent="0.25">
      <c r="A32" s="50" t="s">
        <v>30</v>
      </c>
      <c r="B32" s="50"/>
      <c r="C32" s="10"/>
      <c r="D32" s="10">
        <f t="shared" ref="D32:M32" si="18">D30-D31</f>
        <v>-5339.231920287828</v>
      </c>
      <c r="E32" s="10">
        <f t="shared" si="18"/>
        <v>400.23468468333596</v>
      </c>
      <c r="F32" s="10">
        <f t="shared" si="18"/>
        <v>5562.204530334333</v>
      </c>
      <c r="G32" s="10">
        <f t="shared" si="18"/>
        <v>10561.584114721603</v>
      </c>
      <c r="H32" s="10">
        <f t="shared" si="18"/>
        <v>16171.559028112842</v>
      </c>
      <c r="I32" s="10">
        <f t="shared" si="18"/>
        <v>22798.809552693692</v>
      </c>
      <c r="J32" s="10">
        <f t="shared" si="18"/>
        <v>30602.891490878676</v>
      </c>
      <c r="K32" s="10">
        <f t="shared" si="18"/>
        <v>39766.441251863631</v>
      </c>
      <c r="L32" s="10">
        <f t="shared" si="18"/>
        <v>50240.874578600749</v>
      </c>
      <c r="M32" s="10">
        <f t="shared" si="18"/>
        <v>60693.784657166434</v>
      </c>
      <c r="N32" s="12"/>
      <c r="O32" s="12"/>
      <c r="P32" s="12"/>
      <c r="Q32" s="12"/>
      <c r="R32" s="12"/>
      <c r="S32" s="12"/>
    </row>
    <row r="33" spans="1:19" ht="13.5" customHeight="1" x14ac:dyDescent="0.25">
      <c r="A33" s="50"/>
      <c r="B33" s="5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2"/>
      <c r="O33" s="12"/>
      <c r="P33" s="12"/>
      <c r="Q33" s="12"/>
      <c r="R33" s="12"/>
      <c r="S33" s="12"/>
    </row>
    <row r="34" spans="1:19" ht="13.5" customHeight="1" x14ac:dyDescent="0.25">
      <c r="A34" s="15" t="s">
        <v>31</v>
      </c>
      <c r="B34" s="5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2"/>
      <c r="O34" s="12"/>
      <c r="P34" s="12"/>
      <c r="Q34" s="12"/>
      <c r="R34" s="12"/>
      <c r="S34" s="12"/>
    </row>
    <row r="35" spans="1:19" ht="13.5" customHeight="1" x14ac:dyDescent="0.25">
      <c r="A35" s="50" t="s">
        <v>32</v>
      </c>
      <c r="B35" s="5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2"/>
      <c r="O35" s="12"/>
      <c r="P35" s="12"/>
      <c r="Q35" s="12"/>
      <c r="R35" s="12"/>
      <c r="S35" s="12"/>
    </row>
    <row r="36" spans="1:19" ht="13.5" customHeight="1" x14ac:dyDescent="0.25">
      <c r="A36" s="50" t="s">
        <v>33</v>
      </c>
      <c r="B36" s="50"/>
      <c r="C36" s="10"/>
      <c r="D36" s="10">
        <v>1200</v>
      </c>
      <c r="E36" s="10">
        <f t="shared" ref="E36:M36" si="19">D36</f>
        <v>1200</v>
      </c>
      <c r="F36" s="10">
        <f t="shared" si="19"/>
        <v>1200</v>
      </c>
      <c r="G36" s="10">
        <f t="shared" si="19"/>
        <v>1200</v>
      </c>
      <c r="H36" s="10">
        <f t="shared" si="19"/>
        <v>1200</v>
      </c>
      <c r="I36" s="10">
        <f t="shared" si="19"/>
        <v>1200</v>
      </c>
      <c r="J36" s="10">
        <f t="shared" si="19"/>
        <v>1200</v>
      </c>
      <c r="K36" s="10">
        <f t="shared" si="19"/>
        <v>1200</v>
      </c>
      <c r="L36" s="10">
        <f t="shared" si="19"/>
        <v>1200</v>
      </c>
      <c r="M36" s="10">
        <f t="shared" si="19"/>
        <v>1200</v>
      </c>
      <c r="N36" s="12"/>
      <c r="O36" s="12"/>
      <c r="P36" s="12"/>
      <c r="Q36" s="12"/>
      <c r="R36" s="12"/>
      <c r="S36" s="12"/>
    </row>
    <row r="37" spans="1:19" ht="13.5" customHeight="1" x14ac:dyDescent="0.25">
      <c r="A37" s="50" t="s">
        <v>34</v>
      </c>
      <c r="B37" s="50"/>
      <c r="C37" s="10"/>
      <c r="D37" s="10">
        <v>33423</v>
      </c>
      <c r="E37" s="10">
        <v>16426</v>
      </c>
      <c r="F37" s="10">
        <v>2972</v>
      </c>
      <c r="G37" s="10"/>
      <c r="H37" s="10"/>
      <c r="I37" s="10"/>
      <c r="J37" s="10"/>
      <c r="K37" s="10"/>
      <c r="L37" s="10">
        <v>2604</v>
      </c>
      <c r="M37" s="10">
        <v>23445</v>
      </c>
      <c r="N37" s="12"/>
      <c r="O37" s="12"/>
      <c r="P37" s="12"/>
      <c r="Q37" s="12"/>
      <c r="R37" s="12"/>
      <c r="S37" s="12"/>
    </row>
    <row r="38" spans="1:19" ht="13.5" customHeight="1" x14ac:dyDescent="0.25">
      <c r="A38" s="50" t="s">
        <v>35</v>
      </c>
      <c r="B38" s="50"/>
      <c r="C38" s="10"/>
      <c r="D38" s="10">
        <f>((D17+D18)/365)*D10</f>
        <v>2136.9863013698632</v>
      </c>
      <c r="E38" s="10">
        <f t="shared" ref="E38:M38" si="20">(E17/365)*E10</f>
        <v>1835.1616438356164</v>
      </c>
      <c r="F38" s="10">
        <f t="shared" si="20"/>
        <v>2048.7561075616445</v>
      </c>
      <c r="G38" s="10">
        <f t="shared" si="20"/>
        <v>2287.2108309207442</v>
      </c>
      <c r="H38" s="10">
        <f t="shared" si="20"/>
        <v>2553.4192995316107</v>
      </c>
      <c r="I38" s="10">
        <f t="shared" si="20"/>
        <v>2850.611771804095</v>
      </c>
      <c r="J38" s="10">
        <f t="shared" si="20"/>
        <v>3182.3944759243736</v>
      </c>
      <c r="K38" s="10">
        <f t="shared" si="20"/>
        <v>3552.7933689772117</v>
      </c>
      <c r="L38" s="10">
        <f t="shared" si="20"/>
        <v>3966.3029891924698</v>
      </c>
      <c r="M38" s="10">
        <f t="shared" si="20"/>
        <v>4427.9409941045824</v>
      </c>
      <c r="N38" s="12"/>
      <c r="O38" s="12"/>
      <c r="P38" s="12"/>
      <c r="Q38" s="12"/>
      <c r="R38" s="12"/>
      <c r="S38" s="12"/>
    </row>
    <row r="39" spans="1:19" ht="13.5" customHeight="1" x14ac:dyDescent="0.25">
      <c r="A39" s="50" t="s">
        <v>36</v>
      </c>
      <c r="B39" s="50"/>
      <c r="C39" s="10"/>
      <c r="D39" s="10">
        <f t="shared" ref="D39:M39" si="21">(D20/365)*D11</f>
        <v>84666.666666666657</v>
      </c>
      <c r="E39" s="10">
        <f t="shared" si="21"/>
        <v>89897.360000000015</v>
      </c>
      <c r="F39" s="10">
        <f t="shared" si="21"/>
        <v>95456.52798720001</v>
      </c>
      <c r="G39" s="10">
        <f t="shared" si="21"/>
        <v>101365.06217968458</v>
      </c>
      <c r="H39" s="10">
        <f t="shared" si="21"/>
        <v>107645.19576284676</v>
      </c>
      <c r="I39" s="10">
        <f t="shared" si="21"/>
        <v>114320.59033598579</v>
      </c>
      <c r="J39" s="10">
        <f t="shared" si="21"/>
        <v>121416.4283350332</v>
      </c>
      <c r="K39" s="10">
        <f t="shared" si="21"/>
        <v>128959.51146639942</v>
      </c>
      <c r="L39" s="10">
        <f t="shared" si="21"/>
        <v>136978.36554437279</v>
      </c>
      <c r="M39" s="10">
        <f t="shared" si="21"/>
        <v>145503.35215019376</v>
      </c>
      <c r="N39" s="12"/>
      <c r="O39" s="12"/>
      <c r="P39" s="12"/>
      <c r="Q39" s="12"/>
      <c r="R39" s="12"/>
      <c r="S39" s="12"/>
    </row>
    <row r="40" spans="1:19" ht="13.5" customHeight="1" x14ac:dyDescent="0.25">
      <c r="A40" s="50"/>
      <c r="B40" s="5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2"/>
      <c r="O40" s="12"/>
      <c r="P40" s="12"/>
      <c r="Q40" s="12"/>
      <c r="R40" s="12"/>
      <c r="S40" s="12"/>
    </row>
    <row r="41" spans="1:19" ht="13.5" customHeight="1" x14ac:dyDescent="0.25">
      <c r="A41" s="50" t="s">
        <v>37</v>
      </c>
      <c r="B41" s="50"/>
      <c r="C41" s="10"/>
      <c r="D41" s="10">
        <f>N41</f>
        <v>50000</v>
      </c>
      <c r="E41" s="10">
        <f t="shared" ref="E41:M41" si="22">D41</f>
        <v>50000</v>
      </c>
      <c r="F41" s="10">
        <f t="shared" si="22"/>
        <v>50000</v>
      </c>
      <c r="G41" s="10">
        <f t="shared" si="22"/>
        <v>50000</v>
      </c>
      <c r="H41" s="10">
        <f t="shared" si="22"/>
        <v>50000</v>
      </c>
      <c r="I41" s="10">
        <f t="shared" si="22"/>
        <v>50000</v>
      </c>
      <c r="J41" s="10">
        <f t="shared" si="22"/>
        <v>50000</v>
      </c>
      <c r="K41" s="10">
        <f t="shared" si="22"/>
        <v>50000</v>
      </c>
      <c r="L41" s="10">
        <f t="shared" si="22"/>
        <v>50000</v>
      </c>
      <c r="M41" s="10">
        <f t="shared" si="22"/>
        <v>50000</v>
      </c>
      <c r="N41" s="23">
        <v>50000</v>
      </c>
      <c r="O41" s="12"/>
      <c r="P41" s="12"/>
      <c r="Q41" s="12"/>
      <c r="R41" s="12"/>
      <c r="S41" s="12"/>
    </row>
    <row r="42" spans="1:19" ht="13.5" customHeight="1" x14ac:dyDescent="0.25">
      <c r="A42" s="50" t="s">
        <v>38</v>
      </c>
      <c r="B42" s="50"/>
      <c r="C42" s="10"/>
      <c r="D42" s="10">
        <f t="shared" ref="D42:M42" si="23">$N$42</f>
        <v>350000</v>
      </c>
      <c r="E42" s="10">
        <f t="shared" si="23"/>
        <v>350000</v>
      </c>
      <c r="F42" s="10">
        <f t="shared" si="23"/>
        <v>350000</v>
      </c>
      <c r="G42" s="10">
        <f t="shared" si="23"/>
        <v>350000</v>
      </c>
      <c r="H42" s="10">
        <f t="shared" si="23"/>
        <v>350000</v>
      </c>
      <c r="I42" s="10">
        <f t="shared" si="23"/>
        <v>350000</v>
      </c>
      <c r="J42" s="10">
        <f t="shared" si="23"/>
        <v>350000</v>
      </c>
      <c r="K42" s="10">
        <f t="shared" si="23"/>
        <v>350000</v>
      </c>
      <c r="L42" s="10">
        <f t="shared" si="23"/>
        <v>350000</v>
      </c>
      <c r="M42" s="10">
        <f t="shared" si="23"/>
        <v>350000</v>
      </c>
      <c r="N42" s="23">
        <v>350000</v>
      </c>
      <c r="O42" s="23" t="s">
        <v>39</v>
      </c>
      <c r="P42" s="12"/>
      <c r="Q42" s="12"/>
      <c r="R42" s="12"/>
      <c r="S42" s="12"/>
    </row>
    <row r="43" spans="1:19" ht="13.5" customHeight="1" x14ac:dyDescent="0.25">
      <c r="A43" s="50" t="s">
        <v>40</v>
      </c>
      <c r="B43" s="50"/>
      <c r="C43" s="10"/>
      <c r="D43" s="10">
        <f t="shared" ref="D43:M43" si="24">C43+D26</f>
        <v>11666.666666666666</v>
      </c>
      <c r="E43" s="10">
        <f t="shared" si="24"/>
        <v>23333.333333333332</v>
      </c>
      <c r="F43" s="10">
        <f t="shared" si="24"/>
        <v>35000</v>
      </c>
      <c r="G43" s="10">
        <f t="shared" si="24"/>
        <v>46666.666666666664</v>
      </c>
      <c r="H43" s="10">
        <f t="shared" si="24"/>
        <v>58333.333333333328</v>
      </c>
      <c r="I43" s="10">
        <f t="shared" si="24"/>
        <v>70000</v>
      </c>
      <c r="J43" s="10">
        <f t="shared" si="24"/>
        <v>81666.666666666672</v>
      </c>
      <c r="K43" s="10">
        <f t="shared" si="24"/>
        <v>93333.333333333343</v>
      </c>
      <c r="L43" s="10">
        <f t="shared" si="24"/>
        <v>105000.00000000001</v>
      </c>
      <c r="M43" s="10">
        <f t="shared" si="24"/>
        <v>116666.66666666669</v>
      </c>
      <c r="N43" s="12"/>
      <c r="O43" s="12"/>
      <c r="P43" s="12"/>
      <c r="Q43" s="12"/>
      <c r="R43" s="12"/>
      <c r="S43" s="12"/>
    </row>
    <row r="44" spans="1:19" ht="13.5" customHeight="1" x14ac:dyDescent="0.25">
      <c r="A44" s="50"/>
      <c r="B44" s="5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3" t="s">
        <v>41</v>
      </c>
      <c r="O44" s="12"/>
      <c r="P44" s="12"/>
      <c r="Q44" s="6" t="s">
        <v>42</v>
      </c>
      <c r="R44" s="6">
        <v>0.42</v>
      </c>
      <c r="S44" s="12"/>
    </row>
    <row r="45" spans="1:19" ht="13.5" customHeight="1" x14ac:dyDescent="0.25">
      <c r="A45" s="50" t="s">
        <v>43</v>
      </c>
      <c r="B45" s="50"/>
      <c r="C45" s="10"/>
      <c r="D45" s="10">
        <f t="shared" ref="D45:M45" si="25">SUM(D36:D42)-D43</f>
        <v>509759.98630136985</v>
      </c>
      <c r="E45" s="10">
        <f t="shared" si="25"/>
        <v>486025.18831050233</v>
      </c>
      <c r="F45" s="10">
        <f t="shared" si="25"/>
        <v>466677.28409476165</v>
      </c>
      <c r="G45" s="10">
        <f t="shared" si="25"/>
        <v>458185.60634393862</v>
      </c>
      <c r="H45" s="10">
        <f t="shared" si="25"/>
        <v>453065.28172904503</v>
      </c>
      <c r="I45" s="10">
        <f t="shared" si="25"/>
        <v>448371.20210778987</v>
      </c>
      <c r="J45" s="10">
        <f t="shared" si="25"/>
        <v>444132.15614429087</v>
      </c>
      <c r="K45" s="10">
        <f t="shared" si="25"/>
        <v>440378.97150204319</v>
      </c>
      <c r="L45" s="10">
        <f t="shared" si="25"/>
        <v>439748.66853356524</v>
      </c>
      <c r="M45" s="10">
        <f t="shared" si="25"/>
        <v>457909.62647763168</v>
      </c>
      <c r="N45" s="23" t="s">
        <v>44</v>
      </c>
      <c r="O45" s="23">
        <f>R46</f>
        <v>0.68957655155666098</v>
      </c>
      <c r="P45" s="12"/>
      <c r="Q45" s="6" t="s">
        <v>29</v>
      </c>
      <c r="R45" s="6">
        <f>N31</f>
        <v>0.2</v>
      </c>
      <c r="S45" s="12"/>
    </row>
    <row r="46" spans="1:19" ht="13.5" customHeight="1" x14ac:dyDescent="0.25">
      <c r="A46" s="50"/>
      <c r="B46" s="5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23" t="s">
        <v>45</v>
      </c>
      <c r="O46" s="1">
        <f>0.0013*52</f>
        <v>6.7599999999999993E-2</v>
      </c>
      <c r="P46" s="12"/>
      <c r="Q46" s="6" t="s">
        <v>46</v>
      </c>
      <c r="R46" s="6">
        <f>R44*(1+((1-R45)*((O51+O52)/O54)))</f>
        <v>0.68957655155666098</v>
      </c>
      <c r="S46" s="12"/>
    </row>
    <row r="47" spans="1:19" ht="13.5" customHeight="1" x14ac:dyDescent="0.25">
      <c r="A47" s="50" t="s">
        <v>47</v>
      </c>
      <c r="B47" s="5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23" t="s">
        <v>48</v>
      </c>
      <c r="O47" s="3">
        <v>0.19</v>
      </c>
      <c r="P47" s="12"/>
      <c r="Q47" s="6"/>
      <c r="R47" s="6"/>
      <c r="S47" s="12"/>
    </row>
    <row r="48" spans="1:19" ht="13.5" customHeight="1" x14ac:dyDescent="0.25">
      <c r="A48" s="50" t="s">
        <v>49</v>
      </c>
      <c r="B48" s="50"/>
      <c r="C48" s="10"/>
      <c r="D48" s="10">
        <f t="shared" ref="D48:M48" si="26">(D20/365)*D12</f>
        <v>13917.80821917808</v>
      </c>
      <c r="E48" s="10">
        <f t="shared" si="26"/>
        <v>15477.642082191785</v>
      </c>
      <c r="F48" s="10">
        <f t="shared" si="26"/>
        <v>17213.253738797594</v>
      </c>
      <c r="G48" s="10">
        <f t="shared" si="26"/>
        <v>19144.547393541379</v>
      </c>
      <c r="H48" s="10">
        <f t="shared" si="26"/>
        <v>21293.690611321752</v>
      </c>
      <c r="I48" s="10">
        <f t="shared" si="26"/>
        <v>23685.372629157508</v>
      </c>
      <c r="J48" s="10">
        <f t="shared" si="26"/>
        <v>26347.092240799037</v>
      </c>
      <c r="K48" s="10">
        <f t="shared" si="26"/>
        <v>29309.478648883996</v>
      </c>
      <c r="L48" s="10">
        <f t="shared" si="26"/>
        <v>32606.649069902553</v>
      </c>
      <c r="M48" s="10">
        <f t="shared" si="26"/>
        <v>36276.607312825159</v>
      </c>
      <c r="N48" s="23" t="s">
        <v>50</v>
      </c>
      <c r="O48" s="1">
        <f>(O45*(O47-O46))+O46</f>
        <v>0.15200416991053531</v>
      </c>
      <c r="P48" s="12"/>
      <c r="Q48" s="12"/>
      <c r="R48" s="12"/>
      <c r="S48" s="12"/>
    </row>
    <row r="49" spans="1:19" ht="13.5" customHeight="1" x14ac:dyDescent="0.25">
      <c r="A49" s="50" t="s">
        <v>51</v>
      </c>
      <c r="B49" s="50"/>
      <c r="C49" s="10"/>
      <c r="D49" s="10">
        <f t="shared" ref="D49:M49" si="27">D31</f>
        <v>0</v>
      </c>
      <c r="E49" s="10">
        <f t="shared" si="27"/>
        <v>100.05867117083399</v>
      </c>
      <c r="F49" s="10">
        <f t="shared" si="27"/>
        <v>1390.5511325835832</v>
      </c>
      <c r="G49" s="10">
        <f t="shared" si="27"/>
        <v>2640.3960286804013</v>
      </c>
      <c r="H49" s="10">
        <f t="shared" si="27"/>
        <v>4042.8897570282106</v>
      </c>
      <c r="I49" s="10">
        <f t="shared" si="27"/>
        <v>5699.702388173424</v>
      </c>
      <c r="J49" s="10">
        <f t="shared" si="27"/>
        <v>7650.7228727196698</v>
      </c>
      <c r="K49" s="10">
        <f t="shared" si="27"/>
        <v>9941.6103129659095</v>
      </c>
      <c r="L49" s="10">
        <f t="shared" si="27"/>
        <v>12560.218644650187</v>
      </c>
      <c r="M49" s="10">
        <f t="shared" si="27"/>
        <v>15173.446164291609</v>
      </c>
      <c r="N49" s="12"/>
      <c r="O49" s="12"/>
      <c r="P49" s="12"/>
      <c r="Q49" s="12"/>
      <c r="R49" s="12"/>
      <c r="S49" s="12"/>
    </row>
    <row r="50" spans="1:19" ht="13.5" customHeight="1" x14ac:dyDescent="0.25">
      <c r="A50" s="50"/>
      <c r="B50" s="5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23" t="s">
        <v>52</v>
      </c>
      <c r="O50" s="23" t="s">
        <v>53</v>
      </c>
      <c r="P50" s="23" t="s">
        <v>54</v>
      </c>
      <c r="Q50" s="23" t="s">
        <v>55</v>
      </c>
      <c r="R50" s="12" t="s">
        <v>56</v>
      </c>
      <c r="S50" s="12"/>
    </row>
    <row r="51" spans="1:19" ht="13.5" customHeight="1" x14ac:dyDescent="0.25">
      <c r="A51" s="50" t="s">
        <v>57</v>
      </c>
      <c r="B51" s="50"/>
      <c r="C51" s="10"/>
      <c r="D51" s="10">
        <f>Mortgage!F13</f>
        <v>326181.64229103801</v>
      </c>
      <c r="E51" s="10">
        <f>Mortgage!F27</f>
        <v>300386.37263926724</v>
      </c>
      <c r="F51" s="10">
        <f>Mortgage!F41</f>
        <v>272450.10832843272</v>
      </c>
      <c r="G51" s="10">
        <f>Mortgage!F55</f>
        <v>242195.14785775469</v>
      </c>
      <c r="H51" s="10">
        <f>Mortgage!F68</f>
        <v>209429.04058952964</v>
      </c>
      <c r="I51" s="10">
        <f>Mortgage!F81</f>
        <v>173943.36257803987</v>
      </c>
      <c r="J51" s="10">
        <f>Mortgage!F95</f>
        <v>135512.39079286632</v>
      </c>
      <c r="K51" s="10">
        <f>Mortgage!F109</f>
        <v>93891.667303390015</v>
      </c>
      <c r="L51" s="10">
        <f>Mortgage!F123</f>
        <v>48816.444291315442</v>
      </c>
      <c r="M51" s="10">
        <f>Mortgage!F136</f>
        <v>1.1186784831807017E-10</v>
      </c>
      <c r="N51" s="31">
        <f>AVERAGE(D51:M51)</f>
        <v>180280.61766716343</v>
      </c>
      <c r="O51" s="3">
        <f>N51/$N$57</f>
        <v>0.41120442943149421</v>
      </c>
      <c r="P51" s="3">
        <f>N27</f>
        <v>0.08</v>
      </c>
      <c r="Q51" s="1">
        <f>P51*(1-N31)</f>
        <v>6.4000000000000001E-2</v>
      </c>
      <c r="R51" s="51">
        <f>Q51*O51</f>
        <v>2.6317083483615632E-2</v>
      </c>
      <c r="S51" s="12"/>
    </row>
    <row r="52" spans="1:19" ht="13.5" customHeight="1" x14ac:dyDescent="0.25">
      <c r="A52" s="50" t="s">
        <v>58</v>
      </c>
      <c r="B52" s="50"/>
      <c r="C52" s="10"/>
      <c r="D52" s="10"/>
      <c r="E52" s="10"/>
      <c r="F52" s="10"/>
      <c r="G52" s="10">
        <v>8020.7236545107598</v>
      </c>
      <c r="H52" s="10">
        <v>15943.310333601201</v>
      </c>
      <c r="I52" s="10">
        <v>19887.604522161098</v>
      </c>
      <c r="J52" s="10">
        <v>18863.8987567693</v>
      </c>
      <c r="K52" s="10">
        <v>11711.722503802799</v>
      </c>
      <c r="L52" s="10"/>
      <c r="M52" s="10"/>
      <c r="N52" s="31">
        <f>AVERAGE(D52:M52)</f>
        <v>14885.45195416903</v>
      </c>
      <c r="O52" s="3">
        <f>N52/$N$57</f>
        <v>3.3952422932922298E-2</v>
      </c>
      <c r="P52" s="13">
        <f>N28</f>
        <v>0.11</v>
      </c>
      <c r="Q52" s="1">
        <f>P52*(1-N31)</f>
        <v>8.8000000000000009E-2</v>
      </c>
      <c r="R52" s="51">
        <f>Q52*O52</f>
        <v>2.9878132180971625E-3</v>
      </c>
      <c r="S52" s="12"/>
    </row>
    <row r="53" spans="1:19" ht="13.5" customHeight="1" x14ac:dyDescent="0.25">
      <c r="A53" s="50"/>
      <c r="B53" s="5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2"/>
      <c r="O53" s="12"/>
      <c r="P53" s="12"/>
      <c r="Q53" s="12"/>
      <c r="R53" s="12"/>
      <c r="S53" s="12"/>
    </row>
    <row r="54" spans="1:19" ht="13.5" customHeight="1" x14ac:dyDescent="0.25">
      <c r="A54" s="50" t="s">
        <v>59</v>
      </c>
      <c r="B54" s="50"/>
      <c r="C54" s="10"/>
      <c r="D54" s="10">
        <v>175000</v>
      </c>
      <c r="E54" s="10">
        <f t="shared" ref="E54:M54" si="28">D54</f>
        <v>175000</v>
      </c>
      <c r="F54" s="10">
        <f t="shared" si="28"/>
        <v>175000</v>
      </c>
      <c r="G54" s="10">
        <f t="shared" si="28"/>
        <v>175000</v>
      </c>
      <c r="H54" s="10">
        <f t="shared" si="28"/>
        <v>175000</v>
      </c>
      <c r="I54" s="10">
        <f t="shared" si="28"/>
        <v>175000</v>
      </c>
      <c r="J54" s="10">
        <f t="shared" si="28"/>
        <v>175000</v>
      </c>
      <c r="K54" s="10">
        <f t="shared" si="28"/>
        <v>175000</v>
      </c>
      <c r="L54" s="10">
        <f t="shared" si="28"/>
        <v>175000</v>
      </c>
      <c r="M54" s="10">
        <f t="shared" si="28"/>
        <v>175000</v>
      </c>
      <c r="N54" s="31">
        <f>AVERAGE(D54:M54)</f>
        <v>175000</v>
      </c>
      <c r="O54" s="3">
        <f>SUM(N54:N55)/N57</f>
        <v>0.5548431476355834</v>
      </c>
      <c r="P54" s="1">
        <f>O48</f>
        <v>0.15200416991053531</v>
      </c>
      <c r="Q54" s="1">
        <f>P54</f>
        <v>0.15200416991053531</v>
      </c>
      <c r="R54" s="51">
        <f>Q54*O54</f>
        <v>8.4338472086895447E-2</v>
      </c>
      <c r="S54" s="12"/>
    </row>
    <row r="55" spans="1:19" ht="13.5" customHeight="1" x14ac:dyDescent="0.25">
      <c r="A55" s="50" t="s">
        <v>60</v>
      </c>
      <c r="B55" s="50"/>
      <c r="C55" s="10"/>
      <c r="D55" s="10">
        <f t="shared" ref="D55:M55" si="29">C55+D32</f>
        <v>-5339.231920287828</v>
      </c>
      <c r="E55" s="10">
        <f t="shared" si="29"/>
        <v>-4938.9972356044918</v>
      </c>
      <c r="F55" s="10">
        <f t="shared" si="29"/>
        <v>623.20729472984112</v>
      </c>
      <c r="G55" s="10">
        <f t="shared" si="29"/>
        <v>11184.791409451445</v>
      </c>
      <c r="H55" s="10">
        <f t="shared" si="29"/>
        <v>27356.350437564288</v>
      </c>
      <c r="I55" s="10">
        <f t="shared" si="29"/>
        <v>50155.159990257976</v>
      </c>
      <c r="J55" s="10">
        <f t="shared" si="29"/>
        <v>80758.051481136645</v>
      </c>
      <c r="K55" s="10">
        <f t="shared" si="29"/>
        <v>120524.49273300028</v>
      </c>
      <c r="L55" s="10">
        <f t="shared" si="29"/>
        <v>170765.36731160103</v>
      </c>
      <c r="M55" s="10">
        <f t="shared" si="29"/>
        <v>231459.15196876746</v>
      </c>
      <c r="N55" s="31">
        <f>AVERAGE(D55:M55)</f>
        <v>68254.834347061667</v>
      </c>
      <c r="O55" s="12"/>
      <c r="P55" s="12"/>
      <c r="Q55" s="12"/>
      <c r="R55" s="12"/>
      <c r="S55" s="12"/>
    </row>
    <row r="56" spans="1:19" ht="15" x14ac:dyDescent="0.25">
      <c r="A56" s="50"/>
      <c r="B56" s="50"/>
      <c r="C56" s="5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2"/>
      <c r="O56" s="12"/>
      <c r="P56" s="12"/>
      <c r="Q56" s="12"/>
      <c r="R56" s="12"/>
      <c r="S56" s="12"/>
    </row>
    <row r="57" spans="1:19" ht="15" x14ac:dyDescent="0.25">
      <c r="A57" s="50" t="s">
        <v>61</v>
      </c>
      <c r="B57" s="50"/>
      <c r="C57" s="50"/>
      <c r="D57" s="10">
        <f t="shared" ref="D57:M57" si="30">SUM(D48:D55)</f>
        <v>509760.21858992823</v>
      </c>
      <c r="E57" s="10">
        <f t="shared" si="30"/>
        <v>486025.07615702535</v>
      </c>
      <c r="F57" s="10">
        <f t="shared" si="30"/>
        <v>466677.12049454375</v>
      </c>
      <c r="G57" s="10">
        <f t="shared" si="30"/>
        <v>458185.60634393868</v>
      </c>
      <c r="H57" s="10">
        <f t="shared" si="30"/>
        <v>453065.28172904509</v>
      </c>
      <c r="I57" s="10">
        <f t="shared" si="30"/>
        <v>448371.20210778987</v>
      </c>
      <c r="J57" s="10">
        <f t="shared" si="30"/>
        <v>444132.15614429099</v>
      </c>
      <c r="K57" s="10">
        <f t="shared" si="30"/>
        <v>440378.97150204296</v>
      </c>
      <c r="L57" s="10">
        <f t="shared" si="30"/>
        <v>439748.67931746924</v>
      </c>
      <c r="M57" s="10">
        <f t="shared" si="30"/>
        <v>457909.20544588432</v>
      </c>
      <c r="N57" s="19">
        <f>SUM(N51:N55)</f>
        <v>438420.90396839415</v>
      </c>
      <c r="O57" s="12"/>
      <c r="P57" s="12"/>
      <c r="Q57" s="12"/>
      <c r="R57" s="51">
        <f>SUM(R51:R54)</f>
        <v>0.11364336878860824</v>
      </c>
      <c r="S57" s="12" t="s">
        <v>62</v>
      </c>
    </row>
    <row r="58" spans="1:19" ht="15" x14ac:dyDescent="0.25">
      <c r="A58" s="23" t="s">
        <v>63</v>
      </c>
      <c r="B58" s="6"/>
      <c r="C58" s="6"/>
      <c r="D58" s="34">
        <f t="shared" ref="D58:M58" si="31">D45-D57</f>
        <v>-0.23228855838533491</v>
      </c>
      <c r="E58" s="34">
        <f t="shared" si="31"/>
        <v>0.1121534769772552</v>
      </c>
      <c r="F58" s="34">
        <f t="shared" si="31"/>
        <v>0.16360021790023893</v>
      </c>
      <c r="G58" s="34">
        <f t="shared" si="31"/>
        <v>0</v>
      </c>
      <c r="H58" s="34">
        <f t="shared" si="31"/>
        <v>0</v>
      </c>
      <c r="I58" s="34">
        <f t="shared" si="31"/>
        <v>0</v>
      </c>
      <c r="J58" s="34">
        <f t="shared" si="31"/>
        <v>0</v>
      </c>
      <c r="K58" s="34">
        <f t="shared" si="31"/>
        <v>0</v>
      </c>
      <c r="L58" s="34">
        <f t="shared" si="31"/>
        <v>-1.0783903999254107E-2</v>
      </c>
      <c r="M58" s="34">
        <f t="shared" si="31"/>
        <v>0.42103174736257643</v>
      </c>
      <c r="N58" s="6"/>
      <c r="O58" s="6"/>
      <c r="P58" s="6"/>
      <c r="Q58" s="6"/>
      <c r="R58" s="12"/>
      <c r="S58" s="12"/>
    </row>
    <row r="59" spans="1:19" ht="15" x14ac:dyDescent="0.25">
      <c r="A59" s="41" t="s">
        <v>64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6"/>
      <c r="O59" s="6"/>
      <c r="P59" s="6"/>
      <c r="Q59" s="6"/>
      <c r="R59" s="12"/>
      <c r="S59" s="12"/>
    </row>
    <row r="60" spans="1:19" ht="15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P60" s="6"/>
      <c r="Q60" s="6"/>
      <c r="R60" s="12"/>
      <c r="S60" s="12"/>
    </row>
    <row r="61" spans="1:19" ht="15" x14ac:dyDescent="0.25">
      <c r="A61" s="41" t="s">
        <v>65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P61" s="6"/>
      <c r="Q61" s="6"/>
      <c r="R61" s="12"/>
      <c r="S61" s="12"/>
    </row>
    <row r="62" spans="1:19" ht="15" x14ac:dyDescent="0.25">
      <c r="A62" s="18"/>
      <c r="B62" s="18" t="s">
        <v>66</v>
      </c>
      <c r="C62" s="18"/>
      <c r="D62" s="29">
        <f t="shared" ref="D62:M62" si="32">SUM(D17:D18)-SUM(D20:D24)</f>
        <v>33466.666666666686</v>
      </c>
      <c r="E62" s="29">
        <f t="shared" si="32"/>
        <v>37329.27999999997</v>
      </c>
      <c r="F62" s="29">
        <f t="shared" si="32"/>
        <v>41640.747648000019</v>
      </c>
      <c r="G62" s="29">
        <f t="shared" si="32"/>
        <v>46453.55557063676</v>
      </c>
      <c r="H62" s="29">
        <f t="shared" si="32"/>
        <v>51826.361949528742</v>
      </c>
      <c r="I62" s="29">
        <f t="shared" si="32"/>
        <v>57824.726722731721</v>
      </c>
      <c r="J62" s="29">
        <f t="shared" si="32"/>
        <v>64521.927737586084</v>
      </c>
      <c r="K62" s="29">
        <f t="shared" si="32"/>
        <v>71999.873846688191</v>
      </c>
      <c r="L62" s="29">
        <f t="shared" si="32"/>
        <v>80350.126507092849</v>
      </c>
      <c r="M62" s="29">
        <f t="shared" si="32"/>
        <v>89675.042826059274</v>
      </c>
      <c r="P62" s="6"/>
      <c r="Q62" s="6"/>
      <c r="R62" s="12"/>
      <c r="S62" s="12"/>
    </row>
    <row r="63" spans="1:19" ht="15" x14ac:dyDescent="0.25">
      <c r="A63" s="18"/>
      <c r="B63" s="18" t="s">
        <v>67</v>
      </c>
      <c r="C63" s="18"/>
      <c r="D63" s="29">
        <f t="shared" ref="D63:M63" si="33">D26</f>
        <v>11666.666666666666</v>
      </c>
      <c r="E63" s="29">
        <f t="shared" si="33"/>
        <v>11666.666666666666</v>
      </c>
      <c r="F63" s="29">
        <f t="shared" si="33"/>
        <v>11666.666666666666</v>
      </c>
      <c r="G63" s="29">
        <f t="shared" si="33"/>
        <v>11666.666666666666</v>
      </c>
      <c r="H63" s="29">
        <f t="shared" si="33"/>
        <v>11666.666666666666</v>
      </c>
      <c r="I63" s="29">
        <f t="shared" si="33"/>
        <v>11666.666666666666</v>
      </c>
      <c r="J63" s="29">
        <f t="shared" si="33"/>
        <v>11666.666666666666</v>
      </c>
      <c r="K63" s="29">
        <f t="shared" si="33"/>
        <v>11666.666666666666</v>
      </c>
      <c r="L63" s="29">
        <f t="shared" si="33"/>
        <v>11666.666666666666</v>
      </c>
      <c r="M63" s="29">
        <f t="shared" si="33"/>
        <v>11666.666666666666</v>
      </c>
      <c r="P63" s="6"/>
      <c r="Q63" s="6"/>
      <c r="R63" s="12"/>
      <c r="S63" s="12"/>
    </row>
    <row r="64" spans="1:19" ht="15" x14ac:dyDescent="0.25">
      <c r="A64" s="18"/>
      <c r="B64" s="18" t="s">
        <v>68</v>
      </c>
      <c r="C64" s="18"/>
      <c r="D64" s="29">
        <f t="shared" ref="D64:M64" si="34">D62-D63</f>
        <v>21800.000000000022</v>
      </c>
      <c r="E64" s="29">
        <f t="shared" si="34"/>
        <v>25662.613333333305</v>
      </c>
      <c r="F64" s="29">
        <f t="shared" si="34"/>
        <v>29974.080981333354</v>
      </c>
      <c r="G64" s="29">
        <f t="shared" si="34"/>
        <v>34786.888903970095</v>
      </c>
      <c r="H64" s="29">
        <f t="shared" si="34"/>
        <v>40159.695282862078</v>
      </c>
      <c r="I64" s="29">
        <f t="shared" si="34"/>
        <v>46158.060056065056</v>
      </c>
      <c r="J64" s="29">
        <f t="shared" si="34"/>
        <v>52855.26107091942</v>
      </c>
      <c r="K64" s="29">
        <f t="shared" si="34"/>
        <v>60333.207180021527</v>
      </c>
      <c r="L64" s="29">
        <f t="shared" si="34"/>
        <v>68683.459840426178</v>
      </c>
      <c r="M64" s="29">
        <f t="shared" si="34"/>
        <v>78008.376159392603</v>
      </c>
      <c r="N64" s="6"/>
      <c r="O64" s="6"/>
      <c r="P64" s="6"/>
      <c r="Q64" s="6"/>
      <c r="R64" s="12"/>
      <c r="S64" s="12"/>
    </row>
    <row r="65" spans="1:19" ht="15" x14ac:dyDescent="0.25">
      <c r="A65" s="18"/>
      <c r="B65" s="18" t="s">
        <v>69</v>
      </c>
      <c r="C65" s="18"/>
      <c r="D65" s="29">
        <f t="shared" ref="D65:M65" si="35">D64*$N$31</f>
        <v>4360.0000000000045</v>
      </c>
      <c r="E65" s="29">
        <f t="shared" si="35"/>
        <v>5132.5226666666613</v>
      </c>
      <c r="F65" s="29">
        <f t="shared" si="35"/>
        <v>5994.8161962666709</v>
      </c>
      <c r="G65" s="29">
        <f t="shared" si="35"/>
        <v>6957.3777807940196</v>
      </c>
      <c r="H65" s="29">
        <f t="shared" si="35"/>
        <v>8031.9390565724161</v>
      </c>
      <c r="I65" s="29">
        <f t="shared" si="35"/>
        <v>9231.612011213012</v>
      </c>
      <c r="J65" s="29">
        <f t="shared" si="35"/>
        <v>10571.052214183885</v>
      </c>
      <c r="K65" s="29">
        <f t="shared" si="35"/>
        <v>12066.641436004305</v>
      </c>
      <c r="L65" s="29">
        <f t="shared" si="35"/>
        <v>13736.691968085237</v>
      </c>
      <c r="M65" s="29">
        <f t="shared" si="35"/>
        <v>15601.675231878522</v>
      </c>
      <c r="N65" s="6"/>
      <c r="O65" s="6"/>
      <c r="P65" s="6"/>
      <c r="Q65" s="6"/>
      <c r="R65" s="12"/>
      <c r="S65" s="12"/>
    </row>
    <row r="66" spans="1:19" ht="15" x14ac:dyDescent="0.25">
      <c r="A66" s="18"/>
      <c r="B66" s="18" t="s">
        <v>70</v>
      </c>
      <c r="C66" s="22"/>
      <c r="D66" s="47">
        <f t="shared" ref="D66:M66" si="36">D63</f>
        <v>11666.666666666666</v>
      </c>
      <c r="E66" s="47">
        <f t="shared" si="36"/>
        <v>11666.666666666666</v>
      </c>
      <c r="F66" s="47">
        <f t="shared" si="36"/>
        <v>11666.666666666666</v>
      </c>
      <c r="G66" s="47">
        <f t="shared" si="36"/>
        <v>11666.666666666666</v>
      </c>
      <c r="H66" s="47">
        <f t="shared" si="36"/>
        <v>11666.666666666666</v>
      </c>
      <c r="I66" s="47">
        <f t="shared" si="36"/>
        <v>11666.666666666666</v>
      </c>
      <c r="J66" s="47">
        <f t="shared" si="36"/>
        <v>11666.666666666666</v>
      </c>
      <c r="K66" s="47">
        <f t="shared" si="36"/>
        <v>11666.666666666666</v>
      </c>
      <c r="L66" s="47">
        <f t="shared" si="36"/>
        <v>11666.666666666666</v>
      </c>
      <c r="M66" s="47">
        <f t="shared" si="36"/>
        <v>11666.666666666666</v>
      </c>
      <c r="N66" s="6"/>
      <c r="O66" s="6"/>
      <c r="P66" s="6"/>
      <c r="Q66" s="6"/>
      <c r="R66" s="12"/>
      <c r="S66" s="12"/>
    </row>
    <row r="67" spans="1:19" ht="15" x14ac:dyDescent="0.25">
      <c r="A67" s="18"/>
      <c r="B67" s="37" t="s">
        <v>71</v>
      </c>
      <c r="C67" s="5"/>
      <c r="D67" s="21">
        <f t="shared" ref="D67:M67" si="37">(D64-D65)+D66</f>
        <v>29106.666666666686</v>
      </c>
      <c r="E67" s="21">
        <f t="shared" si="37"/>
        <v>32196.757333333313</v>
      </c>
      <c r="F67" s="21">
        <f t="shared" si="37"/>
        <v>35645.931451733348</v>
      </c>
      <c r="G67" s="21">
        <f t="shared" si="37"/>
        <v>39496.177789842739</v>
      </c>
      <c r="H67" s="21">
        <f t="shared" si="37"/>
        <v>43794.422892956325</v>
      </c>
      <c r="I67" s="21">
        <f t="shared" si="37"/>
        <v>48593.114711518712</v>
      </c>
      <c r="J67" s="21">
        <f t="shared" si="37"/>
        <v>53950.875523402203</v>
      </c>
      <c r="K67" s="21">
        <f t="shared" si="37"/>
        <v>59933.232410683886</v>
      </c>
      <c r="L67" s="21">
        <f t="shared" si="37"/>
        <v>66613.434539007605</v>
      </c>
      <c r="M67" s="21">
        <f t="shared" si="37"/>
        <v>74073.367594180745</v>
      </c>
      <c r="N67" s="35"/>
      <c r="O67" s="6"/>
      <c r="P67" s="6"/>
      <c r="Q67" s="6"/>
      <c r="R67" s="12"/>
      <c r="S67" s="12"/>
    </row>
    <row r="68" spans="1:19" ht="15" x14ac:dyDescent="0.25">
      <c r="A68" s="18"/>
      <c r="B68" s="18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6"/>
      <c r="O68" s="6"/>
      <c r="P68" s="6"/>
      <c r="Q68" s="6"/>
      <c r="R68" s="12"/>
      <c r="S68" s="12"/>
    </row>
    <row r="69" spans="1:19" ht="15" x14ac:dyDescent="0.25">
      <c r="A69" s="41" t="s">
        <v>72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6" t="s">
        <v>73</v>
      </c>
      <c r="O69" s="24">
        <f>M71-O70</f>
        <v>291666.66666666669</v>
      </c>
      <c r="P69" s="6"/>
      <c r="Q69" s="6"/>
      <c r="R69" s="12"/>
      <c r="S69" s="12"/>
    </row>
    <row r="70" spans="1:19" ht="15" x14ac:dyDescent="0.25">
      <c r="A70" s="18"/>
      <c r="B70" s="18" t="s">
        <v>74</v>
      </c>
      <c r="C70" s="29">
        <f>-D42</f>
        <v>-350000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6" t="s">
        <v>75</v>
      </c>
      <c r="O70" s="24">
        <f>M42-M43</f>
        <v>233333.33333333331</v>
      </c>
      <c r="P70" s="6"/>
      <c r="Q70" s="6"/>
      <c r="R70" s="12"/>
      <c r="S70" s="12"/>
    </row>
    <row r="71" spans="1:19" ht="15" x14ac:dyDescent="0.25">
      <c r="A71" s="18"/>
      <c r="B71" s="18" t="s">
        <v>76</v>
      </c>
      <c r="C71" s="18"/>
      <c r="D71" s="18"/>
      <c r="E71" s="18"/>
      <c r="F71" s="18"/>
      <c r="G71" s="29"/>
      <c r="H71" s="29"/>
      <c r="I71" s="29"/>
      <c r="J71" s="29"/>
      <c r="K71" s="29"/>
      <c r="L71" s="29"/>
      <c r="M71" s="29">
        <f>O71*N71</f>
        <v>525000</v>
      </c>
      <c r="N71" s="34">
        <f>N42</f>
        <v>350000</v>
      </c>
      <c r="O71" s="3">
        <v>1.5</v>
      </c>
      <c r="P71" s="6"/>
      <c r="Q71" s="6"/>
      <c r="R71" s="12"/>
      <c r="S71" s="12"/>
    </row>
    <row r="72" spans="1:19" ht="15" x14ac:dyDescent="0.25">
      <c r="A72" s="18"/>
      <c r="B72" s="18" t="s">
        <v>77</v>
      </c>
      <c r="C72" s="25">
        <f>-D41</f>
        <v>-50000</v>
      </c>
      <c r="D72" s="18"/>
      <c r="E72" s="18"/>
      <c r="F72" s="18"/>
      <c r="G72" s="29"/>
      <c r="H72" s="29"/>
      <c r="I72" s="29"/>
      <c r="J72" s="29"/>
      <c r="K72" s="29"/>
      <c r="L72" s="29"/>
      <c r="M72" s="29"/>
      <c r="N72" s="12"/>
      <c r="O72" s="6"/>
      <c r="P72" s="6"/>
      <c r="Q72" s="6"/>
      <c r="R72" s="12"/>
      <c r="S72" s="12"/>
    </row>
    <row r="73" spans="1:19" ht="15" x14ac:dyDescent="0.25">
      <c r="A73" s="18"/>
      <c r="B73" s="18" t="s">
        <v>78</v>
      </c>
      <c r="C73" s="18"/>
      <c r="D73" s="18"/>
      <c r="E73" s="18"/>
      <c r="F73" s="18"/>
      <c r="G73" s="29"/>
      <c r="H73" s="29"/>
      <c r="I73" s="29"/>
      <c r="J73" s="29"/>
      <c r="K73" s="29"/>
      <c r="L73" s="29"/>
      <c r="M73" s="29">
        <f>N73*O73</f>
        <v>100000</v>
      </c>
      <c r="N73" s="23">
        <v>50000</v>
      </c>
      <c r="O73" s="6">
        <v>2</v>
      </c>
      <c r="P73" s="6"/>
      <c r="Q73" s="6"/>
      <c r="R73" s="12"/>
      <c r="S73" s="12"/>
    </row>
    <row r="74" spans="1:19" ht="15" x14ac:dyDescent="0.25">
      <c r="A74" s="18"/>
      <c r="B74" s="18" t="s">
        <v>79</v>
      </c>
      <c r="C74" s="18"/>
      <c r="D74" s="18"/>
      <c r="E74" s="18"/>
      <c r="F74" s="18"/>
      <c r="G74" s="29"/>
      <c r="H74" s="29"/>
      <c r="I74" s="29"/>
      <c r="J74" s="29"/>
      <c r="K74" s="29"/>
      <c r="L74" s="29"/>
      <c r="M74" s="29">
        <f>-(O69+O74)*N31</f>
        <v>-68333.333333333343</v>
      </c>
      <c r="N74" s="12" t="s">
        <v>73</v>
      </c>
      <c r="O74" s="6">
        <f>M73-N73</f>
        <v>50000</v>
      </c>
      <c r="P74" s="6"/>
      <c r="Q74" s="6"/>
      <c r="R74" s="12"/>
      <c r="S74" s="12"/>
    </row>
    <row r="75" spans="1:19" ht="15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6"/>
      <c r="O75" s="6"/>
      <c r="P75" s="6"/>
      <c r="Q75" s="6"/>
      <c r="R75" s="12"/>
      <c r="S75" s="12"/>
    </row>
    <row r="76" spans="1:19" ht="15" x14ac:dyDescent="0.25">
      <c r="A76" s="41" t="s">
        <v>80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6"/>
      <c r="O76" s="6"/>
      <c r="P76" s="6"/>
      <c r="Q76" s="6"/>
      <c r="R76" s="12"/>
      <c r="S76" s="12"/>
    </row>
    <row r="77" spans="1:19" ht="15" x14ac:dyDescent="0.25">
      <c r="A77" s="18" t="s">
        <v>81</v>
      </c>
      <c r="B77" s="18" t="s">
        <v>35</v>
      </c>
      <c r="C77" s="18"/>
      <c r="D77" s="29">
        <f t="shared" ref="D77:M77" si="38">-(D38-C38)</f>
        <v>-2136.9863013698632</v>
      </c>
      <c r="E77" s="29">
        <f t="shared" si="38"/>
        <v>301.82465753424685</v>
      </c>
      <c r="F77" s="29">
        <f t="shared" si="38"/>
        <v>-213.59446372602815</v>
      </c>
      <c r="G77" s="29">
        <f t="shared" si="38"/>
        <v>-238.45472335909972</v>
      </c>
      <c r="H77" s="29">
        <f t="shared" si="38"/>
        <v>-266.20846861086648</v>
      </c>
      <c r="I77" s="29">
        <f t="shared" si="38"/>
        <v>-297.19247227248434</v>
      </c>
      <c r="J77" s="29">
        <f t="shared" si="38"/>
        <v>-331.78270412027859</v>
      </c>
      <c r="K77" s="29">
        <f t="shared" si="38"/>
        <v>-370.39889305283805</v>
      </c>
      <c r="L77" s="29">
        <f t="shared" si="38"/>
        <v>-413.50962021525811</v>
      </c>
      <c r="M77" s="29">
        <f t="shared" si="38"/>
        <v>-461.63800491211259</v>
      </c>
      <c r="N77" s="6"/>
      <c r="O77" s="6"/>
      <c r="P77" s="6"/>
      <c r="Q77" s="6"/>
      <c r="R77" s="12"/>
      <c r="S77" s="12"/>
    </row>
    <row r="78" spans="1:19" ht="15" x14ac:dyDescent="0.25">
      <c r="A78" s="18" t="s">
        <v>81</v>
      </c>
      <c r="B78" s="18" t="s">
        <v>36</v>
      </c>
      <c r="C78" s="18"/>
      <c r="D78" s="29">
        <f t="shared" ref="D78:M78" si="39">-(D39-C39)</f>
        <v>-84666.666666666657</v>
      </c>
      <c r="E78" s="29">
        <f t="shared" si="39"/>
        <v>-5230.6933333333582</v>
      </c>
      <c r="F78" s="29">
        <f t="shared" si="39"/>
        <v>-5559.167987199995</v>
      </c>
      <c r="G78" s="29">
        <f t="shared" si="39"/>
        <v>-5908.5341924845707</v>
      </c>
      <c r="H78" s="29">
        <f t="shared" si="39"/>
        <v>-6280.1335831621836</v>
      </c>
      <c r="I78" s="29">
        <f t="shared" si="39"/>
        <v>-6675.3945731390268</v>
      </c>
      <c r="J78" s="29">
        <f t="shared" si="39"/>
        <v>-7095.8379990474059</v>
      </c>
      <c r="K78" s="29">
        <f t="shared" si="39"/>
        <v>-7543.0831313662202</v>
      </c>
      <c r="L78" s="29">
        <f t="shared" si="39"/>
        <v>-8018.8540779733739</v>
      </c>
      <c r="M78" s="29">
        <f t="shared" si="39"/>
        <v>-8524.9866058209736</v>
      </c>
      <c r="N78" s="6"/>
      <c r="O78" s="6"/>
      <c r="P78" s="6"/>
      <c r="Q78" s="6"/>
      <c r="R78" s="12"/>
      <c r="S78" s="12"/>
    </row>
    <row r="79" spans="1:19" ht="15" x14ac:dyDescent="0.25">
      <c r="A79" s="18" t="s">
        <v>82</v>
      </c>
      <c r="B79" s="18" t="s">
        <v>49</v>
      </c>
      <c r="C79" s="18"/>
      <c r="D79" s="29">
        <f t="shared" ref="D79:M79" si="40">(D48-C48)</f>
        <v>13917.80821917808</v>
      </c>
      <c r="E79" s="29">
        <f t="shared" si="40"/>
        <v>1559.8338630137059</v>
      </c>
      <c r="F79" s="29">
        <f t="shared" si="40"/>
        <v>1735.6116566058081</v>
      </c>
      <c r="G79" s="29">
        <f t="shared" si="40"/>
        <v>1931.2936547437857</v>
      </c>
      <c r="H79" s="29">
        <f t="shared" si="40"/>
        <v>2149.1432177803727</v>
      </c>
      <c r="I79" s="29">
        <f t="shared" si="40"/>
        <v>2391.6820178357557</v>
      </c>
      <c r="J79" s="29">
        <f t="shared" si="40"/>
        <v>2661.7196116415289</v>
      </c>
      <c r="K79" s="29">
        <f t="shared" si="40"/>
        <v>2962.3864080849598</v>
      </c>
      <c r="L79" s="29">
        <f t="shared" si="40"/>
        <v>3297.1704210185562</v>
      </c>
      <c r="M79" s="29">
        <f t="shared" si="40"/>
        <v>3669.9582429226066</v>
      </c>
      <c r="N79" s="6"/>
      <c r="O79" s="6"/>
      <c r="P79" s="6"/>
      <c r="Q79" s="6"/>
      <c r="R79" s="12"/>
      <c r="S79" s="12"/>
    </row>
    <row r="80" spans="1:19" ht="15" x14ac:dyDescent="0.25">
      <c r="A80" s="18" t="s">
        <v>82</v>
      </c>
      <c r="B80" s="18" t="s">
        <v>83</v>
      </c>
      <c r="C80" s="18"/>
      <c r="D80" s="29">
        <f t="shared" ref="D80:M80" si="41">(D65-C65)</f>
        <v>4360.0000000000045</v>
      </c>
      <c r="E80" s="29">
        <f t="shared" si="41"/>
        <v>772.52266666665673</v>
      </c>
      <c r="F80" s="29">
        <f t="shared" si="41"/>
        <v>862.29352960000961</v>
      </c>
      <c r="G80" s="29">
        <f t="shared" si="41"/>
        <v>962.56158452734871</v>
      </c>
      <c r="H80" s="29">
        <f t="shared" si="41"/>
        <v>1074.5612757783965</v>
      </c>
      <c r="I80" s="29">
        <f t="shared" si="41"/>
        <v>1199.6729546405959</v>
      </c>
      <c r="J80" s="29">
        <f t="shared" si="41"/>
        <v>1339.4402029708726</v>
      </c>
      <c r="K80" s="29">
        <f t="shared" si="41"/>
        <v>1495.5892218204208</v>
      </c>
      <c r="L80" s="29">
        <f t="shared" si="41"/>
        <v>1670.0505320809316</v>
      </c>
      <c r="M80" s="29">
        <f t="shared" si="41"/>
        <v>1864.983263793285</v>
      </c>
      <c r="N80" s="6"/>
      <c r="O80" s="6"/>
      <c r="P80" s="6"/>
      <c r="Q80" s="6"/>
      <c r="R80" s="12"/>
      <c r="S80" s="12"/>
    </row>
    <row r="81" spans="1:19" ht="15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6"/>
      <c r="O81" s="6"/>
      <c r="P81" s="6"/>
      <c r="Q81" s="6"/>
      <c r="R81" s="12"/>
      <c r="S81" s="12"/>
    </row>
    <row r="82" spans="1:19" ht="15" x14ac:dyDescent="0.25">
      <c r="A82" s="41" t="s">
        <v>84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6"/>
      <c r="O82" s="6"/>
      <c r="P82" s="6"/>
      <c r="Q82" s="6"/>
      <c r="R82" s="12"/>
      <c r="S82" s="12"/>
    </row>
    <row r="83" spans="1:19" ht="15" x14ac:dyDescent="0.25">
      <c r="A83" s="18" t="s">
        <v>82</v>
      </c>
      <c r="B83" s="18" t="s">
        <v>35</v>
      </c>
      <c r="C83" s="18"/>
      <c r="D83" s="29"/>
      <c r="E83" s="29"/>
      <c r="F83" s="29"/>
      <c r="G83" s="29"/>
      <c r="H83" s="29"/>
      <c r="I83" s="29"/>
      <c r="J83" s="29"/>
      <c r="K83" s="29"/>
      <c r="L83" s="29"/>
      <c r="M83" s="29">
        <f>M38</f>
        <v>4427.9409941045824</v>
      </c>
      <c r="N83" s="6"/>
      <c r="O83" s="6"/>
      <c r="P83" s="6"/>
      <c r="Q83" s="6"/>
      <c r="R83" s="12"/>
      <c r="S83" s="12"/>
    </row>
    <row r="84" spans="1:19" ht="15" x14ac:dyDescent="0.25">
      <c r="A84" s="18" t="s">
        <v>82</v>
      </c>
      <c r="B84" s="18" t="s">
        <v>36</v>
      </c>
      <c r="C84" s="18"/>
      <c r="D84" s="29"/>
      <c r="E84" s="29"/>
      <c r="F84" s="29"/>
      <c r="G84" s="29"/>
      <c r="H84" s="29"/>
      <c r="I84" s="29"/>
      <c r="J84" s="29"/>
      <c r="K84" s="29"/>
      <c r="L84" s="29"/>
      <c r="M84" s="29">
        <f>M39</f>
        <v>145503.35215019376</v>
      </c>
      <c r="N84" s="6"/>
      <c r="O84" s="6"/>
      <c r="P84" s="6"/>
      <c r="Q84" s="6"/>
      <c r="R84" s="12"/>
      <c r="S84" s="12"/>
    </row>
    <row r="85" spans="1:19" ht="15" x14ac:dyDescent="0.25">
      <c r="A85" s="18" t="s">
        <v>81</v>
      </c>
      <c r="B85" s="18" t="s">
        <v>49</v>
      </c>
      <c r="C85" s="18"/>
      <c r="D85" s="29"/>
      <c r="E85" s="29"/>
      <c r="F85" s="29"/>
      <c r="G85" s="29"/>
      <c r="H85" s="29"/>
      <c r="I85" s="29"/>
      <c r="J85" s="29"/>
      <c r="K85" s="29"/>
      <c r="L85" s="29"/>
      <c r="M85" s="29">
        <f>-M48</f>
        <v>-36276.607312825159</v>
      </c>
      <c r="N85" s="6"/>
      <c r="O85" s="6"/>
      <c r="P85" s="6"/>
      <c r="Q85" s="6"/>
      <c r="R85" s="12"/>
      <c r="S85" s="12"/>
    </row>
    <row r="86" spans="1:19" ht="15" x14ac:dyDescent="0.25">
      <c r="A86" s="18" t="s">
        <v>81</v>
      </c>
      <c r="B86" s="18" t="s">
        <v>83</v>
      </c>
      <c r="C86" s="18"/>
      <c r="D86" s="29"/>
      <c r="E86" s="29"/>
      <c r="F86" s="29"/>
      <c r="G86" s="29"/>
      <c r="H86" s="29"/>
      <c r="I86" s="29"/>
      <c r="J86" s="29"/>
      <c r="K86" s="29"/>
      <c r="L86" s="29"/>
      <c r="M86" s="29">
        <f>-M65</f>
        <v>-15601.675231878522</v>
      </c>
      <c r="N86" s="6"/>
      <c r="O86" s="6"/>
      <c r="P86" s="6"/>
      <c r="Q86" s="6"/>
      <c r="R86" s="12"/>
      <c r="S86" s="12"/>
    </row>
    <row r="87" spans="1:19" ht="15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6"/>
      <c r="O87" s="6"/>
      <c r="P87" s="6"/>
      <c r="Q87" s="6"/>
      <c r="R87" s="12"/>
      <c r="S87" s="12"/>
    </row>
    <row r="88" spans="1:19" ht="15" x14ac:dyDescent="0.25">
      <c r="A88" s="41" t="s">
        <v>85</v>
      </c>
      <c r="B88" s="18"/>
      <c r="C88" s="29">
        <f t="shared" ref="C88:M88" si="42">SUM(C67:C86)</f>
        <v>-400000</v>
      </c>
      <c r="D88" s="29">
        <f t="shared" si="42"/>
        <v>-39419.178082191749</v>
      </c>
      <c r="E88" s="29">
        <f t="shared" si="42"/>
        <v>29600.245187214561</v>
      </c>
      <c r="F88" s="29">
        <f t="shared" si="42"/>
        <v>32471.074187013146</v>
      </c>
      <c r="G88" s="29">
        <f t="shared" si="42"/>
        <v>36243.044113270204</v>
      </c>
      <c r="H88" s="29">
        <f t="shared" si="42"/>
        <v>40471.785334742046</v>
      </c>
      <c r="I88" s="29">
        <f t="shared" si="42"/>
        <v>45211.882638583556</v>
      </c>
      <c r="J88" s="29">
        <f t="shared" si="42"/>
        <v>50524.414634846922</v>
      </c>
      <c r="K88" s="29">
        <f t="shared" si="42"/>
        <v>56477.726016170214</v>
      </c>
      <c r="L88" s="29">
        <f t="shared" si="42"/>
        <v>63148.291793918455</v>
      </c>
      <c r="M88" s="29">
        <f t="shared" si="42"/>
        <v>725341.36175642489</v>
      </c>
      <c r="N88" s="1"/>
      <c r="O88" s="6"/>
      <c r="P88" s="6"/>
      <c r="Q88" s="6"/>
      <c r="R88" s="12"/>
      <c r="S88" s="12"/>
    </row>
    <row r="89" spans="1:19" ht="15" x14ac:dyDescent="0.25">
      <c r="A89" s="41" t="s">
        <v>86</v>
      </c>
      <c r="B89" s="18"/>
      <c r="C89" s="29">
        <f t="shared" ref="C89:M89" si="43">-PV($C$91,C90,,C88)</f>
        <v>-400000</v>
      </c>
      <c r="D89" s="29">
        <f t="shared" si="43"/>
        <v>-36499.238964992357</v>
      </c>
      <c r="E89" s="29">
        <f t="shared" si="43"/>
        <v>25377.439289450067</v>
      </c>
      <c r="F89" s="29">
        <f t="shared" si="43"/>
        <v>25776.585590208826</v>
      </c>
      <c r="G89" s="29">
        <f t="shared" si="43"/>
        <v>26639.719379472361</v>
      </c>
      <c r="H89" s="29">
        <f t="shared" si="43"/>
        <v>27544.417052782501</v>
      </c>
      <c r="I89" s="29">
        <f t="shared" si="43"/>
        <v>28491.155213038914</v>
      </c>
      <c r="J89" s="29">
        <f t="shared" si="43"/>
        <v>29480.51066567477</v>
      </c>
      <c r="K89" s="29">
        <f t="shared" si="43"/>
        <v>30513.158033964497</v>
      </c>
      <c r="L89" s="29">
        <f t="shared" si="43"/>
        <v>31589.867746023698</v>
      </c>
      <c r="M89" s="29">
        <f t="shared" si="43"/>
        <v>335973.39540405327</v>
      </c>
      <c r="N89" s="6"/>
      <c r="O89" s="6"/>
      <c r="P89" s="6"/>
      <c r="Q89" s="6"/>
      <c r="R89" s="12"/>
      <c r="S89" s="12"/>
    </row>
    <row r="90" spans="1:19" ht="15" x14ac:dyDescent="0.25">
      <c r="A90" s="18"/>
      <c r="B90" s="18"/>
      <c r="C90" s="18">
        <v>0</v>
      </c>
      <c r="D90" s="18">
        <v>1</v>
      </c>
      <c r="E90" s="18">
        <v>2</v>
      </c>
      <c r="F90" s="18">
        <v>3</v>
      </c>
      <c r="G90" s="18">
        <v>4</v>
      </c>
      <c r="H90" s="18">
        <v>5</v>
      </c>
      <c r="I90" s="18">
        <v>6</v>
      </c>
      <c r="J90" s="18">
        <v>7</v>
      </c>
      <c r="K90" s="18">
        <v>8</v>
      </c>
      <c r="L90" s="18">
        <v>9</v>
      </c>
      <c r="M90" s="18">
        <v>10</v>
      </c>
      <c r="N90" s="6"/>
      <c r="O90" s="6"/>
      <c r="P90" s="6"/>
      <c r="Q90" s="6"/>
      <c r="R90" s="12"/>
      <c r="S90" s="12"/>
    </row>
    <row r="91" spans="1:19" ht="15" x14ac:dyDescent="0.25">
      <c r="A91" s="18" t="s">
        <v>87</v>
      </c>
      <c r="B91" s="18"/>
      <c r="C91" s="39">
        <v>0.08</v>
      </c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6"/>
      <c r="O91" s="6"/>
      <c r="P91" s="6"/>
      <c r="Q91" s="6"/>
      <c r="R91" s="12"/>
      <c r="S91" s="12"/>
    </row>
    <row r="92" spans="1:19" ht="15" x14ac:dyDescent="0.25">
      <c r="A92" s="41" t="s">
        <v>88</v>
      </c>
      <c r="B92" s="17"/>
      <c r="C92" s="21">
        <f>SUM(C89:M89)</f>
        <v>124887.00940967651</v>
      </c>
      <c r="D92" s="7"/>
      <c r="E92" s="18"/>
      <c r="F92" s="18"/>
      <c r="G92" s="18"/>
      <c r="H92" s="18"/>
      <c r="I92" s="18"/>
      <c r="J92" s="18"/>
      <c r="K92" s="18"/>
      <c r="L92" s="18"/>
      <c r="M92" s="18"/>
      <c r="N92" s="6"/>
      <c r="O92" s="6"/>
      <c r="P92" s="6"/>
      <c r="Q92" s="6"/>
      <c r="R92" s="12"/>
      <c r="S92" s="12"/>
    </row>
    <row r="93" spans="1:19" ht="15" x14ac:dyDescent="0.25">
      <c r="A93" s="41" t="s">
        <v>89</v>
      </c>
      <c r="B93" s="17"/>
      <c r="C93" s="46">
        <f>IRR(C88:M88)</f>
        <v>0.11419400163053806</v>
      </c>
      <c r="D93" s="7"/>
      <c r="E93" s="18"/>
      <c r="F93" s="18"/>
      <c r="G93" s="18"/>
      <c r="H93" s="18"/>
      <c r="I93" s="18"/>
      <c r="J93" s="18"/>
      <c r="K93" s="18"/>
      <c r="L93" s="18"/>
      <c r="M93" s="18"/>
      <c r="N93" s="6"/>
      <c r="O93" s="6"/>
      <c r="P93" s="6"/>
      <c r="Q93" s="6"/>
      <c r="R93" s="12"/>
      <c r="S93" s="12"/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2"/>
  <sheetViews>
    <sheetView workbookViewId="0"/>
  </sheetViews>
  <sheetFormatPr defaultColWidth="11.42578125" defaultRowHeight="12" customHeight="1" x14ac:dyDescent="0.2"/>
  <cols>
    <col min="1" max="1" width="30.140625" customWidth="1"/>
    <col min="2" max="2" width="16.140625" customWidth="1"/>
    <col min="3" max="3" width="12.7109375" customWidth="1"/>
    <col min="4" max="4" width="12.85546875" customWidth="1"/>
    <col min="5" max="5" width="13.42578125" customWidth="1"/>
    <col min="6" max="6" width="12.42578125" customWidth="1"/>
    <col min="8" max="8" width="15.7109375" customWidth="1"/>
    <col min="10" max="10" width="16.42578125" customWidth="1"/>
  </cols>
  <sheetData>
    <row r="1" spans="1:10" ht="12.75" customHeight="1" x14ac:dyDescent="0.2">
      <c r="A1" s="6"/>
      <c r="B1" s="6" t="s">
        <v>90</v>
      </c>
      <c r="C1" s="6" t="s">
        <v>91</v>
      </c>
      <c r="D1" s="6" t="s">
        <v>92</v>
      </c>
      <c r="E1" s="6" t="s">
        <v>93</v>
      </c>
      <c r="F1" s="6" t="s">
        <v>94</v>
      </c>
      <c r="G1" s="6"/>
      <c r="H1" s="6" t="s">
        <v>95</v>
      </c>
      <c r="I1" s="6"/>
      <c r="J1" s="20">
        <v>350000</v>
      </c>
    </row>
    <row r="2" spans="1:10" ht="12.75" x14ac:dyDescent="0.2">
      <c r="A2" s="12" t="s">
        <v>96</v>
      </c>
      <c r="B2" s="2">
        <f>J1</f>
        <v>350000</v>
      </c>
      <c r="C2" s="2">
        <f t="shared" ref="C2:C13" si="0">+E2-D2</f>
        <v>1913.1324691041596</v>
      </c>
      <c r="D2" s="2">
        <f t="shared" ref="D2:D13" si="1">+B2*$J$3</f>
        <v>2333.3333333333335</v>
      </c>
      <c r="E2" s="2">
        <f t="shared" ref="E2:E13" si="2">$J$6</f>
        <v>4246.465802437493</v>
      </c>
      <c r="F2" s="2">
        <f t="shared" ref="F2:F13" si="3">+B2-C2</f>
        <v>348086.86753089586</v>
      </c>
      <c r="G2" s="6"/>
      <c r="H2" s="6" t="s">
        <v>97</v>
      </c>
      <c r="I2" s="6"/>
      <c r="J2" s="33">
        <f>Answer!N27</f>
        <v>0.08</v>
      </c>
    </row>
    <row r="3" spans="1:10" ht="12.75" x14ac:dyDescent="0.2">
      <c r="A3" s="12"/>
      <c r="B3" s="2">
        <f t="shared" ref="B3:B13" si="4">+F2</f>
        <v>348086.86753089586</v>
      </c>
      <c r="C3" s="2">
        <f t="shared" si="0"/>
        <v>1925.8866855648539</v>
      </c>
      <c r="D3" s="2">
        <f t="shared" si="1"/>
        <v>2320.5791168726391</v>
      </c>
      <c r="E3" s="2">
        <f t="shared" si="2"/>
        <v>4246.465802437493</v>
      </c>
      <c r="F3" s="2">
        <f t="shared" si="3"/>
        <v>346160.98084533098</v>
      </c>
      <c r="G3" s="6"/>
      <c r="H3" s="6" t="s">
        <v>98</v>
      </c>
      <c r="I3" s="6"/>
      <c r="J3" s="52">
        <f>J2/12</f>
        <v>6.6666666666666671E-3</v>
      </c>
    </row>
    <row r="4" spans="1:10" ht="12.75" x14ac:dyDescent="0.2">
      <c r="A4" s="12"/>
      <c r="B4" s="2">
        <f t="shared" si="4"/>
        <v>346160.98084533098</v>
      </c>
      <c r="C4" s="2">
        <f t="shared" si="0"/>
        <v>1938.7259301352865</v>
      </c>
      <c r="D4" s="2">
        <f t="shared" si="1"/>
        <v>2307.7398723022065</v>
      </c>
      <c r="E4" s="2">
        <f t="shared" si="2"/>
        <v>4246.465802437493</v>
      </c>
      <c r="F4" s="2">
        <f t="shared" si="3"/>
        <v>344222.25491519569</v>
      </c>
      <c r="G4" s="6"/>
      <c r="H4" s="6" t="s">
        <v>99</v>
      </c>
      <c r="I4" s="6"/>
      <c r="J4" s="6">
        <v>10</v>
      </c>
    </row>
    <row r="5" spans="1:10" ht="12.75" x14ac:dyDescent="0.2">
      <c r="A5" s="12"/>
      <c r="B5" s="2">
        <f t="shared" si="4"/>
        <v>344222.25491519569</v>
      </c>
      <c r="C5" s="2">
        <f t="shared" si="0"/>
        <v>1951.6507696695217</v>
      </c>
      <c r="D5" s="2">
        <f t="shared" si="1"/>
        <v>2294.8150327679714</v>
      </c>
      <c r="E5" s="2">
        <f t="shared" si="2"/>
        <v>4246.465802437493</v>
      </c>
      <c r="F5" s="2">
        <f t="shared" si="3"/>
        <v>342270.60414552619</v>
      </c>
      <c r="G5" s="6"/>
      <c r="H5" s="6" t="s">
        <v>100</v>
      </c>
      <c r="I5" s="6"/>
      <c r="J5" s="6">
        <f>J4*12</f>
        <v>120</v>
      </c>
    </row>
    <row r="6" spans="1:10" ht="12.75" x14ac:dyDescent="0.2">
      <c r="A6" s="12"/>
      <c r="B6" s="2">
        <f t="shared" si="4"/>
        <v>342270.60414552619</v>
      </c>
      <c r="C6" s="2">
        <f t="shared" si="0"/>
        <v>1964.6617748006515</v>
      </c>
      <c r="D6" s="2">
        <f t="shared" si="1"/>
        <v>2281.8040276368415</v>
      </c>
      <c r="E6" s="2">
        <f t="shared" si="2"/>
        <v>4246.465802437493</v>
      </c>
      <c r="F6" s="2">
        <f t="shared" si="3"/>
        <v>340305.94237072556</v>
      </c>
      <c r="G6" s="6"/>
      <c r="H6" s="6" t="s">
        <v>93</v>
      </c>
      <c r="I6" s="6"/>
      <c r="J6" s="42">
        <f>-PMT(J3,J5,J1)</f>
        <v>4246.465802437493</v>
      </c>
    </row>
    <row r="7" spans="1:10" ht="12.75" x14ac:dyDescent="0.2">
      <c r="A7" s="12"/>
      <c r="B7" s="2">
        <f t="shared" si="4"/>
        <v>340305.94237072556</v>
      </c>
      <c r="C7" s="2">
        <f t="shared" si="0"/>
        <v>1977.7595199659891</v>
      </c>
      <c r="D7" s="2">
        <f t="shared" si="1"/>
        <v>2268.706282471504</v>
      </c>
      <c r="E7" s="2">
        <f t="shared" si="2"/>
        <v>4246.465802437493</v>
      </c>
      <c r="F7" s="2">
        <f t="shared" si="3"/>
        <v>338328.18285075959</v>
      </c>
      <c r="G7" s="6"/>
      <c r="H7" s="6"/>
      <c r="I7" s="6"/>
      <c r="J7" s="6"/>
    </row>
    <row r="8" spans="1:10" ht="12.75" x14ac:dyDescent="0.2">
      <c r="A8" s="12"/>
      <c r="B8" s="2">
        <f t="shared" si="4"/>
        <v>338328.18285075959</v>
      </c>
      <c r="C8" s="2">
        <f t="shared" si="0"/>
        <v>1990.9445834324288</v>
      </c>
      <c r="D8" s="2">
        <f t="shared" si="1"/>
        <v>2255.5212190050643</v>
      </c>
      <c r="E8" s="2">
        <f t="shared" si="2"/>
        <v>4246.465802437493</v>
      </c>
      <c r="F8" s="2">
        <f t="shared" si="3"/>
        <v>336337.23826732719</v>
      </c>
      <c r="G8" s="6"/>
      <c r="H8" s="6"/>
      <c r="I8" s="6"/>
      <c r="J8" s="6"/>
    </row>
    <row r="9" spans="1:10" ht="12.75" x14ac:dyDescent="0.2">
      <c r="A9" s="12"/>
      <c r="B9" s="2">
        <f t="shared" si="4"/>
        <v>336337.23826732719</v>
      </c>
      <c r="C9" s="2">
        <f t="shared" si="0"/>
        <v>2004.2175473219781</v>
      </c>
      <c r="D9" s="2">
        <f t="shared" si="1"/>
        <v>2242.2482551155149</v>
      </c>
      <c r="E9" s="2">
        <f t="shared" si="2"/>
        <v>4246.465802437493</v>
      </c>
      <c r="F9" s="2">
        <f t="shared" si="3"/>
        <v>334333.02072000521</v>
      </c>
      <c r="G9" s="6"/>
      <c r="H9" s="6"/>
      <c r="I9" s="6"/>
      <c r="J9" s="6"/>
    </row>
    <row r="10" spans="1:10" ht="12.75" x14ac:dyDescent="0.2">
      <c r="A10" s="12"/>
      <c r="B10" s="2">
        <f t="shared" si="4"/>
        <v>334333.02072000521</v>
      </c>
      <c r="C10" s="2">
        <f t="shared" si="0"/>
        <v>2017.5789976374581</v>
      </c>
      <c r="D10" s="2">
        <f t="shared" si="1"/>
        <v>2228.886804800035</v>
      </c>
      <c r="E10" s="2">
        <f t="shared" si="2"/>
        <v>4246.465802437493</v>
      </c>
      <c r="F10" s="2">
        <f t="shared" si="3"/>
        <v>332315.44172236777</v>
      </c>
      <c r="G10" s="6"/>
      <c r="H10" s="6"/>
      <c r="I10" s="6"/>
      <c r="J10" s="6"/>
    </row>
    <row r="11" spans="1:10" ht="12.75" x14ac:dyDescent="0.2">
      <c r="A11" s="12"/>
      <c r="B11" s="2">
        <f t="shared" si="4"/>
        <v>332315.44172236777</v>
      </c>
      <c r="C11" s="2">
        <f t="shared" si="0"/>
        <v>2031.0295242883744</v>
      </c>
      <c r="D11" s="2">
        <f t="shared" si="1"/>
        <v>2215.4362781491186</v>
      </c>
      <c r="E11" s="2">
        <f t="shared" si="2"/>
        <v>4246.465802437493</v>
      </c>
      <c r="F11" s="2">
        <f t="shared" si="3"/>
        <v>330284.4121980794</v>
      </c>
      <c r="G11" s="6"/>
      <c r="H11" s="6"/>
      <c r="I11" s="6"/>
      <c r="J11" s="6"/>
    </row>
    <row r="12" spans="1:10" ht="12.75" x14ac:dyDescent="0.2">
      <c r="A12" s="12"/>
      <c r="B12" s="2">
        <f t="shared" si="4"/>
        <v>330284.4121980794</v>
      </c>
      <c r="C12" s="2">
        <f t="shared" si="0"/>
        <v>2044.5697211169636</v>
      </c>
      <c r="D12" s="2">
        <f t="shared" si="1"/>
        <v>2201.8960813205294</v>
      </c>
      <c r="E12" s="2">
        <f t="shared" si="2"/>
        <v>4246.465802437493</v>
      </c>
      <c r="F12" s="2">
        <f t="shared" si="3"/>
        <v>328239.84247696243</v>
      </c>
      <c r="G12" s="6"/>
      <c r="H12" s="6"/>
      <c r="I12" s="6"/>
      <c r="J12" s="6"/>
    </row>
    <row r="13" spans="1:10" ht="12.75" x14ac:dyDescent="0.2">
      <c r="A13" s="12" t="s">
        <v>101</v>
      </c>
      <c r="B13" s="2">
        <f t="shared" si="4"/>
        <v>328239.84247696243</v>
      </c>
      <c r="C13" s="2">
        <f t="shared" si="0"/>
        <v>2058.2001859244101</v>
      </c>
      <c r="D13" s="2">
        <f t="shared" si="1"/>
        <v>2188.2656165130829</v>
      </c>
      <c r="E13" s="2">
        <f t="shared" si="2"/>
        <v>4246.465802437493</v>
      </c>
      <c r="F13" s="48">
        <f t="shared" si="3"/>
        <v>326181.64229103801</v>
      </c>
      <c r="G13" s="6"/>
      <c r="H13" s="6"/>
      <c r="I13" s="6"/>
      <c r="J13" s="6"/>
    </row>
    <row r="14" spans="1:10" ht="12.75" x14ac:dyDescent="0.2">
      <c r="A14" s="9" t="s">
        <v>102</v>
      </c>
      <c r="B14" s="9"/>
      <c r="C14" s="48"/>
      <c r="D14" s="48">
        <f>SUM(D2:D13)</f>
        <v>27139.231920287843</v>
      </c>
      <c r="E14" s="2"/>
      <c r="F14" s="2"/>
      <c r="G14" s="6"/>
      <c r="H14" s="6"/>
      <c r="I14" s="6"/>
      <c r="J14" s="6"/>
    </row>
    <row r="15" spans="1:10" ht="12.75" x14ac:dyDescent="0.2">
      <c r="A15" s="12"/>
      <c r="B15" s="12"/>
      <c r="C15" s="2"/>
      <c r="D15" s="2"/>
      <c r="E15" s="2"/>
      <c r="F15" s="2"/>
      <c r="G15" s="6"/>
      <c r="H15" s="6"/>
      <c r="I15" s="6"/>
      <c r="J15" s="6"/>
    </row>
    <row r="16" spans="1:10" ht="12.75" x14ac:dyDescent="0.2">
      <c r="A16" s="12" t="s">
        <v>103</v>
      </c>
      <c r="B16" s="2">
        <f>F13</f>
        <v>326181.64229103801</v>
      </c>
      <c r="C16" s="2">
        <f t="shared" ref="C16:C27" si="5">+E16-D16</f>
        <v>2071.9215204972397</v>
      </c>
      <c r="D16" s="2">
        <f t="shared" ref="D16:D27" si="6">+B16*$J$3</f>
        <v>2174.5442819402533</v>
      </c>
      <c r="E16" s="2">
        <f t="shared" ref="E16:E27" si="7">$J$6</f>
        <v>4246.465802437493</v>
      </c>
      <c r="F16" s="2">
        <f t="shared" ref="F16:F27" si="8">+B16-C16</f>
        <v>324109.72077054076</v>
      </c>
      <c r="G16" s="6"/>
      <c r="H16" s="6"/>
      <c r="I16" s="6"/>
      <c r="J16" s="6"/>
    </row>
    <row r="17" spans="1:10" ht="12.75" x14ac:dyDescent="0.2">
      <c r="A17" s="12"/>
      <c r="B17" s="2">
        <f t="shared" ref="B17:B27" si="9">+F16</f>
        <v>324109.72077054076</v>
      </c>
      <c r="C17" s="2">
        <f t="shared" si="5"/>
        <v>2085.734330633888</v>
      </c>
      <c r="D17" s="2">
        <f t="shared" si="6"/>
        <v>2160.731471803605</v>
      </c>
      <c r="E17" s="2">
        <f t="shared" si="7"/>
        <v>4246.465802437493</v>
      </c>
      <c r="F17" s="2">
        <f t="shared" si="8"/>
        <v>322023.98643990688</v>
      </c>
      <c r="G17" s="6"/>
      <c r="H17" s="6"/>
      <c r="I17" s="6"/>
      <c r="J17" s="6"/>
    </row>
    <row r="18" spans="1:10" ht="12.75" x14ac:dyDescent="0.2">
      <c r="A18" s="12"/>
      <c r="B18" s="2">
        <f t="shared" si="9"/>
        <v>322023.98643990688</v>
      </c>
      <c r="C18" s="2">
        <f t="shared" si="5"/>
        <v>2099.6392261714473</v>
      </c>
      <c r="D18" s="2">
        <f t="shared" si="6"/>
        <v>2146.8265762660458</v>
      </c>
      <c r="E18" s="2">
        <f t="shared" si="7"/>
        <v>4246.465802437493</v>
      </c>
      <c r="F18" s="2">
        <f t="shared" si="8"/>
        <v>319924.34721373545</v>
      </c>
      <c r="G18" s="6"/>
      <c r="H18" s="6"/>
      <c r="I18" s="6"/>
      <c r="J18" s="6"/>
    </row>
    <row r="19" spans="1:10" ht="12.75" x14ac:dyDescent="0.2">
      <c r="A19" s="12"/>
      <c r="B19" s="2">
        <f t="shared" si="9"/>
        <v>319924.34721373545</v>
      </c>
      <c r="C19" s="2">
        <f t="shared" si="5"/>
        <v>2113.6368210125897</v>
      </c>
      <c r="D19" s="2">
        <f t="shared" si="6"/>
        <v>2132.8289814249033</v>
      </c>
      <c r="E19" s="2">
        <f t="shared" si="7"/>
        <v>4246.465802437493</v>
      </c>
      <c r="F19" s="2">
        <f t="shared" si="8"/>
        <v>317810.71039272286</v>
      </c>
      <c r="G19" s="6"/>
      <c r="H19" s="6"/>
      <c r="I19" s="6"/>
      <c r="J19" s="6"/>
    </row>
    <row r="20" spans="1:10" ht="12.75" x14ac:dyDescent="0.2">
      <c r="A20" s="12"/>
      <c r="B20" s="2">
        <f t="shared" si="9"/>
        <v>317810.71039272286</v>
      </c>
      <c r="C20" s="2">
        <f t="shared" si="5"/>
        <v>2127.7277331526739</v>
      </c>
      <c r="D20" s="2">
        <f t="shared" si="6"/>
        <v>2118.7380692848192</v>
      </c>
      <c r="E20" s="2">
        <f t="shared" si="7"/>
        <v>4246.465802437493</v>
      </c>
      <c r="F20" s="2">
        <f t="shared" si="8"/>
        <v>315682.98265957017</v>
      </c>
      <c r="G20" s="6"/>
      <c r="H20" s="6"/>
      <c r="I20" s="6"/>
      <c r="J20" s="6"/>
    </row>
    <row r="21" spans="1:10" ht="12.75" x14ac:dyDescent="0.2">
      <c r="A21" s="12"/>
      <c r="B21" s="2">
        <f t="shared" si="9"/>
        <v>315682.98265957017</v>
      </c>
      <c r="C21" s="2">
        <f t="shared" si="5"/>
        <v>2141.912584707025</v>
      </c>
      <c r="D21" s="2">
        <f t="shared" si="6"/>
        <v>2104.5532177304681</v>
      </c>
      <c r="E21" s="2">
        <f t="shared" si="7"/>
        <v>4246.465802437493</v>
      </c>
      <c r="F21" s="2">
        <f t="shared" si="8"/>
        <v>313541.07007486315</v>
      </c>
      <c r="G21" s="6"/>
      <c r="H21" s="6"/>
      <c r="I21" s="6"/>
      <c r="J21" s="6"/>
    </row>
    <row r="22" spans="1:10" ht="12.75" x14ac:dyDescent="0.2">
      <c r="A22" s="12"/>
      <c r="B22" s="2">
        <f t="shared" si="9"/>
        <v>313541.07007486315</v>
      </c>
      <c r="C22" s="2">
        <f t="shared" si="5"/>
        <v>2156.1920019384052</v>
      </c>
      <c r="D22" s="2">
        <f t="shared" si="6"/>
        <v>2090.2738004990879</v>
      </c>
      <c r="E22" s="2">
        <f t="shared" si="7"/>
        <v>4246.465802437493</v>
      </c>
      <c r="F22" s="2">
        <f t="shared" si="8"/>
        <v>311384.87807292474</v>
      </c>
      <c r="G22" s="6"/>
      <c r="H22" s="6"/>
      <c r="I22" s="6"/>
      <c r="J22" s="6"/>
    </row>
    <row r="23" spans="1:10" ht="12.75" x14ac:dyDescent="0.2">
      <c r="A23" s="12"/>
      <c r="B23" s="2">
        <f t="shared" si="9"/>
        <v>311384.87807292474</v>
      </c>
      <c r="C23" s="2">
        <f t="shared" si="5"/>
        <v>2170.5666152846611</v>
      </c>
      <c r="D23" s="2">
        <f t="shared" si="6"/>
        <v>2075.8991871528319</v>
      </c>
      <c r="E23" s="2">
        <f t="shared" si="7"/>
        <v>4246.465802437493</v>
      </c>
      <c r="F23" s="2">
        <f t="shared" si="8"/>
        <v>309214.31145764008</v>
      </c>
      <c r="G23" s="6"/>
      <c r="H23" s="6"/>
      <c r="I23" s="6"/>
      <c r="J23" s="6"/>
    </row>
    <row r="24" spans="1:10" ht="12.75" x14ac:dyDescent="0.2">
      <c r="A24" s="12"/>
      <c r="B24" s="2">
        <f t="shared" si="9"/>
        <v>309214.31145764008</v>
      </c>
      <c r="C24" s="2">
        <f t="shared" si="5"/>
        <v>2185.0370593865591</v>
      </c>
      <c r="D24" s="2">
        <f t="shared" si="6"/>
        <v>2061.4287430509339</v>
      </c>
      <c r="E24" s="2">
        <f t="shared" si="7"/>
        <v>4246.465802437493</v>
      </c>
      <c r="F24" s="2">
        <f t="shared" si="8"/>
        <v>307029.27439825353</v>
      </c>
      <c r="G24" s="6"/>
      <c r="H24" s="6"/>
      <c r="I24" s="6"/>
      <c r="J24" s="6"/>
    </row>
    <row r="25" spans="1:10" ht="12.75" x14ac:dyDescent="0.2">
      <c r="A25" s="12"/>
      <c r="B25" s="2">
        <f t="shared" si="9"/>
        <v>307029.27439825353</v>
      </c>
      <c r="C25" s="2">
        <f t="shared" si="5"/>
        <v>2199.6039731158025</v>
      </c>
      <c r="D25" s="2">
        <f t="shared" si="6"/>
        <v>2046.8618293216903</v>
      </c>
      <c r="E25" s="2">
        <f t="shared" si="7"/>
        <v>4246.465802437493</v>
      </c>
      <c r="F25" s="2">
        <f t="shared" si="8"/>
        <v>304829.67042513774</v>
      </c>
      <c r="G25" s="6"/>
      <c r="H25" s="6"/>
      <c r="I25" s="6"/>
      <c r="J25" s="6"/>
    </row>
    <row r="26" spans="1:10" ht="12.75" x14ac:dyDescent="0.2">
      <c r="A26" s="12"/>
      <c r="B26" s="2">
        <f t="shared" si="9"/>
        <v>304829.67042513774</v>
      </c>
      <c r="C26" s="2">
        <f t="shared" si="5"/>
        <v>2214.2679996032412</v>
      </c>
      <c r="D26" s="2">
        <f t="shared" si="6"/>
        <v>2032.1978028342517</v>
      </c>
      <c r="E26" s="2">
        <f t="shared" si="7"/>
        <v>4246.465802437493</v>
      </c>
      <c r="F26" s="2">
        <f t="shared" si="8"/>
        <v>302615.4024255345</v>
      </c>
      <c r="G26" s="6"/>
      <c r="H26" s="6"/>
      <c r="I26" s="6"/>
      <c r="J26" s="6"/>
    </row>
    <row r="27" spans="1:10" ht="12.75" x14ac:dyDescent="0.2">
      <c r="A27" s="12" t="s">
        <v>104</v>
      </c>
      <c r="B27" s="2">
        <f t="shared" si="9"/>
        <v>302615.4024255345</v>
      </c>
      <c r="C27" s="2">
        <f t="shared" si="5"/>
        <v>2229.0297862672628</v>
      </c>
      <c r="D27" s="2">
        <f t="shared" si="6"/>
        <v>2017.4360161702302</v>
      </c>
      <c r="E27" s="2">
        <f t="shared" si="7"/>
        <v>4246.465802437493</v>
      </c>
      <c r="F27" s="48">
        <f t="shared" si="8"/>
        <v>300386.37263926724</v>
      </c>
      <c r="G27" s="6"/>
      <c r="H27" s="6"/>
      <c r="I27" s="6"/>
      <c r="J27" s="6"/>
    </row>
    <row r="28" spans="1:10" ht="12.75" x14ac:dyDescent="0.2">
      <c r="A28" s="9" t="s">
        <v>102</v>
      </c>
      <c r="B28" s="9"/>
      <c r="C28" s="48"/>
      <c r="D28" s="48">
        <f>SUM(D16:D27)</f>
        <v>25162.319977479125</v>
      </c>
      <c r="E28" s="2"/>
      <c r="F28" s="2"/>
      <c r="G28" s="6"/>
      <c r="H28" s="6"/>
      <c r="I28" s="6"/>
      <c r="J28" s="6"/>
    </row>
    <row r="29" spans="1:10" ht="12.75" x14ac:dyDescent="0.2">
      <c r="A29" s="12"/>
      <c r="B29" s="12"/>
      <c r="C29" s="2"/>
      <c r="D29" s="2"/>
      <c r="E29" s="2"/>
      <c r="F29" s="2"/>
      <c r="G29" s="6"/>
      <c r="H29" s="6"/>
      <c r="I29" s="6"/>
      <c r="J29" s="6"/>
    </row>
    <row r="30" spans="1:10" ht="12.75" x14ac:dyDescent="0.2">
      <c r="A30" s="12" t="s">
        <v>105</v>
      </c>
      <c r="B30" s="2">
        <f>F27</f>
        <v>300386.37263926724</v>
      </c>
      <c r="C30" s="2">
        <f t="shared" ref="C30:C41" si="10">+E30-D30</f>
        <v>2243.889984842378</v>
      </c>
      <c r="D30" s="2">
        <f t="shared" ref="D30:D41" si="11">+B30*$J$3</f>
        <v>2002.575817595115</v>
      </c>
      <c r="E30" s="2">
        <f t="shared" ref="E30:E41" si="12">$J$6</f>
        <v>4246.465802437493</v>
      </c>
      <c r="F30" s="2">
        <f t="shared" ref="F30:F41" si="13">+B30-C30</f>
        <v>298142.48265442485</v>
      </c>
      <c r="G30" s="6"/>
      <c r="H30" s="6"/>
      <c r="I30" s="6"/>
      <c r="J30" s="6"/>
    </row>
    <row r="31" spans="1:10" ht="12.75" x14ac:dyDescent="0.2">
      <c r="A31" s="12"/>
      <c r="B31" s="2">
        <f t="shared" ref="B31:B41" si="14">+F30</f>
        <v>298142.48265442485</v>
      </c>
      <c r="C31" s="2">
        <f t="shared" si="10"/>
        <v>2258.849251407994</v>
      </c>
      <c r="D31" s="2">
        <f t="shared" si="11"/>
        <v>1987.6165510294991</v>
      </c>
      <c r="E31" s="2">
        <f t="shared" si="12"/>
        <v>4246.465802437493</v>
      </c>
      <c r="F31" s="2">
        <f t="shared" si="13"/>
        <v>295883.63340301684</v>
      </c>
      <c r="G31" s="6"/>
      <c r="H31" s="6"/>
      <c r="I31" s="6"/>
      <c r="J31" s="6"/>
    </row>
    <row r="32" spans="1:10" ht="12.75" x14ac:dyDescent="0.2">
      <c r="A32" s="12"/>
      <c r="B32" s="2">
        <f t="shared" si="14"/>
        <v>295883.63340301684</v>
      </c>
      <c r="C32" s="2">
        <f t="shared" si="10"/>
        <v>2273.9082464173807</v>
      </c>
      <c r="D32" s="2">
        <f t="shared" si="11"/>
        <v>1972.5575560201123</v>
      </c>
      <c r="E32" s="2">
        <f t="shared" si="12"/>
        <v>4246.465802437493</v>
      </c>
      <c r="F32" s="2">
        <f t="shared" si="13"/>
        <v>293609.72515659948</v>
      </c>
      <c r="G32" s="6"/>
      <c r="H32" s="6"/>
      <c r="I32" s="6"/>
      <c r="J32" s="6"/>
    </row>
    <row r="33" spans="1:10" ht="12.75" x14ac:dyDescent="0.2">
      <c r="A33" s="12"/>
      <c r="B33" s="2">
        <f t="shared" si="14"/>
        <v>293609.72515659948</v>
      </c>
      <c r="C33" s="2">
        <f t="shared" si="10"/>
        <v>2289.06763472683</v>
      </c>
      <c r="D33" s="2">
        <f t="shared" si="11"/>
        <v>1957.3981677106633</v>
      </c>
      <c r="E33" s="2">
        <f t="shared" si="12"/>
        <v>4246.465802437493</v>
      </c>
      <c r="F33" s="2">
        <f t="shared" si="13"/>
        <v>291320.65752187266</v>
      </c>
      <c r="G33" s="6"/>
      <c r="H33" s="6"/>
      <c r="I33" s="6"/>
      <c r="J33" s="6"/>
    </row>
    <row r="34" spans="1:10" ht="12.75" x14ac:dyDescent="0.2">
      <c r="A34" s="12"/>
      <c r="B34" s="2">
        <f t="shared" si="14"/>
        <v>291320.65752187266</v>
      </c>
      <c r="C34" s="2">
        <f t="shared" si="10"/>
        <v>2304.3280856250085</v>
      </c>
      <c r="D34" s="2">
        <f t="shared" si="11"/>
        <v>1942.1377168124845</v>
      </c>
      <c r="E34" s="2">
        <f t="shared" si="12"/>
        <v>4246.465802437493</v>
      </c>
      <c r="F34" s="2">
        <f t="shared" si="13"/>
        <v>289016.32943624764</v>
      </c>
      <c r="G34" s="6"/>
      <c r="H34" s="6"/>
      <c r="I34" s="6"/>
      <c r="J34" s="6"/>
    </row>
    <row r="35" spans="1:10" ht="12.75" x14ac:dyDescent="0.2">
      <c r="A35" s="12"/>
      <c r="B35" s="2">
        <f t="shared" si="14"/>
        <v>289016.32943624764</v>
      </c>
      <c r="C35" s="2">
        <f t="shared" si="10"/>
        <v>2319.6902728625087</v>
      </c>
      <c r="D35" s="2">
        <f t="shared" si="11"/>
        <v>1926.7755295749844</v>
      </c>
      <c r="E35" s="2">
        <f t="shared" si="12"/>
        <v>4246.465802437493</v>
      </c>
      <c r="F35" s="2">
        <f t="shared" si="13"/>
        <v>286696.63916338515</v>
      </c>
      <c r="G35" s="6"/>
      <c r="H35" s="6"/>
      <c r="I35" s="6"/>
      <c r="J35" s="6"/>
    </row>
    <row r="36" spans="1:10" ht="12.75" x14ac:dyDescent="0.2">
      <c r="A36" s="12"/>
      <c r="B36" s="2">
        <f t="shared" si="14"/>
        <v>286696.63916338515</v>
      </c>
      <c r="C36" s="2">
        <f t="shared" si="10"/>
        <v>2335.154874681592</v>
      </c>
      <c r="D36" s="2">
        <f t="shared" si="11"/>
        <v>1911.310927755901</v>
      </c>
      <c r="E36" s="2">
        <f t="shared" si="12"/>
        <v>4246.465802437493</v>
      </c>
      <c r="F36" s="2">
        <f t="shared" si="13"/>
        <v>284361.48428870353</v>
      </c>
      <c r="G36" s="6"/>
      <c r="H36" s="6"/>
      <c r="I36" s="6"/>
      <c r="J36" s="6"/>
    </row>
    <row r="37" spans="1:10" ht="12.75" x14ac:dyDescent="0.2">
      <c r="A37" s="12"/>
      <c r="B37" s="2">
        <f t="shared" si="14"/>
        <v>284361.48428870353</v>
      </c>
      <c r="C37" s="2">
        <f t="shared" si="10"/>
        <v>2350.7225738461361</v>
      </c>
      <c r="D37" s="2">
        <f t="shared" si="11"/>
        <v>1895.7432285913569</v>
      </c>
      <c r="E37" s="2">
        <f t="shared" si="12"/>
        <v>4246.465802437493</v>
      </c>
      <c r="F37" s="2">
        <f t="shared" si="13"/>
        <v>282010.76171485742</v>
      </c>
      <c r="G37" s="6"/>
      <c r="H37" s="6"/>
      <c r="I37" s="6"/>
      <c r="J37" s="6"/>
    </row>
    <row r="38" spans="1:10" ht="12.75" x14ac:dyDescent="0.2">
      <c r="A38" s="12"/>
      <c r="B38" s="2">
        <f t="shared" si="14"/>
        <v>282010.76171485742</v>
      </c>
      <c r="C38" s="2">
        <f t="shared" si="10"/>
        <v>2366.3940576717769</v>
      </c>
      <c r="D38" s="2">
        <f t="shared" si="11"/>
        <v>1880.0717447657162</v>
      </c>
      <c r="E38" s="2">
        <f t="shared" si="12"/>
        <v>4246.465802437493</v>
      </c>
      <c r="F38" s="2">
        <f t="shared" si="13"/>
        <v>279644.36765718565</v>
      </c>
      <c r="G38" s="6"/>
      <c r="H38" s="6"/>
      <c r="I38" s="6"/>
      <c r="J38" s="6"/>
    </row>
    <row r="39" spans="1:10" ht="12.75" x14ac:dyDescent="0.2">
      <c r="A39" s="12"/>
      <c r="B39" s="2">
        <f t="shared" si="14"/>
        <v>279644.36765718565</v>
      </c>
      <c r="C39" s="2">
        <f t="shared" si="10"/>
        <v>2382.1700180562552</v>
      </c>
      <c r="D39" s="2">
        <f t="shared" si="11"/>
        <v>1864.2957843812378</v>
      </c>
      <c r="E39" s="2">
        <f t="shared" si="12"/>
        <v>4246.465802437493</v>
      </c>
      <c r="F39" s="2">
        <f t="shared" si="13"/>
        <v>277262.19763912942</v>
      </c>
      <c r="G39" s="6"/>
      <c r="H39" s="6"/>
      <c r="I39" s="6"/>
      <c r="J39" s="6"/>
    </row>
    <row r="40" spans="1:10" ht="12.75" x14ac:dyDescent="0.2">
      <c r="A40" s="12"/>
      <c r="B40" s="2">
        <f t="shared" si="14"/>
        <v>277262.19763912942</v>
      </c>
      <c r="C40" s="2">
        <f t="shared" si="10"/>
        <v>2398.0511515099633</v>
      </c>
      <c r="D40" s="2">
        <f t="shared" si="11"/>
        <v>1848.4146509275295</v>
      </c>
      <c r="E40" s="2">
        <f t="shared" si="12"/>
        <v>4246.465802437493</v>
      </c>
      <c r="F40" s="2">
        <f t="shared" si="13"/>
        <v>274864.14648761944</v>
      </c>
      <c r="G40" s="6"/>
      <c r="H40" s="6"/>
      <c r="I40" s="6"/>
      <c r="J40" s="6"/>
    </row>
    <row r="41" spans="1:10" ht="12.75" x14ac:dyDescent="0.2">
      <c r="A41" s="12" t="s">
        <v>106</v>
      </c>
      <c r="B41" s="2">
        <f t="shared" si="14"/>
        <v>274864.14648761944</v>
      </c>
      <c r="C41" s="2">
        <f t="shared" si="10"/>
        <v>2414.0381591866967</v>
      </c>
      <c r="D41" s="2">
        <f t="shared" si="11"/>
        <v>1832.4276432507963</v>
      </c>
      <c r="E41" s="2">
        <f t="shared" si="12"/>
        <v>4246.465802437493</v>
      </c>
      <c r="F41" s="48">
        <f t="shared" si="13"/>
        <v>272450.10832843272</v>
      </c>
      <c r="G41" s="6"/>
      <c r="H41" s="6"/>
      <c r="I41" s="6"/>
      <c r="J41" s="6"/>
    </row>
    <row r="42" spans="1:10" ht="12.75" x14ac:dyDescent="0.2">
      <c r="A42" s="9" t="s">
        <v>102</v>
      </c>
      <c r="B42" s="9"/>
      <c r="C42" s="48"/>
      <c r="D42" s="48">
        <f>SUM(D30:D41)</f>
        <v>23021.325318415398</v>
      </c>
      <c r="E42" s="2"/>
      <c r="F42" s="2"/>
      <c r="G42" s="6"/>
      <c r="H42" s="6"/>
      <c r="I42" s="6"/>
      <c r="J42" s="6"/>
    </row>
    <row r="43" spans="1:10" ht="12.75" x14ac:dyDescent="0.2">
      <c r="A43" s="12"/>
      <c r="B43" s="12"/>
      <c r="C43" s="2"/>
      <c r="D43" s="2"/>
      <c r="E43" s="2"/>
      <c r="F43" s="2"/>
      <c r="G43" s="6"/>
      <c r="H43" s="6"/>
      <c r="I43" s="6"/>
      <c r="J43" s="6"/>
    </row>
    <row r="44" spans="1:10" ht="12.75" x14ac:dyDescent="0.2">
      <c r="A44" s="12" t="s">
        <v>107</v>
      </c>
      <c r="B44" s="2">
        <f>F41</f>
        <v>272450.10832843272</v>
      </c>
      <c r="C44" s="2">
        <f t="shared" ref="C44:C55" si="15">+E44-D44</f>
        <v>2430.1317469146079</v>
      </c>
      <c r="D44" s="2">
        <f t="shared" ref="D44:D55" si="16">+B44*$J$3</f>
        <v>1816.3340555228849</v>
      </c>
      <c r="E44" s="2">
        <f t="shared" ref="E44:E55" si="17">$J$6</f>
        <v>4246.465802437493</v>
      </c>
      <c r="F44" s="2">
        <f t="shared" ref="F44:F55" si="18">+B44-C44</f>
        <v>270019.97658151813</v>
      </c>
      <c r="G44" s="6"/>
      <c r="H44" s="6"/>
      <c r="I44" s="6"/>
      <c r="J44" s="6"/>
    </row>
    <row r="45" spans="1:10" ht="12.75" x14ac:dyDescent="0.2">
      <c r="A45" s="12"/>
      <c r="B45" s="2">
        <f t="shared" ref="B45:B55" si="19">+F44</f>
        <v>270019.97658151813</v>
      </c>
      <c r="C45" s="2">
        <f t="shared" si="15"/>
        <v>2446.3326252273719</v>
      </c>
      <c r="D45" s="2">
        <f t="shared" si="16"/>
        <v>1800.1331772101209</v>
      </c>
      <c r="E45" s="2">
        <f t="shared" si="17"/>
        <v>4246.465802437493</v>
      </c>
      <c r="F45" s="2">
        <f t="shared" si="18"/>
        <v>267573.64395629073</v>
      </c>
      <c r="G45" s="6"/>
      <c r="H45" s="6"/>
      <c r="I45" s="6"/>
      <c r="J45" s="6"/>
    </row>
    <row r="46" spans="1:10" ht="12.75" x14ac:dyDescent="0.2">
      <c r="A46" s="12"/>
      <c r="B46" s="2">
        <f t="shared" si="19"/>
        <v>267573.64395629073</v>
      </c>
      <c r="C46" s="2">
        <f t="shared" si="15"/>
        <v>2462.6415093955547</v>
      </c>
      <c r="D46" s="2">
        <f t="shared" si="16"/>
        <v>1783.8242930419383</v>
      </c>
      <c r="E46" s="2">
        <f t="shared" si="17"/>
        <v>4246.465802437493</v>
      </c>
      <c r="F46" s="2">
        <f t="shared" si="18"/>
        <v>265111.00244689517</v>
      </c>
      <c r="G46" s="6"/>
      <c r="H46" s="6"/>
      <c r="I46" s="6"/>
      <c r="J46" s="6"/>
    </row>
    <row r="47" spans="1:10" ht="12.75" x14ac:dyDescent="0.2">
      <c r="A47" s="12"/>
      <c r="B47" s="2">
        <f t="shared" si="19"/>
        <v>265111.00244689517</v>
      </c>
      <c r="C47" s="2">
        <f t="shared" si="15"/>
        <v>2479.0591194581921</v>
      </c>
      <c r="D47" s="2">
        <f t="shared" si="16"/>
        <v>1767.4066829793012</v>
      </c>
      <c r="E47" s="2">
        <f t="shared" si="17"/>
        <v>4246.465802437493</v>
      </c>
      <c r="F47" s="2">
        <f t="shared" si="18"/>
        <v>262631.94332743698</v>
      </c>
      <c r="G47" s="6"/>
      <c r="H47" s="6"/>
      <c r="I47" s="6"/>
      <c r="J47" s="6"/>
    </row>
    <row r="48" spans="1:10" ht="12.75" x14ac:dyDescent="0.2">
      <c r="A48" s="12"/>
      <c r="B48" s="2">
        <f t="shared" si="19"/>
        <v>262631.94332743698</v>
      </c>
      <c r="C48" s="2">
        <f t="shared" si="15"/>
        <v>2495.5861802545796</v>
      </c>
      <c r="D48" s="2">
        <f t="shared" si="16"/>
        <v>1750.8796221829134</v>
      </c>
      <c r="E48" s="2">
        <f t="shared" si="17"/>
        <v>4246.465802437493</v>
      </c>
      <c r="F48" s="2">
        <f t="shared" si="18"/>
        <v>260136.3571471824</v>
      </c>
      <c r="G48" s="6"/>
      <c r="H48" s="6"/>
      <c r="I48" s="6"/>
      <c r="J48" s="6"/>
    </row>
    <row r="49" spans="1:10" ht="12.75" x14ac:dyDescent="0.2">
      <c r="A49" s="12"/>
      <c r="B49" s="2">
        <f t="shared" si="19"/>
        <v>260136.3571471824</v>
      </c>
      <c r="C49" s="2">
        <f t="shared" si="15"/>
        <v>2512.2234214562768</v>
      </c>
      <c r="D49" s="2">
        <f t="shared" si="16"/>
        <v>1734.242380981216</v>
      </c>
      <c r="E49" s="2">
        <f t="shared" si="17"/>
        <v>4246.465802437493</v>
      </c>
      <c r="F49" s="2">
        <f t="shared" si="18"/>
        <v>257624.13372572613</v>
      </c>
      <c r="G49" s="6"/>
      <c r="H49" s="6"/>
      <c r="I49" s="6"/>
      <c r="J49" s="6"/>
    </row>
    <row r="50" spans="1:10" ht="12.75" x14ac:dyDescent="0.2">
      <c r="A50" s="12"/>
      <c r="B50" s="2">
        <f t="shared" si="19"/>
        <v>257624.13372572613</v>
      </c>
      <c r="C50" s="2">
        <f t="shared" si="15"/>
        <v>2528.9715775993186</v>
      </c>
      <c r="D50" s="2">
        <f t="shared" si="16"/>
        <v>1717.4942248381744</v>
      </c>
      <c r="E50" s="2">
        <f t="shared" si="17"/>
        <v>4246.465802437493</v>
      </c>
      <c r="F50" s="2">
        <f t="shared" si="18"/>
        <v>255095.16214812681</v>
      </c>
      <c r="G50" s="6"/>
      <c r="H50" s="6"/>
      <c r="I50" s="6"/>
      <c r="J50" s="6"/>
    </row>
    <row r="51" spans="1:10" ht="12.75" x14ac:dyDescent="0.2">
      <c r="A51" s="12"/>
      <c r="B51" s="2">
        <f t="shared" si="19"/>
        <v>255095.16214812681</v>
      </c>
      <c r="C51" s="2">
        <f t="shared" si="15"/>
        <v>2545.8313881166478</v>
      </c>
      <c r="D51" s="2">
        <f t="shared" si="16"/>
        <v>1700.6344143208455</v>
      </c>
      <c r="E51" s="2">
        <f t="shared" si="17"/>
        <v>4246.465802437493</v>
      </c>
      <c r="F51" s="2">
        <f t="shared" si="18"/>
        <v>252549.33076001017</v>
      </c>
      <c r="G51" s="6"/>
      <c r="H51" s="6"/>
      <c r="I51" s="6"/>
      <c r="J51" s="6"/>
    </row>
    <row r="52" spans="1:10" ht="12.75" x14ac:dyDescent="0.2">
      <c r="A52" s="12"/>
      <c r="B52" s="2">
        <f t="shared" si="19"/>
        <v>252549.33076001017</v>
      </c>
      <c r="C52" s="2">
        <f t="shared" si="15"/>
        <v>2562.8035973707583</v>
      </c>
      <c r="D52" s="2">
        <f t="shared" si="16"/>
        <v>1683.6622050667345</v>
      </c>
      <c r="E52" s="2">
        <f t="shared" si="17"/>
        <v>4246.465802437493</v>
      </c>
      <c r="F52" s="2">
        <f t="shared" si="18"/>
        <v>249986.52716263942</v>
      </c>
      <c r="G52" s="6"/>
      <c r="H52" s="6"/>
      <c r="I52" s="6"/>
      <c r="J52" s="6"/>
    </row>
    <row r="53" spans="1:10" ht="12.75" x14ac:dyDescent="0.2">
      <c r="A53" s="12"/>
      <c r="B53" s="2">
        <f t="shared" si="19"/>
        <v>249986.52716263942</v>
      </c>
      <c r="C53" s="2">
        <f t="shared" si="15"/>
        <v>2579.8889546865635</v>
      </c>
      <c r="D53" s="2">
        <f t="shared" si="16"/>
        <v>1666.5768477509296</v>
      </c>
      <c r="E53" s="2">
        <f t="shared" si="17"/>
        <v>4246.465802437493</v>
      </c>
      <c r="F53" s="2">
        <f t="shared" si="18"/>
        <v>247406.63820795287</v>
      </c>
      <c r="G53" s="6"/>
      <c r="H53" s="6"/>
      <c r="I53" s="6"/>
      <c r="J53" s="6"/>
    </row>
    <row r="54" spans="1:10" ht="12.75" x14ac:dyDescent="0.2">
      <c r="A54" s="12"/>
      <c r="B54" s="2">
        <f t="shared" si="19"/>
        <v>247406.63820795287</v>
      </c>
      <c r="C54" s="2">
        <f t="shared" si="15"/>
        <v>2597.0882143844738</v>
      </c>
      <c r="D54" s="2">
        <f t="shared" si="16"/>
        <v>1649.3775880530193</v>
      </c>
      <c r="E54" s="2">
        <f t="shared" si="17"/>
        <v>4246.465802437493</v>
      </c>
      <c r="F54" s="2">
        <f t="shared" si="18"/>
        <v>244809.54999356839</v>
      </c>
      <c r="G54" s="6"/>
      <c r="H54" s="6"/>
      <c r="I54" s="6"/>
      <c r="J54" s="6"/>
    </row>
    <row r="55" spans="1:10" ht="12.75" x14ac:dyDescent="0.2">
      <c r="A55" s="12" t="s">
        <v>108</v>
      </c>
      <c r="B55" s="2">
        <f t="shared" si="19"/>
        <v>244809.54999356839</v>
      </c>
      <c r="C55" s="2">
        <f t="shared" si="15"/>
        <v>2614.4021358137034</v>
      </c>
      <c r="D55" s="2">
        <f t="shared" si="16"/>
        <v>1632.0636666237895</v>
      </c>
      <c r="E55" s="2">
        <f t="shared" si="17"/>
        <v>4246.465802437493</v>
      </c>
      <c r="F55" s="48">
        <f t="shared" si="18"/>
        <v>242195.14785775469</v>
      </c>
      <c r="G55" s="2"/>
      <c r="H55" s="6"/>
      <c r="I55" s="6"/>
      <c r="J55" s="6"/>
    </row>
    <row r="56" spans="1:10" ht="12.75" x14ac:dyDescent="0.2">
      <c r="A56" s="9" t="s">
        <v>102</v>
      </c>
      <c r="B56" s="4"/>
      <c r="C56" s="48"/>
      <c r="D56" s="48">
        <f>SUM(D44:D55)</f>
        <v>20702.629158571865</v>
      </c>
      <c r="E56" s="6"/>
      <c r="F56" s="6"/>
      <c r="G56" s="6"/>
      <c r="H56" s="6"/>
      <c r="I56" s="6"/>
      <c r="J56" s="6"/>
    </row>
    <row r="57" spans="1:10" ht="12.75" x14ac:dyDescent="0.2">
      <c r="A57" s="12" t="s">
        <v>109</v>
      </c>
      <c r="B57" s="2">
        <f>F55</f>
        <v>242195.14785775469</v>
      </c>
      <c r="C57" s="2">
        <f t="shared" ref="C57:C68" si="20">+E57-D57</f>
        <v>2631.8314833857949</v>
      </c>
      <c r="D57" s="2">
        <f t="shared" ref="D57:D68" si="21">+B57*$J$3</f>
        <v>1614.634319051698</v>
      </c>
      <c r="E57" s="2">
        <f t="shared" ref="E57:E68" si="22">$J$6</f>
        <v>4246.465802437493</v>
      </c>
      <c r="F57" s="2">
        <f t="shared" ref="F57:F68" si="23">+B57-C57</f>
        <v>239563.31637436891</v>
      </c>
      <c r="G57" s="6"/>
      <c r="H57" s="6"/>
      <c r="I57" s="6"/>
      <c r="J57" s="6"/>
    </row>
    <row r="58" spans="1:10" ht="12.75" x14ac:dyDescent="0.2">
      <c r="A58" s="12"/>
      <c r="B58" s="2">
        <f t="shared" ref="B58:B68" si="24">+F57</f>
        <v>239563.31637436891</v>
      </c>
      <c r="C58" s="2">
        <f t="shared" si="20"/>
        <v>2649.3770266083666</v>
      </c>
      <c r="D58" s="2">
        <f t="shared" si="21"/>
        <v>1597.0887758291262</v>
      </c>
      <c r="E58" s="2">
        <f t="shared" si="22"/>
        <v>4246.465802437493</v>
      </c>
      <c r="F58" s="2">
        <f t="shared" si="23"/>
        <v>236913.93934776055</v>
      </c>
      <c r="G58" s="6"/>
      <c r="H58" s="6"/>
      <c r="I58" s="6"/>
      <c r="J58" s="6"/>
    </row>
    <row r="59" spans="1:10" ht="12.75" x14ac:dyDescent="0.2">
      <c r="A59" s="12"/>
      <c r="B59" s="2">
        <f t="shared" si="24"/>
        <v>236913.93934776055</v>
      </c>
      <c r="C59" s="2">
        <f t="shared" si="20"/>
        <v>2667.039540119089</v>
      </c>
      <c r="D59" s="2">
        <f t="shared" si="21"/>
        <v>1579.4262623184038</v>
      </c>
      <c r="E59" s="2">
        <f t="shared" si="22"/>
        <v>4246.465802437493</v>
      </c>
      <c r="F59" s="2">
        <f t="shared" si="23"/>
        <v>234246.89980764146</v>
      </c>
      <c r="G59" s="6"/>
      <c r="H59" s="6"/>
      <c r="I59" s="6"/>
      <c r="J59" s="6"/>
    </row>
    <row r="60" spans="1:10" ht="12.75" x14ac:dyDescent="0.2">
      <c r="A60" s="12"/>
      <c r="B60" s="2">
        <f t="shared" si="24"/>
        <v>234246.89980764146</v>
      </c>
      <c r="C60" s="2">
        <f t="shared" si="20"/>
        <v>2684.8198037198831</v>
      </c>
      <c r="D60" s="2">
        <f t="shared" si="21"/>
        <v>1561.6459987176099</v>
      </c>
      <c r="E60" s="2">
        <f t="shared" si="22"/>
        <v>4246.465802437493</v>
      </c>
      <c r="F60" s="2">
        <f t="shared" si="23"/>
        <v>231562.08000392158</v>
      </c>
      <c r="G60" s="6"/>
      <c r="H60" s="6"/>
      <c r="I60" s="6"/>
      <c r="J60" s="6"/>
    </row>
    <row r="61" spans="1:10" ht="12.75" x14ac:dyDescent="0.2">
      <c r="A61" s="12"/>
      <c r="B61" s="2">
        <f t="shared" si="24"/>
        <v>231562.08000392158</v>
      </c>
      <c r="C61" s="2">
        <f t="shared" si="20"/>
        <v>2702.7186024113489</v>
      </c>
      <c r="D61" s="2">
        <f t="shared" si="21"/>
        <v>1543.7472000261439</v>
      </c>
      <c r="E61" s="2">
        <f t="shared" si="22"/>
        <v>4246.465802437493</v>
      </c>
      <c r="F61" s="2">
        <f t="shared" si="23"/>
        <v>228859.36140151022</v>
      </c>
      <c r="G61" s="6"/>
      <c r="H61" s="6"/>
      <c r="I61" s="6"/>
      <c r="J61" s="6"/>
    </row>
    <row r="62" spans="1:10" ht="12.75" x14ac:dyDescent="0.2">
      <c r="A62" s="12"/>
      <c r="B62" s="2">
        <f t="shared" si="24"/>
        <v>228859.36140151022</v>
      </c>
      <c r="C62" s="2">
        <f t="shared" si="20"/>
        <v>2720.7367264274249</v>
      </c>
      <c r="D62" s="2">
        <f t="shared" si="21"/>
        <v>1525.7290760100682</v>
      </c>
      <c r="E62" s="2">
        <f t="shared" si="22"/>
        <v>4246.465802437493</v>
      </c>
      <c r="F62" s="2">
        <f t="shared" si="23"/>
        <v>226138.6246750828</v>
      </c>
      <c r="G62" s="6"/>
      <c r="H62" s="6"/>
      <c r="I62" s="6"/>
      <c r="J62" s="6"/>
    </row>
    <row r="63" spans="1:10" ht="12.75" x14ac:dyDescent="0.2">
      <c r="A63" s="12"/>
      <c r="B63" s="2">
        <f t="shared" si="24"/>
        <v>226138.6246750828</v>
      </c>
      <c r="C63" s="2">
        <f t="shared" si="20"/>
        <v>2738.8749712702743</v>
      </c>
      <c r="D63" s="2">
        <f t="shared" si="21"/>
        <v>1507.5908311672188</v>
      </c>
      <c r="E63" s="2">
        <f t="shared" si="22"/>
        <v>4246.465802437493</v>
      </c>
      <c r="F63" s="2">
        <f t="shared" si="23"/>
        <v>223399.74970381253</v>
      </c>
      <c r="G63" s="6"/>
      <c r="H63" s="6"/>
      <c r="I63" s="6"/>
      <c r="J63" s="6"/>
    </row>
    <row r="64" spans="1:10" ht="12.75" x14ac:dyDescent="0.2">
      <c r="A64" s="12"/>
      <c r="B64" s="2">
        <f t="shared" si="24"/>
        <v>223399.74970381253</v>
      </c>
      <c r="C64" s="2">
        <f t="shared" si="20"/>
        <v>2757.1341377454091</v>
      </c>
      <c r="D64" s="2">
        <f t="shared" si="21"/>
        <v>1489.3316646920837</v>
      </c>
      <c r="E64" s="2">
        <f t="shared" si="22"/>
        <v>4246.465802437493</v>
      </c>
      <c r="F64" s="2">
        <f t="shared" si="23"/>
        <v>220642.61556606711</v>
      </c>
      <c r="G64" s="6"/>
      <c r="H64" s="6"/>
      <c r="I64" s="6"/>
      <c r="J64" s="6"/>
    </row>
    <row r="65" spans="1:10" ht="12.75" x14ac:dyDescent="0.2">
      <c r="A65" s="12"/>
      <c r="B65" s="2">
        <f t="shared" si="24"/>
        <v>220642.61556606711</v>
      </c>
      <c r="C65" s="2">
        <f t="shared" si="20"/>
        <v>2775.5150319970453</v>
      </c>
      <c r="D65" s="2">
        <f t="shared" si="21"/>
        <v>1470.9507704404475</v>
      </c>
      <c r="E65" s="2">
        <f t="shared" si="22"/>
        <v>4246.465802437493</v>
      </c>
      <c r="F65" s="2">
        <f t="shared" si="23"/>
        <v>217867.10053407005</v>
      </c>
      <c r="G65" s="6"/>
      <c r="H65" s="6"/>
      <c r="I65" s="6"/>
      <c r="J65" s="6"/>
    </row>
    <row r="66" spans="1:10" ht="12.75" x14ac:dyDescent="0.2">
      <c r="A66" s="12"/>
      <c r="B66" s="2">
        <f t="shared" si="24"/>
        <v>217867.10053407005</v>
      </c>
      <c r="C66" s="2">
        <f t="shared" si="20"/>
        <v>2794.0184655436924</v>
      </c>
      <c r="D66" s="2">
        <f t="shared" si="21"/>
        <v>1452.4473368938004</v>
      </c>
      <c r="E66" s="2">
        <f t="shared" si="22"/>
        <v>4246.465802437493</v>
      </c>
      <c r="F66" s="2">
        <f t="shared" si="23"/>
        <v>215073.08206852636</v>
      </c>
      <c r="G66" s="6"/>
      <c r="H66" s="6"/>
      <c r="I66" s="6"/>
      <c r="J66" s="6"/>
    </row>
    <row r="67" spans="1:10" ht="12.75" x14ac:dyDescent="0.2">
      <c r="A67" s="12"/>
      <c r="B67" s="2">
        <f t="shared" si="24"/>
        <v>215073.08206852636</v>
      </c>
      <c r="C67" s="2">
        <f t="shared" si="20"/>
        <v>2812.6452553139839</v>
      </c>
      <c r="D67" s="2">
        <f t="shared" si="21"/>
        <v>1433.8205471235092</v>
      </c>
      <c r="E67" s="2">
        <f t="shared" si="22"/>
        <v>4246.465802437493</v>
      </c>
      <c r="F67" s="2">
        <f t="shared" si="23"/>
        <v>212260.43681321238</v>
      </c>
      <c r="G67" s="6"/>
      <c r="H67" s="6"/>
      <c r="I67" s="6"/>
      <c r="J67" s="6"/>
    </row>
    <row r="68" spans="1:10" ht="12.75" x14ac:dyDescent="0.2">
      <c r="A68" s="12" t="s">
        <v>110</v>
      </c>
      <c r="B68" s="2">
        <f t="shared" si="24"/>
        <v>212260.43681321238</v>
      </c>
      <c r="C68" s="2">
        <f t="shared" si="20"/>
        <v>2831.3962236827438</v>
      </c>
      <c r="D68" s="2">
        <f t="shared" si="21"/>
        <v>1415.0695787547493</v>
      </c>
      <c r="E68" s="2">
        <f t="shared" si="22"/>
        <v>4246.465802437493</v>
      </c>
      <c r="F68" s="48">
        <f t="shared" si="23"/>
        <v>209429.04058952964</v>
      </c>
      <c r="G68" s="6"/>
      <c r="H68" s="6"/>
      <c r="I68" s="6"/>
      <c r="J68" s="6"/>
    </row>
    <row r="69" spans="1:10" ht="12.75" x14ac:dyDescent="0.2">
      <c r="A69" s="9" t="s">
        <v>102</v>
      </c>
      <c r="B69" s="4"/>
      <c r="C69" s="48"/>
      <c r="D69" s="48">
        <f>SUM(D57:D68)</f>
        <v>18191.482361024857</v>
      </c>
      <c r="E69" s="6"/>
      <c r="F69" s="6"/>
      <c r="G69" s="6"/>
      <c r="H69" s="6"/>
      <c r="I69" s="6"/>
      <c r="J69" s="6"/>
    </row>
    <row r="70" spans="1:10" ht="12.75" x14ac:dyDescent="0.2">
      <c r="A70" s="12" t="s">
        <v>111</v>
      </c>
      <c r="B70" s="2">
        <f>F68</f>
        <v>209429.04058952964</v>
      </c>
      <c r="C70" s="2">
        <f t="shared" ref="C70:C81" si="25">+E70-D70</f>
        <v>2850.2721985072953</v>
      </c>
      <c r="D70" s="2">
        <f t="shared" ref="D70:D81" si="26">+B70*$J$3</f>
        <v>1396.1936039301977</v>
      </c>
      <c r="E70" s="2">
        <f t="shared" ref="E70:E81" si="27">$J$6</f>
        <v>4246.465802437493</v>
      </c>
      <c r="F70" s="2">
        <f t="shared" ref="F70:F81" si="28">+B70-C70</f>
        <v>206578.76839102234</v>
      </c>
      <c r="G70" s="6"/>
      <c r="H70" s="6"/>
      <c r="I70" s="6"/>
      <c r="J70" s="6"/>
    </row>
    <row r="71" spans="1:10" ht="12.75" x14ac:dyDescent="0.2">
      <c r="A71" s="12"/>
      <c r="B71" s="2">
        <f t="shared" ref="B71:B81" si="29">+F70</f>
        <v>206578.76839102234</v>
      </c>
      <c r="C71" s="2">
        <f t="shared" si="25"/>
        <v>2869.2740131640107</v>
      </c>
      <c r="D71" s="2">
        <f t="shared" si="26"/>
        <v>1377.1917892734823</v>
      </c>
      <c r="E71" s="2">
        <f t="shared" si="27"/>
        <v>4246.465802437493</v>
      </c>
      <c r="F71" s="2">
        <f t="shared" si="28"/>
        <v>203709.49437785833</v>
      </c>
      <c r="G71" s="6"/>
      <c r="H71" s="6"/>
      <c r="I71" s="6"/>
      <c r="J71" s="6"/>
    </row>
    <row r="72" spans="1:10" ht="12.75" x14ac:dyDescent="0.2">
      <c r="A72" s="12"/>
      <c r="B72" s="2">
        <f t="shared" si="29"/>
        <v>203709.49437785833</v>
      </c>
      <c r="C72" s="2">
        <f t="shared" si="25"/>
        <v>2888.4025065851042</v>
      </c>
      <c r="D72" s="2">
        <f t="shared" si="26"/>
        <v>1358.0632958523888</v>
      </c>
      <c r="E72" s="2">
        <f t="shared" si="27"/>
        <v>4246.465802437493</v>
      </c>
      <c r="F72" s="2">
        <f t="shared" si="28"/>
        <v>200821.09187127321</v>
      </c>
      <c r="G72" s="6"/>
      <c r="H72" s="6"/>
      <c r="I72" s="6"/>
      <c r="J72" s="6"/>
    </row>
    <row r="73" spans="1:10" ht="12.75" x14ac:dyDescent="0.2">
      <c r="A73" s="12"/>
      <c r="B73" s="2">
        <f t="shared" si="29"/>
        <v>200821.09187127321</v>
      </c>
      <c r="C73" s="2">
        <f t="shared" si="25"/>
        <v>2907.6585232956713</v>
      </c>
      <c r="D73" s="2">
        <f t="shared" si="26"/>
        <v>1338.8072791418215</v>
      </c>
      <c r="E73" s="2">
        <f t="shared" si="27"/>
        <v>4246.465802437493</v>
      </c>
      <c r="F73" s="2">
        <f t="shared" si="28"/>
        <v>197913.43334797752</v>
      </c>
      <c r="G73" s="6"/>
      <c r="H73" s="6"/>
      <c r="I73" s="6"/>
      <c r="J73" s="6"/>
    </row>
    <row r="74" spans="1:10" ht="12.75" x14ac:dyDescent="0.2">
      <c r="A74" s="12"/>
      <c r="B74" s="2">
        <f t="shared" si="29"/>
        <v>197913.43334797752</v>
      </c>
      <c r="C74" s="2">
        <f t="shared" si="25"/>
        <v>2927.0429134509759</v>
      </c>
      <c r="D74" s="2">
        <f t="shared" si="26"/>
        <v>1319.4228889865169</v>
      </c>
      <c r="E74" s="2">
        <f t="shared" si="27"/>
        <v>4246.465802437493</v>
      </c>
      <c r="F74" s="2">
        <f t="shared" si="28"/>
        <v>194986.39043452655</v>
      </c>
      <c r="G74" s="6"/>
      <c r="H74" s="6"/>
      <c r="I74" s="6"/>
      <c r="J74" s="6"/>
    </row>
    <row r="75" spans="1:10" ht="12.75" x14ac:dyDescent="0.2">
      <c r="A75" s="12"/>
      <c r="B75" s="2">
        <f t="shared" si="29"/>
        <v>194986.39043452655</v>
      </c>
      <c r="C75" s="2">
        <f t="shared" si="25"/>
        <v>2946.5565328739826</v>
      </c>
      <c r="D75" s="2">
        <f t="shared" si="26"/>
        <v>1299.9092695635104</v>
      </c>
      <c r="E75" s="2">
        <f t="shared" si="27"/>
        <v>4246.465802437493</v>
      </c>
      <c r="F75" s="2">
        <f t="shared" si="28"/>
        <v>192039.83390165257</v>
      </c>
      <c r="G75" s="6"/>
      <c r="H75" s="6"/>
      <c r="I75" s="6"/>
      <c r="J75" s="6"/>
    </row>
    <row r="76" spans="1:10" ht="12.75" x14ac:dyDescent="0.2">
      <c r="A76" s="12"/>
      <c r="B76" s="2">
        <f t="shared" si="29"/>
        <v>192039.83390165257</v>
      </c>
      <c r="C76" s="2">
        <f t="shared" si="25"/>
        <v>2966.2002430931425</v>
      </c>
      <c r="D76" s="2">
        <f t="shared" si="26"/>
        <v>1280.2655593443505</v>
      </c>
      <c r="E76" s="2">
        <f t="shared" si="27"/>
        <v>4246.465802437493</v>
      </c>
      <c r="F76" s="2">
        <f t="shared" si="28"/>
        <v>189073.63365855944</v>
      </c>
      <c r="G76" s="6"/>
      <c r="H76" s="6"/>
      <c r="I76" s="6"/>
      <c r="J76" s="6"/>
    </row>
    <row r="77" spans="1:10" ht="12.75" x14ac:dyDescent="0.2">
      <c r="A77" s="12"/>
      <c r="B77" s="2">
        <f t="shared" si="29"/>
        <v>189073.63365855944</v>
      </c>
      <c r="C77" s="2">
        <f t="shared" si="25"/>
        <v>2985.9749113804301</v>
      </c>
      <c r="D77" s="2">
        <f t="shared" si="26"/>
        <v>1260.490891057063</v>
      </c>
      <c r="E77" s="2">
        <f t="shared" si="27"/>
        <v>4246.465802437493</v>
      </c>
      <c r="F77" s="2">
        <f t="shared" si="28"/>
        <v>186087.658747179</v>
      </c>
      <c r="G77" s="6"/>
      <c r="H77" s="6"/>
      <c r="I77" s="6"/>
      <c r="J77" s="6"/>
    </row>
    <row r="78" spans="1:10" ht="12.75" x14ac:dyDescent="0.2">
      <c r="A78" s="12"/>
      <c r="B78" s="2">
        <f t="shared" si="29"/>
        <v>186087.658747179</v>
      </c>
      <c r="C78" s="2">
        <f t="shared" si="25"/>
        <v>3005.8814107896333</v>
      </c>
      <c r="D78" s="2">
        <f t="shared" si="26"/>
        <v>1240.58439164786</v>
      </c>
      <c r="E78" s="2">
        <f t="shared" si="27"/>
        <v>4246.465802437493</v>
      </c>
      <c r="F78" s="2">
        <f t="shared" si="28"/>
        <v>183081.77733638935</v>
      </c>
      <c r="G78" s="6"/>
      <c r="H78" s="6"/>
      <c r="I78" s="6"/>
      <c r="J78" s="6"/>
    </row>
    <row r="79" spans="1:10" ht="12.75" x14ac:dyDescent="0.2">
      <c r="A79" s="12"/>
      <c r="B79" s="2">
        <f t="shared" si="29"/>
        <v>183081.77733638935</v>
      </c>
      <c r="C79" s="2">
        <f t="shared" si="25"/>
        <v>3025.9206201948973</v>
      </c>
      <c r="D79" s="2">
        <f t="shared" si="26"/>
        <v>1220.5451822425957</v>
      </c>
      <c r="E79" s="2">
        <f t="shared" si="27"/>
        <v>4246.465802437493</v>
      </c>
      <c r="F79" s="2">
        <f t="shared" si="28"/>
        <v>180055.85671619445</v>
      </c>
      <c r="G79" s="6"/>
      <c r="H79" s="6"/>
      <c r="I79" s="6"/>
      <c r="J79" s="6"/>
    </row>
    <row r="80" spans="1:10" ht="12.75" x14ac:dyDescent="0.2">
      <c r="A80" s="12"/>
      <c r="B80" s="2">
        <f t="shared" si="29"/>
        <v>180055.85671619445</v>
      </c>
      <c r="C80" s="2">
        <f t="shared" si="25"/>
        <v>3046.0934243295296</v>
      </c>
      <c r="D80" s="2">
        <f t="shared" si="26"/>
        <v>1200.3723781079632</v>
      </c>
      <c r="E80" s="2">
        <f t="shared" si="27"/>
        <v>4246.465802437493</v>
      </c>
      <c r="F80" s="2">
        <f t="shared" si="28"/>
        <v>177009.76329186492</v>
      </c>
      <c r="G80" s="6"/>
      <c r="H80" s="6"/>
      <c r="I80" s="6"/>
      <c r="J80" s="6"/>
    </row>
    <row r="81" spans="1:10" ht="12.75" x14ac:dyDescent="0.2">
      <c r="A81" s="12" t="s">
        <v>112</v>
      </c>
      <c r="B81" s="2">
        <f t="shared" si="29"/>
        <v>177009.76329186492</v>
      </c>
      <c r="C81" s="2">
        <f t="shared" si="25"/>
        <v>3066.4007138250599</v>
      </c>
      <c r="D81" s="2">
        <f t="shared" si="26"/>
        <v>1180.0650886124329</v>
      </c>
      <c r="E81" s="2">
        <f t="shared" si="27"/>
        <v>4246.465802437493</v>
      </c>
      <c r="F81" s="48">
        <f t="shared" si="28"/>
        <v>173943.36257803987</v>
      </c>
      <c r="G81" s="6"/>
      <c r="H81" s="6"/>
      <c r="I81" s="6"/>
      <c r="J81" s="6"/>
    </row>
    <row r="82" spans="1:10" ht="12.75" x14ac:dyDescent="0.2">
      <c r="A82" s="9" t="s">
        <v>102</v>
      </c>
      <c r="B82" s="9"/>
      <c r="C82" s="48"/>
      <c r="D82" s="48">
        <f>SUM(D70:D81)</f>
        <v>15471.911617760183</v>
      </c>
      <c r="E82" s="2"/>
      <c r="F82" s="2"/>
      <c r="G82" s="6"/>
      <c r="H82" s="6"/>
      <c r="I82" s="6"/>
      <c r="J82" s="6"/>
    </row>
    <row r="83" spans="1:10" ht="12.75" x14ac:dyDescent="0.2">
      <c r="A83" s="12"/>
      <c r="B83" s="12"/>
      <c r="C83" s="2"/>
      <c r="D83" s="2"/>
      <c r="E83" s="2"/>
      <c r="F83" s="2"/>
      <c r="G83" s="6"/>
      <c r="H83" s="6"/>
      <c r="I83" s="6"/>
      <c r="J83" s="6"/>
    </row>
    <row r="84" spans="1:10" ht="12.75" x14ac:dyDescent="0.2">
      <c r="A84" s="12" t="s">
        <v>113</v>
      </c>
      <c r="B84" s="2">
        <f>F81</f>
        <v>173943.36257803987</v>
      </c>
      <c r="C84" s="2">
        <f t="shared" ref="C84:C95" si="30">+E84-D84</f>
        <v>3086.8433852505605</v>
      </c>
      <c r="D84" s="2">
        <f t="shared" ref="D84:D95" si="31">+B84*$J$3</f>
        <v>1159.6224171869326</v>
      </c>
      <c r="E84" s="2">
        <f t="shared" ref="E84:E95" si="32">$J$6</f>
        <v>4246.465802437493</v>
      </c>
      <c r="F84" s="2">
        <f t="shared" ref="F84:F95" si="33">+B84-C84</f>
        <v>170856.5191927893</v>
      </c>
      <c r="G84" s="6"/>
      <c r="H84" s="6"/>
      <c r="I84" s="6"/>
      <c r="J84" s="6"/>
    </row>
    <row r="85" spans="1:10" ht="12.75" x14ac:dyDescent="0.2">
      <c r="A85" s="12"/>
      <c r="B85" s="2">
        <f t="shared" ref="B85:B95" si="34">+F84</f>
        <v>170856.5191927893</v>
      </c>
      <c r="C85" s="2">
        <f t="shared" si="30"/>
        <v>3107.4223411522307</v>
      </c>
      <c r="D85" s="2">
        <f t="shared" si="31"/>
        <v>1139.0434612852621</v>
      </c>
      <c r="E85" s="2">
        <f t="shared" si="32"/>
        <v>4246.465802437493</v>
      </c>
      <c r="F85" s="2">
        <f t="shared" si="33"/>
        <v>167749.09685163706</v>
      </c>
      <c r="G85" s="6"/>
      <c r="H85" s="6"/>
      <c r="I85" s="6"/>
      <c r="J85" s="6"/>
    </row>
    <row r="86" spans="1:10" ht="12.75" x14ac:dyDescent="0.2">
      <c r="A86" s="12"/>
      <c r="B86" s="2">
        <f t="shared" si="34"/>
        <v>167749.09685163706</v>
      </c>
      <c r="C86" s="2">
        <f t="shared" si="30"/>
        <v>3128.1384900932462</v>
      </c>
      <c r="D86" s="2">
        <f t="shared" si="31"/>
        <v>1118.327312344247</v>
      </c>
      <c r="E86" s="2">
        <f t="shared" si="32"/>
        <v>4246.465802437493</v>
      </c>
      <c r="F86" s="2">
        <f t="shared" si="33"/>
        <v>164620.95836154383</v>
      </c>
      <c r="G86" s="6"/>
      <c r="H86" s="6"/>
      <c r="I86" s="6"/>
      <c r="J86" s="6"/>
    </row>
    <row r="87" spans="1:10" ht="12.75" x14ac:dyDescent="0.2">
      <c r="A87" s="12"/>
      <c r="B87" s="2">
        <f t="shared" si="34"/>
        <v>164620.95836154383</v>
      </c>
      <c r="C87" s="2">
        <f t="shared" si="30"/>
        <v>3148.9927466938675</v>
      </c>
      <c r="D87" s="2">
        <f t="shared" si="31"/>
        <v>1097.4730557436255</v>
      </c>
      <c r="E87" s="2">
        <f t="shared" si="32"/>
        <v>4246.465802437493</v>
      </c>
      <c r="F87" s="2">
        <f t="shared" si="33"/>
        <v>161471.96561484996</v>
      </c>
      <c r="G87" s="6"/>
      <c r="H87" s="6"/>
      <c r="I87" s="6"/>
      <c r="J87" s="6"/>
    </row>
    <row r="88" spans="1:10" ht="12.75" x14ac:dyDescent="0.2">
      <c r="A88" s="12"/>
      <c r="B88" s="2">
        <f t="shared" si="34"/>
        <v>161471.96561484996</v>
      </c>
      <c r="C88" s="2">
        <f t="shared" si="30"/>
        <v>3169.9860316718268</v>
      </c>
      <c r="D88" s="2">
        <f t="shared" si="31"/>
        <v>1076.4797707656664</v>
      </c>
      <c r="E88" s="2">
        <f t="shared" si="32"/>
        <v>4246.465802437493</v>
      </c>
      <c r="F88" s="2">
        <f t="shared" si="33"/>
        <v>158301.97958317812</v>
      </c>
      <c r="G88" s="6"/>
      <c r="H88" s="6"/>
      <c r="I88" s="6"/>
      <c r="J88" s="6"/>
    </row>
    <row r="89" spans="1:10" ht="12.75" x14ac:dyDescent="0.2">
      <c r="A89" s="12"/>
      <c r="B89" s="2">
        <f t="shared" si="34"/>
        <v>158301.97958317812</v>
      </c>
      <c r="C89" s="2">
        <f t="shared" si="30"/>
        <v>3191.119271882972</v>
      </c>
      <c r="D89" s="2">
        <f t="shared" si="31"/>
        <v>1055.346530554521</v>
      </c>
      <c r="E89" s="2">
        <f t="shared" si="32"/>
        <v>4246.465802437493</v>
      </c>
      <c r="F89" s="2">
        <f t="shared" si="33"/>
        <v>155110.86031129514</v>
      </c>
      <c r="G89" s="6"/>
      <c r="H89" s="6"/>
      <c r="I89" s="6"/>
      <c r="J89" s="6"/>
    </row>
    <row r="90" spans="1:10" ht="12.75" x14ac:dyDescent="0.2">
      <c r="A90" s="12"/>
      <c r="B90" s="2">
        <f t="shared" si="34"/>
        <v>155110.86031129514</v>
      </c>
      <c r="C90" s="2">
        <f t="shared" si="30"/>
        <v>3212.3934003621921</v>
      </c>
      <c r="D90" s="2">
        <f t="shared" si="31"/>
        <v>1034.0724020753009</v>
      </c>
      <c r="E90" s="2">
        <f t="shared" si="32"/>
        <v>4246.465802437493</v>
      </c>
      <c r="F90" s="2">
        <f t="shared" si="33"/>
        <v>151898.46691093294</v>
      </c>
      <c r="G90" s="6"/>
      <c r="H90" s="6"/>
      <c r="I90" s="6"/>
      <c r="J90" s="6"/>
    </row>
    <row r="91" spans="1:10" ht="12.75" x14ac:dyDescent="0.2">
      <c r="A91" s="12"/>
      <c r="B91" s="2">
        <f t="shared" si="34"/>
        <v>151898.46691093294</v>
      </c>
      <c r="C91" s="2">
        <f t="shared" si="30"/>
        <v>3233.8093563646066</v>
      </c>
      <c r="D91" s="2">
        <f t="shared" si="31"/>
        <v>1012.6564460728863</v>
      </c>
      <c r="E91" s="2">
        <f t="shared" si="32"/>
        <v>4246.465802437493</v>
      </c>
      <c r="F91" s="2">
        <f t="shared" si="33"/>
        <v>148664.65755456834</v>
      </c>
      <c r="G91" s="6"/>
      <c r="H91" s="6"/>
      <c r="I91" s="6"/>
      <c r="J91" s="6"/>
    </row>
    <row r="92" spans="1:10" ht="12.75" x14ac:dyDescent="0.2">
      <c r="A92" s="12"/>
      <c r="B92" s="2">
        <f t="shared" si="34"/>
        <v>148664.65755456834</v>
      </c>
      <c r="C92" s="2">
        <f t="shared" si="30"/>
        <v>3255.3680854070371</v>
      </c>
      <c r="D92" s="2">
        <f t="shared" si="31"/>
        <v>991.09771703045567</v>
      </c>
      <c r="E92" s="2">
        <f t="shared" si="32"/>
        <v>4246.465802437493</v>
      </c>
      <c r="F92" s="2">
        <f t="shared" si="33"/>
        <v>145409.2894691613</v>
      </c>
      <c r="G92" s="6"/>
      <c r="H92" s="6"/>
      <c r="I92" s="6"/>
      <c r="J92" s="6"/>
    </row>
    <row r="93" spans="1:10" ht="12.75" x14ac:dyDescent="0.2">
      <c r="A93" s="12"/>
      <c r="B93" s="2">
        <f t="shared" si="34"/>
        <v>145409.2894691613</v>
      </c>
      <c r="C93" s="2">
        <f t="shared" si="30"/>
        <v>3277.070539309751</v>
      </c>
      <c r="D93" s="2">
        <f t="shared" si="31"/>
        <v>969.39526312774206</v>
      </c>
      <c r="E93" s="2">
        <f t="shared" si="32"/>
        <v>4246.465802437493</v>
      </c>
      <c r="F93" s="2">
        <f t="shared" si="33"/>
        <v>142132.21892985154</v>
      </c>
      <c r="G93" s="6"/>
      <c r="H93" s="6"/>
      <c r="I93" s="6"/>
      <c r="J93" s="6"/>
    </row>
    <row r="94" spans="1:10" ht="12.75" x14ac:dyDescent="0.2">
      <c r="A94" s="12"/>
      <c r="B94" s="2">
        <f t="shared" si="34"/>
        <v>142132.21892985154</v>
      </c>
      <c r="C94" s="2">
        <f t="shared" si="30"/>
        <v>3298.9176762384827</v>
      </c>
      <c r="D94" s="2">
        <f t="shared" si="31"/>
        <v>947.54812619901031</v>
      </c>
      <c r="E94" s="2">
        <f t="shared" si="32"/>
        <v>4246.465802437493</v>
      </c>
      <c r="F94" s="2">
        <f t="shared" si="33"/>
        <v>138833.30125361306</v>
      </c>
      <c r="G94" s="6"/>
      <c r="H94" s="6"/>
      <c r="I94" s="6"/>
      <c r="J94" s="6"/>
    </row>
    <row r="95" spans="1:10" ht="12.75" x14ac:dyDescent="0.2">
      <c r="A95" s="12" t="s">
        <v>114</v>
      </c>
      <c r="B95" s="2">
        <f t="shared" si="34"/>
        <v>138833.30125361306</v>
      </c>
      <c r="C95" s="2">
        <f t="shared" si="30"/>
        <v>3320.9104607467393</v>
      </c>
      <c r="D95" s="2">
        <f t="shared" si="31"/>
        <v>925.55534169075372</v>
      </c>
      <c r="E95" s="2">
        <f t="shared" si="32"/>
        <v>4246.465802437493</v>
      </c>
      <c r="F95" s="48">
        <f t="shared" si="33"/>
        <v>135512.39079286632</v>
      </c>
      <c r="G95" s="6"/>
      <c r="H95" s="6"/>
      <c r="I95" s="6"/>
      <c r="J95" s="6"/>
    </row>
    <row r="96" spans="1:10" ht="12.75" x14ac:dyDescent="0.2">
      <c r="A96" s="9" t="s">
        <v>102</v>
      </c>
      <c r="B96" s="9"/>
      <c r="C96" s="48"/>
      <c r="D96" s="48">
        <f>SUM(D84:D95)</f>
        <v>12526.617844076402</v>
      </c>
      <c r="E96" s="2"/>
      <c r="F96" s="2"/>
      <c r="G96" s="6"/>
      <c r="H96" s="6"/>
      <c r="I96" s="6"/>
      <c r="J96" s="6"/>
    </row>
    <row r="97" spans="1:10" ht="12.75" x14ac:dyDescent="0.2">
      <c r="A97" s="12"/>
      <c r="B97" s="12"/>
      <c r="C97" s="2"/>
      <c r="D97" s="2"/>
      <c r="E97" s="2"/>
      <c r="F97" s="2"/>
      <c r="G97" s="6"/>
      <c r="H97" s="6"/>
      <c r="I97" s="6"/>
      <c r="J97" s="6"/>
    </row>
    <row r="98" spans="1:10" ht="12.75" x14ac:dyDescent="0.2">
      <c r="A98" s="12" t="s">
        <v>115</v>
      </c>
      <c r="B98" s="2">
        <f>F95</f>
        <v>135512.39079286632</v>
      </c>
      <c r="C98" s="2">
        <f t="shared" ref="C98:C109" si="35">+E98-D98</f>
        <v>3343.049863818384</v>
      </c>
      <c r="D98" s="2">
        <f t="shared" ref="D98:D109" si="36">+B98*$J$3</f>
        <v>903.41593861910894</v>
      </c>
      <c r="E98" s="2">
        <f t="shared" ref="E98:E109" si="37">$J$6</f>
        <v>4246.465802437493</v>
      </c>
      <c r="F98" s="2">
        <f t="shared" ref="F98:F109" si="38">+B98-C98</f>
        <v>132169.34092904793</v>
      </c>
      <c r="G98" s="6"/>
      <c r="H98" s="6"/>
      <c r="I98" s="6"/>
      <c r="J98" s="6"/>
    </row>
    <row r="99" spans="1:10" ht="12.75" x14ac:dyDescent="0.2">
      <c r="A99" s="12"/>
      <c r="B99" s="2">
        <f t="shared" ref="B99:B109" si="39">+F98</f>
        <v>132169.34092904793</v>
      </c>
      <c r="C99" s="2">
        <f t="shared" si="35"/>
        <v>3365.3368629105066</v>
      </c>
      <c r="D99" s="2">
        <f t="shared" si="36"/>
        <v>881.1289395269863</v>
      </c>
      <c r="E99" s="2">
        <f t="shared" si="37"/>
        <v>4246.465802437493</v>
      </c>
      <c r="F99" s="2">
        <f t="shared" si="38"/>
        <v>128804.00406613742</v>
      </c>
      <c r="G99" s="6"/>
      <c r="H99" s="6"/>
      <c r="I99" s="6"/>
      <c r="J99" s="6"/>
    </row>
    <row r="100" spans="1:10" ht="12.75" x14ac:dyDescent="0.2">
      <c r="A100" s="12"/>
      <c r="B100" s="2">
        <f t="shared" si="39"/>
        <v>128804.00406613742</v>
      </c>
      <c r="C100" s="2">
        <f t="shared" si="35"/>
        <v>3387.7724419965771</v>
      </c>
      <c r="D100" s="2">
        <f t="shared" si="36"/>
        <v>858.69336044091619</v>
      </c>
      <c r="E100" s="2">
        <f t="shared" si="37"/>
        <v>4246.465802437493</v>
      </c>
      <c r="F100" s="2">
        <f t="shared" si="38"/>
        <v>125416.23162414084</v>
      </c>
      <c r="G100" s="6"/>
      <c r="H100" s="6"/>
      <c r="I100" s="6"/>
      <c r="J100" s="6"/>
    </row>
    <row r="101" spans="1:10" ht="12.75" x14ac:dyDescent="0.2">
      <c r="A101" s="12"/>
      <c r="B101" s="2">
        <f t="shared" si="39"/>
        <v>125416.23162414084</v>
      </c>
      <c r="C101" s="2">
        <f t="shared" si="35"/>
        <v>3410.3575916098875</v>
      </c>
      <c r="D101" s="2">
        <f t="shared" si="36"/>
        <v>836.1082108276056</v>
      </c>
      <c r="E101" s="2">
        <f t="shared" si="37"/>
        <v>4246.465802437493</v>
      </c>
      <c r="F101" s="2">
        <f t="shared" si="38"/>
        <v>122005.87403253095</v>
      </c>
      <c r="G101" s="6"/>
      <c r="H101" s="6"/>
      <c r="I101" s="6"/>
      <c r="J101" s="6"/>
    </row>
    <row r="102" spans="1:10" ht="12.75" x14ac:dyDescent="0.2">
      <c r="A102" s="12"/>
      <c r="B102" s="2">
        <f t="shared" si="39"/>
        <v>122005.87403253095</v>
      </c>
      <c r="C102" s="2">
        <f t="shared" si="35"/>
        <v>3433.0933088872866</v>
      </c>
      <c r="D102" s="2">
        <f t="shared" si="36"/>
        <v>813.3724935502064</v>
      </c>
      <c r="E102" s="2">
        <f t="shared" si="37"/>
        <v>4246.465802437493</v>
      </c>
      <c r="F102" s="2">
        <f t="shared" si="38"/>
        <v>118572.78072364366</v>
      </c>
      <c r="G102" s="6"/>
      <c r="H102" s="6"/>
      <c r="I102" s="6"/>
      <c r="J102" s="6"/>
    </row>
    <row r="103" spans="1:10" ht="12.75" x14ac:dyDescent="0.2">
      <c r="A103" s="12"/>
      <c r="B103" s="2">
        <f t="shared" si="39"/>
        <v>118572.78072364366</v>
      </c>
      <c r="C103" s="2">
        <f t="shared" si="35"/>
        <v>3455.980597613202</v>
      </c>
      <c r="D103" s="2">
        <f t="shared" si="36"/>
        <v>790.48520482429115</v>
      </c>
      <c r="E103" s="2">
        <f t="shared" si="37"/>
        <v>4246.465802437493</v>
      </c>
      <c r="F103" s="2">
        <f t="shared" si="38"/>
        <v>115116.80012603046</v>
      </c>
      <c r="G103" s="6"/>
      <c r="H103" s="6"/>
      <c r="I103" s="6"/>
      <c r="J103" s="6"/>
    </row>
    <row r="104" spans="1:10" ht="12.75" x14ac:dyDescent="0.2">
      <c r="A104" s="12"/>
      <c r="B104" s="2">
        <f t="shared" si="39"/>
        <v>115116.80012603046</v>
      </c>
      <c r="C104" s="2">
        <f t="shared" si="35"/>
        <v>3479.0204682639564</v>
      </c>
      <c r="D104" s="2">
        <f t="shared" si="36"/>
        <v>767.44533417353648</v>
      </c>
      <c r="E104" s="2">
        <f t="shared" si="37"/>
        <v>4246.465802437493</v>
      </c>
      <c r="F104" s="2">
        <f t="shared" si="38"/>
        <v>111637.7796577665</v>
      </c>
      <c r="G104" s="6"/>
      <c r="H104" s="6"/>
      <c r="I104" s="6"/>
      <c r="J104" s="6"/>
    </row>
    <row r="105" spans="1:10" ht="12.75" x14ac:dyDescent="0.2">
      <c r="A105" s="12"/>
      <c r="B105" s="2">
        <f t="shared" si="39"/>
        <v>111637.7796577665</v>
      </c>
      <c r="C105" s="2">
        <f t="shared" si="35"/>
        <v>3502.2139380523831</v>
      </c>
      <c r="D105" s="2">
        <f t="shared" si="36"/>
        <v>744.25186438511003</v>
      </c>
      <c r="E105" s="2">
        <f t="shared" si="37"/>
        <v>4246.465802437493</v>
      </c>
      <c r="F105" s="2">
        <f t="shared" si="38"/>
        <v>108135.56571971411</v>
      </c>
      <c r="G105" s="6"/>
      <c r="H105" s="6"/>
      <c r="I105" s="6"/>
      <c r="J105" s="6"/>
    </row>
    <row r="106" spans="1:10" ht="12.75" x14ac:dyDescent="0.2">
      <c r="A106" s="12"/>
      <c r="B106" s="2">
        <f t="shared" si="39"/>
        <v>108135.56571971411</v>
      </c>
      <c r="C106" s="2">
        <f t="shared" si="35"/>
        <v>3525.5620309727324</v>
      </c>
      <c r="D106" s="2">
        <f t="shared" si="36"/>
        <v>720.90377146476078</v>
      </c>
      <c r="E106" s="2">
        <f t="shared" si="37"/>
        <v>4246.465802437493</v>
      </c>
      <c r="F106" s="2">
        <f t="shared" si="38"/>
        <v>104610.00368874137</v>
      </c>
      <c r="G106" s="6"/>
      <c r="H106" s="6"/>
      <c r="I106" s="6"/>
      <c r="J106" s="6"/>
    </row>
    <row r="107" spans="1:10" ht="12.75" x14ac:dyDescent="0.2">
      <c r="A107" s="12"/>
      <c r="B107" s="2">
        <f t="shared" si="39"/>
        <v>104610.00368874137</v>
      </c>
      <c r="C107" s="2">
        <f t="shared" si="35"/>
        <v>3549.065777845884</v>
      </c>
      <c r="D107" s="2">
        <f t="shared" si="36"/>
        <v>697.40002459160917</v>
      </c>
      <c r="E107" s="2">
        <f t="shared" si="37"/>
        <v>4246.465802437493</v>
      </c>
      <c r="F107" s="2">
        <f t="shared" si="38"/>
        <v>101060.93791089549</v>
      </c>
      <c r="G107" s="6"/>
      <c r="H107" s="6"/>
      <c r="I107" s="6"/>
      <c r="J107" s="6"/>
    </row>
    <row r="108" spans="1:10" ht="12.75" x14ac:dyDescent="0.2">
      <c r="A108" s="12"/>
      <c r="B108" s="2">
        <f t="shared" si="39"/>
        <v>101060.93791089549</v>
      </c>
      <c r="C108" s="2">
        <f t="shared" si="35"/>
        <v>3572.7262163648566</v>
      </c>
      <c r="D108" s="2">
        <f t="shared" si="36"/>
        <v>673.7395860726366</v>
      </c>
      <c r="E108" s="2">
        <f t="shared" si="37"/>
        <v>4246.465802437493</v>
      </c>
      <c r="F108" s="2">
        <f t="shared" si="38"/>
        <v>97488.211694530633</v>
      </c>
      <c r="G108" s="6"/>
      <c r="H108" s="6"/>
      <c r="I108" s="6"/>
      <c r="J108" s="6"/>
    </row>
    <row r="109" spans="1:10" ht="12.75" x14ac:dyDescent="0.2">
      <c r="A109" s="12" t="s">
        <v>116</v>
      </c>
      <c r="B109" s="2">
        <f t="shared" si="39"/>
        <v>97488.211694530633</v>
      </c>
      <c r="C109" s="2">
        <f t="shared" si="35"/>
        <v>3596.5443911406219</v>
      </c>
      <c r="D109" s="2">
        <f t="shared" si="36"/>
        <v>649.92141129687093</v>
      </c>
      <c r="E109" s="2">
        <f t="shared" si="37"/>
        <v>4246.465802437493</v>
      </c>
      <c r="F109" s="48">
        <f t="shared" si="38"/>
        <v>93891.667303390015</v>
      </c>
      <c r="G109" s="6"/>
      <c r="H109" s="6"/>
      <c r="I109" s="6"/>
      <c r="J109" s="6"/>
    </row>
    <row r="110" spans="1:10" ht="12.75" x14ac:dyDescent="0.2">
      <c r="A110" s="9" t="s">
        <v>102</v>
      </c>
      <c r="B110" s="9"/>
      <c r="C110" s="48"/>
      <c r="D110" s="48">
        <f>SUM(D98:D109)</f>
        <v>9336.8661397736396</v>
      </c>
      <c r="E110" s="2"/>
      <c r="F110" s="2"/>
      <c r="G110" s="6"/>
      <c r="H110" s="6"/>
      <c r="I110" s="6"/>
      <c r="J110" s="6"/>
    </row>
    <row r="111" spans="1:10" ht="12.75" x14ac:dyDescent="0.2">
      <c r="A111" s="12"/>
      <c r="B111" s="12"/>
      <c r="C111" s="2"/>
      <c r="D111" s="2"/>
      <c r="E111" s="2"/>
      <c r="F111" s="2"/>
      <c r="G111" s="6"/>
      <c r="H111" s="6"/>
      <c r="I111" s="6"/>
      <c r="J111" s="6"/>
    </row>
    <row r="112" spans="1:10" ht="12.75" x14ac:dyDescent="0.2">
      <c r="A112" s="12" t="s">
        <v>117</v>
      </c>
      <c r="B112" s="2">
        <f>F109</f>
        <v>93891.667303390015</v>
      </c>
      <c r="C112" s="2">
        <f t="shared" ref="C112:C123" si="40">+E112-D112</f>
        <v>3620.5213537482264</v>
      </c>
      <c r="D112" s="2">
        <f t="shared" ref="D112:D123" si="41">+B112*$J$3</f>
        <v>625.94444868926678</v>
      </c>
      <c r="E112" s="2">
        <f t="shared" ref="E112:E123" si="42">$J$6</f>
        <v>4246.465802437493</v>
      </c>
      <c r="F112" s="2">
        <f t="shared" ref="F112:F123" si="43">+B112-C112</f>
        <v>90271.145949641796</v>
      </c>
      <c r="G112" s="6"/>
      <c r="H112" s="6"/>
      <c r="I112" s="6"/>
      <c r="J112" s="6"/>
    </row>
    <row r="113" spans="1:10" ht="12.75" x14ac:dyDescent="0.2">
      <c r="A113" s="12"/>
      <c r="B113" s="2">
        <f t="shared" ref="B113:B123" si="44">+F112</f>
        <v>90271.145949641796</v>
      </c>
      <c r="C113" s="2">
        <f t="shared" si="40"/>
        <v>3644.6581627732144</v>
      </c>
      <c r="D113" s="2">
        <f t="shared" si="41"/>
        <v>601.80763966427867</v>
      </c>
      <c r="E113" s="2">
        <f t="shared" si="42"/>
        <v>4246.465802437493</v>
      </c>
      <c r="F113" s="2">
        <f t="shared" si="43"/>
        <v>86626.487786868587</v>
      </c>
      <c r="G113" s="6"/>
      <c r="H113" s="6"/>
      <c r="I113" s="6"/>
      <c r="J113" s="6"/>
    </row>
    <row r="114" spans="1:10" ht="12.75" x14ac:dyDescent="0.2">
      <c r="A114" s="12"/>
      <c r="B114" s="2">
        <f t="shared" si="44"/>
        <v>86626.487786868587</v>
      </c>
      <c r="C114" s="2">
        <f t="shared" si="40"/>
        <v>3668.9558838583689</v>
      </c>
      <c r="D114" s="2">
        <f t="shared" si="41"/>
        <v>577.50991857912391</v>
      </c>
      <c r="E114" s="2">
        <f t="shared" si="42"/>
        <v>4246.465802437493</v>
      </c>
      <c r="F114" s="2">
        <f t="shared" si="43"/>
        <v>82957.531903010211</v>
      </c>
      <c r="G114" s="6"/>
      <c r="H114" s="6"/>
      <c r="I114" s="6"/>
      <c r="J114" s="6"/>
    </row>
    <row r="115" spans="1:10" ht="12.75" x14ac:dyDescent="0.2">
      <c r="A115" s="12"/>
      <c r="B115" s="2">
        <f t="shared" si="44"/>
        <v>82957.531903010211</v>
      </c>
      <c r="C115" s="2">
        <f t="shared" si="40"/>
        <v>3693.415589750758</v>
      </c>
      <c r="D115" s="2">
        <f t="shared" si="41"/>
        <v>553.05021268673477</v>
      </c>
      <c r="E115" s="2">
        <f t="shared" si="42"/>
        <v>4246.465802437493</v>
      </c>
      <c r="F115" s="2">
        <f t="shared" si="43"/>
        <v>79264.116313259452</v>
      </c>
      <c r="G115" s="6"/>
      <c r="H115" s="6"/>
      <c r="I115" s="6"/>
      <c r="J115" s="6"/>
    </row>
    <row r="116" spans="1:10" ht="12.75" x14ac:dyDescent="0.2">
      <c r="A116" s="12"/>
      <c r="B116" s="2">
        <f t="shared" si="44"/>
        <v>79264.116313259452</v>
      </c>
      <c r="C116" s="2">
        <f t="shared" si="40"/>
        <v>3718.0383603490968</v>
      </c>
      <c r="D116" s="2">
        <f t="shared" si="41"/>
        <v>528.42744208839633</v>
      </c>
      <c r="E116" s="2">
        <f t="shared" si="42"/>
        <v>4246.465802437493</v>
      </c>
      <c r="F116" s="2">
        <f t="shared" si="43"/>
        <v>75546.07795291036</v>
      </c>
      <c r="G116" s="6"/>
      <c r="H116" s="6"/>
      <c r="I116" s="6"/>
      <c r="J116" s="6"/>
    </row>
    <row r="117" spans="1:10" ht="12.75" x14ac:dyDescent="0.2">
      <c r="A117" s="12"/>
      <c r="B117" s="2">
        <f t="shared" si="44"/>
        <v>75546.07795291036</v>
      </c>
      <c r="C117" s="2">
        <f t="shared" si="40"/>
        <v>3742.8252827514239</v>
      </c>
      <c r="D117" s="2">
        <f t="shared" si="41"/>
        <v>503.64051968606913</v>
      </c>
      <c r="E117" s="2">
        <f t="shared" si="42"/>
        <v>4246.465802437493</v>
      </c>
      <c r="F117" s="2">
        <f t="shared" si="43"/>
        <v>71803.252670158938</v>
      </c>
      <c r="G117" s="6"/>
      <c r="H117" s="6"/>
      <c r="I117" s="6"/>
      <c r="J117" s="6"/>
    </row>
    <row r="118" spans="1:10" ht="12.75" x14ac:dyDescent="0.2">
      <c r="A118" s="12"/>
      <c r="B118" s="2">
        <f t="shared" si="44"/>
        <v>71803.252670158938</v>
      </c>
      <c r="C118" s="2">
        <f t="shared" si="40"/>
        <v>3767.7774513031</v>
      </c>
      <c r="D118" s="2">
        <f t="shared" si="41"/>
        <v>478.68835113439297</v>
      </c>
      <c r="E118" s="2">
        <f t="shared" si="42"/>
        <v>4246.465802437493</v>
      </c>
      <c r="F118" s="2">
        <f t="shared" si="43"/>
        <v>68035.475218855834</v>
      </c>
      <c r="G118" s="6"/>
      <c r="H118" s="6"/>
      <c r="I118" s="6"/>
      <c r="J118" s="6"/>
    </row>
    <row r="119" spans="1:10" ht="12.75" x14ac:dyDescent="0.2">
      <c r="A119" s="12"/>
      <c r="B119" s="2">
        <f t="shared" si="44"/>
        <v>68035.475218855834</v>
      </c>
      <c r="C119" s="2">
        <f t="shared" si="40"/>
        <v>3792.8959676451209</v>
      </c>
      <c r="D119" s="2">
        <f t="shared" si="41"/>
        <v>453.56983479237226</v>
      </c>
      <c r="E119" s="2">
        <f t="shared" si="42"/>
        <v>4246.465802437493</v>
      </c>
      <c r="F119" s="2">
        <f t="shared" si="43"/>
        <v>64242.579251210715</v>
      </c>
      <c r="G119" s="6"/>
      <c r="H119" s="6"/>
      <c r="I119" s="6"/>
      <c r="J119" s="6"/>
    </row>
    <row r="120" spans="1:10" ht="12.75" x14ac:dyDescent="0.2">
      <c r="A120" s="12"/>
      <c r="B120" s="2">
        <f t="shared" si="44"/>
        <v>64242.579251210715</v>
      </c>
      <c r="C120" s="2">
        <f t="shared" si="40"/>
        <v>3818.1819407627549</v>
      </c>
      <c r="D120" s="2">
        <f t="shared" si="41"/>
        <v>428.28386167473815</v>
      </c>
      <c r="E120" s="2">
        <f t="shared" si="42"/>
        <v>4246.465802437493</v>
      </c>
      <c r="F120" s="2">
        <f t="shared" si="43"/>
        <v>60424.397310447959</v>
      </c>
      <c r="G120" s="6"/>
      <c r="H120" s="6"/>
      <c r="I120" s="6"/>
      <c r="J120" s="6"/>
    </row>
    <row r="121" spans="1:10" ht="12.75" x14ac:dyDescent="0.2">
      <c r="A121" s="12"/>
      <c r="B121" s="2">
        <f t="shared" si="44"/>
        <v>60424.397310447959</v>
      </c>
      <c r="C121" s="2">
        <f t="shared" si="40"/>
        <v>3843.6364870345064</v>
      </c>
      <c r="D121" s="2">
        <f t="shared" si="41"/>
        <v>402.82931540298642</v>
      </c>
      <c r="E121" s="2">
        <f t="shared" si="42"/>
        <v>4246.465802437493</v>
      </c>
      <c r="F121" s="2">
        <f t="shared" si="43"/>
        <v>56580.760823413453</v>
      </c>
      <c r="G121" s="6"/>
      <c r="H121" s="6"/>
      <c r="I121" s="6"/>
      <c r="J121" s="6"/>
    </row>
    <row r="122" spans="1:10" ht="12.75" x14ac:dyDescent="0.2">
      <c r="A122" s="12"/>
      <c r="B122" s="2">
        <f t="shared" si="44"/>
        <v>56580.760823413453</v>
      </c>
      <c r="C122" s="2">
        <f t="shared" si="40"/>
        <v>3869.2607302814031</v>
      </c>
      <c r="D122" s="2">
        <f t="shared" si="41"/>
        <v>377.20507215608973</v>
      </c>
      <c r="E122" s="2">
        <f t="shared" si="42"/>
        <v>4246.465802437493</v>
      </c>
      <c r="F122" s="2">
        <f t="shared" si="43"/>
        <v>52711.500093132054</v>
      </c>
      <c r="G122" s="6"/>
      <c r="H122" s="6"/>
      <c r="I122" s="6"/>
      <c r="J122" s="6"/>
    </row>
    <row r="123" spans="1:10" ht="12.75" x14ac:dyDescent="0.2">
      <c r="A123" s="12" t="s">
        <v>118</v>
      </c>
      <c r="B123" s="2">
        <f t="shared" si="44"/>
        <v>52711.500093132054</v>
      </c>
      <c r="C123" s="2">
        <f t="shared" si="40"/>
        <v>3895.0558018166125</v>
      </c>
      <c r="D123" s="2">
        <f t="shared" si="41"/>
        <v>351.4100006208804</v>
      </c>
      <c r="E123" s="2">
        <f t="shared" si="42"/>
        <v>4246.465802437493</v>
      </c>
      <c r="F123" s="48">
        <f t="shared" si="43"/>
        <v>48816.444291315442</v>
      </c>
      <c r="G123" s="6"/>
      <c r="H123" s="6"/>
      <c r="I123" s="6"/>
      <c r="J123" s="6"/>
    </row>
    <row r="124" spans="1:10" ht="12.75" x14ac:dyDescent="0.2">
      <c r="A124" s="9" t="s">
        <v>102</v>
      </c>
      <c r="B124" s="4"/>
      <c r="C124" s="48"/>
      <c r="D124" s="48">
        <f>SUM(D112:D123)</f>
        <v>5882.3666171753293</v>
      </c>
      <c r="E124" s="6"/>
      <c r="F124" s="6"/>
      <c r="G124" s="6"/>
      <c r="H124" s="6"/>
      <c r="I124" s="6"/>
      <c r="J124" s="6"/>
    </row>
    <row r="125" spans="1:10" ht="12.75" x14ac:dyDescent="0.2">
      <c r="A125" s="12" t="s">
        <v>119</v>
      </c>
      <c r="B125" s="2">
        <f>F123</f>
        <v>48816.444291315442</v>
      </c>
      <c r="C125" s="2">
        <f t="shared" ref="C125:C136" si="45">+E125-D125</f>
        <v>3921.02284049539</v>
      </c>
      <c r="D125" s="2">
        <f t="shared" ref="D125:D136" si="46">+B125*$J$3</f>
        <v>325.44296194210295</v>
      </c>
      <c r="E125" s="2">
        <f t="shared" ref="E125:E136" si="47">$J$6</f>
        <v>4246.465802437493</v>
      </c>
      <c r="F125" s="2">
        <f t="shared" ref="F125:F136" si="48">+B125-C125</f>
        <v>44895.421450820053</v>
      </c>
      <c r="G125" s="6"/>
      <c r="H125" s="6"/>
      <c r="I125" s="6"/>
      <c r="J125" s="6"/>
    </row>
    <row r="126" spans="1:10" ht="12.75" x14ac:dyDescent="0.2">
      <c r="A126" s="12"/>
      <c r="B126" s="2">
        <f t="shared" ref="B126:B136" si="49">+F125</f>
        <v>44895.421450820053</v>
      </c>
      <c r="C126" s="2">
        <f t="shared" si="45"/>
        <v>3947.1629927653594</v>
      </c>
      <c r="D126" s="2">
        <f t="shared" si="46"/>
        <v>299.30280967213372</v>
      </c>
      <c r="E126" s="2">
        <f t="shared" si="47"/>
        <v>4246.465802437493</v>
      </c>
      <c r="F126" s="2">
        <f t="shared" si="48"/>
        <v>40948.258458054697</v>
      </c>
      <c r="G126" s="6"/>
      <c r="H126" s="6"/>
      <c r="I126" s="6"/>
      <c r="J126" s="6"/>
    </row>
    <row r="127" spans="1:10" ht="12.75" x14ac:dyDescent="0.2">
      <c r="A127" s="12"/>
      <c r="B127" s="2">
        <f t="shared" si="49"/>
        <v>40948.258458054697</v>
      </c>
      <c r="C127" s="2">
        <f t="shared" si="45"/>
        <v>3973.4774127171286</v>
      </c>
      <c r="D127" s="2">
        <f t="shared" si="46"/>
        <v>272.98838972036469</v>
      </c>
      <c r="E127" s="2">
        <f t="shared" si="47"/>
        <v>4246.465802437493</v>
      </c>
      <c r="F127" s="2">
        <f t="shared" si="48"/>
        <v>36974.781045337571</v>
      </c>
      <c r="G127" s="6"/>
      <c r="H127" s="6"/>
      <c r="I127" s="6"/>
      <c r="J127" s="6"/>
    </row>
    <row r="128" spans="1:10" ht="12.75" x14ac:dyDescent="0.2">
      <c r="A128" s="12"/>
      <c r="B128" s="2">
        <f t="shared" si="49"/>
        <v>36974.781045337571</v>
      </c>
      <c r="C128" s="2">
        <f t="shared" si="45"/>
        <v>3999.9672621352424</v>
      </c>
      <c r="D128" s="2">
        <f t="shared" si="46"/>
        <v>246.49854030225049</v>
      </c>
      <c r="E128" s="2">
        <f t="shared" si="47"/>
        <v>4246.465802437493</v>
      </c>
      <c r="F128" s="2">
        <f t="shared" si="48"/>
        <v>32974.813783202328</v>
      </c>
      <c r="G128" s="6"/>
      <c r="H128" s="6"/>
      <c r="I128" s="6"/>
      <c r="J128" s="6"/>
    </row>
    <row r="129" spans="1:10" ht="12.75" x14ac:dyDescent="0.2">
      <c r="A129" s="12"/>
      <c r="B129" s="2">
        <f t="shared" si="49"/>
        <v>32974.813783202328</v>
      </c>
      <c r="C129" s="2">
        <f t="shared" si="45"/>
        <v>4026.6337105494777</v>
      </c>
      <c r="D129" s="2">
        <f t="shared" si="46"/>
        <v>219.83209188801553</v>
      </c>
      <c r="E129" s="2">
        <f t="shared" si="47"/>
        <v>4246.465802437493</v>
      </c>
      <c r="F129" s="2">
        <f t="shared" si="48"/>
        <v>28948.180072652849</v>
      </c>
      <c r="G129" s="6"/>
      <c r="H129" s="6"/>
      <c r="I129" s="6"/>
      <c r="J129" s="6"/>
    </row>
    <row r="130" spans="1:10" ht="12.75" x14ac:dyDescent="0.2">
      <c r="A130" s="12"/>
      <c r="B130" s="2">
        <f t="shared" si="49"/>
        <v>28948.180072652849</v>
      </c>
      <c r="C130" s="2">
        <f t="shared" si="45"/>
        <v>4053.4779352864739</v>
      </c>
      <c r="D130" s="2">
        <f t="shared" si="46"/>
        <v>192.987867151019</v>
      </c>
      <c r="E130" s="2">
        <f t="shared" si="47"/>
        <v>4246.465802437493</v>
      </c>
      <c r="F130" s="2">
        <f t="shared" si="48"/>
        <v>24894.702137366374</v>
      </c>
      <c r="G130" s="6"/>
      <c r="H130" s="6"/>
      <c r="I130" s="6"/>
      <c r="J130" s="6"/>
    </row>
    <row r="131" spans="1:10" ht="12.75" x14ac:dyDescent="0.2">
      <c r="A131" s="12"/>
      <c r="B131" s="2">
        <f t="shared" si="49"/>
        <v>24894.702137366374</v>
      </c>
      <c r="C131" s="2">
        <f t="shared" si="45"/>
        <v>4080.5011215217173</v>
      </c>
      <c r="D131" s="2">
        <f t="shared" si="46"/>
        <v>165.96468091577583</v>
      </c>
      <c r="E131" s="2">
        <f t="shared" si="47"/>
        <v>4246.465802437493</v>
      </c>
      <c r="F131" s="2">
        <f t="shared" si="48"/>
        <v>20814.201015844657</v>
      </c>
      <c r="G131" s="6"/>
      <c r="H131" s="6"/>
      <c r="I131" s="6"/>
      <c r="J131" s="6"/>
    </row>
    <row r="132" spans="1:10" ht="12.75" x14ac:dyDescent="0.2">
      <c r="A132" s="12"/>
      <c r="B132" s="2">
        <f t="shared" si="49"/>
        <v>20814.201015844657</v>
      </c>
      <c r="C132" s="2">
        <f t="shared" si="45"/>
        <v>4107.7044623318616</v>
      </c>
      <c r="D132" s="2">
        <f t="shared" si="46"/>
        <v>138.76134010563106</v>
      </c>
      <c r="E132" s="2">
        <f t="shared" si="47"/>
        <v>4246.465802437493</v>
      </c>
      <c r="F132" s="2">
        <f t="shared" si="48"/>
        <v>16706.496553512796</v>
      </c>
      <c r="G132" s="6"/>
      <c r="H132" s="6"/>
      <c r="I132" s="6"/>
      <c r="J132" s="6"/>
    </row>
    <row r="133" spans="1:10" ht="12.75" x14ac:dyDescent="0.2">
      <c r="A133" s="12"/>
      <c r="B133" s="2">
        <f t="shared" si="49"/>
        <v>16706.496553512796</v>
      </c>
      <c r="C133" s="2">
        <f t="shared" si="45"/>
        <v>4135.089158747408</v>
      </c>
      <c r="D133" s="2">
        <f t="shared" si="46"/>
        <v>111.37664369008532</v>
      </c>
      <c r="E133" s="2">
        <f t="shared" si="47"/>
        <v>4246.465802437493</v>
      </c>
      <c r="F133" s="2">
        <f t="shared" si="48"/>
        <v>12571.407394765389</v>
      </c>
      <c r="G133" s="6"/>
      <c r="H133" s="6"/>
      <c r="I133" s="6"/>
      <c r="J133" s="6"/>
    </row>
    <row r="134" spans="1:10" ht="12.75" x14ac:dyDescent="0.2">
      <c r="A134" s="12"/>
      <c r="B134" s="2">
        <f t="shared" si="49"/>
        <v>12571.407394765389</v>
      </c>
      <c r="C134" s="2">
        <f t="shared" si="45"/>
        <v>4162.656419805724</v>
      </c>
      <c r="D134" s="2">
        <f t="shared" si="46"/>
        <v>83.809382631769267</v>
      </c>
      <c r="E134" s="2">
        <f t="shared" si="47"/>
        <v>4246.465802437493</v>
      </c>
      <c r="F134" s="2">
        <f t="shared" si="48"/>
        <v>8408.7509749596647</v>
      </c>
      <c r="G134" s="6"/>
      <c r="H134" s="6"/>
      <c r="I134" s="6"/>
      <c r="J134" s="6"/>
    </row>
    <row r="135" spans="1:10" ht="12.75" x14ac:dyDescent="0.2">
      <c r="A135" s="12"/>
      <c r="B135" s="2">
        <f t="shared" si="49"/>
        <v>8408.7509749596647</v>
      </c>
      <c r="C135" s="2">
        <f t="shared" si="45"/>
        <v>4190.4074626044285</v>
      </c>
      <c r="D135" s="2">
        <f t="shared" si="46"/>
        <v>56.058339833064437</v>
      </c>
      <c r="E135" s="2">
        <f t="shared" si="47"/>
        <v>4246.465802437493</v>
      </c>
      <c r="F135" s="2">
        <f t="shared" si="48"/>
        <v>4218.3435123552363</v>
      </c>
      <c r="G135" s="6"/>
      <c r="H135" s="6"/>
      <c r="I135" s="6"/>
      <c r="J135" s="6"/>
    </row>
    <row r="136" spans="1:10" ht="12.75" x14ac:dyDescent="0.2">
      <c r="A136" s="12" t="s">
        <v>120</v>
      </c>
      <c r="B136" s="2">
        <f t="shared" si="49"/>
        <v>4218.3435123552363</v>
      </c>
      <c r="C136" s="2">
        <f t="shared" si="45"/>
        <v>4218.3435123551244</v>
      </c>
      <c r="D136" s="2">
        <f t="shared" si="46"/>
        <v>28.122290082368245</v>
      </c>
      <c r="E136" s="2">
        <f t="shared" si="47"/>
        <v>4246.465802437493</v>
      </c>
      <c r="F136" s="48">
        <f t="shared" si="48"/>
        <v>1.1186784831807017E-10</v>
      </c>
      <c r="G136" s="6"/>
      <c r="H136" s="6"/>
      <c r="I136" s="6"/>
      <c r="J136" s="6"/>
    </row>
    <row r="137" spans="1:10" ht="12.75" x14ac:dyDescent="0.2">
      <c r="A137" s="9" t="s">
        <v>102</v>
      </c>
      <c r="B137" s="4"/>
      <c r="C137" s="48"/>
      <c r="D137" s="48">
        <f>SUM(D125:D136)</f>
        <v>2141.1453379345803</v>
      </c>
      <c r="E137" s="6"/>
      <c r="F137" s="6"/>
      <c r="G137" s="6"/>
      <c r="H137" s="6"/>
      <c r="I137" s="6"/>
      <c r="J137" s="6"/>
    </row>
    <row r="138" spans="1:10" ht="12.75" x14ac:dyDescent="0.2">
      <c r="A138" s="12" t="s">
        <v>121</v>
      </c>
      <c r="B138" s="2">
        <f>F136</f>
        <v>1.1186784831807017E-10</v>
      </c>
      <c r="C138" s="2">
        <f t="shared" ref="C138:C149" si="50">+E138-D138</f>
        <v>4246.4658024374921</v>
      </c>
      <c r="D138" s="2">
        <f t="shared" ref="D138:D149" si="51">+B138*$J$3</f>
        <v>7.4578565545380121E-13</v>
      </c>
      <c r="E138" s="2">
        <f t="shared" ref="E138:E149" si="52">$J$6</f>
        <v>4246.465802437493</v>
      </c>
      <c r="F138" s="2">
        <f t="shared" ref="F138:F149" si="53">+B138-C138</f>
        <v>-4246.4658024373803</v>
      </c>
      <c r="G138" s="6"/>
      <c r="H138" s="6"/>
      <c r="I138" s="6"/>
      <c r="J138" s="6"/>
    </row>
    <row r="139" spans="1:10" ht="12.75" x14ac:dyDescent="0.2">
      <c r="A139" s="12"/>
      <c r="B139" s="2">
        <f t="shared" ref="B139:B149" si="54">+F138</f>
        <v>-4246.4658024373803</v>
      </c>
      <c r="C139" s="2">
        <f t="shared" si="50"/>
        <v>4274.7755744537426</v>
      </c>
      <c r="D139" s="2">
        <f t="shared" si="51"/>
        <v>-28.309772016249205</v>
      </c>
      <c r="E139" s="2">
        <f t="shared" si="52"/>
        <v>4246.465802437493</v>
      </c>
      <c r="F139" s="2">
        <f t="shared" si="53"/>
        <v>-8521.2413768911229</v>
      </c>
      <c r="G139" s="6"/>
      <c r="H139" s="6"/>
      <c r="I139" s="6"/>
      <c r="J139" s="6"/>
    </row>
    <row r="140" spans="1:10" ht="12.75" x14ac:dyDescent="0.2">
      <c r="A140" s="12"/>
      <c r="B140" s="2">
        <f t="shared" si="54"/>
        <v>-8521.2413768911229</v>
      </c>
      <c r="C140" s="2">
        <f t="shared" si="50"/>
        <v>4303.2740782834335</v>
      </c>
      <c r="D140" s="2">
        <f t="shared" si="51"/>
        <v>-56.80827584594082</v>
      </c>
      <c r="E140" s="2">
        <f t="shared" si="52"/>
        <v>4246.465802437493</v>
      </c>
      <c r="F140" s="2">
        <f t="shared" si="53"/>
        <v>-12824.515455174556</v>
      </c>
      <c r="G140" s="6"/>
      <c r="H140" s="6"/>
      <c r="I140" s="6"/>
      <c r="J140" s="6"/>
    </row>
    <row r="141" spans="1:10" ht="12.75" x14ac:dyDescent="0.2">
      <c r="A141" s="12"/>
      <c r="B141" s="2">
        <f t="shared" si="54"/>
        <v>-12824.515455174556</v>
      </c>
      <c r="C141" s="2">
        <f t="shared" si="50"/>
        <v>4331.9625721386565</v>
      </c>
      <c r="D141" s="2">
        <f t="shared" si="51"/>
        <v>-85.496769701163714</v>
      </c>
      <c r="E141" s="2">
        <f t="shared" si="52"/>
        <v>4246.465802437493</v>
      </c>
      <c r="F141" s="2">
        <f t="shared" si="53"/>
        <v>-17156.478027313213</v>
      </c>
      <c r="G141" s="6"/>
      <c r="H141" s="6"/>
      <c r="I141" s="6"/>
      <c r="J141" s="6"/>
    </row>
    <row r="142" spans="1:10" ht="12.75" x14ac:dyDescent="0.2">
      <c r="A142" s="12"/>
      <c r="B142" s="2">
        <f t="shared" si="54"/>
        <v>-17156.478027313213</v>
      </c>
      <c r="C142" s="2">
        <f t="shared" si="50"/>
        <v>4360.842322619581</v>
      </c>
      <c r="D142" s="2">
        <f t="shared" si="51"/>
        <v>-114.37652018208809</v>
      </c>
      <c r="E142" s="2">
        <f t="shared" si="52"/>
        <v>4246.465802437493</v>
      </c>
      <c r="F142" s="2">
        <f t="shared" si="53"/>
        <v>-21517.320349932794</v>
      </c>
      <c r="G142" s="6"/>
      <c r="H142" s="6"/>
      <c r="I142" s="6"/>
      <c r="J142" s="6"/>
    </row>
    <row r="143" spans="1:10" ht="12.75" x14ac:dyDescent="0.2">
      <c r="A143" s="12"/>
      <c r="B143" s="2">
        <f t="shared" si="54"/>
        <v>-21517.320349932794</v>
      </c>
      <c r="C143" s="2">
        <f t="shared" si="50"/>
        <v>4389.914604770378</v>
      </c>
      <c r="D143" s="2">
        <f t="shared" si="51"/>
        <v>-143.44880233288529</v>
      </c>
      <c r="E143" s="2">
        <f t="shared" si="52"/>
        <v>4246.465802437493</v>
      </c>
      <c r="F143" s="2">
        <f t="shared" si="53"/>
        <v>-25907.23495470317</v>
      </c>
      <c r="G143" s="6"/>
      <c r="H143" s="6"/>
      <c r="I143" s="6"/>
      <c r="J143" s="6"/>
    </row>
    <row r="144" spans="1:10" ht="12.75" x14ac:dyDescent="0.2">
      <c r="A144" s="12"/>
      <c r="B144" s="2">
        <f t="shared" si="54"/>
        <v>-25907.23495470317</v>
      </c>
      <c r="C144" s="2">
        <f t="shared" si="50"/>
        <v>4419.1807021355144</v>
      </c>
      <c r="D144" s="2">
        <f t="shared" si="51"/>
        <v>-172.71489969802116</v>
      </c>
      <c r="E144" s="2">
        <f t="shared" si="52"/>
        <v>4246.465802437493</v>
      </c>
      <c r="F144" s="2">
        <f t="shared" si="53"/>
        <v>-30326.415656838682</v>
      </c>
      <c r="G144" s="6"/>
      <c r="H144" s="6"/>
      <c r="I144" s="6"/>
      <c r="J144" s="6"/>
    </row>
    <row r="145" spans="1:10" ht="12.75" x14ac:dyDescent="0.2">
      <c r="A145" s="12"/>
      <c r="B145" s="2">
        <f t="shared" si="54"/>
        <v>-30326.415656838682</v>
      </c>
      <c r="C145" s="2">
        <f t="shared" si="50"/>
        <v>4448.6419068164178</v>
      </c>
      <c r="D145" s="2">
        <f t="shared" si="51"/>
        <v>-202.17610437892455</v>
      </c>
      <c r="E145" s="2">
        <f t="shared" si="52"/>
        <v>4246.465802437493</v>
      </c>
      <c r="F145" s="2">
        <f t="shared" si="53"/>
        <v>-34775.0575636551</v>
      </c>
      <c r="G145" s="6"/>
      <c r="H145" s="6"/>
      <c r="I145" s="6"/>
      <c r="J145" s="6"/>
    </row>
    <row r="146" spans="1:10" ht="12.75" x14ac:dyDescent="0.2">
      <c r="A146" s="12"/>
      <c r="B146" s="2">
        <f t="shared" si="54"/>
        <v>-34775.0575636551</v>
      </c>
      <c r="C146" s="2">
        <f t="shared" si="50"/>
        <v>4478.2995195285266</v>
      </c>
      <c r="D146" s="2">
        <f t="shared" si="51"/>
        <v>-231.833717091034</v>
      </c>
      <c r="E146" s="2">
        <f t="shared" si="52"/>
        <v>4246.465802437493</v>
      </c>
      <c r="F146" s="2">
        <f t="shared" si="53"/>
        <v>-39253.357083183626</v>
      </c>
      <c r="G146" s="6"/>
      <c r="H146" s="6"/>
      <c r="I146" s="6"/>
      <c r="J146" s="6"/>
    </row>
    <row r="147" spans="1:10" ht="12.75" x14ac:dyDescent="0.2">
      <c r="A147" s="12"/>
      <c r="B147" s="2">
        <f t="shared" si="54"/>
        <v>-39253.357083183626</v>
      </c>
      <c r="C147" s="2">
        <f t="shared" si="50"/>
        <v>4508.1548496587175</v>
      </c>
      <c r="D147" s="2">
        <f t="shared" si="51"/>
        <v>-261.6890472212242</v>
      </c>
      <c r="E147" s="2">
        <f t="shared" si="52"/>
        <v>4246.465802437493</v>
      </c>
      <c r="F147" s="2">
        <f t="shared" si="53"/>
        <v>-43761.511932842346</v>
      </c>
      <c r="G147" s="6"/>
      <c r="H147" s="6"/>
      <c r="I147" s="6"/>
      <c r="J147" s="6"/>
    </row>
    <row r="148" spans="1:10" ht="12.75" x14ac:dyDescent="0.2">
      <c r="A148" s="12"/>
      <c r="B148" s="2">
        <f t="shared" si="54"/>
        <v>-43761.511932842346</v>
      </c>
      <c r="C148" s="2">
        <f t="shared" si="50"/>
        <v>4538.2092153231088</v>
      </c>
      <c r="D148" s="2">
        <f t="shared" si="51"/>
        <v>-291.74341288561567</v>
      </c>
      <c r="E148" s="2">
        <f t="shared" si="52"/>
        <v>4246.465802437493</v>
      </c>
      <c r="F148" s="2">
        <f t="shared" si="53"/>
        <v>-48299.721148165452</v>
      </c>
      <c r="G148" s="6"/>
      <c r="H148" s="6"/>
      <c r="I148" s="6"/>
      <c r="J148" s="6"/>
    </row>
    <row r="149" spans="1:10" ht="12.75" x14ac:dyDescent="0.2">
      <c r="A149" s="12" t="s">
        <v>122</v>
      </c>
      <c r="B149" s="2">
        <f t="shared" si="54"/>
        <v>-48299.721148165452</v>
      </c>
      <c r="C149" s="2">
        <f t="shared" si="50"/>
        <v>4568.4639434252631</v>
      </c>
      <c r="D149" s="2">
        <f t="shared" si="51"/>
        <v>-321.99814098776972</v>
      </c>
      <c r="E149" s="2">
        <f t="shared" si="52"/>
        <v>4246.465802437493</v>
      </c>
      <c r="F149" s="48">
        <f t="shared" si="53"/>
        <v>-52868.185091590713</v>
      </c>
      <c r="G149" s="6"/>
      <c r="H149" s="6"/>
      <c r="I149" s="6"/>
      <c r="J149" s="6"/>
    </row>
    <row r="150" spans="1:10" ht="12.75" x14ac:dyDescent="0.2">
      <c r="A150" s="9" t="s">
        <v>102</v>
      </c>
      <c r="B150" s="9"/>
      <c r="C150" s="48"/>
      <c r="D150" s="48">
        <f>SUM(D138:D149)</f>
        <v>-1910.5954623409157</v>
      </c>
      <c r="E150" s="2"/>
      <c r="F150" s="2"/>
      <c r="G150" s="6"/>
      <c r="H150" s="6"/>
      <c r="I150" s="6"/>
      <c r="J150" s="6"/>
    </row>
    <row r="151" spans="1:10" ht="12.75" x14ac:dyDescent="0.2">
      <c r="A151" s="12"/>
      <c r="B151" s="12"/>
      <c r="C151" s="2"/>
      <c r="D151" s="2"/>
      <c r="E151" s="2"/>
      <c r="F151" s="2"/>
      <c r="G151" s="6"/>
      <c r="H151" s="6"/>
      <c r="I151" s="6"/>
      <c r="J151" s="6"/>
    </row>
    <row r="152" spans="1:10" ht="12.75" x14ac:dyDescent="0.2">
      <c r="A152" s="12" t="s">
        <v>123</v>
      </c>
      <c r="B152" s="2">
        <f>F149</f>
        <v>-52868.185091590713</v>
      </c>
      <c r="C152" s="2">
        <f t="shared" ref="C152:C163" si="55">+E152-D152</f>
        <v>4598.9203697147641</v>
      </c>
      <c r="D152" s="2">
        <f t="shared" ref="D152:D163" si="56">+B152*$J$3</f>
        <v>-352.45456727727145</v>
      </c>
      <c r="E152" s="2">
        <f t="shared" ref="E152:E163" si="57">$J$6</f>
        <v>4246.465802437493</v>
      </c>
      <c r="F152" s="2">
        <f t="shared" ref="F152:F163" si="58">+B152-C152</f>
        <v>-57467.105461305473</v>
      </c>
      <c r="G152" s="6"/>
      <c r="H152" s="6"/>
      <c r="I152" s="6"/>
      <c r="J152" s="6"/>
    </row>
    <row r="153" spans="1:10" ht="12.75" x14ac:dyDescent="0.2">
      <c r="A153" s="12"/>
      <c r="B153" s="2">
        <f t="shared" ref="B153:B163" si="59">+F152</f>
        <v>-57467.105461305473</v>
      </c>
      <c r="C153" s="2">
        <f t="shared" si="55"/>
        <v>4629.5798388461963</v>
      </c>
      <c r="D153" s="2">
        <f t="shared" si="56"/>
        <v>-383.11403640870316</v>
      </c>
      <c r="E153" s="2">
        <f t="shared" si="57"/>
        <v>4246.465802437493</v>
      </c>
      <c r="F153" s="2">
        <f t="shared" si="58"/>
        <v>-62096.685300151672</v>
      </c>
      <c r="G153" s="6"/>
      <c r="H153" s="6"/>
      <c r="I153" s="6"/>
      <c r="J153" s="6"/>
    </row>
    <row r="154" spans="1:10" ht="12.75" x14ac:dyDescent="0.2">
      <c r="A154" s="12"/>
      <c r="B154" s="2">
        <f t="shared" si="59"/>
        <v>-62096.685300151672</v>
      </c>
      <c r="C154" s="2">
        <f t="shared" si="55"/>
        <v>4660.443704438504</v>
      </c>
      <c r="D154" s="2">
        <f t="shared" si="56"/>
        <v>-413.97790200101116</v>
      </c>
      <c r="E154" s="2">
        <f t="shared" si="57"/>
        <v>4246.465802437493</v>
      </c>
      <c r="F154" s="2">
        <f t="shared" si="58"/>
        <v>-66757.12900459017</v>
      </c>
      <c r="G154" s="6"/>
      <c r="H154" s="6"/>
      <c r="I154" s="6"/>
      <c r="J154" s="6"/>
    </row>
    <row r="155" spans="1:10" ht="12.75" x14ac:dyDescent="0.2">
      <c r="A155" s="12"/>
      <c r="B155" s="2">
        <f t="shared" si="59"/>
        <v>-66757.12900459017</v>
      </c>
      <c r="C155" s="2">
        <f t="shared" si="55"/>
        <v>4691.5133291347611</v>
      </c>
      <c r="D155" s="2">
        <f t="shared" si="56"/>
        <v>-445.04752669726781</v>
      </c>
      <c r="E155" s="2">
        <f t="shared" si="57"/>
        <v>4246.465802437493</v>
      </c>
      <c r="F155" s="2">
        <f t="shared" si="58"/>
        <v>-71448.642333724929</v>
      </c>
      <c r="G155" s="6"/>
      <c r="H155" s="6"/>
      <c r="I155" s="6"/>
      <c r="J155" s="6"/>
    </row>
    <row r="156" spans="1:10" ht="12.75" x14ac:dyDescent="0.2">
      <c r="A156" s="12"/>
      <c r="B156" s="2">
        <f t="shared" si="59"/>
        <v>-71448.642333724929</v>
      </c>
      <c r="C156" s="2">
        <f t="shared" si="55"/>
        <v>4722.7900846623261</v>
      </c>
      <c r="D156" s="2">
        <f t="shared" si="56"/>
        <v>-476.32428222483287</v>
      </c>
      <c r="E156" s="2">
        <f t="shared" si="57"/>
        <v>4246.465802437493</v>
      </c>
      <c r="F156" s="2">
        <f t="shared" si="58"/>
        <v>-76171.432418387252</v>
      </c>
      <c r="G156" s="6"/>
      <c r="H156" s="6"/>
      <c r="I156" s="6"/>
      <c r="J156" s="6"/>
    </row>
    <row r="157" spans="1:10" ht="12.75" x14ac:dyDescent="0.2">
      <c r="A157" s="12"/>
      <c r="B157" s="2">
        <f t="shared" si="59"/>
        <v>-76171.432418387252</v>
      </c>
      <c r="C157" s="2">
        <f t="shared" si="55"/>
        <v>4754.2753518934078</v>
      </c>
      <c r="D157" s="2">
        <f t="shared" si="56"/>
        <v>-507.80954945591503</v>
      </c>
      <c r="E157" s="2">
        <f t="shared" si="57"/>
        <v>4246.465802437493</v>
      </c>
      <c r="F157" s="2">
        <f t="shared" si="58"/>
        <v>-80925.707770280656</v>
      </c>
      <c r="G157" s="6"/>
      <c r="H157" s="6"/>
      <c r="I157" s="6"/>
      <c r="J157" s="6"/>
    </row>
    <row r="158" spans="1:10" ht="12.75" x14ac:dyDescent="0.2">
      <c r="A158" s="12"/>
      <c r="B158" s="2">
        <f t="shared" si="59"/>
        <v>-80925.707770280656</v>
      </c>
      <c r="C158" s="2">
        <f t="shared" si="55"/>
        <v>4785.9705209060303</v>
      </c>
      <c r="D158" s="2">
        <f t="shared" si="56"/>
        <v>-539.5047184685377</v>
      </c>
      <c r="E158" s="2">
        <f t="shared" si="57"/>
        <v>4246.465802437493</v>
      </c>
      <c r="F158" s="2">
        <f t="shared" si="58"/>
        <v>-85711.67829118669</v>
      </c>
      <c r="G158" s="6"/>
      <c r="H158" s="6"/>
      <c r="I158" s="6"/>
      <c r="J158" s="6"/>
    </row>
    <row r="159" spans="1:10" ht="12.75" x14ac:dyDescent="0.2">
      <c r="A159" s="12"/>
      <c r="B159" s="2">
        <f t="shared" si="59"/>
        <v>-85711.67829118669</v>
      </c>
      <c r="C159" s="2">
        <f t="shared" si="55"/>
        <v>4817.8769910454048</v>
      </c>
      <c r="D159" s="2">
        <f t="shared" si="56"/>
        <v>-571.4111886079113</v>
      </c>
      <c r="E159" s="2">
        <f t="shared" si="57"/>
        <v>4246.465802437493</v>
      </c>
      <c r="F159" s="2">
        <f t="shared" si="58"/>
        <v>-90529.55528223209</v>
      </c>
      <c r="G159" s="6"/>
      <c r="H159" s="6"/>
      <c r="I159" s="6"/>
      <c r="J159" s="6"/>
    </row>
    <row r="160" spans="1:10" ht="12.75" x14ac:dyDescent="0.2">
      <c r="A160" s="12"/>
      <c r="B160" s="2">
        <f t="shared" si="59"/>
        <v>-90529.55528223209</v>
      </c>
      <c r="C160" s="2">
        <f t="shared" si="55"/>
        <v>4849.9961709857071</v>
      </c>
      <c r="D160" s="2">
        <f t="shared" si="56"/>
        <v>-603.53036854821391</v>
      </c>
      <c r="E160" s="2">
        <f t="shared" si="57"/>
        <v>4246.465802437493</v>
      </c>
      <c r="F160" s="2">
        <f t="shared" si="58"/>
        <v>-95379.551453217791</v>
      </c>
      <c r="G160" s="6"/>
      <c r="H160" s="6"/>
      <c r="I160" s="6"/>
      <c r="J160" s="6"/>
    </row>
    <row r="161" spans="1:10" ht="12.75" x14ac:dyDescent="0.2">
      <c r="A161" s="12"/>
      <c r="B161" s="2">
        <f t="shared" si="59"/>
        <v>-95379.551453217791</v>
      </c>
      <c r="C161" s="2">
        <f t="shared" si="55"/>
        <v>4882.3294787922787</v>
      </c>
      <c r="D161" s="2">
        <f t="shared" si="56"/>
        <v>-635.8636763547853</v>
      </c>
      <c r="E161" s="2">
        <f t="shared" si="57"/>
        <v>4246.465802437493</v>
      </c>
      <c r="F161" s="2">
        <f t="shared" si="58"/>
        <v>-100261.88093201007</v>
      </c>
      <c r="G161" s="6"/>
      <c r="H161" s="6"/>
      <c r="I161" s="6"/>
      <c r="J161" s="6"/>
    </row>
    <row r="162" spans="1:10" ht="12.75" x14ac:dyDescent="0.2">
      <c r="A162" s="12"/>
      <c r="B162" s="2">
        <f t="shared" si="59"/>
        <v>-100261.88093201007</v>
      </c>
      <c r="C162" s="2">
        <f t="shared" si="55"/>
        <v>4914.8783419842266</v>
      </c>
      <c r="D162" s="2">
        <f t="shared" si="56"/>
        <v>-668.4125395467338</v>
      </c>
      <c r="E162" s="2">
        <f t="shared" si="57"/>
        <v>4246.465802437493</v>
      </c>
      <c r="F162" s="2">
        <f t="shared" si="58"/>
        <v>-105176.75927399429</v>
      </c>
      <c r="G162" s="6"/>
      <c r="H162" s="6"/>
      <c r="I162" s="6"/>
      <c r="J162" s="6"/>
    </row>
    <row r="163" spans="1:10" ht="12.75" x14ac:dyDescent="0.2">
      <c r="A163" s="12" t="s">
        <v>124</v>
      </c>
      <c r="B163" s="2">
        <f t="shared" si="59"/>
        <v>-105176.75927399429</v>
      </c>
      <c r="C163" s="2">
        <f t="shared" si="55"/>
        <v>4947.6441975974549</v>
      </c>
      <c r="D163" s="2">
        <f t="shared" si="56"/>
        <v>-701.17839515996195</v>
      </c>
      <c r="E163" s="2">
        <f t="shared" si="57"/>
        <v>4246.465802437493</v>
      </c>
      <c r="F163" s="48">
        <f t="shared" si="58"/>
        <v>-110124.40347159175</v>
      </c>
      <c r="G163" s="6"/>
      <c r="H163" s="6"/>
      <c r="I163" s="6"/>
      <c r="J163" s="6"/>
    </row>
    <row r="164" spans="1:10" ht="12.75" x14ac:dyDescent="0.2">
      <c r="A164" s="9" t="s">
        <v>102</v>
      </c>
      <c r="B164" s="9"/>
      <c r="C164" s="48"/>
      <c r="D164" s="48">
        <f>SUM(D152:D163)</f>
        <v>-6298.6287507511452</v>
      </c>
      <c r="E164" s="2"/>
      <c r="F164" s="2"/>
      <c r="G164" s="6"/>
      <c r="H164" s="6"/>
      <c r="I164" s="6"/>
      <c r="J164" s="6"/>
    </row>
    <row r="165" spans="1:10" ht="12.75" x14ac:dyDescent="0.2">
      <c r="A165" s="12"/>
      <c r="B165" s="12"/>
      <c r="C165" s="2"/>
      <c r="D165" s="2"/>
      <c r="E165" s="2"/>
      <c r="F165" s="2"/>
      <c r="G165" s="6"/>
      <c r="H165" s="6"/>
      <c r="I165" s="6"/>
      <c r="J165" s="6"/>
    </row>
    <row r="166" spans="1:10" ht="12.75" x14ac:dyDescent="0.2">
      <c r="A166" s="12" t="s">
        <v>125</v>
      </c>
      <c r="B166" s="2">
        <f>F163</f>
        <v>-110124.40347159175</v>
      </c>
      <c r="C166" s="2">
        <f t="shared" ref="C166:C177" si="60">+E166-D166</f>
        <v>4980.6284922481045</v>
      </c>
      <c r="D166" s="2">
        <f t="shared" ref="D166:D177" si="61">+B166*$J$3</f>
        <v>-734.16268981061171</v>
      </c>
      <c r="E166" s="2">
        <f t="shared" ref="E166:E177" si="62">$J$6</f>
        <v>4246.465802437493</v>
      </c>
      <c r="F166" s="2">
        <f t="shared" ref="F166:F177" si="63">+B166-C166</f>
        <v>-115105.03196383985</v>
      </c>
      <c r="G166" s="6"/>
      <c r="H166" s="6"/>
      <c r="I166" s="6"/>
      <c r="J166" s="6"/>
    </row>
    <row r="167" spans="1:10" ht="12.75" x14ac:dyDescent="0.2">
      <c r="A167" s="12"/>
      <c r="B167" s="2">
        <f t="shared" ref="B167:B177" si="64">+F166</f>
        <v>-115105.03196383985</v>
      </c>
      <c r="C167" s="2">
        <f t="shared" si="60"/>
        <v>5013.8326821964256</v>
      </c>
      <c r="D167" s="2">
        <f t="shared" si="61"/>
        <v>-767.36687975893244</v>
      </c>
      <c r="E167" s="2">
        <f t="shared" si="62"/>
        <v>4246.465802437493</v>
      </c>
      <c r="F167" s="2">
        <f t="shared" si="63"/>
        <v>-120118.86464603628</v>
      </c>
      <c r="G167" s="6"/>
      <c r="H167" s="6"/>
      <c r="I167" s="6"/>
      <c r="J167" s="6"/>
    </row>
    <row r="168" spans="1:10" ht="12.75" x14ac:dyDescent="0.2">
      <c r="A168" s="12"/>
      <c r="B168" s="2">
        <f t="shared" si="64"/>
        <v>-120118.86464603628</v>
      </c>
      <c r="C168" s="2">
        <f t="shared" si="60"/>
        <v>5047.2582334110684</v>
      </c>
      <c r="D168" s="2">
        <f t="shared" si="61"/>
        <v>-800.79243097357528</v>
      </c>
      <c r="E168" s="2">
        <f t="shared" si="62"/>
        <v>4246.465802437493</v>
      </c>
      <c r="F168" s="2">
        <f t="shared" si="63"/>
        <v>-125166.12287944734</v>
      </c>
      <c r="G168" s="6"/>
      <c r="H168" s="6"/>
      <c r="I168" s="6"/>
      <c r="J168" s="6"/>
    </row>
    <row r="169" spans="1:10" ht="12.75" x14ac:dyDescent="0.2">
      <c r="A169" s="12"/>
      <c r="B169" s="2">
        <f t="shared" si="64"/>
        <v>-125166.12287944734</v>
      </c>
      <c r="C169" s="2">
        <f t="shared" si="60"/>
        <v>5080.9066216338088</v>
      </c>
      <c r="D169" s="2">
        <f t="shared" si="61"/>
        <v>-834.44081919631572</v>
      </c>
      <c r="E169" s="2">
        <f t="shared" si="62"/>
        <v>4246.465802437493</v>
      </c>
      <c r="F169" s="2">
        <f t="shared" si="63"/>
        <v>-130247.02950108115</v>
      </c>
      <c r="G169" s="6"/>
      <c r="H169" s="6"/>
      <c r="I169" s="6"/>
      <c r="J169" s="6"/>
    </row>
    <row r="170" spans="1:10" ht="12.75" x14ac:dyDescent="0.2">
      <c r="A170" s="12"/>
      <c r="B170" s="2">
        <f t="shared" si="64"/>
        <v>-130247.02950108115</v>
      </c>
      <c r="C170" s="2">
        <f t="shared" si="60"/>
        <v>5114.7793324447011</v>
      </c>
      <c r="D170" s="2">
        <f t="shared" si="61"/>
        <v>-868.31353000720776</v>
      </c>
      <c r="E170" s="2">
        <f t="shared" si="62"/>
        <v>4246.465802437493</v>
      </c>
      <c r="F170" s="2">
        <f t="shared" si="63"/>
        <v>-135361.80883352587</v>
      </c>
      <c r="G170" s="6"/>
      <c r="H170" s="6"/>
      <c r="I170" s="6"/>
      <c r="J170" s="6"/>
    </row>
    <row r="171" spans="1:10" ht="12.75" x14ac:dyDescent="0.2">
      <c r="A171" s="12"/>
      <c r="B171" s="2">
        <f t="shared" si="64"/>
        <v>-135361.80883352587</v>
      </c>
      <c r="C171" s="2">
        <f t="shared" si="60"/>
        <v>5148.8778613276654</v>
      </c>
      <c r="D171" s="2">
        <f t="shared" si="61"/>
        <v>-902.41205889017249</v>
      </c>
      <c r="E171" s="2">
        <f t="shared" si="62"/>
        <v>4246.465802437493</v>
      </c>
      <c r="F171" s="2">
        <f t="shared" si="63"/>
        <v>-140510.68669485353</v>
      </c>
      <c r="G171" s="6"/>
      <c r="H171" s="6"/>
      <c r="I171" s="6"/>
      <c r="J171" s="6"/>
    </row>
    <row r="172" spans="1:10" ht="12.75" x14ac:dyDescent="0.2">
      <c r="A172" s="12"/>
      <c r="B172" s="2">
        <f t="shared" si="64"/>
        <v>-140510.68669485353</v>
      </c>
      <c r="C172" s="2">
        <f t="shared" si="60"/>
        <v>5183.2037137365169</v>
      </c>
      <c r="D172" s="2">
        <f t="shared" si="61"/>
        <v>-936.73791129902361</v>
      </c>
      <c r="E172" s="2">
        <f t="shared" si="62"/>
        <v>4246.465802437493</v>
      </c>
      <c r="F172" s="2">
        <f t="shared" si="63"/>
        <v>-145693.89040859006</v>
      </c>
      <c r="G172" s="6"/>
      <c r="H172" s="6"/>
      <c r="I172" s="6"/>
      <c r="J172" s="6"/>
    </row>
    <row r="173" spans="1:10" ht="12.75" x14ac:dyDescent="0.2">
      <c r="A173" s="12"/>
      <c r="B173" s="2">
        <f t="shared" si="64"/>
        <v>-145693.89040859006</v>
      </c>
      <c r="C173" s="2">
        <f t="shared" si="60"/>
        <v>5217.7584051614267</v>
      </c>
      <c r="D173" s="2">
        <f t="shared" si="61"/>
        <v>-971.29260272393378</v>
      </c>
      <c r="E173" s="2">
        <f t="shared" si="62"/>
        <v>4246.465802437493</v>
      </c>
      <c r="F173" s="2">
        <f t="shared" si="63"/>
        <v>-150911.6488137515</v>
      </c>
      <c r="G173" s="6"/>
      <c r="H173" s="6"/>
      <c r="I173" s="6"/>
      <c r="J173" s="6"/>
    </row>
    <row r="174" spans="1:10" ht="12.75" x14ac:dyDescent="0.2">
      <c r="A174" s="12"/>
      <c r="B174" s="2">
        <f t="shared" si="64"/>
        <v>-150911.6488137515</v>
      </c>
      <c r="C174" s="2">
        <f t="shared" si="60"/>
        <v>5252.5434611958362</v>
      </c>
      <c r="D174" s="2">
        <f t="shared" si="61"/>
        <v>-1006.0776587583434</v>
      </c>
      <c r="E174" s="2">
        <f t="shared" si="62"/>
        <v>4246.465802437493</v>
      </c>
      <c r="F174" s="2">
        <f t="shared" si="63"/>
        <v>-156164.19227494733</v>
      </c>
      <c r="G174" s="6"/>
      <c r="H174" s="6"/>
      <c r="I174" s="6"/>
      <c r="J174" s="6"/>
    </row>
    <row r="175" spans="1:10" ht="12.75" x14ac:dyDescent="0.2">
      <c r="A175" s="12"/>
      <c r="B175" s="2">
        <f t="shared" si="64"/>
        <v>-156164.19227494733</v>
      </c>
      <c r="C175" s="2">
        <f t="shared" si="60"/>
        <v>5287.5604176038087</v>
      </c>
      <c r="D175" s="2">
        <f t="shared" si="61"/>
        <v>-1041.0946151663156</v>
      </c>
      <c r="E175" s="2">
        <f t="shared" si="62"/>
        <v>4246.465802437493</v>
      </c>
      <c r="F175" s="2">
        <f t="shared" si="63"/>
        <v>-161451.75269255115</v>
      </c>
      <c r="G175" s="6"/>
      <c r="H175" s="6"/>
      <c r="I175" s="6"/>
      <c r="J175" s="6"/>
    </row>
    <row r="176" spans="1:10" ht="12.75" x14ac:dyDescent="0.2">
      <c r="A176" s="12"/>
      <c r="B176" s="2">
        <f t="shared" si="64"/>
        <v>-161451.75269255115</v>
      </c>
      <c r="C176" s="2">
        <f t="shared" si="60"/>
        <v>5322.8108203878346</v>
      </c>
      <c r="D176" s="2">
        <f t="shared" si="61"/>
        <v>-1076.3450179503411</v>
      </c>
      <c r="E176" s="2">
        <f t="shared" si="62"/>
        <v>4246.465802437493</v>
      </c>
      <c r="F176" s="2">
        <f t="shared" si="63"/>
        <v>-166774.56351293897</v>
      </c>
      <c r="G176" s="6"/>
      <c r="H176" s="6"/>
      <c r="I176" s="6"/>
      <c r="J176" s="6"/>
    </row>
    <row r="177" spans="1:10" ht="12.75" x14ac:dyDescent="0.2">
      <c r="A177" s="12" t="s">
        <v>126</v>
      </c>
      <c r="B177" s="2">
        <f t="shared" si="64"/>
        <v>-166774.56351293897</v>
      </c>
      <c r="C177" s="2">
        <f t="shared" si="60"/>
        <v>5358.296225857086</v>
      </c>
      <c r="D177" s="2">
        <f t="shared" si="61"/>
        <v>-1111.8304234195932</v>
      </c>
      <c r="E177" s="2">
        <f t="shared" si="62"/>
        <v>4246.465802437493</v>
      </c>
      <c r="F177" s="48">
        <f t="shared" si="63"/>
        <v>-172132.85973879605</v>
      </c>
      <c r="G177" s="6"/>
      <c r="H177" s="6"/>
      <c r="I177" s="6"/>
      <c r="J177" s="6"/>
    </row>
    <row r="178" spans="1:10" ht="12.75" x14ac:dyDescent="0.2">
      <c r="A178" s="9" t="s">
        <v>102</v>
      </c>
      <c r="B178" s="9"/>
      <c r="C178" s="48"/>
      <c r="D178" s="48">
        <f>SUM(D166:D177)</f>
        <v>-11050.866637954367</v>
      </c>
      <c r="E178" s="2"/>
      <c r="F178" s="2"/>
      <c r="G178" s="6"/>
      <c r="H178" s="6"/>
      <c r="I178" s="6"/>
      <c r="J178" s="6"/>
    </row>
    <row r="179" spans="1:10" ht="12.75" x14ac:dyDescent="0.2">
      <c r="A179" s="12"/>
      <c r="B179" s="12"/>
      <c r="C179" s="2"/>
      <c r="D179" s="2"/>
      <c r="E179" s="2"/>
      <c r="F179" s="2"/>
      <c r="G179" s="6"/>
      <c r="H179" s="6"/>
      <c r="I179" s="6"/>
      <c r="J179" s="6"/>
    </row>
    <row r="180" spans="1:10" ht="12.75" x14ac:dyDescent="0.2">
      <c r="A180" s="12" t="s">
        <v>127</v>
      </c>
      <c r="B180" s="2">
        <f>F177</f>
        <v>-172132.85973879605</v>
      </c>
      <c r="C180" s="2">
        <f t="shared" ref="C180:C191" si="65">+E180-D180</f>
        <v>5394.0182006961331</v>
      </c>
      <c r="D180" s="2">
        <f t="shared" ref="D180:D191" si="66">+B180*$J$3</f>
        <v>-1147.5523982586403</v>
      </c>
      <c r="E180" s="2">
        <f t="shared" ref="E180:E191" si="67">$J$6</f>
        <v>4246.465802437493</v>
      </c>
      <c r="F180" s="2">
        <f t="shared" ref="F180:F191" si="68">+B180-C180</f>
        <v>-177526.87793949217</v>
      </c>
      <c r="G180" s="6"/>
      <c r="H180" s="6"/>
      <c r="I180" s="6"/>
      <c r="J180" s="6"/>
    </row>
    <row r="181" spans="1:10" ht="12.75" x14ac:dyDescent="0.2">
      <c r="A181" s="12"/>
      <c r="B181" s="2">
        <f t="shared" ref="B181:B191" si="69">+F180</f>
        <v>-177526.87793949217</v>
      </c>
      <c r="C181" s="2">
        <f t="shared" si="65"/>
        <v>5429.9783220341078</v>
      </c>
      <c r="D181" s="2">
        <f t="shared" si="66"/>
        <v>-1183.5125195966145</v>
      </c>
      <c r="E181" s="2">
        <f t="shared" si="67"/>
        <v>4246.465802437493</v>
      </c>
      <c r="F181" s="2">
        <f t="shared" si="68"/>
        <v>-182956.85626152629</v>
      </c>
      <c r="G181" s="6"/>
      <c r="H181" s="6"/>
      <c r="I181" s="6"/>
      <c r="J181" s="6"/>
    </row>
    <row r="182" spans="1:10" ht="12.75" x14ac:dyDescent="0.2">
      <c r="A182" s="12"/>
      <c r="B182" s="2">
        <f t="shared" si="69"/>
        <v>-182956.85626152629</v>
      </c>
      <c r="C182" s="2">
        <f t="shared" si="65"/>
        <v>5466.1781775143354</v>
      </c>
      <c r="D182" s="2">
        <f t="shared" si="66"/>
        <v>-1219.7123750768421</v>
      </c>
      <c r="E182" s="2">
        <f t="shared" si="67"/>
        <v>4246.465802437493</v>
      </c>
      <c r="F182" s="2">
        <f t="shared" si="68"/>
        <v>-188423.03443904064</v>
      </c>
      <c r="G182" s="6"/>
      <c r="H182" s="6"/>
      <c r="I182" s="6"/>
      <c r="J182" s="6"/>
    </row>
    <row r="183" spans="1:10" ht="12.75" x14ac:dyDescent="0.2">
      <c r="A183" s="12"/>
      <c r="B183" s="2">
        <f t="shared" si="69"/>
        <v>-188423.03443904064</v>
      </c>
      <c r="C183" s="2">
        <f t="shared" si="65"/>
        <v>5502.6193653644305</v>
      </c>
      <c r="D183" s="2">
        <f t="shared" si="66"/>
        <v>-1256.1535629269376</v>
      </c>
      <c r="E183" s="2">
        <f t="shared" si="67"/>
        <v>4246.465802437493</v>
      </c>
      <c r="F183" s="2">
        <f t="shared" si="68"/>
        <v>-193925.65380440507</v>
      </c>
      <c r="G183" s="6"/>
      <c r="H183" s="6"/>
      <c r="I183" s="6"/>
      <c r="J183" s="6"/>
    </row>
    <row r="184" spans="1:10" ht="12.75" x14ac:dyDescent="0.2">
      <c r="A184" s="12"/>
      <c r="B184" s="2">
        <f t="shared" si="69"/>
        <v>-193925.65380440507</v>
      </c>
      <c r="C184" s="2">
        <f t="shared" si="65"/>
        <v>5539.3034944668598</v>
      </c>
      <c r="D184" s="2">
        <f t="shared" si="66"/>
        <v>-1292.8376920293672</v>
      </c>
      <c r="E184" s="2">
        <f t="shared" si="67"/>
        <v>4246.465802437493</v>
      </c>
      <c r="F184" s="2">
        <f t="shared" si="68"/>
        <v>-199464.95729887192</v>
      </c>
      <c r="G184" s="6"/>
      <c r="H184" s="6"/>
      <c r="I184" s="6"/>
      <c r="J184" s="6"/>
    </row>
    <row r="185" spans="1:10" ht="12.75" x14ac:dyDescent="0.2">
      <c r="A185" s="12"/>
      <c r="B185" s="2">
        <f t="shared" si="69"/>
        <v>-199464.95729887192</v>
      </c>
      <c r="C185" s="2">
        <f t="shared" si="65"/>
        <v>5576.2321844299722</v>
      </c>
      <c r="D185" s="2">
        <f t="shared" si="66"/>
        <v>-1329.7663819924794</v>
      </c>
      <c r="E185" s="2">
        <f t="shared" si="67"/>
        <v>4246.465802437493</v>
      </c>
      <c r="F185" s="2">
        <f t="shared" si="68"/>
        <v>-205041.18948330189</v>
      </c>
      <c r="G185" s="6"/>
      <c r="H185" s="6"/>
      <c r="I185" s="6"/>
      <c r="J185" s="6"/>
    </row>
    <row r="186" spans="1:10" ht="12.75" x14ac:dyDescent="0.2">
      <c r="A186" s="12"/>
      <c r="B186" s="2">
        <f t="shared" si="69"/>
        <v>-205041.18948330189</v>
      </c>
      <c r="C186" s="2">
        <f t="shared" si="65"/>
        <v>5613.4070656595059</v>
      </c>
      <c r="D186" s="2">
        <f t="shared" si="66"/>
        <v>-1366.9412632220126</v>
      </c>
      <c r="E186" s="2">
        <f t="shared" si="67"/>
        <v>4246.465802437493</v>
      </c>
      <c r="F186" s="2">
        <f t="shared" si="68"/>
        <v>-210654.59654896139</v>
      </c>
      <c r="G186" s="6"/>
      <c r="H186" s="6"/>
      <c r="I186" s="6"/>
      <c r="J186" s="6"/>
    </row>
    <row r="187" spans="1:10" ht="12.75" x14ac:dyDescent="0.2">
      <c r="A187" s="12"/>
      <c r="B187" s="2">
        <f t="shared" si="69"/>
        <v>-210654.59654896139</v>
      </c>
      <c r="C187" s="2">
        <f t="shared" si="65"/>
        <v>5650.829779430569</v>
      </c>
      <c r="D187" s="2">
        <f t="shared" si="66"/>
        <v>-1404.363976993076</v>
      </c>
      <c r="E187" s="2">
        <f t="shared" si="67"/>
        <v>4246.465802437493</v>
      </c>
      <c r="F187" s="2">
        <f t="shared" si="68"/>
        <v>-216305.42632839194</v>
      </c>
      <c r="G187" s="6"/>
      <c r="H187" s="6"/>
      <c r="I187" s="6"/>
      <c r="J187" s="6"/>
    </row>
    <row r="188" spans="1:10" ht="12.75" x14ac:dyDescent="0.2">
      <c r="A188" s="12"/>
      <c r="B188" s="2">
        <f t="shared" si="69"/>
        <v>-216305.42632839194</v>
      </c>
      <c r="C188" s="2">
        <f t="shared" si="65"/>
        <v>5688.5019779601062</v>
      </c>
      <c r="D188" s="2">
        <f t="shared" si="66"/>
        <v>-1442.0361755226131</v>
      </c>
      <c r="E188" s="2">
        <f t="shared" si="67"/>
        <v>4246.465802437493</v>
      </c>
      <c r="F188" s="2">
        <f t="shared" si="68"/>
        <v>-221993.92830635206</v>
      </c>
      <c r="G188" s="6"/>
      <c r="H188" s="6"/>
      <c r="I188" s="6"/>
      <c r="J188" s="6"/>
    </row>
    <row r="189" spans="1:10" ht="12.75" x14ac:dyDescent="0.2">
      <c r="A189" s="12"/>
      <c r="B189" s="2">
        <f t="shared" si="69"/>
        <v>-221993.92830635206</v>
      </c>
      <c r="C189" s="2">
        <f t="shared" si="65"/>
        <v>5726.4253244798401</v>
      </c>
      <c r="D189" s="2">
        <f t="shared" si="66"/>
        <v>-1479.9595220423471</v>
      </c>
      <c r="E189" s="2">
        <f t="shared" si="67"/>
        <v>4246.465802437493</v>
      </c>
      <c r="F189" s="2">
        <f t="shared" si="68"/>
        <v>-227720.3536308319</v>
      </c>
      <c r="G189" s="6"/>
      <c r="H189" s="6"/>
      <c r="I189" s="6"/>
      <c r="J189" s="6"/>
    </row>
    <row r="190" spans="1:10" ht="12.75" x14ac:dyDescent="0.2">
      <c r="A190" s="12"/>
      <c r="B190" s="2">
        <f t="shared" si="69"/>
        <v>-227720.3536308319</v>
      </c>
      <c r="C190" s="2">
        <f t="shared" si="65"/>
        <v>5764.6014933097058</v>
      </c>
      <c r="D190" s="2">
        <f t="shared" si="66"/>
        <v>-1518.1356908722128</v>
      </c>
      <c r="E190" s="2">
        <f t="shared" si="67"/>
        <v>4246.465802437493</v>
      </c>
      <c r="F190" s="2">
        <f t="shared" si="68"/>
        <v>-233484.95512414162</v>
      </c>
      <c r="G190" s="6"/>
      <c r="H190" s="6"/>
      <c r="I190" s="6"/>
      <c r="J190" s="6"/>
    </row>
    <row r="191" spans="1:10" ht="12.75" x14ac:dyDescent="0.2">
      <c r="A191" s="12" t="s">
        <v>128</v>
      </c>
      <c r="B191" s="2">
        <f t="shared" si="69"/>
        <v>-233484.95512414162</v>
      </c>
      <c r="C191" s="2">
        <f t="shared" si="65"/>
        <v>5803.0321699317701</v>
      </c>
      <c r="D191" s="2">
        <f t="shared" si="66"/>
        <v>-1556.5663674942775</v>
      </c>
      <c r="E191" s="2">
        <f t="shared" si="67"/>
        <v>4246.465802437493</v>
      </c>
      <c r="F191" s="48">
        <f t="shared" si="68"/>
        <v>-239287.98729407339</v>
      </c>
      <c r="G191" s="6"/>
      <c r="H191" s="6"/>
      <c r="I191" s="6"/>
      <c r="J191" s="6"/>
    </row>
    <row r="192" spans="1:10" ht="12.75" x14ac:dyDescent="0.2">
      <c r="A192" s="9" t="s">
        <v>102</v>
      </c>
      <c r="B192" s="4"/>
      <c r="C192" s="48"/>
      <c r="D192" s="48">
        <f>SUM(D180:D191)</f>
        <v>-16197.53792602742</v>
      </c>
      <c r="E192" s="6"/>
      <c r="F192" s="6"/>
      <c r="G192" s="6"/>
      <c r="H192" s="6"/>
      <c r="I192" s="6"/>
      <c r="J192" s="6"/>
    </row>
    <row r="193" spans="1:10" ht="12.75" x14ac:dyDescent="0.2">
      <c r="A193" s="12"/>
      <c r="B193" s="12"/>
      <c r="C193" s="2"/>
      <c r="D193" s="2"/>
      <c r="E193" s="12"/>
      <c r="F193" s="12"/>
      <c r="G193" s="6"/>
      <c r="H193" s="6"/>
      <c r="I193" s="6"/>
      <c r="J193" s="6"/>
    </row>
    <row r="194" spans="1:10" ht="12.75" x14ac:dyDescent="0.2">
      <c r="A194" s="12" t="s">
        <v>127</v>
      </c>
      <c r="B194" s="2">
        <f>F191</f>
        <v>-239287.98729407339</v>
      </c>
      <c r="C194" s="2">
        <f t="shared" ref="C194:C205" si="70">+E194-D194</f>
        <v>5841.7190510646487</v>
      </c>
      <c r="D194" s="2">
        <f t="shared" ref="D194:D205" si="71">+B194*$J$3</f>
        <v>-1595.2532486271562</v>
      </c>
      <c r="E194" s="2">
        <f t="shared" ref="E194:E205" si="72">$J$6</f>
        <v>4246.465802437493</v>
      </c>
      <c r="F194" s="2">
        <f t="shared" ref="F194:F205" si="73">+B194-C194</f>
        <v>-245129.70634513805</v>
      </c>
      <c r="G194" s="6"/>
      <c r="H194" s="6"/>
      <c r="I194" s="6"/>
      <c r="J194" s="6"/>
    </row>
    <row r="195" spans="1:10" ht="12.75" x14ac:dyDescent="0.2">
      <c r="A195" s="12"/>
      <c r="B195" s="2">
        <f t="shared" ref="B195:B205" si="74">+F194</f>
        <v>-245129.70634513805</v>
      </c>
      <c r="C195" s="2">
        <f t="shared" si="70"/>
        <v>5880.6638447384139</v>
      </c>
      <c r="D195" s="2">
        <f t="shared" si="71"/>
        <v>-1634.1980423009204</v>
      </c>
      <c r="E195" s="2">
        <f t="shared" si="72"/>
        <v>4246.465802437493</v>
      </c>
      <c r="F195" s="2">
        <f t="shared" si="73"/>
        <v>-251010.37018987647</v>
      </c>
      <c r="G195" s="6"/>
      <c r="H195" s="6"/>
      <c r="I195" s="6"/>
      <c r="J195" s="6"/>
    </row>
    <row r="196" spans="1:10" ht="12.75" x14ac:dyDescent="0.2">
      <c r="A196" s="12"/>
      <c r="B196" s="2">
        <f t="shared" si="74"/>
        <v>-251010.37018987647</v>
      </c>
      <c r="C196" s="2">
        <f t="shared" si="70"/>
        <v>5919.8682703700033</v>
      </c>
      <c r="D196" s="2">
        <f t="shared" si="71"/>
        <v>-1673.4024679325098</v>
      </c>
      <c r="E196" s="2">
        <f t="shared" si="72"/>
        <v>4246.465802437493</v>
      </c>
      <c r="F196" s="2">
        <f t="shared" si="73"/>
        <v>-256930.23846024647</v>
      </c>
      <c r="G196" s="6"/>
      <c r="H196" s="6"/>
      <c r="I196" s="6"/>
      <c r="J196" s="6"/>
    </row>
    <row r="197" spans="1:10" ht="12.75" x14ac:dyDescent="0.2">
      <c r="A197" s="12"/>
      <c r="B197" s="2">
        <f t="shared" si="74"/>
        <v>-256930.23846024647</v>
      </c>
      <c r="C197" s="2">
        <f t="shared" si="70"/>
        <v>5959.3340588391366</v>
      </c>
      <c r="D197" s="2">
        <f t="shared" si="71"/>
        <v>-1712.8682564016433</v>
      </c>
      <c r="E197" s="2">
        <f t="shared" si="72"/>
        <v>4246.465802437493</v>
      </c>
      <c r="F197" s="2">
        <f t="shared" si="73"/>
        <v>-262889.5725190856</v>
      </c>
      <c r="G197" s="6"/>
      <c r="H197" s="6"/>
      <c r="I197" s="6"/>
      <c r="J197" s="6"/>
    </row>
    <row r="198" spans="1:10" ht="12.75" x14ac:dyDescent="0.2">
      <c r="A198" s="12"/>
      <c r="B198" s="2">
        <f t="shared" si="74"/>
        <v>-262889.5725190856</v>
      </c>
      <c r="C198" s="2">
        <f t="shared" si="70"/>
        <v>5999.0629525647309</v>
      </c>
      <c r="D198" s="2">
        <f t="shared" si="71"/>
        <v>-1752.5971501272375</v>
      </c>
      <c r="E198" s="2">
        <f t="shared" si="72"/>
        <v>4246.465802437493</v>
      </c>
      <c r="F198" s="2">
        <f t="shared" si="73"/>
        <v>-268888.63547165034</v>
      </c>
      <c r="G198" s="6"/>
      <c r="H198" s="6"/>
      <c r="I198" s="6"/>
      <c r="J198" s="6"/>
    </row>
    <row r="199" spans="1:10" ht="12.75" x14ac:dyDescent="0.2">
      <c r="A199" s="12"/>
      <c r="B199" s="2">
        <f t="shared" si="74"/>
        <v>-268888.63547165034</v>
      </c>
      <c r="C199" s="2">
        <f t="shared" si="70"/>
        <v>6039.0567055818283</v>
      </c>
      <c r="D199" s="2">
        <f t="shared" si="71"/>
        <v>-1792.5909031443357</v>
      </c>
      <c r="E199" s="2">
        <f t="shared" si="72"/>
        <v>4246.465802437493</v>
      </c>
      <c r="F199" s="2">
        <f t="shared" si="73"/>
        <v>-274927.69217723218</v>
      </c>
      <c r="G199" s="6"/>
      <c r="H199" s="6"/>
      <c r="I199" s="6"/>
      <c r="J199" s="6"/>
    </row>
    <row r="200" spans="1:10" ht="12.75" x14ac:dyDescent="0.2">
      <c r="A200" s="12"/>
      <c r="B200" s="2">
        <f t="shared" si="74"/>
        <v>-274927.69217723218</v>
      </c>
      <c r="C200" s="2">
        <f t="shared" si="70"/>
        <v>6079.3170836190411</v>
      </c>
      <c r="D200" s="2">
        <f t="shared" si="71"/>
        <v>-1832.8512811815481</v>
      </c>
      <c r="E200" s="2">
        <f t="shared" si="72"/>
        <v>4246.465802437493</v>
      </c>
      <c r="F200" s="2">
        <f t="shared" si="73"/>
        <v>-281007.00926085125</v>
      </c>
      <c r="G200" s="6"/>
      <c r="H200" s="6"/>
      <c r="I200" s="6"/>
      <c r="J200" s="6"/>
    </row>
    <row r="201" spans="1:10" ht="12.75" x14ac:dyDescent="0.2">
      <c r="A201" s="12"/>
      <c r="B201" s="2">
        <f t="shared" si="74"/>
        <v>-281007.00926085125</v>
      </c>
      <c r="C201" s="2">
        <f t="shared" si="70"/>
        <v>6119.845864176501</v>
      </c>
      <c r="D201" s="2">
        <f t="shared" si="71"/>
        <v>-1873.3800617390084</v>
      </c>
      <c r="E201" s="2">
        <f t="shared" si="72"/>
        <v>4246.465802437493</v>
      </c>
      <c r="F201" s="2">
        <f t="shared" si="73"/>
        <v>-287126.85512502777</v>
      </c>
      <c r="G201" s="6"/>
      <c r="H201" s="6"/>
      <c r="I201" s="6"/>
      <c r="J201" s="6"/>
    </row>
    <row r="202" spans="1:10" ht="12.75" x14ac:dyDescent="0.2">
      <c r="A202" s="12"/>
      <c r="B202" s="2">
        <f t="shared" si="74"/>
        <v>-287126.85512502777</v>
      </c>
      <c r="C202" s="2">
        <f t="shared" si="70"/>
        <v>6160.6448366043451</v>
      </c>
      <c r="D202" s="2">
        <f t="shared" si="71"/>
        <v>-1914.1790341668518</v>
      </c>
      <c r="E202" s="2">
        <f t="shared" si="72"/>
        <v>4246.465802437493</v>
      </c>
      <c r="F202" s="2">
        <f t="shared" si="73"/>
        <v>-293287.49996163213</v>
      </c>
      <c r="G202" s="6"/>
      <c r="H202" s="6"/>
      <c r="I202" s="6"/>
      <c r="J202" s="6"/>
    </row>
    <row r="203" spans="1:10" ht="12.75" x14ac:dyDescent="0.2">
      <c r="A203" s="12"/>
      <c r="B203" s="2">
        <f t="shared" si="74"/>
        <v>-293287.49996163213</v>
      </c>
      <c r="C203" s="2">
        <f t="shared" si="70"/>
        <v>6201.7158021817077</v>
      </c>
      <c r="D203" s="2">
        <f t="shared" si="71"/>
        <v>-1955.2499997442144</v>
      </c>
      <c r="E203" s="2">
        <f t="shared" si="72"/>
        <v>4246.465802437493</v>
      </c>
      <c r="F203" s="2">
        <f t="shared" si="73"/>
        <v>-299489.21576381382</v>
      </c>
      <c r="G203" s="6"/>
      <c r="H203" s="6"/>
      <c r="I203" s="6"/>
      <c r="J203" s="6"/>
    </row>
    <row r="204" spans="1:10" ht="12.75" x14ac:dyDescent="0.2">
      <c r="A204" s="12"/>
      <c r="B204" s="2">
        <f t="shared" si="74"/>
        <v>-299489.21576381382</v>
      </c>
      <c r="C204" s="2">
        <f t="shared" si="70"/>
        <v>6243.0605741962518</v>
      </c>
      <c r="D204" s="2">
        <f t="shared" si="71"/>
        <v>-1996.594771758759</v>
      </c>
      <c r="E204" s="2">
        <f t="shared" si="72"/>
        <v>4246.465802437493</v>
      </c>
      <c r="F204" s="2">
        <f t="shared" si="73"/>
        <v>-305732.2763380101</v>
      </c>
      <c r="G204" s="6"/>
      <c r="H204" s="6"/>
      <c r="I204" s="6"/>
      <c r="J204" s="6"/>
    </row>
    <row r="205" spans="1:10" ht="12.75" x14ac:dyDescent="0.2">
      <c r="A205" s="12" t="s">
        <v>128</v>
      </c>
      <c r="B205" s="2">
        <f t="shared" si="74"/>
        <v>-305732.2763380101</v>
      </c>
      <c r="C205" s="2">
        <f t="shared" si="70"/>
        <v>6284.6809780242274</v>
      </c>
      <c r="D205" s="2">
        <f t="shared" si="71"/>
        <v>-2038.2151755867342</v>
      </c>
      <c r="E205" s="2">
        <f t="shared" si="72"/>
        <v>4246.465802437493</v>
      </c>
      <c r="F205" s="48">
        <f t="shared" si="73"/>
        <v>-312016.9573160343</v>
      </c>
      <c r="G205" s="6"/>
      <c r="H205" s="6"/>
      <c r="I205" s="6"/>
      <c r="J205" s="6"/>
    </row>
    <row r="206" spans="1:10" ht="12.75" x14ac:dyDescent="0.2">
      <c r="A206" s="9" t="s">
        <v>102</v>
      </c>
      <c r="B206" s="4"/>
      <c r="C206" s="48"/>
      <c r="D206" s="48">
        <f>SUM(D194:D205)</f>
        <v>-21771.380392710918</v>
      </c>
      <c r="E206" s="6"/>
      <c r="F206" s="6"/>
      <c r="G206" s="6"/>
      <c r="H206" s="6"/>
      <c r="I206" s="6"/>
      <c r="J206" s="6"/>
    </row>
    <row r="207" spans="1:10" ht="12.75" x14ac:dyDescent="0.2">
      <c r="A207" s="12"/>
      <c r="B207" s="2"/>
      <c r="C207" s="2"/>
      <c r="D207" s="2"/>
      <c r="E207" s="2"/>
      <c r="F207" s="2"/>
      <c r="G207" s="6"/>
      <c r="H207" s="6"/>
      <c r="I207" s="6"/>
      <c r="J207" s="6"/>
    </row>
    <row r="208" spans="1:10" ht="12.75" x14ac:dyDescent="0.2">
      <c r="A208" s="12"/>
      <c r="B208" s="2"/>
      <c r="C208" s="2"/>
      <c r="D208" s="2"/>
      <c r="E208" s="2"/>
      <c r="F208" s="2"/>
      <c r="G208" s="6"/>
      <c r="H208" s="6"/>
      <c r="I208" s="6"/>
      <c r="J208" s="6"/>
    </row>
    <row r="209" spans="1:10" ht="12.75" x14ac:dyDescent="0.2">
      <c r="A209" s="12"/>
      <c r="B209" s="2"/>
      <c r="C209" s="2"/>
      <c r="D209" s="2"/>
      <c r="E209" s="2"/>
      <c r="F209" s="2"/>
      <c r="G209" s="6"/>
      <c r="H209" s="6"/>
      <c r="I209" s="6"/>
      <c r="J209" s="6"/>
    </row>
    <row r="210" spans="1:10" ht="12.75" x14ac:dyDescent="0.2">
      <c r="A210" s="12"/>
      <c r="B210" s="2"/>
      <c r="C210" s="2"/>
      <c r="D210" s="2"/>
      <c r="E210" s="2"/>
      <c r="F210" s="2"/>
      <c r="G210" s="6"/>
      <c r="H210" s="6"/>
      <c r="I210" s="6"/>
      <c r="J210" s="6"/>
    </row>
    <row r="211" spans="1:10" ht="12.75" x14ac:dyDescent="0.2">
      <c r="A211" s="12"/>
      <c r="B211" s="2"/>
      <c r="C211" s="2"/>
      <c r="D211" s="2"/>
      <c r="E211" s="2"/>
      <c r="F211" s="2"/>
      <c r="G211" s="6"/>
      <c r="H211" s="6"/>
      <c r="I211" s="6"/>
      <c r="J211" s="6"/>
    </row>
    <row r="212" spans="1:10" ht="12.75" x14ac:dyDescent="0.2">
      <c r="A212" s="9"/>
      <c r="B212" s="4"/>
      <c r="C212" s="48"/>
      <c r="D212" s="48"/>
      <c r="E212" s="6"/>
      <c r="F212" s="6"/>
      <c r="G212" s="6"/>
      <c r="H212" s="6"/>
      <c r="I212" s="6"/>
      <c r="J212" s="6"/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workbookViewId="0"/>
  </sheetViews>
  <sheetFormatPr defaultColWidth="17.140625" defaultRowHeight="12.75" customHeight="1" x14ac:dyDescent="0.2"/>
  <cols>
    <col min="1" max="1" width="31.7109375" customWidth="1"/>
    <col min="2" max="2" width="34.7109375" customWidth="1"/>
    <col min="3" max="3" width="12.140625" customWidth="1"/>
    <col min="4" max="4" width="18.7109375" customWidth="1"/>
    <col min="5" max="5" width="14.28515625" customWidth="1"/>
    <col min="6" max="6" width="15" customWidth="1"/>
    <col min="7" max="7" width="14.28515625" customWidth="1"/>
    <col min="8" max="13" width="8.7109375" customWidth="1"/>
    <col min="14" max="14" width="15.140625" customWidth="1"/>
    <col min="15" max="15" width="19.28515625" customWidth="1"/>
    <col min="17" max="17" width="14" customWidth="1"/>
    <col min="18" max="18" width="10" customWidth="1"/>
    <col min="19" max="19" width="8.7109375" customWidth="1"/>
  </cols>
  <sheetData>
    <row r="1" spans="1:19" ht="13.5" customHeight="1" x14ac:dyDescent="0.25">
      <c r="A1" s="50"/>
      <c r="B1" s="50"/>
      <c r="C1" s="50"/>
      <c r="D1" s="50">
        <v>2014</v>
      </c>
      <c r="E1" s="50">
        <v>2015</v>
      </c>
      <c r="F1" s="50">
        <v>2016</v>
      </c>
      <c r="G1" s="50">
        <v>2017</v>
      </c>
      <c r="H1" s="50">
        <v>2018</v>
      </c>
      <c r="I1" s="50">
        <v>2019</v>
      </c>
      <c r="J1" s="50">
        <v>2020</v>
      </c>
      <c r="K1" s="50">
        <v>2021</v>
      </c>
      <c r="L1" s="50">
        <v>2022</v>
      </c>
      <c r="M1" s="50">
        <v>2023</v>
      </c>
      <c r="N1" s="12"/>
      <c r="O1" s="12"/>
      <c r="P1" s="12"/>
      <c r="Q1" s="12"/>
      <c r="R1" s="12"/>
      <c r="S1" s="12"/>
    </row>
    <row r="2" spans="1:19" ht="13.5" customHeight="1" x14ac:dyDescent="0.2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12"/>
      <c r="O2" s="12"/>
      <c r="P2" s="12"/>
      <c r="Q2" s="12"/>
      <c r="R2" s="12"/>
      <c r="S2" s="12"/>
    </row>
    <row r="3" spans="1:19" ht="13.5" customHeight="1" x14ac:dyDescent="0.25">
      <c r="A3" s="50" t="s">
        <v>1</v>
      </c>
      <c r="B3" s="50"/>
      <c r="C3" s="50"/>
      <c r="D3" s="44">
        <f t="shared" ref="D3:M3" si="0">(D4/3)*2</f>
        <v>1000</v>
      </c>
      <c r="E3" s="44">
        <f t="shared" si="0"/>
        <v>1020</v>
      </c>
      <c r="F3" s="44">
        <f t="shared" si="0"/>
        <v>1040.4000000000001</v>
      </c>
      <c r="G3" s="44">
        <f t="shared" si="0"/>
        <v>1061.2080000000001</v>
      </c>
      <c r="H3" s="44">
        <f t="shared" si="0"/>
        <v>1082.4321600000001</v>
      </c>
      <c r="I3" s="44">
        <f t="shared" si="0"/>
        <v>1104.0808032000002</v>
      </c>
      <c r="J3" s="44">
        <f t="shared" si="0"/>
        <v>1126.1624192640002</v>
      </c>
      <c r="K3" s="44">
        <f t="shared" si="0"/>
        <v>1148.68566764928</v>
      </c>
      <c r="L3" s="44">
        <f t="shared" si="0"/>
        <v>1171.6593810022657</v>
      </c>
      <c r="M3" s="44">
        <f t="shared" si="0"/>
        <v>1195.0925686223111</v>
      </c>
      <c r="N3" s="12"/>
      <c r="O3" s="12"/>
      <c r="P3" s="40" t="s">
        <v>129</v>
      </c>
      <c r="Q3" s="12"/>
      <c r="R3" s="12"/>
      <c r="S3" s="12"/>
    </row>
    <row r="4" spans="1:19" ht="13.5" customHeight="1" x14ac:dyDescent="0.25">
      <c r="A4" s="50" t="s">
        <v>2</v>
      </c>
      <c r="B4" s="50"/>
      <c r="C4" s="50"/>
      <c r="D4" s="16">
        <v>1500</v>
      </c>
      <c r="E4" s="16">
        <f t="shared" ref="E4:M4" si="1">D4*(1+$N$4)</f>
        <v>1530</v>
      </c>
      <c r="F4" s="16">
        <f t="shared" si="1"/>
        <v>1560.6000000000001</v>
      </c>
      <c r="G4" s="16">
        <f t="shared" si="1"/>
        <v>1591.8120000000001</v>
      </c>
      <c r="H4" s="16">
        <f t="shared" si="1"/>
        <v>1623.6482400000002</v>
      </c>
      <c r="I4" s="16">
        <f t="shared" si="1"/>
        <v>1656.1212048000002</v>
      </c>
      <c r="J4" s="16">
        <f t="shared" si="1"/>
        <v>1689.2436288960002</v>
      </c>
      <c r="K4" s="16">
        <f t="shared" si="1"/>
        <v>1723.0285014739202</v>
      </c>
      <c r="L4" s="16">
        <f t="shared" si="1"/>
        <v>1757.4890715033987</v>
      </c>
      <c r="M4" s="16">
        <f t="shared" si="1"/>
        <v>1792.6388529334668</v>
      </c>
      <c r="N4" s="1">
        <v>0.02</v>
      </c>
      <c r="O4" s="23" t="s">
        <v>3</v>
      </c>
      <c r="P4" s="12" t="s">
        <v>130</v>
      </c>
      <c r="Q4" s="12"/>
      <c r="R4" s="12"/>
      <c r="S4" s="12"/>
    </row>
    <row r="5" spans="1:19" ht="13.5" customHeight="1" x14ac:dyDescent="0.25">
      <c r="A5" s="50" t="s">
        <v>4</v>
      </c>
      <c r="B5" s="50"/>
      <c r="C5" s="50"/>
      <c r="D5" s="8">
        <v>400</v>
      </c>
      <c r="E5" s="8">
        <f t="shared" ref="E5:M5" si="2">D5*(1+$N$5)</f>
        <v>440.00000000000006</v>
      </c>
      <c r="F5" s="8">
        <f t="shared" si="2"/>
        <v>484.00000000000011</v>
      </c>
      <c r="G5" s="8">
        <f t="shared" si="2"/>
        <v>532.4000000000002</v>
      </c>
      <c r="H5" s="8">
        <f t="shared" si="2"/>
        <v>585.64000000000033</v>
      </c>
      <c r="I5" s="8">
        <f t="shared" si="2"/>
        <v>644.20400000000041</v>
      </c>
      <c r="J5" s="8">
        <f t="shared" si="2"/>
        <v>708.62440000000049</v>
      </c>
      <c r="K5" s="8">
        <f t="shared" si="2"/>
        <v>779.4868400000006</v>
      </c>
      <c r="L5" s="8">
        <f t="shared" si="2"/>
        <v>857.43552400000078</v>
      </c>
      <c r="M5" s="8">
        <f t="shared" si="2"/>
        <v>943.17907640000089</v>
      </c>
      <c r="N5" s="13">
        <v>0.1</v>
      </c>
      <c r="O5" s="23" t="s">
        <v>3</v>
      </c>
      <c r="P5" s="12" t="s">
        <v>131</v>
      </c>
      <c r="Q5" s="12"/>
      <c r="R5" s="12"/>
      <c r="S5" s="12"/>
    </row>
    <row r="6" spans="1:19" ht="13.5" customHeight="1" x14ac:dyDescent="0.25">
      <c r="A6" s="50" t="s">
        <v>5</v>
      </c>
      <c r="B6" s="50"/>
      <c r="C6" s="50"/>
      <c r="D6" s="38">
        <f>D7*0.6</f>
        <v>42</v>
      </c>
      <c r="E6" s="38">
        <f t="shared" ref="E6:M6" si="3">D6*(1+$N$6)</f>
        <v>42.84</v>
      </c>
      <c r="F6" s="38">
        <f t="shared" si="3"/>
        <v>43.696800000000003</v>
      </c>
      <c r="G6" s="38">
        <f t="shared" si="3"/>
        <v>44.570736000000004</v>
      </c>
      <c r="H6" s="38">
        <f t="shared" si="3"/>
        <v>45.462150720000004</v>
      </c>
      <c r="I6" s="38">
        <f t="shared" si="3"/>
        <v>46.371393734400002</v>
      </c>
      <c r="J6" s="38">
        <f t="shared" si="3"/>
        <v>47.298821609088002</v>
      </c>
      <c r="K6" s="38">
        <f t="shared" si="3"/>
        <v>48.24479804126976</v>
      </c>
      <c r="L6" s="38">
        <f t="shared" si="3"/>
        <v>49.209694002095155</v>
      </c>
      <c r="M6" s="38">
        <f t="shared" si="3"/>
        <v>50.193887882137062</v>
      </c>
      <c r="N6" s="13">
        <v>0.02</v>
      </c>
      <c r="O6" s="23" t="s">
        <v>3</v>
      </c>
      <c r="P6" s="12" t="s">
        <v>132</v>
      </c>
      <c r="Q6" s="12" t="s">
        <v>133</v>
      </c>
      <c r="R6" s="12" t="s">
        <v>134</v>
      </c>
      <c r="S6" s="12"/>
    </row>
    <row r="7" spans="1:19" ht="13.5" customHeight="1" x14ac:dyDescent="0.25">
      <c r="A7" s="50" t="s">
        <v>6</v>
      </c>
      <c r="B7" s="50"/>
      <c r="C7" s="50"/>
      <c r="D7" s="11">
        <v>70</v>
      </c>
      <c r="E7" s="11">
        <f t="shared" ref="E7:M7" si="4">D7*(1+$N$7)</f>
        <v>71.400000000000006</v>
      </c>
      <c r="F7" s="11">
        <f t="shared" si="4"/>
        <v>72.828000000000003</v>
      </c>
      <c r="G7" s="11">
        <f t="shared" si="4"/>
        <v>74.284559999999999</v>
      </c>
      <c r="H7" s="11">
        <f t="shared" si="4"/>
        <v>75.770251200000004</v>
      </c>
      <c r="I7" s="11">
        <f t="shared" si="4"/>
        <v>77.285656224000007</v>
      </c>
      <c r="J7" s="11">
        <f t="shared" si="4"/>
        <v>78.83136934848001</v>
      </c>
      <c r="K7" s="11">
        <f t="shared" si="4"/>
        <v>80.407996735449615</v>
      </c>
      <c r="L7" s="11">
        <f t="shared" si="4"/>
        <v>82.016156670158608</v>
      </c>
      <c r="M7" s="11">
        <f t="shared" si="4"/>
        <v>83.65647980356178</v>
      </c>
      <c r="N7" s="13">
        <v>0.02</v>
      </c>
      <c r="O7" s="23" t="s">
        <v>3</v>
      </c>
      <c r="P7" s="12"/>
      <c r="Q7" s="12"/>
      <c r="R7" s="12"/>
      <c r="S7" s="12"/>
    </row>
    <row r="8" spans="1:19" ht="13.5" customHeight="1" x14ac:dyDescent="0.25">
      <c r="A8" s="50" t="s">
        <v>7</v>
      </c>
      <c r="B8" s="50"/>
      <c r="C8" s="50"/>
      <c r="D8" s="11">
        <v>1000</v>
      </c>
      <c r="E8" s="11">
        <f t="shared" ref="E8:M8" si="5">D8*(1+$N$8)</f>
        <v>1080</v>
      </c>
      <c r="F8" s="11">
        <f t="shared" si="5"/>
        <v>1166.4000000000001</v>
      </c>
      <c r="G8" s="11">
        <f t="shared" si="5"/>
        <v>1259.7120000000002</v>
      </c>
      <c r="H8" s="11">
        <f t="shared" si="5"/>
        <v>1360.4889600000004</v>
      </c>
      <c r="I8" s="11">
        <f t="shared" si="5"/>
        <v>1469.3280768000004</v>
      </c>
      <c r="J8" s="11">
        <f t="shared" si="5"/>
        <v>1586.8743229440006</v>
      </c>
      <c r="K8" s="11">
        <f t="shared" si="5"/>
        <v>1713.8242687795207</v>
      </c>
      <c r="L8" s="11">
        <f t="shared" si="5"/>
        <v>1850.9302102818824</v>
      </c>
      <c r="M8" s="11">
        <f t="shared" si="5"/>
        <v>1999.0046271044332</v>
      </c>
      <c r="N8" s="13">
        <v>0.08</v>
      </c>
      <c r="O8" s="23" t="s">
        <v>3</v>
      </c>
      <c r="P8" s="12"/>
      <c r="Q8" s="12"/>
      <c r="R8" s="12"/>
      <c r="S8" s="12"/>
    </row>
    <row r="9" spans="1:19" ht="13.5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13"/>
      <c r="O9" s="12"/>
      <c r="P9" s="12"/>
      <c r="Q9" s="12"/>
      <c r="R9" s="12"/>
      <c r="S9" s="12"/>
    </row>
    <row r="10" spans="1:19" ht="13.5" customHeight="1" x14ac:dyDescent="0.25">
      <c r="A10" s="50" t="s">
        <v>8</v>
      </c>
      <c r="B10" s="50"/>
      <c r="C10" s="50"/>
      <c r="D10" s="27">
        <v>3</v>
      </c>
      <c r="E10" s="27">
        <f t="shared" ref="E10:M10" si="6">D10*(1+$N$10)</f>
        <v>2.9849999999999999</v>
      </c>
      <c r="F10" s="27">
        <f t="shared" si="6"/>
        <v>2.970075</v>
      </c>
      <c r="G10" s="27">
        <f t="shared" si="6"/>
        <v>2.955224625</v>
      </c>
      <c r="H10" s="27">
        <f t="shared" si="6"/>
        <v>2.9404485018750002</v>
      </c>
      <c r="I10" s="27">
        <f t="shared" si="6"/>
        <v>2.9257462593656252</v>
      </c>
      <c r="J10" s="27">
        <f t="shared" si="6"/>
        <v>2.9111175280687971</v>
      </c>
      <c r="K10" s="27">
        <f t="shared" si="6"/>
        <v>2.8965619404284531</v>
      </c>
      <c r="L10" s="27">
        <f t="shared" si="6"/>
        <v>2.8820791307263107</v>
      </c>
      <c r="M10" s="27">
        <f t="shared" si="6"/>
        <v>2.8676687350726793</v>
      </c>
      <c r="N10" s="13">
        <v>-5.0000000000000001E-3</v>
      </c>
      <c r="O10" s="23" t="s">
        <v>3</v>
      </c>
      <c r="P10" s="12"/>
      <c r="Q10" s="12"/>
      <c r="R10" s="12"/>
      <c r="S10" s="12"/>
    </row>
    <row r="11" spans="1:19" ht="13.5" customHeight="1" x14ac:dyDescent="0.25">
      <c r="A11" s="50" t="s">
        <v>9</v>
      </c>
      <c r="B11" s="50"/>
      <c r="C11" s="50"/>
      <c r="D11" s="27">
        <f>365/4</f>
        <v>91.25</v>
      </c>
      <c r="E11" s="27">
        <f t="shared" ref="E11:M11" si="7">D11*(1+$N$11)</f>
        <v>86.6875</v>
      </c>
      <c r="F11" s="27">
        <f t="shared" si="7"/>
        <v>82.353124999999991</v>
      </c>
      <c r="G11" s="27">
        <f t="shared" si="7"/>
        <v>78.235468749999981</v>
      </c>
      <c r="H11" s="27">
        <f t="shared" si="7"/>
        <v>74.323695312499979</v>
      </c>
      <c r="I11" s="27">
        <f t="shared" si="7"/>
        <v>70.607510546874977</v>
      </c>
      <c r="J11" s="27">
        <f t="shared" si="7"/>
        <v>67.077135019531227</v>
      </c>
      <c r="K11" s="27">
        <f t="shared" si="7"/>
        <v>63.723278268554665</v>
      </c>
      <c r="L11" s="27">
        <f t="shared" si="7"/>
        <v>60.537114355126931</v>
      </c>
      <c r="M11" s="27">
        <f t="shared" si="7"/>
        <v>57.510258637370583</v>
      </c>
      <c r="N11" s="13">
        <v>-0.05</v>
      </c>
      <c r="O11" s="23" t="s">
        <v>3</v>
      </c>
      <c r="P11" s="12"/>
      <c r="Q11" s="12"/>
      <c r="R11" s="12"/>
      <c r="S11" s="12"/>
    </row>
    <row r="12" spans="1:19" ht="13.5" customHeight="1" x14ac:dyDescent="0.25">
      <c r="A12" s="50" t="s">
        <v>10</v>
      </c>
      <c r="B12" s="50"/>
      <c r="C12" s="50"/>
      <c r="D12" s="27">
        <v>30</v>
      </c>
      <c r="E12" s="27">
        <f t="shared" ref="E12:M12" si="8">D12*(1+$N$12)</f>
        <v>29.85</v>
      </c>
      <c r="F12" s="27">
        <f t="shared" si="8"/>
        <v>29.700750000000003</v>
      </c>
      <c r="G12" s="27">
        <f t="shared" si="8"/>
        <v>29.552246250000003</v>
      </c>
      <c r="H12" s="27">
        <f t="shared" si="8"/>
        <v>29.404485018750002</v>
      </c>
      <c r="I12" s="27">
        <f t="shared" si="8"/>
        <v>29.257462593656253</v>
      </c>
      <c r="J12" s="27">
        <f t="shared" si="8"/>
        <v>29.111175280687974</v>
      </c>
      <c r="K12" s="27">
        <f t="shared" si="8"/>
        <v>28.965619404284535</v>
      </c>
      <c r="L12" s="27">
        <f t="shared" si="8"/>
        <v>28.820791307263111</v>
      </c>
      <c r="M12" s="27">
        <f t="shared" si="8"/>
        <v>28.676687350726795</v>
      </c>
      <c r="N12" s="23">
        <v>-5.0000000000000001E-3</v>
      </c>
      <c r="O12" s="23" t="s">
        <v>3</v>
      </c>
      <c r="P12" s="12"/>
      <c r="Q12" s="12"/>
      <c r="R12" s="12"/>
      <c r="S12" s="12"/>
    </row>
    <row r="13" spans="1:19" ht="13.5" customHeight="1" x14ac:dyDescent="0.2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12"/>
      <c r="O13" s="12"/>
      <c r="P13" s="12"/>
      <c r="Q13" s="12"/>
      <c r="R13" s="12"/>
      <c r="S13" s="12"/>
    </row>
    <row r="14" spans="1:19" ht="13.5" customHeight="1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12"/>
      <c r="O14" s="12"/>
      <c r="P14" s="12"/>
      <c r="Q14" s="12"/>
      <c r="R14" s="12"/>
      <c r="S14" s="12"/>
    </row>
    <row r="15" spans="1:19" ht="13.5" customHeight="1" x14ac:dyDescent="0.25">
      <c r="A15" s="15" t="s">
        <v>11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12"/>
      <c r="O15" s="12"/>
      <c r="P15" s="12"/>
      <c r="Q15" s="12"/>
      <c r="R15" s="12"/>
      <c r="S15" s="12"/>
    </row>
    <row r="16" spans="1:19" ht="13.5" customHeight="1" x14ac:dyDescent="0.25">
      <c r="A16" s="50" t="s">
        <v>12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12"/>
      <c r="O16" s="12"/>
      <c r="P16" s="12"/>
      <c r="Q16" s="12"/>
      <c r="R16" s="12"/>
      <c r="S16" s="12"/>
    </row>
    <row r="17" spans="1:19" ht="13.5" customHeight="1" x14ac:dyDescent="0.25">
      <c r="A17" s="50"/>
      <c r="B17" s="50" t="s">
        <v>13</v>
      </c>
      <c r="C17" s="10"/>
      <c r="D17" s="10">
        <f t="shared" ref="D17:M17" si="9">D4*D5</f>
        <v>600000</v>
      </c>
      <c r="E17" s="10">
        <f t="shared" si="9"/>
        <v>673200.00000000012</v>
      </c>
      <c r="F17" s="10">
        <f t="shared" si="9"/>
        <v>755330.40000000026</v>
      </c>
      <c r="G17" s="10">
        <f t="shared" si="9"/>
        <v>847480.70880000037</v>
      </c>
      <c r="H17" s="10">
        <f t="shared" si="9"/>
        <v>950873.35527360067</v>
      </c>
      <c r="I17" s="10">
        <f t="shared" si="9"/>
        <v>1066879.9046169801</v>
      </c>
      <c r="J17" s="10">
        <f t="shared" si="9"/>
        <v>1197039.2529802516</v>
      </c>
      <c r="K17" s="10">
        <f t="shared" si="9"/>
        <v>1343078.0418438425</v>
      </c>
      <c r="L17" s="10">
        <f t="shared" si="9"/>
        <v>1506933.5629487915</v>
      </c>
      <c r="M17" s="10">
        <f t="shared" si="9"/>
        <v>1690779.4576285442</v>
      </c>
      <c r="N17" s="12"/>
      <c r="O17" s="12"/>
      <c r="P17" s="12"/>
      <c r="Q17" s="12"/>
      <c r="R17" s="12"/>
      <c r="S17" s="12"/>
    </row>
    <row r="18" spans="1:19" ht="13.5" customHeight="1" x14ac:dyDescent="0.25">
      <c r="A18" s="50"/>
      <c r="B18" s="50" t="s">
        <v>14</v>
      </c>
      <c r="C18" s="10"/>
      <c r="D18" s="10">
        <f t="shared" ref="D18:M18" si="10">D7*D8</f>
        <v>70000</v>
      </c>
      <c r="E18" s="10">
        <f t="shared" si="10"/>
        <v>77112</v>
      </c>
      <c r="F18" s="10">
        <f t="shared" si="10"/>
        <v>84946.579200000007</v>
      </c>
      <c r="G18" s="10">
        <f t="shared" si="10"/>
        <v>93577.151646720013</v>
      </c>
      <c r="H18" s="10">
        <f t="shared" si="10"/>
        <v>103084.59025402679</v>
      </c>
      <c r="I18" s="10">
        <f t="shared" si="10"/>
        <v>113557.98462383592</v>
      </c>
      <c r="J18" s="10">
        <f t="shared" si="10"/>
        <v>125095.47586161766</v>
      </c>
      <c r="K18" s="10">
        <f t="shared" si="10"/>
        <v>137805.17620915803</v>
      </c>
      <c r="L18" s="10">
        <f t="shared" si="10"/>
        <v>151806.18211200848</v>
      </c>
      <c r="M18" s="10">
        <f t="shared" si="10"/>
        <v>167229.69021458857</v>
      </c>
      <c r="N18" s="12"/>
      <c r="O18" s="12"/>
      <c r="P18" s="12"/>
      <c r="Q18" s="12"/>
      <c r="R18" s="12"/>
      <c r="S18" s="12"/>
    </row>
    <row r="19" spans="1:19" ht="13.5" customHeight="1" x14ac:dyDescent="0.25">
      <c r="A19" s="50"/>
      <c r="B19" s="5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2"/>
      <c r="O19" s="12"/>
      <c r="P19" s="12"/>
      <c r="Q19" s="12"/>
      <c r="R19" s="12"/>
      <c r="S19" s="12"/>
    </row>
    <row r="20" spans="1:19" ht="13.5" customHeight="1" x14ac:dyDescent="0.25">
      <c r="A20" s="50" t="s">
        <v>15</v>
      </c>
      <c r="B20" s="50"/>
      <c r="C20" s="10"/>
      <c r="D20" s="10">
        <f t="shared" ref="D20:M20" si="11">(D5*D3)+(D6*D8)</f>
        <v>442000</v>
      </c>
      <c r="E20" s="10">
        <f t="shared" si="11"/>
        <v>495067.20000000007</v>
      </c>
      <c r="F20" s="10">
        <f t="shared" si="11"/>
        <v>554521.54752000014</v>
      </c>
      <c r="G20" s="10">
        <f t="shared" si="11"/>
        <v>621133.43018803222</v>
      </c>
      <c r="H20" s="10">
        <f t="shared" si="11"/>
        <v>695766.32433481643</v>
      </c>
      <c r="I20" s="10">
        <f t="shared" si="11"/>
        <v>779388.06051895488</v>
      </c>
      <c r="J20" s="10">
        <f t="shared" si="11"/>
        <v>873083.45417047164</v>
      </c>
      <c r="K20" s="10">
        <f t="shared" si="11"/>
        <v>978068.466954723</v>
      </c>
      <c r="L20" s="10">
        <f t="shared" si="11"/>
        <v>1095706.0845663992</v>
      </c>
      <c r="M20" s="10">
        <f t="shared" si="11"/>
        <v>1227524.1192144491</v>
      </c>
      <c r="N20" s="12"/>
      <c r="O20" s="12"/>
      <c r="P20" s="12"/>
      <c r="Q20" s="12"/>
      <c r="R20" s="12"/>
      <c r="S20" s="12"/>
    </row>
    <row r="21" spans="1:19" ht="13.5" customHeight="1" x14ac:dyDescent="0.25">
      <c r="A21" s="50"/>
      <c r="B21" s="5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2"/>
      <c r="O21" s="12"/>
      <c r="P21" s="12"/>
      <c r="Q21" s="12"/>
      <c r="R21" s="12"/>
      <c r="S21" s="12"/>
    </row>
    <row r="22" spans="1:19" ht="13.5" customHeight="1" x14ac:dyDescent="0.25">
      <c r="A22" s="50" t="s">
        <v>16</v>
      </c>
      <c r="B22" s="5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2"/>
      <c r="O22" s="12"/>
      <c r="P22" s="12"/>
      <c r="Q22" s="12"/>
      <c r="R22" s="12"/>
      <c r="S22" s="12"/>
    </row>
    <row r="23" spans="1:19" ht="13.5" customHeight="1" x14ac:dyDescent="0.25">
      <c r="A23" s="50"/>
      <c r="B23" s="50" t="s">
        <v>17</v>
      </c>
      <c r="C23" s="10"/>
      <c r="D23" s="10">
        <f t="shared" ref="D23:M23" si="12">(D17+D18)*$N$23</f>
        <v>46900.000000000007</v>
      </c>
      <c r="E23" s="10">
        <f t="shared" si="12"/>
        <v>52521.840000000011</v>
      </c>
      <c r="F23" s="10">
        <f t="shared" si="12"/>
        <v>58819.388544000023</v>
      </c>
      <c r="G23" s="10">
        <f t="shared" si="12"/>
        <v>65874.050231270434</v>
      </c>
      <c r="H23" s="10">
        <f t="shared" si="12"/>
        <v>73777.056186933929</v>
      </c>
      <c r="I23" s="10">
        <f t="shared" si="12"/>
        <v>82630.652246857135</v>
      </c>
      <c r="J23" s="10">
        <f t="shared" si="12"/>
        <v>92549.431018930845</v>
      </c>
      <c r="K23" s="10">
        <f t="shared" si="12"/>
        <v>103661.82526371005</v>
      </c>
      <c r="L23" s="10">
        <f t="shared" si="12"/>
        <v>116111.78215425601</v>
      </c>
      <c r="M23" s="10">
        <f t="shared" si="12"/>
        <v>130060.6403490193</v>
      </c>
      <c r="N23" s="13">
        <v>7.0000000000000007E-2</v>
      </c>
      <c r="O23" s="23" t="s">
        <v>18</v>
      </c>
      <c r="P23" s="12"/>
      <c r="Q23" s="12"/>
      <c r="R23" s="12"/>
      <c r="S23" s="12"/>
    </row>
    <row r="24" spans="1:19" ht="13.5" customHeight="1" x14ac:dyDescent="0.25">
      <c r="A24" s="50"/>
      <c r="B24" s="50" t="s">
        <v>19</v>
      </c>
      <c r="C24" s="10"/>
      <c r="D24" s="10">
        <f t="shared" ref="D24:M24" si="13">(D17+D18)*$N$24</f>
        <v>100500</v>
      </c>
      <c r="E24" s="10">
        <f t="shared" si="13"/>
        <v>112546.80000000002</v>
      </c>
      <c r="F24" s="10">
        <f t="shared" si="13"/>
        <v>126041.54688000004</v>
      </c>
      <c r="G24" s="10">
        <f t="shared" si="13"/>
        <v>141158.67906700805</v>
      </c>
      <c r="H24" s="10">
        <f t="shared" si="13"/>
        <v>158093.69182914411</v>
      </c>
      <c r="I24" s="10">
        <f t="shared" si="13"/>
        <v>177065.6833861224</v>
      </c>
      <c r="J24" s="10">
        <f t="shared" si="13"/>
        <v>198320.20932628037</v>
      </c>
      <c r="K24" s="10">
        <f t="shared" si="13"/>
        <v>222132.48270795008</v>
      </c>
      <c r="L24" s="10">
        <f t="shared" si="13"/>
        <v>248810.96175911999</v>
      </c>
      <c r="M24" s="10">
        <f t="shared" si="13"/>
        <v>278701.37217646989</v>
      </c>
      <c r="N24" s="13">
        <v>0.15</v>
      </c>
      <c r="O24" s="23" t="s">
        <v>20</v>
      </c>
      <c r="P24" s="12"/>
      <c r="Q24" s="12"/>
      <c r="R24" s="12"/>
      <c r="S24" s="12"/>
    </row>
    <row r="25" spans="1:19" ht="13.5" customHeight="1" x14ac:dyDescent="0.25">
      <c r="A25" s="50"/>
      <c r="B25" s="5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2"/>
      <c r="O25" s="12"/>
      <c r="P25" s="12"/>
      <c r="Q25" s="12"/>
      <c r="R25" s="12"/>
      <c r="S25" s="12"/>
    </row>
    <row r="26" spans="1:19" ht="13.5" customHeight="1" x14ac:dyDescent="0.25">
      <c r="A26" s="50" t="s">
        <v>21</v>
      </c>
      <c r="B26" s="50"/>
      <c r="C26" s="10"/>
      <c r="D26" s="10">
        <f t="shared" ref="D26:M26" si="14">D42/$N$26</f>
        <v>11666.666666666666</v>
      </c>
      <c r="E26" s="10">
        <f t="shared" si="14"/>
        <v>11666.666666666666</v>
      </c>
      <c r="F26" s="10">
        <f t="shared" si="14"/>
        <v>11666.666666666666</v>
      </c>
      <c r="G26" s="10">
        <f t="shared" si="14"/>
        <v>11666.666666666666</v>
      </c>
      <c r="H26" s="10">
        <f t="shared" si="14"/>
        <v>11666.666666666666</v>
      </c>
      <c r="I26" s="10">
        <f t="shared" si="14"/>
        <v>11666.666666666666</v>
      </c>
      <c r="J26" s="10">
        <f t="shared" si="14"/>
        <v>11666.666666666666</v>
      </c>
      <c r="K26" s="10">
        <f t="shared" si="14"/>
        <v>11666.666666666666</v>
      </c>
      <c r="L26" s="10">
        <f t="shared" si="14"/>
        <v>11666.666666666666</v>
      </c>
      <c r="M26" s="10">
        <f t="shared" si="14"/>
        <v>11666.666666666666</v>
      </c>
      <c r="N26" s="23">
        <v>30</v>
      </c>
      <c r="O26" s="23" t="s">
        <v>22</v>
      </c>
      <c r="P26" s="12"/>
      <c r="Q26" s="12"/>
      <c r="R26" s="12"/>
      <c r="S26" s="12"/>
    </row>
    <row r="27" spans="1:19" ht="13.5" customHeight="1" x14ac:dyDescent="0.25">
      <c r="A27" s="50" t="s">
        <v>23</v>
      </c>
      <c r="B27" s="50"/>
      <c r="C27" s="10"/>
      <c r="D27" s="10">
        <f>Mortgage!D14</f>
        <v>27139.231920287843</v>
      </c>
      <c r="E27" s="10">
        <f>Mortgage!D28</f>
        <v>25162.319977479125</v>
      </c>
      <c r="F27" s="10">
        <f>Mortgage!D42</f>
        <v>23021.325318415398</v>
      </c>
      <c r="G27" s="10">
        <f>Mortgage!D56</f>
        <v>20702.629158571865</v>
      </c>
      <c r="H27" s="10">
        <f>Mortgage!D69</f>
        <v>18191.482361024857</v>
      </c>
      <c r="I27" s="10">
        <f>Mortgage!D82</f>
        <v>15471.911617760183</v>
      </c>
      <c r="J27" s="10">
        <f>Mortgage!D96</f>
        <v>12526.617844076402</v>
      </c>
      <c r="K27" s="10">
        <f>Mortgage!D110</f>
        <v>9336.8661397736396</v>
      </c>
      <c r="L27" s="10">
        <f>Mortgage!D124</f>
        <v>5882.3666171753293</v>
      </c>
      <c r="M27" s="10">
        <f>Mortgage!D137</f>
        <v>2141.1453379345803</v>
      </c>
      <c r="N27" s="3">
        <v>0.08</v>
      </c>
      <c r="O27" s="23" t="s">
        <v>24</v>
      </c>
      <c r="P27" s="12"/>
      <c r="Q27" s="12"/>
      <c r="R27" s="12"/>
      <c r="S27" s="12"/>
    </row>
    <row r="28" spans="1:19" ht="13.5" customHeight="1" x14ac:dyDescent="0.25">
      <c r="A28" s="50" t="s">
        <v>25</v>
      </c>
      <c r="B28" s="50"/>
      <c r="C28" s="10"/>
      <c r="D28" s="10">
        <f t="shared" ref="D28:M28" si="15">$N$28*D52</f>
        <v>152.68</v>
      </c>
      <c r="E28" s="10">
        <f t="shared" si="15"/>
        <v>0</v>
      </c>
      <c r="F28" s="10">
        <f t="shared" si="15"/>
        <v>0</v>
      </c>
      <c r="G28" s="10">
        <f t="shared" si="15"/>
        <v>0</v>
      </c>
      <c r="H28" s="10">
        <f t="shared" si="15"/>
        <v>0</v>
      </c>
      <c r="I28" s="10">
        <f t="shared" si="15"/>
        <v>0</v>
      </c>
      <c r="J28" s="10">
        <f t="shared" si="15"/>
        <v>0</v>
      </c>
      <c r="K28" s="10">
        <f t="shared" si="15"/>
        <v>0</v>
      </c>
      <c r="L28" s="10">
        <f t="shared" si="15"/>
        <v>0</v>
      </c>
      <c r="M28" s="10">
        <f t="shared" si="15"/>
        <v>0.11</v>
      </c>
      <c r="N28" s="13">
        <v>0.11</v>
      </c>
      <c r="O28" s="23" t="s">
        <v>26</v>
      </c>
      <c r="P28" s="12"/>
      <c r="Q28" s="12"/>
      <c r="R28" s="12"/>
      <c r="S28" s="12"/>
    </row>
    <row r="29" spans="1:19" ht="13.5" customHeight="1" x14ac:dyDescent="0.25">
      <c r="A29" s="50"/>
      <c r="B29" s="5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3"/>
      <c r="O29" s="12"/>
      <c r="P29" s="12"/>
      <c r="Q29" s="12"/>
      <c r="R29" s="12"/>
      <c r="S29" s="12"/>
    </row>
    <row r="30" spans="1:19" ht="13.5" customHeight="1" x14ac:dyDescent="0.25">
      <c r="A30" s="50" t="s">
        <v>27</v>
      </c>
      <c r="B30" s="50"/>
      <c r="C30" s="10"/>
      <c r="D30" s="10">
        <f t="shared" ref="D30:M30" si="16">SUM(D17:D18)-SUM(D20:D28)</f>
        <v>41641.421413045493</v>
      </c>
      <c r="E30" s="10">
        <f t="shared" si="16"/>
        <v>53347.173355854233</v>
      </c>
      <c r="F30" s="10">
        <f t="shared" si="16"/>
        <v>66206.504270918085</v>
      </c>
      <c r="G30" s="10">
        <f t="shared" si="16"/>
        <v>80522.405135171255</v>
      </c>
      <c r="H30" s="10">
        <f t="shared" si="16"/>
        <v>96462.72414904146</v>
      </c>
      <c r="I30" s="10">
        <f t="shared" si="16"/>
        <v>114214.91480445466</v>
      </c>
      <c r="J30" s="10">
        <f t="shared" si="16"/>
        <v>133988.34981544316</v>
      </c>
      <c r="K30" s="10">
        <f t="shared" si="16"/>
        <v>156016.91032017698</v>
      </c>
      <c r="L30" s="10">
        <f t="shared" si="16"/>
        <v>180561.88329718285</v>
      </c>
      <c r="M30" s="10">
        <f t="shared" si="16"/>
        <v>207915.09409859311</v>
      </c>
      <c r="N30" s="13"/>
      <c r="O30" s="12"/>
      <c r="P30" s="12"/>
      <c r="Q30" s="12"/>
      <c r="R30" s="12"/>
      <c r="S30" s="12"/>
    </row>
    <row r="31" spans="1:19" ht="13.5" customHeight="1" x14ac:dyDescent="0.25">
      <c r="A31" s="50" t="s">
        <v>28</v>
      </c>
      <c r="B31" s="50"/>
      <c r="C31" s="10"/>
      <c r="D31" s="10">
        <f t="shared" ref="D31:M31" si="17">IF((D30&lt;0),0,(D30*$N$31))</f>
        <v>8328.2842826090982</v>
      </c>
      <c r="E31" s="10">
        <f t="shared" si="17"/>
        <v>10669.434671170848</v>
      </c>
      <c r="F31" s="10">
        <f t="shared" si="17"/>
        <v>13241.300854183617</v>
      </c>
      <c r="G31" s="10">
        <f t="shared" si="17"/>
        <v>16104.481027034251</v>
      </c>
      <c r="H31" s="10">
        <f t="shared" si="17"/>
        <v>19292.544829808292</v>
      </c>
      <c r="I31" s="10">
        <f t="shared" si="17"/>
        <v>22842.982960890935</v>
      </c>
      <c r="J31" s="10">
        <f t="shared" si="17"/>
        <v>26797.669963088632</v>
      </c>
      <c r="K31" s="10">
        <f t="shared" si="17"/>
        <v>31203.382064035395</v>
      </c>
      <c r="L31" s="10">
        <f t="shared" si="17"/>
        <v>36112.376659436573</v>
      </c>
      <c r="M31" s="10">
        <f t="shared" si="17"/>
        <v>41583.018819718622</v>
      </c>
      <c r="N31" s="13">
        <v>0.2</v>
      </c>
      <c r="O31" s="23" t="s">
        <v>29</v>
      </c>
      <c r="P31" s="12"/>
      <c r="Q31" s="12"/>
      <c r="R31" s="12"/>
      <c r="S31" s="12"/>
    </row>
    <row r="32" spans="1:19" ht="13.5" customHeight="1" x14ac:dyDescent="0.25">
      <c r="A32" s="50" t="s">
        <v>30</v>
      </c>
      <c r="B32" s="50"/>
      <c r="C32" s="10"/>
      <c r="D32" s="10">
        <f t="shared" ref="D32:M32" si="18">D30-D31</f>
        <v>33313.137130436393</v>
      </c>
      <c r="E32" s="10">
        <f t="shared" si="18"/>
        <v>42677.738684683383</v>
      </c>
      <c r="F32" s="10">
        <f t="shared" si="18"/>
        <v>52965.203416734468</v>
      </c>
      <c r="G32" s="10">
        <f t="shared" si="18"/>
        <v>64417.924108137006</v>
      </c>
      <c r="H32" s="10">
        <f t="shared" si="18"/>
        <v>77170.179319233168</v>
      </c>
      <c r="I32" s="10">
        <f t="shared" si="18"/>
        <v>91371.931843563725</v>
      </c>
      <c r="J32" s="10">
        <f t="shared" si="18"/>
        <v>107190.67985235453</v>
      </c>
      <c r="K32" s="10">
        <f t="shared" si="18"/>
        <v>124813.52825614158</v>
      </c>
      <c r="L32" s="10">
        <f t="shared" si="18"/>
        <v>144449.50663774629</v>
      </c>
      <c r="M32" s="10">
        <f t="shared" si="18"/>
        <v>166332.07527887449</v>
      </c>
      <c r="N32" s="12"/>
      <c r="O32" s="12"/>
      <c r="P32" s="12"/>
      <c r="Q32" s="12"/>
      <c r="R32" s="12"/>
      <c r="S32" s="12"/>
    </row>
    <row r="33" spans="1:19" ht="13.5" customHeight="1" x14ac:dyDescent="0.25">
      <c r="A33" s="50"/>
      <c r="B33" s="5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2"/>
      <c r="O33" s="12"/>
      <c r="P33" s="12"/>
      <c r="Q33" s="12"/>
      <c r="R33" s="12"/>
      <c r="S33" s="12"/>
    </row>
    <row r="34" spans="1:19" ht="13.5" customHeight="1" x14ac:dyDescent="0.25">
      <c r="A34" s="15" t="s">
        <v>31</v>
      </c>
      <c r="B34" s="5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2"/>
      <c r="O34" s="12"/>
      <c r="P34" s="12"/>
      <c r="Q34" s="12"/>
      <c r="R34" s="12"/>
      <c r="S34" s="12"/>
    </row>
    <row r="35" spans="1:19" ht="13.5" customHeight="1" x14ac:dyDescent="0.25">
      <c r="A35" s="50" t="s">
        <v>32</v>
      </c>
      <c r="B35" s="5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2"/>
      <c r="O35" s="12"/>
      <c r="P35" s="12"/>
      <c r="Q35" s="12"/>
      <c r="R35" s="12"/>
      <c r="S35" s="12"/>
    </row>
    <row r="36" spans="1:19" ht="13.5" customHeight="1" x14ac:dyDescent="0.25">
      <c r="A36" s="50" t="s">
        <v>33</v>
      </c>
      <c r="B36" s="50"/>
      <c r="C36" s="10"/>
      <c r="D36" s="10">
        <v>1200</v>
      </c>
      <c r="E36" s="10">
        <f t="shared" ref="E36:M36" si="19">D36</f>
        <v>1200</v>
      </c>
      <c r="F36" s="10">
        <f t="shared" si="19"/>
        <v>1200</v>
      </c>
      <c r="G36" s="10">
        <f t="shared" si="19"/>
        <v>1200</v>
      </c>
      <c r="H36" s="10">
        <f t="shared" si="19"/>
        <v>1200</v>
      </c>
      <c r="I36" s="10">
        <f t="shared" si="19"/>
        <v>1200</v>
      </c>
      <c r="J36" s="10">
        <f t="shared" si="19"/>
        <v>1200</v>
      </c>
      <c r="K36" s="10">
        <f t="shared" si="19"/>
        <v>1200</v>
      </c>
      <c r="L36" s="10">
        <f t="shared" si="19"/>
        <v>1200</v>
      </c>
      <c r="M36" s="10">
        <f t="shared" si="19"/>
        <v>1200</v>
      </c>
      <c r="N36" s="12"/>
      <c r="O36" s="12"/>
      <c r="P36" s="12"/>
      <c r="Q36" s="12"/>
      <c r="R36" s="12"/>
      <c r="S36" s="12"/>
    </row>
    <row r="37" spans="1:19" ht="13.5" customHeight="1" x14ac:dyDescent="0.25">
      <c r="A37" s="50" t="s">
        <v>34</v>
      </c>
      <c r="B37" s="50"/>
      <c r="C37" s="10"/>
      <c r="D37" s="10">
        <v>46597</v>
      </c>
      <c r="E37" s="10">
        <v>69495</v>
      </c>
      <c r="F37" s="10">
        <v>101231</v>
      </c>
      <c r="G37" s="10">
        <v>142032</v>
      </c>
      <c r="H37" s="10">
        <v>193032</v>
      </c>
      <c r="I37" s="10">
        <v>255505</v>
      </c>
      <c r="J37" s="10">
        <v>330880</v>
      </c>
      <c r="K37" s="10">
        <v>420765</v>
      </c>
      <c r="L37" s="10">
        <v>526963</v>
      </c>
      <c r="M37" s="10">
        <v>651499</v>
      </c>
      <c r="N37" s="12"/>
      <c r="O37" s="12"/>
      <c r="P37" s="12"/>
      <c r="Q37" s="12"/>
      <c r="R37" s="12"/>
      <c r="S37" s="12"/>
    </row>
    <row r="38" spans="1:19" ht="13.5" customHeight="1" x14ac:dyDescent="0.25">
      <c r="A38" s="50" t="s">
        <v>35</v>
      </c>
      <c r="B38" s="50"/>
      <c r="C38" s="10"/>
      <c r="D38" s="10">
        <f>((D17+D18)/365)*D10</f>
        <v>5506.8493150684926</v>
      </c>
      <c r="E38" s="10">
        <f t="shared" ref="E38:M38" si="20">(E17/365)*E10</f>
        <v>5505.4849315068504</v>
      </c>
      <c r="F38" s="10">
        <f t="shared" si="20"/>
        <v>6146.2683226849331</v>
      </c>
      <c r="G38" s="10">
        <f t="shared" si="20"/>
        <v>6861.6324927622327</v>
      </c>
      <c r="H38" s="10">
        <f t="shared" si="20"/>
        <v>7660.2578985948321</v>
      </c>
      <c r="I38" s="10">
        <f t="shared" si="20"/>
        <v>8551.8353154122869</v>
      </c>
      <c r="J38" s="10">
        <f t="shared" si="20"/>
        <v>9547.1834277731214</v>
      </c>
      <c r="K38" s="10">
        <f t="shared" si="20"/>
        <v>10658.380106931636</v>
      </c>
      <c r="L38" s="10">
        <f t="shared" si="20"/>
        <v>11898.90896757741</v>
      </c>
      <c r="M38" s="10">
        <f t="shared" si="20"/>
        <v>13283.822982313748</v>
      </c>
      <c r="N38" s="12"/>
      <c r="O38" s="12"/>
      <c r="P38" s="12"/>
      <c r="Q38" s="12"/>
      <c r="R38" s="12"/>
      <c r="S38" s="12"/>
    </row>
    <row r="39" spans="1:19" ht="13.5" customHeight="1" x14ac:dyDescent="0.25">
      <c r="A39" s="50" t="s">
        <v>36</v>
      </c>
      <c r="B39" s="50"/>
      <c r="C39" s="10"/>
      <c r="D39" s="10">
        <f t="shared" ref="D39:M39" si="21">(D20/365)*D11</f>
        <v>110499.99999999999</v>
      </c>
      <c r="E39" s="10">
        <f t="shared" si="21"/>
        <v>117578.46</v>
      </c>
      <c r="F39" s="10">
        <f t="shared" si="21"/>
        <v>125113.92415920002</v>
      </c>
      <c r="G39" s="10">
        <f t="shared" si="21"/>
        <v>133136.06867686601</v>
      </c>
      <c r="H39" s="10">
        <f t="shared" si="21"/>
        <v>141676.50492755871</v>
      </c>
      <c r="I39" s="10">
        <f t="shared" si="21"/>
        <v>150768.90603616586</v>
      </c>
      <c r="J39" s="10">
        <f t="shared" si="21"/>
        <v>160449.14174989433</v>
      </c>
      <c r="K39" s="10">
        <f t="shared" si="21"/>
        <v>170755.42215193008</v>
      </c>
      <c r="L39" s="10">
        <f t="shared" si="21"/>
        <v>181728.45079727258</v>
      </c>
      <c r="M39" s="10">
        <f t="shared" si="21"/>
        <v>193411.58788940683</v>
      </c>
      <c r="N39" s="12"/>
      <c r="O39" s="12"/>
      <c r="P39" s="12"/>
      <c r="Q39" s="12"/>
      <c r="R39" s="12"/>
      <c r="S39" s="12"/>
    </row>
    <row r="40" spans="1:19" ht="13.5" customHeight="1" x14ac:dyDescent="0.25">
      <c r="A40" s="50"/>
      <c r="B40" s="5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2"/>
      <c r="O40" s="12"/>
      <c r="P40" s="12"/>
      <c r="Q40" s="12"/>
      <c r="R40" s="12"/>
      <c r="S40" s="12"/>
    </row>
    <row r="41" spans="1:19" ht="13.5" customHeight="1" x14ac:dyDescent="0.25">
      <c r="A41" s="50" t="s">
        <v>37</v>
      </c>
      <c r="B41" s="50"/>
      <c r="C41" s="10"/>
      <c r="D41" s="10">
        <f>N41</f>
        <v>50000</v>
      </c>
      <c r="E41" s="10">
        <f t="shared" ref="E41:M41" si="22">D41</f>
        <v>50000</v>
      </c>
      <c r="F41" s="10">
        <f t="shared" si="22"/>
        <v>50000</v>
      </c>
      <c r="G41" s="10">
        <f t="shared" si="22"/>
        <v>50000</v>
      </c>
      <c r="H41" s="10">
        <f t="shared" si="22"/>
        <v>50000</v>
      </c>
      <c r="I41" s="10">
        <f t="shared" si="22"/>
        <v>50000</v>
      </c>
      <c r="J41" s="10">
        <f t="shared" si="22"/>
        <v>50000</v>
      </c>
      <c r="K41" s="10">
        <f t="shared" si="22"/>
        <v>50000</v>
      </c>
      <c r="L41" s="10">
        <f t="shared" si="22"/>
        <v>50000</v>
      </c>
      <c r="M41" s="10">
        <f t="shared" si="22"/>
        <v>50000</v>
      </c>
      <c r="N41" s="23">
        <v>50000</v>
      </c>
      <c r="O41" s="12"/>
      <c r="P41" s="12"/>
      <c r="Q41" s="12"/>
      <c r="R41" s="12"/>
      <c r="S41" s="12"/>
    </row>
    <row r="42" spans="1:19" ht="13.5" customHeight="1" x14ac:dyDescent="0.25">
      <c r="A42" s="50" t="s">
        <v>38</v>
      </c>
      <c r="B42" s="50"/>
      <c r="C42" s="10"/>
      <c r="D42" s="10">
        <f t="shared" ref="D42:M42" si="23">$N$42</f>
        <v>350000</v>
      </c>
      <c r="E42" s="10">
        <f t="shared" si="23"/>
        <v>350000</v>
      </c>
      <c r="F42" s="10">
        <f t="shared" si="23"/>
        <v>350000</v>
      </c>
      <c r="G42" s="10">
        <f t="shared" si="23"/>
        <v>350000</v>
      </c>
      <c r="H42" s="10">
        <f t="shared" si="23"/>
        <v>350000</v>
      </c>
      <c r="I42" s="10">
        <f t="shared" si="23"/>
        <v>350000</v>
      </c>
      <c r="J42" s="10">
        <f t="shared" si="23"/>
        <v>350000</v>
      </c>
      <c r="K42" s="10">
        <f t="shared" si="23"/>
        <v>350000</v>
      </c>
      <c r="L42" s="10">
        <f t="shared" si="23"/>
        <v>350000</v>
      </c>
      <c r="M42" s="10">
        <f t="shared" si="23"/>
        <v>350000</v>
      </c>
      <c r="N42" s="23">
        <v>350000</v>
      </c>
      <c r="O42" s="23" t="s">
        <v>39</v>
      </c>
      <c r="P42" s="12"/>
      <c r="Q42" s="12"/>
      <c r="R42" s="12"/>
      <c r="S42" s="12"/>
    </row>
    <row r="43" spans="1:19" ht="13.5" customHeight="1" x14ac:dyDescent="0.25">
      <c r="A43" s="50" t="s">
        <v>40</v>
      </c>
      <c r="B43" s="50"/>
      <c r="C43" s="10"/>
      <c r="D43" s="10">
        <f t="shared" ref="D43:M43" si="24">C43+D26</f>
        <v>11666.666666666666</v>
      </c>
      <c r="E43" s="10">
        <f t="shared" si="24"/>
        <v>23333.333333333332</v>
      </c>
      <c r="F43" s="10">
        <f t="shared" si="24"/>
        <v>35000</v>
      </c>
      <c r="G43" s="10">
        <f t="shared" si="24"/>
        <v>46666.666666666664</v>
      </c>
      <c r="H43" s="10">
        <f t="shared" si="24"/>
        <v>58333.333333333328</v>
      </c>
      <c r="I43" s="10">
        <f t="shared" si="24"/>
        <v>70000</v>
      </c>
      <c r="J43" s="10">
        <f t="shared" si="24"/>
        <v>81666.666666666672</v>
      </c>
      <c r="K43" s="10">
        <f t="shared" si="24"/>
        <v>93333.333333333343</v>
      </c>
      <c r="L43" s="10">
        <f t="shared" si="24"/>
        <v>105000.00000000001</v>
      </c>
      <c r="M43" s="10">
        <f t="shared" si="24"/>
        <v>116666.66666666669</v>
      </c>
      <c r="N43" s="12"/>
      <c r="O43" s="12"/>
      <c r="P43" s="12"/>
      <c r="Q43" s="12"/>
      <c r="R43" s="12"/>
      <c r="S43" s="12"/>
    </row>
    <row r="44" spans="1:19" ht="13.5" customHeight="1" x14ac:dyDescent="0.25">
      <c r="A44" s="50"/>
      <c r="B44" s="5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3" t="s">
        <v>41</v>
      </c>
      <c r="O44" s="12"/>
      <c r="P44" s="12"/>
      <c r="Q44" s="12"/>
      <c r="R44" s="12"/>
      <c r="S44" s="12"/>
    </row>
    <row r="45" spans="1:19" ht="13.5" customHeight="1" x14ac:dyDescent="0.25">
      <c r="A45" s="50" t="s">
        <v>43</v>
      </c>
      <c r="B45" s="50"/>
      <c r="C45" s="10"/>
      <c r="D45" s="10">
        <f t="shared" ref="D45:M45" si="25">SUM(D36:D42)-D43</f>
        <v>552137.18264840182</v>
      </c>
      <c r="E45" s="10">
        <f t="shared" si="25"/>
        <v>570445.61159817351</v>
      </c>
      <c r="F45" s="10">
        <f t="shared" si="25"/>
        <v>598691.19248188497</v>
      </c>
      <c r="G45" s="10">
        <f t="shared" si="25"/>
        <v>636563.03450296156</v>
      </c>
      <c r="H45" s="10">
        <f t="shared" si="25"/>
        <v>685235.42949282017</v>
      </c>
      <c r="I45" s="10">
        <f t="shared" si="25"/>
        <v>746025.74135157815</v>
      </c>
      <c r="J45" s="10">
        <f t="shared" si="25"/>
        <v>820409.6585110008</v>
      </c>
      <c r="K45" s="10">
        <f t="shared" si="25"/>
        <v>910045.46892552834</v>
      </c>
      <c r="L45" s="10">
        <f t="shared" si="25"/>
        <v>1016790.35976485</v>
      </c>
      <c r="M45" s="10">
        <f t="shared" si="25"/>
        <v>1142727.7442050537</v>
      </c>
      <c r="N45" s="23" t="s">
        <v>44</v>
      </c>
      <c r="O45" s="23">
        <v>1.97</v>
      </c>
      <c r="P45" s="12"/>
      <c r="Q45" s="12"/>
      <c r="R45" s="12"/>
      <c r="S45" s="12"/>
    </row>
    <row r="46" spans="1:19" ht="13.5" customHeight="1" x14ac:dyDescent="0.25">
      <c r="A46" s="50"/>
      <c r="B46" s="5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23" t="s">
        <v>45</v>
      </c>
      <c r="O46" s="1">
        <f>0.0013*52</f>
        <v>6.7599999999999993E-2</v>
      </c>
      <c r="P46" s="12"/>
      <c r="Q46" s="12"/>
      <c r="R46" s="12"/>
      <c r="S46" s="12"/>
    </row>
    <row r="47" spans="1:19" ht="13.5" customHeight="1" x14ac:dyDescent="0.25">
      <c r="A47" s="50" t="s">
        <v>47</v>
      </c>
      <c r="B47" s="5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23" t="s">
        <v>48</v>
      </c>
      <c r="O47" s="3">
        <v>0.19</v>
      </c>
      <c r="P47" s="12"/>
      <c r="Q47" s="12"/>
      <c r="R47" s="12"/>
      <c r="S47" s="12"/>
    </row>
    <row r="48" spans="1:19" ht="13.5" customHeight="1" x14ac:dyDescent="0.25">
      <c r="A48" s="50" t="s">
        <v>49</v>
      </c>
      <c r="B48" s="50"/>
      <c r="C48" s="10"/>
      <c r="D48" s="10">
        <f t="shared" ref="D48:M48" si="26">(D20/365)*D12</f>
        <v>36328.767123287667</v>
      </c>
      <c r="E48" s="10">
        <f t="shared" si="26"/>
        <v>40487.002520547947</v>
      </c>
      <c r="F48" s="10">
        <f t="shared" si="26"/>
        <v>45122.481787683959</v>
      </c>
      <c r="G48" s="10">
        <f t="shared" si="26"/>
        <v>50290.104337051824</v>
      </c>
      <c r="H48" s="10">
        <f t="shared" si="26"/>
        <v>56051.097151928392</v>
      </c>
      <c r="I48" s="10">
        <f t="shared" si="26"/>
        <v>62473.74527828936</v>
      </c>
      <c r="J48" s="10">
        <f t="shared" si="26"/>
        <v>69634.206764452349</v>
      </c>
      <c r="K48" s="10">
        <f t="shared" si="26"/>
        <v>77617.421822308359</v>
      </c>
      <c r="L48" s="10">
        <f t="shared" si="26"/>
        <v>86518.127116127609</v>
      </c>
      <c r="M48" s="10">
        <f t="shared" si="26"/>
        <v>96441.987348463124</v>
      </c>
      <c r="N48" s="23" t="s">
        <v>50</v>
      </c>
      <c r="O48" s="1">
        <f>(O45*(O47-O46))+O46</f>
        <v>0.308728</v>
      </c>
      <c r="P48" s="12"/>
      <c r="Q48" s="12"/>
      <c r="R48" s="12"/>
      <c r="S48" s="12"/>
    </row>
    <row r="49" spans="1:19" ht="13.5" customHeight="1" x14ac:dyDescent="0.25">
      <c r="A49" s="50" t="s">
        <v>51</v>
      </c>
      <c r="B49" s="50"/>
      <c r="C49" s="10"/>
      <c r="D49" s="10">
        <f t="shared" ref="D49:M49" si="27">D31</f>
        <v>8328.2842826090982</v>
      </c>
      <c r="E49" s="10">
        <f t="shared" si="27"/>
        <v>10669.434671170848</v>
      </c>
      <c r="F49" s="10">
        <f t="shared" si="27"/>
        <v>13241.300854183617</v>
      </c>
      <c r="G49" s="10">
        <f t="shared" si="27"/>
        <v>16104.481027034251</v>
      </c>
      <c r="H49" s="10">
        <f t="shared" si="27"/>
        <v>19292.544829808292</v>
      </c>
      <c r="I49" s="10">
        <f t="shared" si="27"/>
        <v>22842.982960890935</v>
      </c>
      <c r="J49" s="10">
        <f t="shared" si="27"/>
        <v>26797.669963088632</v>
      </c>
      <c r="K49" s="10">
        <f t="shared" si="27"/>
        <v>31203.382064035395</v>
      </c>
      <c r="L49" s="10">
        <f t="shared" si="27"/>
        <v>36112.376659436573</v>
      </c>
      <c r="M49" s="10">
        <f t="shared" si="27"/>
        <v>41583.018819718622</v>
      </c>
      <c r="N49" s="12"/>
      <c r="O49" s="12"/>
      <c r="P49" s="12"/>
      <c r="Q49" s="12"/>
      <c r="R49" s="12"/>
      <c r="S49" s="12"/>
    </row>
    <row r="50" spans="1:19" ht="13.5" customHeight="1" x14ac:dyDescent="0.25">
      <c r="A50" s="50"/>
      <c r="B50" s="5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23" t="s">
        <v>52</v>
      </c>
      <c r="O50" s="23" t="s">
        <v>53</v>
      </c>
      <c r="P50" s="23" t="s">
        <v>54</v>
      </c>
      <c r="Q50" s="23" t="s">
        <v>55</v>
      </c>
      <c r="R50" s="12" t="s">
        <v>56</v>
      </c>
      <c r="S50" s="12"/>
    </row>
    <row r="51" spans="1:19" ht="13.5" customHeight="1" x14ac:dyDescent="0.25">
      <c r="A51" s="50" t="s">
        <v>57</v>
      </c>
      <c r="B51" s="50"/>
      <c r="C51" s="10"/>
      <c r="D51" s="10">
        <f>'Good Mortgage'!F13</f>
        <v>372779.01976118621</v>
      </c>
      <c r="E51" s="10">
        <f>'Good Mortgage'!F27</f>
        <v>343298.71158773394</v>
      </c>
      <c r="F51" s="10">
        <f>'Good Mortgage'!F41</f>
        <v>311371.55237535178</v>
      </c>
      <c r="G51" s="10">
        <f>'Good Mortgage'!F55</f>
        <v>276794.45469457685</v>
      </c>
      <c r="H51" s="10">
        <f>'Good Mortgage'!F68</f>
        <v>239347.4749594625</v>
      </c>
      <c r="I51" s="10">
        <f>'Good Mortgage'!F81</f>
        <v>198792.41437490282</v>
      </c>
      <c r="J51" s="10">
        <f>'Good Mortgage'!F95</f>
        <v>154871.30376327597</v>
      </c>
      <c r="K51" s="10">
        <f>'Good Mortgage'!F109</f>
        <v>107304.76263244599</v>
      </c>
      <c r="L51" s="10">
        <f>'Good Mortgage'!F123</f>
        <v>55790.222047217896</v>
      </c>
      <c r="M51" s="10">
        <f>'Good Mortgage'!F136</f>
        <v>3.9199221646413207E-10</v>
      </c>
      <c r="N51" s="31">
        <f>AVERAGE(D51:M51)</f>
        <v>206034.99161961541</v>
      </c>
      <c r="O51" s="3">
        <f>N51/$N$57</f>
        <v>0.30133140534915126</v>
      </c>
      <c r="P51" s="3">
        <f>N27</f>
        <v>0.08</v>
      </c>
      <c r="Q51" s="1">
        <f>P51*(1-N31)</f>
        <v>6.4000000000000001E-2</v>
      </c>
      <c r="R51" s="51">
        <f>Q51*O51</f>
        <v>1.9285209942345682E-2</v>
      </c>
      <c r="S51" s="12"/>
    </row>
    <row r="52" spans="1:19" ht="13.5" customHeight="1" x14ac:dyDescent="0.25">
      <c r="A52" s="50" t="s">
        <v>58</v>
      </c>
      <c r="B52" s="50"/>
      <c r="C52" s="10"/>
      <c r="D52" s="10">
        <v>1388</v>
      </c>
      <c r="E52" s="10"/>
      <c r="F52" s="10"/>
      <c r="G52" s="10"/>
      <c r="H52" s="10"/>
      <c r="I52" s="10"/>
      <c r="J52" s="10"/>
      <c r="K52" s="10"/>
      <c r="L52" s="10"/>
      <c r="M52" s="10">
        <v>1</v>
      </c>
      <c r="N52" s="31">
        <f>AVERAGE(D52:M52)</f>
        <v>694.5</v>
      </c>
      <c r="O52" s="3">
        <f>N52/$N$57</f>
        <v>1.0157238795696958E-3</v>
      </c>
      <c r="P52" s="13">
        <f>N28</f>
        <v>0.11</v>
      </c>
      <c r="Q52" s="1">
        <f>P52*(1-N31)</f>
        <v>8.8000000000000009E-2</v>
      </c>
      <c r="R52" s="51">
        <f>Q52*O52</f>
        <v>8.9383701402133241E-5</v>
      </c>
      <c r="S52" s="12"/>
    </row>
    <row r="53" spans="1:19" ht="13.5" customHeight="1" x14ac:dyDescent="0.25">
      <c r="A53" s="50"/>
      <c r="B53" s="5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2"/>
      <c r="O53" s="12"/>
      <c r="P53" s="12"/>
      <c r="Q53" s="12"/>
      <c r="R53" s="12"/>
      <c r="S53" s="12"/>
    </row>
    <row r="54" spans="1:19" ht="13.5" customHeight="1" x14ac:dyDescent="0.25">
      <c r="A54" s="50" t="s">
        <v>59</v>
      </c>
      <c r="B54" s="50"/>
      <c r="C54" s="10"/>
      <c r="D54" s="10">
        <v>100000</v>
      </c>
      <c r="E54" s="10">
        <f t="shared" ref="E54:M54" si="28">D54</f>
        <v>100000</v>
      </c>
      <c r="F54" s="10">
        <f t="shared" si="28"/>
        <v>100000</v>
      </c>
      <c r="G54" s="10">
        <f t="shared" si="28"/>
        <v>100000</v>
      </c>
      <c r="H54" s="10">
        <f t="shared" si="28"/>
        <v>100000</v>
      </c>
      <c r="I54" s="10">
        <f t="shared" si="28"/>
        <v>100000</v>
      </c>
      <c r="J54" s="10">
        <f t="shared" si="28"/>
        <v>100000</v>
      </c>
      <c r="K54" s="10">
        <f t="shared" si="28"/>
        <v>100000</v>
      </c>
      <c r="L54" s="10">
        <f t="shared" si="28"/>
        <v>100000</v>
      </c>
      <c r="M54" s="10">
        <f t="shared" si="28"/>
        <v>100000</v>
      </c>
      <c r="N54" s="31">
        <f>AVERAGE(D54:M54)</f>
        <v>100000</v>
      </c>
      <c r="O54" s="3">
        <f>SUM(N54:N55)/N57</f>
        <v>0.69765287077127902</v>
      </c>
      <c r="P54" s="1">
        <f>O48</f>
        <v>0.308728</v>
      </c>
      <c r="Q54" s="1">
        <f>P54</f>
        <v>0.308728</v>
      </c>
      <c r="R54" s="51">
        <f>Q54*O54</f>
        <v>0.21538497548747543</v>
      </c>
      <c r="S54" s="12"/>
    </row>
    <row r="55" spans="1:19" ht="13.5" customHeight="1" x14ac:dyDescent="0.25">
      <c r="A55" s="50" t="s">
        <v>60</v>
      </c>
      <c r="B55" s="50"/>
      <c r="C55" s="10"/>
      <c r="D55" s="10">
        <f t="shared" ref="D55:M55" si="29">C55+D32</f>
        <v>33313.137130436393</v>
      </c>
      <c r="E55" s="10">
        <f t="shared" si="29"/>
        <v>75990.875815119769</v>
      </c>
      <c r="F55" s="10">
        <f t="shared" si="29"/>
        <v>128956.07923185424</v>
      </c>
      <c r="G55" s="10">
        <f t="shared" si="29"/>
        <v>193374.00333999124</v>
      </c>
      <c r="H55" s="10">
        <f t="shared" si="29"/>
        <v>270544.18265922437</v>
      </c>
      <c r="I55" s="10">
        <f t="shared" si="29"/>
        <v>361916.11450278811</v>
      </c>
      <c r="J55" s="10">
        <f t="shared" si="29"/>
        <v>469106.79435514263</v>
      </c>
      <c r="K55" s="10">
        <f t="shared" si="29"/>
        <v>593920.32261128421</v>
      </c>
      <c r="L55" s="10">
        <f t="shared" si="29"/>
        <v>738369.82924903044</v>
      </c>
      <c r="M55" s="10">
        <f t="shared" si="29"/>
        <v>904701.90452790493</v>
      </c>
      <c r="N55" s="31">
        <f>AVERAGE(D55:M55)</f>
        <v>377019.32434227766</v>
      </c>
      <c r="O55" s="12"/>
      <c r="P55" s="12"/>
      <c r="Q55" s="12"/>
      <c r="R55" s="12"/>
      <c r="S55" s="12"/>
    </row>
    <row r="56" spans="1:19" ht="13.5" customHeight="1" x14ac:dyDescent="0.25">
      <c r="A56" s="50"/>
      <c r="B56" s="50"/>
      <c r="C56" s="5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2"/>
      <c r="O56" s="12"/>
      <c r="P56" s="12"/>
      <c r="Q56" s="12"/>
      <c r="R56" s="12"/>
      <c r="S56" s="12"/>
    </row>
    <row r="57" spans="1:19" ht="13.5" customHeight="1" x14ac:dyDescent="0.25">
      <c r="A57" s="50" t="s">
        <v>61</v>
      </c>
      <c r="B57" s="50"/>
      <c r="C57" s="50"/>
      <c r="D57" s="10">
        <f t="shared" ref="D57:M57" si="30">SUM(D48:D55)</f>
        <v>552137.20829751936</v>
      </c>
      <c r="E57" s="10">
        <f t="shared" si="30"/>
        <v>570446.02459457249</v>
      </c>
      <c r="F57" s="10">
        <f t="shared" si="30"/>
        <v>598691.4142490736</v>
      </c>
      <c r="G57" s="10">
        <f t="shared" si="30"/>
        <v>636563.0433986542</v>
      </c>
      <c r="H57" s="10">
        <f t="shared" si="30"/>
        <v>685235.29960042355</v>
      </c>
      <c r="I57" s="10">
        <f t="shared" si="30"/>
        <v>746025.25711687119</v>
      </c>
      <c r="J57" s="10">
        <f t="shared" si="30"/>
        <v>820409.97484595957</v>
      </c>
      <c r="K57" s="10">
        <f t="shared" si="30"/>
        <v>910045.88913007395</v>
      </c>
      <c r="L57" s="10">
        <f t="shared" si="30"/>
        <v>1016790.5550718126</v>
      </c>
      <c r="M57" s="10">
        <f t="shared" si="30"/>
        <v>1142727.9106960869</v>
      </c>
      <c r="N57" s="19">
        <f>SUM(N51:N55)</f>
        <v>683748.81596189307</v>
      </c>
      <c r="O57" s="12"/>
      <c r="P57" s="12"/>
      <c r="Q57" s="12"/>
      <c r="R57" s="51">
        <f>SUM(R51:R54)</f>
        <v>0.23475956913122326</v>
      </c>
      <c r="S57" s="12" t="s">
        <v>62</v>
      </c>
    </row>
    <row r="58" spans="1:19" ht="13.5" customHeight="1" x14ac:dyDescent="0.25">
      <c r="A58" s="23" t="s">
        <v>63</v>
      </c>
      <c r="B58" s="6"/>
      <c r="C58" s="6"/>
      <c r="D58" s="34">
        <f t="shared" ref="D58:M58" si="31">D45-D57</f>
        <v>-2.5649117538705468E-2</v>
      </c>
      <c r="E58" s="34">
        <f t="shared" si="31"/>
        <v>-0.41299639898352325</v>
      </c>
      <c r="F58" s="34">
        <f t="shared" si="31"/>
        <v>-0.22176718863192946</v>
      </c>
      <c r="G58" s="34">
        <f t="shared" si="31"/>
        <v>-8.8956926483660936E-3</v>
      </c>
      <c r="H58" s="34">
        <f t="shared" si="31"/>
        <v>0.12989239662420005</v>
      </c>
      <c r="I58" s="34">
        <f t="shared" si="31"/>
        <v>0.48423470696434379</v>
      </c>
      <c r="J58" s="34">
        <f t="shared" si="31"/>
        <v>-0.31633495877031237</v>
      </c>
      <c r="K58" s="34">
        <f t="shared" si="31"/>
        <v>-0.42020454560406506</v>
      </c>
      <c r="L58" s="34">
        <f t="shared" si="31"/>
        <v>-0.19530696258880198</v>
      </c>
      <c r="M58" s="34">
        <f t="shared" si="31"/>
        <v>-0.16649103327654302</v>
      </c>
      <c r="N58" s="6"/>
      <c r="O58" s="6"/>
      <c r="P58" s="6"/>
      <c r="Q58" s="6"/>
      <c r="R58" s="12"/>
      <c r="S58" s="12"/>
    </row>
    <row r="59" spans="1:19" ht="13.5" customHeight="1" x14ac:dyDescent="0.25">
      <c r="A59" s="41" t="s">
        <v>64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6"/>
      <c r="O59" s="6"/>
      <c r="P59" s="6"/>
      <c r="Q59" s="6"/>
      <c r="R59" s="12"/>
      <c r="S59" s="12"/>
    </row>
    <row r="60" spans="1:19" ht="13.5" customHeight="1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6" t="s">
        <v>42</v>
      </c>
      <c r="O60" s="6">
        <f>O45</f>
        <v>1.97</v>
      </c>
      <c r="P60" s="6"/>
      <c r="Q60" s="6"/>
      <c r="R60" s="12"/>
      <c r="S60" s="12"/>
    </row>
    <row r="61" spans="1:19" ht="13.5" customHeight="1" x14ac:dyDescent="0.25">
      <c r="A61" s="41" t="s">
        <v>65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6" t="s">
        <v>29</v>
      </c>
      <c r="O61" s="6">
        <f>N31</f>
        <v>0.2</v>
      </c>
      <c r="P61" s="6"/>
      <c r="Q61" s="6"/>
      <c r="R61" s="12"/>
      <c r="S61" s="12"/>
    </row>
    <row r="62" spans="1:19" ht="13.5" customHeight="1" x14ac:dyDescent="0.25">
      <c r="A62" s="18"/>
      <c r="B62" s="18" t="s">
        <v>66</v>
      </c>
      <c r="C62" s="18"/>
      <c r="D62" s="29">
        <f t="shared" ref="D62:M62" si="32">SUM(D17:D18)-SUM(D20:D24)</f>
        <v>80600</v>
      </c>
      <c r="E62" s="29">
        <f t="shared" si="32"/>
        <v>90176.160000000033</v>
      </c>
      <c r="F62" s="29">
        <f t="shared" si="32"/>
        <v>100894.49625600013</v>
      </c>
      <c r="G62" s="29">
        <f t="shared" si="32"/>
        <v>112891.70096040971</v>
      </c>
      <c r="H62" s="29">
        <f t="shared" si="32"/>
        <v>126320.87317673292</v>
      </c>
      <c r="I62" s="29">
        <f t="shared" si="32"/>
        <v>141353.49308888149</v>
      </c>
      <c r="J62" s="29">
        <f t="shared" si="32"/>
        <v>158181.63432618626</v>
      </c>
      <c r="K62" s="29">
        <f t="shared" si="32"/>
        <v>177020.44312661747</v>
      </c>
      <c r="L62" s="29">
        <f t="shared" si="32"/>
        <v>198110.91658102488</v>
      </c>
      <c r="M62" s="29">
        <f t="shared" si="32"/>
        <v>221723.01610319456</v>
      </c>
      <c r="N62" s="6" t="s">
        <v>46</v>
      </c>
      <c r="O62" s="6">
        <f>O60*(1+((1-O61)*((O51+O52)/O54)))</f>
        <v>2.6530031031588508</v>
      </c>
      <c r="P62" s="6"/>
      <c r="Q62" s="6"/>
      <c r="R62" s="12"/>
      <c r="S62" s="12"/>
    </row>
    <row r="63" spans="1:19" ht="13.5" customHeight="1" x14ac:dyDescent="0.25">
      <c r="A63" s="18"/>
      <c r="B63" s="18" t="s">
        <v>67</v>
      </c>
      <c r="C63" s="18"/>
      <c r="D63" s="29">
        <f t="shared" ref="D63:M63" si="33">D26</f>
        <v>11666.666666666666</v>
      </c>
      <c r="E63" s="29">
        <f t="shared" si="33"/>
        <v>11666.666666666666</v>
      </c>
      <c r="F63" s="29">
        <f t="shared" si="33"/>
        <v>11666.666666666666</v>
      </c>
      <c r="G63" s="29">
        <f t="shared" si="33"/>
        <v>11666.666666666666</v>
      </c>
      <c r="H63" s="29">
        <f t="shared" si="33"/>
        <v>11666.666666666666</v>
      </c>
      <c r="I63" s="29">
        <f t="shared" si="33"/>
        <v>11666.666666666666</v>
      </c>
      <c r="J63" s="29">
        <f t="shared" si="33"/>
        <v>11666.666666666666</v>
      </c>
      <c r="K63" s="29">
        <f t="shared" si="33"/>
        <v>11666.666666666666</v>
      </c>
      <c r="L63" s="29">
        <f t="shared" si="33"/>
        <v>11666.666666666666</v>
      </c>
      <c r="M63" s="29">
        <f t="shared" si="33"/>
        <v>11666.666666666666</v>
      </c>
      <c r="N63" s="6"/>
      <c r="O63" s="6"/>
      <c r="P63" s="6"/>
      <c r="Q63" s="6"/>
      <c r="R63" s="12"/>
      <c r="S63" s="12"/>
    </row>
    <row r="64" spans="1:19" ht="13.5" customHeight="1" x14ac:dyDescent="0.25">
      <c r="A64" s="18"/>
      <c r="B64" s="18" t="s">
        <v>68</v>
      </c>
      <c r="C64" s="18"/>
      <c r="D64" s="29">
        <f t="shared" ref="D64:M64" si="34">D62-D63</f>
        <v>68933.333333333328</v>
      </c>
      <c r="E64" s="29">
        <f t="shared" si="34"/>
        <v>78509.493333333361</v>
      </c>
      <c r="F64" s="29">
        <f t="shared" si="34"/>
        <v>89227.829589333458</v>
      </c>
      <c r="G64" s="29">
        <f t="shared" si="34"/>
        <v>101225.03429374304</v>
      </c>
      <c r="H64" s="29">
        <f t="shared" si="34"/>
        <v>114654.20651006624</v>
      </c>
      <c r="I64" s="29">
        <f t="shared" si="34"/>
        <v>129686.82642221481</v>
      </c>
      <c r="J64" s="29">
        <f t="shared" si="34"/>
        <v>146514.96765951961</v>
      </c>
      <c r="K64" s="29">
        <f t="shared" si="34"/>
        <v>165353.77645995081</v>
      </c>
      <c r="L64" s="29">
        <f t="shared" si="34"/>
        <v>186444.24991435822</v>
      </c>
      <c r="M64" s="29">
        <f t="shared" si="34"/>
        <v>210056.3494365279</v>
      </c>
      <c r="N64" s="6"/>
      <c r="O64" s="6"/>
      <c r="P64" s="6"/>
      <c r="Q64" s="6"/>
      <c r="R64" s="12"/>
      <c r="S64" s="12"/>
    </row>
    <row r="65" spans="1:19" ht="13.5" customHeight="1" x14ac:dyDescent="0.25">
      <c r="A65" s="18"/>
      <c r="B65" s="18" t="s">
        <v>69</v>
      </c>
      <c r="C65" s="18"/>
      <c r="D65" s="29">
        <f t="shared" ref="D65:M65" si="35">D64*$N$31</f>
        <v>13786.666666666666</v>
      </c>
      <c r="E65" s="29">
        <f t="shared" si="35"/>
        <v>15701.898666666673</v>
      </c>
      <c r="F65" s="29">
        <f t="shared" si="35"/>
        <v>17845.565917866694</v>
      </c>
      <c r="G65" s="29">
        <f t="shared" si="35"/>
        <v>20245.006858748609</v>
      </c>
      <c r="H65" s="29">
        <f t="shared" si="35"/>
        <v>22930.84130201325</v>
      </c>
      <c r="I65" s="29">
        <f t="shared" si="35"/>
        <v>25937.365284442963</v>
      </c>
      <c r="J65" s="29">
        <f t="shared" si="35"/>
        <v>29302.993531903921</v>
      </c>
      <c r="K65" s="29">
        <f t="shared" si="35"/>
        <v>33070.755291990165</v>
      </c>
      <c r="L65" s="29">
        <f t="shared" si="35"/>
        <v>37288.849982871645</v>
      </c>
      <c r="M65" s="29">
        <f t="shared" si="35"/>
        <v>42011.269887305585</v>
      </c>
      <c r="N65" s="6"/>
      <c r="O65" s="6"/>
      <c r="P65" s="6"/>
      <c r="Q65" s="6"/>
      <c r="R65" s="12"/>
      <c r="S65" s="12"/>
    </row>
    <row r="66" spans="1:19" ht="13.5" customHeight="1" x14ac:dyDescent="0.25">
      <c r="A66" s="18"/>
      <c r="B66" s="18" t="s">
        <v>70</v>
      </c>
      <c r="C66" s="22"/>
      <c r="D66" s="47">
        <f t="shared" ref="D66:M66" si="36">D63</f>
        <v>11666.666666666666</v>
      </c>
      <c r="E66" s="47">
        <f t="shared" si="36"/>
        <v>11666.666666666666</v>
      </c>
      <c r="F66" s="47">
        <f t="shared" si="36"/>
        <v>11666.666666666666</v>
      </c>
      <c r="G66" s="47">
        <f t="shared" si="36"/>
        <v>11666.666666666666</v>
      </c>
      <c r="H66" s="47">
        <f t="shared" si="36"/>
        <v>11666.666666666666</v>
      </c>
      <c r="I66" s="47">
        <f t="shared" si="36"/>
        <v>11666.666666666666</v>
      </c>
      <c r="J66" s="47">
        <f t="shared" si="36"/>
        <v>11666.666666666666</v>
      </c>
      <c r="K66" s="47">
        <f t="shared" si="36"/>
        <v>11666.666666666666</v>
      </c>
      <c r="L66" s="47">
        <f t="shared" si="36"/>
        <v>11666.666666666666</v>
      </c>
      <c r="M66" s="47">
        <f t="shared" si="36"/>
        <v>11666.666666666666</v>
      </c>
      <c r="N66" s="6"/>
      <c r="O66" s="6"/>
      <c r="P66" s="6"/>
      <c r="Q66" s="6"/>
      <c r="R66" s="12"/>
      <c r="S66" s="12"/>
    </row>
    <row r="67" spans="1:19" ht="13.5" customHeight="1" x14ac:dyDescent="0.25">
      <c r="A67" s="18"/>
      <c r="B67" s="37" t="s">
        <v>71</v>
      </c>
      <c r="C67" s="5"/>
      <c r="D67" s="21">
        <f t="shared" ref="D67:M67" si="37">(D64-D65)+D66</f>
        <v>66813.333333333328</v>
      </c>
      <c r="E67" s="21">
        <f t="shared" si="37"/>
        <v>74474.261333333357</v>
      </c>
      <c r="F67" s="21">
        <f t="shared" si="37"/>
        <v>83048.930338133432</v>
      </c>
      <c r="G67" s="21">
        <f t="shared" si="37"/>
        <v>92646.694101661109</v>
      </c>
      <c r="H67" s="21">
        <f t="shared" si="37"/>
        <v>103390.03187471967</v>
      </c>
      <c r="I67" s="21">
        <f t="shared" si="37"/>
        <v>115416.12780443853</v>
      </c>
      <c r="J67" s="21">
        <f t="shared" si="37"/>
        <v>128878.64079428236</v>
      </c>
      <c r="K67" s="21">
        <f t="shared" si="37"/>
        <v>143949.68783462732</v>
      </c>
      <c r="L67" s="21">
        <f t="shared" si="37"/>
        <v>160822.06659815324</v>
      </c>
      <c r="M67" s="21">
        <f t="shared" si="37"/>
        <v>179711.74621588897</v>
      </c>
      <c r="N67" s="35"/>
      <c r="O67" s="6"/>
      <c r="P67" s="6"/>
      <c r="Q67" s="6"/>
      <c r="R67" s="12"/>
      <c r="S67" s="12"/>
    </row>
    <row r="68" spans="1:19" ht="13.5" customHeight="1" x14ac:dyDescent="0.25">
      <c r="A68" s="18"/>
      <c r="B68" s="18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6"/>
      <c r="O68" s="6"/>
      <c r="P68" s="6"/>
      <c r="Q68" s="6"/>
      <c r="R68" s="12"/>
      <c r="S68" s="12"/>
    </row>
    <row r="69" spans="1:19" ht="13.5" customHeight="1" x14ac:dyDescent="0.25">
      <c r="A69" s="41" t="s">
        <v>72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6" t="s">
        <v>73</v>
      </c>
      <c r="O69" s="24">
        <f>M71-O70</f>
        <v>291666.66666666669</v>
      </c>
      <c r="P69" s="6"/>
      <c r="Q69" s="6"/>
      <c r="R69" s="12"/>
      <c r="S69" s="12"/>
    </row>
    <row r="70" spans="1:19" ht="13.5" customHeight="1" x14ac:dyDescent="0.25">
      <c r="A70" s="18"/>
      <c r="B70" s="18" t="s">
        <v>74</v>
      </c>
      <c r="C70" s="29">
        <f>-D42</f>
        <v>-350000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6" t="s">
        <v>75</v>
      </c>
      <c r="O70" s="24">
        <f>M42-M43</f>
        <v>233333.33333333331</v>
      </c>
      <c r="P70" s="6"/>
      <c r="Q70" s="6"/>
      <c r="R70" s="12"/>
      <c r="S70" s="12"/>
    </row>
    <row r="71" spans="1:19" ht="13.5" customHeight="1" x14ac:dyDescent="0.25">
      <c r="A71" s="18"/>
      <c r="B71" s="18" t="s">
        <v>76</v>
      </c>
      <c r="C71" s="18"/>
      <c r="D71" s="18"/>
      <c r="E71" s="18"/>
      <c r="F71" s="18"/>
      <c r="G71" s="29"/>
      <c r="H71" s="29"/>
      <c r="I71" s="29"/>
      <c r="J71" s="29"/>
      <c r="K71" s="29"/>
      <c r="L71" s="29"/>
      <c r="M71" s="29">
        <f>O71*N71</f>
        <v>525000</v>
      </c>
      <c r="N71" s="34">
        <f>N42</f>
        <v>350000</v>
      </c>
      <c r="O71" s="3">
        <v>1.5</v>
      </c>
      <c r="P71" s="6"/>
      <c r="Q71" s="6"/>
      <c r="R71" s="12"/>
      <c r="S71" s="12"/>
    </row>
    <row r="72" spans="1:19" ht="13.5" customHeight="1" x14ac:dyDescent="0.25">
      <c r="A72" s="18"/>
      <c r="B72" s="18" t="s">
        <v>77</v>
      </c>
      <c r="C72" s="25">
        <f>-D41</f>
        <v>-50000</v>
      </c>
      <c r="D72" s="18"/>
      <c r="E72" s="18"/>
      <c r="F72" s="18"/>
      <c r="G72" s="29"/>
      <c r="H72" s="29"/>
      <c r="I72" s="29"/>
      <c r="J72" s="29"/>
      <c r="K72" s="29"/>
      <c r="L72" s="29"/>
      <c r="M72" s="29"/>
      <c r="N72" s="12"/>
      <c r="O72" s="6"/>
      <c r="P72" s="6"/>
      <c r="Q72" s="6"/>
      <c r="R72" s="12"/>
      <c r="S72" s="12"/>
    </row>
    <row r="73" spans="1:19" ht="13.5" customHeight="1" x14ac:dyDescent="0.25">
      <c r="A73" s="18"/>
      <c r="B73" s="18" t="s">
        <v>78</v>
      </c>
      <c r="C73" s="18"/>
      <c r="D73" s="18"/>
      <c r="E73" s="18"/>
      <c r="F73" s="18"/>
      <c r="G73" s="29"/>
      <c r="H73" s="29"/>
      <c r="I73" s="29"/>
      <c r="J73" s="29"/>
      <c r="K73" s="29"/>
      <c r="L73" s="29"/>
      <c r="M73" s="29">
        <f>N73*O73</f>
        <v>100000</v>
      </c>
      <c r="N73" s="23">
        <v>50000</v>
      </c>
      <c r="O73" s="6">
        <v>2</v>
      </c>
      <c r="P73" s="6"/>
      <c r="Q73" s="6"/>
      <c r="R73" s="12"/>
      <c r="S73" s="12"/>
    </row>
    <row r="74" spans="1:19" ht="13.5" customHeight="1" x14ac:dyDescent="0.25">
      <c r="A74" s="18"/>
      <c r="B74" s="18" t="s">
        <v>79</v>
      </c>
      <c r="C74" s="18"/>
      <c r="D74" s="18"/>
      <c r="E74" s="18"/>
      <c r="F74" s="18"/>
      <c r="G74" s="29"/>
      <c r="H74" s="29"/>
      <c r="I74" s="29"/>
      <c r="J74" s="29"/>
      <c r="K74" s="29"/>
      <c r="L74" s="29"/>
      <c r="M74" s="29">
        <f>(O69+O74)*N31</f>
        <v>68333.333333333343</v>
      </c>
      <c r="N74" s="12" t="s">
        <v>73</v>
      </c>
      <c r="O74" s="6">
        <f>M73-N73</f>
        <v>50000</v>
      </c>
      <c r="P74" s="6"/>
      <c r="Q74" s="6"/>
      <c r="R74" s="12"/>
      <c r="S74" s="12"/>
    </row>
    <row r="75" spans="1:19" ht="13.5" customHeight="1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6"/>
      <c r="O75" s="6"/>
      <c r="P75" s="6"/>
      <c r="Q75" s="6"/>
      <c r="R75" s="12"/>
      <c r="S75" s="12"/>
    </row>
    <row r="76" spans="1:19" ht="13.5" customHeight="1" x14ac:dyDescent="0.25">
      <c r="A76" s="41" t="s">
        <v>80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6"/>
      <c r="O76" s="6"/>
      <c r="P76" s="6"/>
      <c r="Q76" s="6"/>
      <c r="R76" s="12"/>
      <c r="S76" s="12"/>
    </row>
    <row r="77" spans="1:19" ht="13.5" customHeight="1" x14ac:dyDescent="0.25">
      <c r="A77" s="18" t="s">
        <v>81</v>
      </c>
      <c r="B77" s="18" t="s">
        <v>35</v>
      </c>
      <c r="C77" s="18"/>
      <c r="D77" s="29">
        <f t="shared" ref="D77:M77" si="38">-(D38-C38)</f>
        <v>-5506.8493150684926</v>
      </c>
      <c r="E77" s="29">
        <f t="shared" si="38"/>
        <v>1.3643835616421711</v>
      </c>
      <c r="F77" s="29">
        <f t="shared" si="38"/>
        <v>-640.78339117808264</v>
      </c>
      <c r="G77" s="29">
        <f t="shared" si="38"/>
        <v>-715.3641700772996</v>
      </c>
      <c r="H77" s="29">
        <f t="shared" si="38"/>
        <v>-798.62540583259943</v>
      </c>
      <c r="I77" s="29">
        <f t="shared" si="38"/>
        <v>-891.57741681745483</v>
      </c>
      <c r="J77" s="29">
        <f t="shared" si="38"/>
        <v>-995.34811236083442</v>
      </c>
      <c r="K77" s="29">
        <f t="shared" si="38"/>
        <v>-1111.1966791585146</v>
      </c>
      <c r="L77" s="29">
        <f t="shared" si="38"/>
        <v>-1240.5288606457743</v>
      </c>
      <c r="M77" s="29">
        <f t="shared" si="38"/>
        <v>-1384.9140147363378</v>
      </c>
      <c r="N77" s="6"/>
      <c r="O77" s="6"/>
      <c r="P77" s="6"/>
      <c r="Q77" s="6"/>
      <c r="R77" s="12"/>
      <c r="S77" s="12"/>
    </row>
    <row r="78" spans="1:19" ht="13.5" customHeight="1" x14ac:dyDescent="0.25">
      <c r="A78" s="18" t="s">
        <v>81</v>
      </c>
      <c r="B78" s="18" t="s">
        <v>36</v>
      </c>
      <c r="C78" s="18"/>
      <c r="D78" s="29">
        <f t="shared" ref="D78:M78" si="39">-(D39-C39)</f>
        <v>-110499.99999999999</v>
      </c>
      <c r="E78" s="29">
        <f t="shared" si="39"/>
        <v>-7078.460000000021</v>
      </c>
      <c r="F78" s="29">
        <f t="shared" si="39"/>
        <v>-7535.4641592000116</v>
      </c>
      <c r="G78" s="29">
        <f t="shared" si="39"/>
        <v>-8022.1445176659909</v>
      </c>
      <c r="H78" s="29">
        <f t="shared" si="39"/>
        <v>-8540.4362506926991</v>
      </c>
      <c r="I78" s="29">
        <f t="shared" si="39"/>
        <v>-9092.401108607155</v>
      </c>
      <c r="J78" s="29">
        <f t="shared" si="39"/>
        <v>-9680.2357137284707</v>
      </c>
      <c r="K78" s="29">
        <f t="shared" si="39"/>
        <v>-10306.280402035743</v>
      </c>
      <c r="L78" s="29">
        <f t="shared" si="39"/>
        <v>-10973.028645342507</v>
      </c>
      <c r="M78" s="29">
        <f t="shared" si="39"/>
        <v>-11683.137092134246</v>
      </c>
      <c r="N78" s="6"/>
      <c r="O78" s="6"/>
      <c r="P78" s="6"/>
      <c r="Q78" s="6"/>
      <c r="R78" s="12"/>
      <c r="S78" s="12"/>
    </row>
    <row r="79" spans="1:19" ht="13.5" customHeight="1" x14ac:dyDescent="0.25">
      <c r="A79" s="18" t="s">
        <v>82</v>
      </c>
      <c r="B79" s="18" t="s">
        <v>49</v>
      </c>
      <c r="C79" s="18"/>
      <c r="D79" s="29">
        <f t="shared" ref="D79:M79" si="40">(D48-C48)</f>
        <v>36328.767123287667</v>
      </c>
      <c r="E79" s="29">
        <f t="shared" si="40"/>
        <v>4158.2353972602796</v>
      </c>
      <c r="F79" s="29">
        <f t="shared" si="40"/>
        <v>4635.4792671360119</v>
      </c>
      <c r="G79" s="29">
        <f t="shared" si="40"/>
        <v>5167.6225493678648</v>
      </c>
      <c r="H79" s="29">
        <f t="shared" si="40"/>
        <v>5760.9928148765684</v>
      </c>
      <c r="I79" s="29">
        <f t="shared" si="40"/>
        <v>6422.6481263609676</v>
      </c>
      <c r="J79" s="29">
        <f t="shared" si="40"/>
        <v>7160.4614861629889</v>
      </c>
      <c r="K79" s="29">
        <f t="shared" si="40"/>
        <v>7983.2150578560104</v>
      </c>
      <c r="L79" s="29">
        <f t="shared" si="40"/>
        <v>8900.7052938192501</v>
      </c>
      <c r="M79" s="29">
        <f t="shared" si="40"/>
        <v>9923.8602323355153</v>
      </c>
      <c r="N79" s="6"/>
      <c r="O79" s="6"/>
      <c r="P79" s="6"/>
      <c r="Q79" s="6"/>
      <c r="R79" s="12"/>
      <c r="S79" s="12"/>
    </row>
    <row r="80" spans="1:19" ht="13.5" customHeight="1" x14ac:dyDescent="0.25">
      <c r="A80" s="18" t="s">
        <v>82</v>
      </c>
      <c r="B80" s="18" t="s">
        <v>83</v>
      </c>
      <c r="C80" s="18"/>
      <c r="D80" s="29">
        <f t="shared" ref="D80:M80" si="41">(D65-C65)</f>
        <v>13786.666666666666</v>
      </c>
      <c r="E80" s="29">
        <f t="shared" si="41"/>
        <v>1915.2320000000072</v>
      </c>
      <c r="F80" s="29">
        <f t="shared" si="41"/>
        <v>2143.6672512000205</v>
      </c>
      <c r="G80" s="29">
        <f t="shared" si="41"/>
        <v>2399.4409408819156</v>
      </c>
      <c r="H80" s="29">
        <f t="shared" si="41"/>
        <v>2685.8344432646409</v>
      </c>
      <c r="I80" s="29">
        <f t="shared" si="41"/>
        <v>3006.5239824297132</v>
      </c>
      <c r="J80" s="29">
        <f t="shared" si="41"/>
        <v>3365.6282474609579</v>
      </c>
      <c r="K80" s="29">
        <f t="shared" si="41"/>
        <v>3767.7617600862432</v>
      </c>
      <c r="L80" s="29">
        <f t="shared" si="41"/>
        <v>4218.0946908814803</v>
      </c>
      <c r="M80" s="29">
        <f t="shared" si="41"/>
        <v>4722.4199044339402</v>
      </c>
      <c r="N80" s="6"/>
      <c r="O80" s="6"/>
      <c r="P80" s="6"/>
      <c r="Q80" s="6"/>
      <c r="R80" s="12"/>
      <c r="S80" s="12"/>
    </row>
    <row r="81" spans="1:19" ht="13.5" customHeight="1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6"/>
      <c r="O81" s="6"/>
      <c r="P81" s="6"/>
      <c r="Q81" s="6"/>
      <c r="R81" s="12"/>
      <c r="S81" s="12"/>
    </row>
    <row r="82" spans="1:19" ht="13.5" customHeight="1" x14ac:dyDescent="0.25">
      <c r="A82" s="41" t="s">
        <v>84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6"/>
      <c r="O82" s="6"/>
      <c r="P82" s="6"/>
      <c r="Q82" s="6"/>
      <c r="R82" s="12"/>
      <c r="S82" s="12"/>
    </row>
    <row r="83" spans="1:19" ht="13.5" customHeight="1" x14ac:dyDescent="0.25">
      <c r="A83" s="18" t="s">
        <v>82</v>
      </c>
      <c r="B83" s="18" t="s">
        <v>35</v>
      </c>
      <c r="C83" s="18"/>
      <c r="D83" s="29"/>
      <c r="E83" s="29"/>
      <c r="F83" s="29"/>
      <c r="G83" s="29"/>
      <c r="H83" s="29"/>
      <c r="I83" s="29"/>
      <c r="J83" s="29"/>
      <c r="K83" s="29"/>
      <c r="L83" s="29"/>
      <c r="M83" s="29">
        <f>M38</f>
        <v>13283.822982313748</v>
      </c>
      <c r="N83" s="6"/>
      <c r="O83" s="6"/>
      <c r="P83" s="6"/>
      <c r="Q83" s="6"/>
      <c r="R83" s="12"/>
      <c r="S83" s="12"/>
    </row>
    <row r="84" spans="1:19" ht="13.5" customHeight="1" x14ac:dyDescent="0.25">
      <c r="A84" s="18" t="s">
        <v>82</v>
      </c>
      <c r="B84" s="18" t="s">
        <v>36</v>
      </c>
      <c r="C84" s="18"/>
      <c r="D84" s="29"/>
      <c r="E84" s="29"/>
      <c r="F84" s="29"/>
      <c r="G84" s="29"/>
      <c r="H84" s="29"/>
      <c r="I84" s="29"/>
      <c r="J84" s="29"/>
      <c r="K84" s="29"/>
      <c r="L84" s="29"/>
      <c r="M84" s="29">
        <f>M39</f>
        <v>193411.58788940683</v>
      </c>
      <c r="N84" s="6"/>
      <c r="O84" s="6"/>
      <c r="P84" s="6"/>
      <c r="Q84" s="6"/>
      <c r="R84" s="12"/>
      <c r="S84" s="12"/>
    </row>
    <row r="85" spans="1:19" ht="13.5" customHeight="1" x14ac:dyDescent="0.25">
      <c r="A85" s="18" t="s">
        <v>81</v>
      </c>
      <c r="B85" s="18" t="s">
        <v>49</v>
      </c>
      <c r="C85" s="18"/>
      <c r="D85" s="29"/>
      <c r="E85" s="29"/>
      <c r="F85" s="29"/>
      <c r="G85" s="29"/>
      <c r="H85" s="29"/>
      <c r="I85" s="29"/>
      <c r="J85" s="29"/>
      <c r="K85" s="29"/>
      <c r="L85" s="29"/>
      <c r="M85" s="29">
        <f>-M48</f>
        <v>-96441.987348463124</v>
      </c>
      <c r="N85" s="6"/>
      <c r="O85" s="6"/>
      <c r="P85" s="6"/>
      <c r="Q85" s="6"/>
      <c r="R85" s="12"/>
      <c r="S85" s="12"/>
    </row>
    <row r="86" spans="1:19" ht="13.5" customHeight="1" x14ac:dyDescent="0.25">
      <c r="A86" s="18" t="s">
        <v>81</v>
      </c>
      <c r="B86" s="18" t="s">
        <v>83</v>
      </c>
      <c r="C86" s="18"/>
      <c r="D86" s="29"/>
      <c r="E86" s="29"/>
      <c r="F86" s="29"/>
      <c r="G86" s="29"/>
      <c r="H86" s="29"/>
      <c r="I86" s="29"/>
      <c r="J86" s="29"/>
      <c r="K86" s="29"/>
      <c r="L86" s="29"/>
      <c r="M86" s="29">
        <f>-M65</f>
        <v>-42011.269887305585</v>
      </c>
      <c r="N86" s="6"/>
      <c r="O86" s="6"/>
      <c r="P86" s="6"/>
      <c r="Q86" s="6"/>
      <c r="R86" s="12"/>
      <c r="S86" s="12"/>
    </row>
    <row r="87" spans="1:19" ht="13.5" customHeight="1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6"/>
      <c r="O87" s="6"/>
      <c r="P87" s="6"/>
      <c r="Q87" s="6"/>
      <c r="R87" s="12"/>
      <c r="S87" s="12"/>
    </row>
    <row r="88" spans="1:19" ht="13.5" customHeight="1" x14ac:dyDescent="0.25">
      <c r="A88" s="41" t="s">
        <v>85</v>
      </c>
      <c r="B88" s="18"/>
      <c r="C88" s="29">
        <f t="shared" ref="C88:M88" si="42">SUM(C67:C86)</f>
        <v>-400000</v>
      </c>
      <c r="D88" s="29">
        <f t="shared" si="42"/>
        <v>921.9178082191811</v>
      </c>
      <c r="E88" s="29">
        <f t="shared" si="42"/>
        <v>73470.633114155251</v>
      </c>
      <c r="F88" s="29">
        <f t="shared" si="42"/>
        <v>81651.829306091371</v>
      </c>
      <c r="G88" s="29">
        <f t="shared" si="42"/>
        <v>91476.248904167602</v>
      </c>
      <c r="H88" s="29">
        <f t="shared" si="42"/>
        <v>102497.79747633557</v>
      </c>
      <c r="I88" s="29">
        <f t="shared" si="42"/>
        <v>114861.32138780459</v>
      </c>
      <c r="J88" s="29">
        <f t="shared" si="42"/>
        <v>128729.14670181699</v>
      </c>
      <c r="K88" s="29">
        <f t="shared" si="42"/>
        <v>144283.18757137528</v>
      </c>
      <c r="L88" s="29">
        <f t="shared" si="42"/>
        <v>161727.30907686567</v>
      </c>
      <c r="M88" s="29">
        <f t="shared" si="42"/>
        <v>942865.46221507294</v>
      </c>
      <c r="N88" s="1"/>
      <c r="O88" s="6"/>
      <c r="P88" s="6"/>
      <c r="Q88" s="6"/>
      <c r="R88" s="12"/>
      <c r="S88" s="12"/>
    </row>
    <row r="89" spans="1:19" ht="13.5" customHeight="1" x14ac:dyDescent="0.25">
      <c r="A89" s="41" t="s">
        <v>86</v>
      </c>
      <c r="B89" s="18"/>
      <c r="C89" s="29">
        <f t="shared" ref="C89:M89" si="43">-PV($C$91,C90,,C88)</f>
        <v>-400000</v>
      </c>
      <c r="D89" s="29">
        <f t="shared" si="43"/>
        <v>853.62760020294536</v>
      </c>
      <c r="E89" s="29">
        <f t="shared" si="43"/>
        <v>62989.225920914992</v>
      </c>
      <c r="F89" s="29">
        <f t="shared" si="43"/>
        <v>64817.854641450875</v>
      </c>
      <c r="G89" s="29">
        <f t="shared" si="43"/>
        <v>67237.773766402024</v>
      </c>
      <c r="H89" s="29">
        <f t="shared" si="43"/>
        <v>69758.278695362606</v>
      </c>
      <c r="I89" s="29">
        <f t="shared" si="43"/>
        <v>72382.116042253183</v>
      </c>
      <c r="J89" s="29">
        <f t="shared" si="43"/>
        <v>75112.220690800415</v>
      </c>
      <c r="K89" s="29">
        <f t="shared" si="43"/>
        <v>77951.716801576258</v>
      </c>
      <c r="L89" s="29">
        <f t="shared" si="43"/>
        <v>80903.919322652291</v>
      </c>
      <c r="M89" s="29">
        <f t="shared" si="43"/>
        <v>436729.14223797771</v>
      </c>
      <c r="N89" s="6"/>
      <c r="O89" s="6"/>
      <c r="P89" s="6"/>
      <c r="Q89" s="6"/>
      <c r="R89" s="12"/>
      <c r="S89" s="12"/>
    </row>
    <row r="90" spans="1:19" ht="13.5" customHeight="1" x14ac:dyDescent="0.25">
      <c r="A90" s="18"/>
      <c r="B90" s="18"/>
      <c r="C90" s="18">
        <v>0</v>
      </c>
      <c r="D90" s="18">
        <v>1</v>
      </c>
      <c r="E90" s="18">
        <v>2</v>
      </c>
      <c r="F90" s="18">
        <v>3</v>
      </c>
      <c r="G90" s="18">
        <v>4</v>
      </c>
      <c r="H90" s="18">
        <v>5</v>
      </c>
      <c r="I90" s="18">
        <v>6</v>
      </c>
      <c r="J90" s="18">
        <v>7</v>
      </c>
      <c r="K90" s="18">
        <v>8</v>
      </c>
      <c r="L90" s="18">
        <v>9</v>
      </c>
      <c r="M90" s="18">
        <v>10</v>
      </c>
      <c r="N90" s="6"/>
      <c r="O90" s="6"/>
      <c r="P90" s="6"/>
      <c r="Q90" s="6"/>
      <c r="R90" s="12"/>
      <c r="S90" s="12"/>
    </row>
    <row r="91" spans="1:19" ht="13.5" customHeight="1" x14ac:dyDescent="0.25">
      <c r="A91" s="18" t="s">
        <v>87</v>
      </c>
      <c r="B91" s="18"/>
      <c r="C91" s="39">
        <v>0.08</v>
      </c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6"/>
      <c r="O91" s="6"/>
      <c r="P91" s="6"/>
      <c r="Q91" s="6"/>
      <c r="R91" s="12"/>
      <c r="S91" s="12"/>
    </row>
    <row r="92" spans="1:19" ht="13.5" customHeight="1" x14ac:dyDescent="0.25">
      <c r="A92" s="41" t="s">
        <v>88</v>
      </c>
      <c r="B92" s="17"/>
      <c r="C92" s="21">
        <f>SUM(C89:M89)</f>
        <v>608735.87571959337</v>
      </c>
      <c r="D92" s="7"/>
      <c r="E92" s="18"/>
      <c r="F92" s="18"/>
      <c r="G92" s="18"/>
      <c r="H92" s="18"/>
      <c r="I92" s="18"/>
      <c r="J92" s="18"/>
      <c r="K92" s="18"/>
      <c r="L92" s="18"/>
      <c r="M92" s="18"/>
      <c r="N92" s="6"/>
      <c r="O92" s="6"/>
      <c r="P92" s="6"/>
      <c r="Q92" s="6"/>
      <c r="R92" s="12"/>
      <c r="S92" s="12"/>
    </row>
    <row r="93" spans="1:19" ht="13.5" customHeight="1" x14ac:dyDescent="0.25">
      <c r="A93" s="41" t="s">
        <v>89</v>
      </c>
      <c r="B93" s="17"/>
      <c r="C93" s="46">
        <f>IRR(C88:M88)</f>
        <v>0.23215672157304046</v>
      </c>
      <c r="D93" s="7"/>
      <c r="E93" s="18"/>
      <c r="F93" s="18"/>
      <c r="G93" s="18"/>
      <c r="H93" s="18"/>
      <c r="I93" s="18"/>
      <c r="J93" s="18"/>
      <c r="K93" s="18"/>
      <c r="L93" s="18"/>
      <c r="M93" s="18"/>
      <c r="N93" s="6"/>
      <c r="O93" s="6"/>
      <c r="P93" s="6"/>
      <c r="Q93" s="6"/>
      <c r="R93" s="12"/>
      <c r="S93" s="12"/>
    </row>
    <row r="94" spans="1:19" ht="13.5" customHeight="1" x14ac:dyDescent="0.25">
      <c r="A94" s="41"/>
      <c r="B94" s="18"/>
      <c r="C94" s="26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6"/>
      <c r="O94" s="6"/>
      <c r="P94" s="6"/>
      <c r="Q94" s="6"/>
      <c r="R94" s="12"/>
      <c r="S94" s="12"/>
    </row>
    <row r="95" spans="1:19" ht="13.5" customHeight="1" x14ac:dyDescent="0.25">
      <c r="A95" s="41"/>
      <c r="B95" s="18"/>
      <c r="C95" s="47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1"/>
      <c r="O95" s="6"/>
      <c r="P95" s="6"/>
      <c r="Q95" s="6"/>
      <c r="R95" s="12"/>
      <c r="S95" s="12"/>
    </row>
    <row r="96" spans="1:19" ht="13.5" customHeight="1" x14ac:dyDescent="0.25">
      <c r="A96" s="41"/>
      <c r="B96" s="17"/>
      <c r="C96" s="46"/>
      <c r="D96" s="7"/>
      <c r="E96" s="18"/>
      <c r="F96" s="18"/>
      <c r="G96" s="18"/>
      <c r="H96" s="18"/>
      <c r="I96" s="18"/>
      <c r="J96" s="18"/>
      <c r="K96" s="18"/>
      <c r="L96" s="18"/>
      <c r="M96" s="18"/>
      <c r="N96" s="6"/>
      <c r="O96" s="6"/>
      <c r="P96" s="6"/>
      <c r="Q96" s="6"/>
      <c r="R96" s="12"/>
      <c r="S96" s="12"/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2"/>
  <sheetViews>
    <sheetView workbookViewId="0"/>
  </sheetViews>
  <sheetFormatPr defaultColWidth="17.140625" defaultRowHeight="12.75" customHeight="1" x14ac:dyDescent="0.2"/>
  <cols>
    <col min="1" max="1" width="30.140625" customWidth="1"/>
    <col min="2" max="2" width="16.140625" customWidth="1"/>
    <col min="3" max="3" width="12.7109375" customWidth="1"/>
    <col min="4" max="4" width="12.85546875" customWidth="1"/>
    <col min="5" max="5" width="13.42578125" customWidth="1"/>
    <col min="6" max="6" width="12.42578125" customWidth="1"/>
    <col min="7" max="9" width="10.7109375" customWidth="1"/>
  </cols>
  <sheetData>
    <row r="1" spans="1:10" ht="14.25" x14ac:dyDescent="0.2">
      <c r="A1" s="6"/>
      <c r="B1" s="6" t="s">
        <v>90</v>
      </c>
      <c r="C1" s="6" t="s">
        <v>91</v>
      </c>
      <c r="D1" s="6" t="s">
        <v>92</v>
      </c>
      <c r="E1" s="6" t="s">
        <v>93</v>
      </c>
      <c r="F1" s="6" t="s">
        <v>94</v>
      </c>
      <c r="G1" s="6"/>
      <c r="H1" s="6" t="s">
        <v>95</v>
      </c>
      <c r="I1" s="6"/>
      <c r="J1" s="20">
        <v>400000</v>
      </c>
    </row>
    <row r="2" spans="1:10" ht="12" customHeight="1" x14ac:dyDescent="0.2">
      <c r="A2" s="12" t="s">
        <v>96</v>
      </c>
      <c r="B2" s="2">
        <f>J1</f>
        <v>400000</v>
      </c>
      <c r="C2" s="2">
        <f t="shared" ref="C2:C13" si="0">+E2-D2</f>
        <v>2186.4371075476101</v>
      </c>
      <c r="D2" s="2">
        <f t="shared" ref="D2:D13" si="1">+B2*$J$3</f>
        <v>2666.666666666667</v>
      </c>
      <c r="E2" s="2">
        <f t="shared" ref="E2:E13" si="2">$J$6</f>
        <v>4853.1037742142771</v>
      </c>
      <c r="F2" s="2">
        <f t="shared" ref="F2:F13" si="3">+B2-C2</f>
        <v>397813.56289245241</v>
      </c>
      <c r="G2" s="6"/>
      <c r="H2" s="6" t="s">
        <v>97</v>
      </c>
      <c r="I2" s="6"/>
      <c r="J2" s="33">
        <f>Answer!N27</f>
        <v>0.08</v>
      </c>
    </row>
    <row r="3" spans="1:10" ht="12" customHeight="1" x14ac:dyDescent="0.2">
      <c r="A3" s="12"/>
      <c r="B3" s="2">
        <f t="shared" ref="B3:B13" si="4">+F2</f>
        <v>397813.56289245241</v>
      </c>
      <c r="C3" s="2">
        <f t="shared" si="0"/>
        <v>2201.0133549312609</v>
      </c>
      <c r="D3" s="2">
        <f t="shared" si="1"/>
        <v>2652.0904192830162</v>
      </c>
      <c r="E3" s="2">
        <f t="shared" si="2"/>
        <v>4853.1037742142771</v>
      </c>
      <c r="F3" s="2">
        <f t="shared" si="3"/>
        <v>395612.54953752115</v>
      </c>
      <c r="G3" s="6"/>
      <c r="H3" s="6" t="s">
        <v>98</v>
      </c>
      <c r="I3" s="6"/>
      <c r="J3" s="52">
        <f>J2/12</f>
        <v>6.6666666666666671E-3</v>
      </c>
    </row>
    <row r="4" spans="1:10" ht="12" customHeight="1" x14ac:dyDescent="0.2">
      <c r="A4" s="12"/>
      <c r="B4" s="2">
        <f t="shared" si="4"/>
        <v>395612.54953752115</v>
      </c>
      <c r="C4" s="2">
        <f t="shared" si="0"/>
        <v>2215.6867772974692</v>
      </c>
      <c r="D4" s="2">
        <f t="shared" si="1"/>
        <v>2637.4169969168079</v>
      </c>
      <c r="E4" s="2">
        <f t="shared" si="2"/>
        <v>4853.1037742142771</v>
      </c>
      <c r="F4" s="2">
        <f t="shared" si="3"/>
        <v>393396.86276022368</v>
      </c>
      <c r="G4" s="6"/>
      <c r="H4" s="6" t="s">
        <v>99</v>
      </c>
      <c r="I4" s="6"/>
      <c r="J4" s="6">
        <v>10</v>
      </c>
    </row>
    <row r="5" spans="1:10" ht="12" customHeight="1" x14ac:dyDescent="0.2">
      <c r="A5" s="12"/>
      <c r="B5" s="2">
        <f t="shared" si="4"/>
        <v>393396.86276022368</v>
      </c>
      <c r="C5" s="2">
        <f t="shared" si="0"/>
        <v>2230.4580224794522</v>
      </c>
      <c r="D5" s="2">
        <f t="shared" si="1"/>
        <v>2622.6457517348249</v>
      </c>
      <c r="E5" s="2">
        <f t="shared" si="2"/>
        <v>4853.1037742142771</v>
      </c>
      <c r="F5" s="2">
        <f t="shared" si="3"/>
        <v>391166.40473774425</v>
      </c>
      <c r="G5" s="6"/>
      <c r="H5" s="6" t="s">
        <v>100</v>
      </c>
      <c r="I5" s="6"/>
      <c r="J5" s="6">
        <f>J4*12</f>
        <v>120</v>
      </c>
    </row>
    <row r="6" spans="1:10" ht="12" customHeight="1" x14ac:dyDescent="0.2">
      <c r="A6" s="12"/>
      <c r="B6" s="2">
        <f t="shared" si="4"/>
        <v>391166.40473774425</v>
      </c>
      <c r="C6" s="2">
        <f t="shared" si="0"/>
        <v>2245.3277426293153</v>
      </c>
      <c r="D6" s="2">
        <f t="shared" si="1"/>
        <v>2607.7760315849619</v>
      </c>
      <c r="E6" s="2">
        <f t="shared" si="2"/>
        <v>4853.1037742142771</v>
      </c>
      <c r="F6" s="2">
        <f t="shared" si="3"/>
        <v>388921.07699511491</v>
      </c>
      <c r="G6" s="6"/>
      <c r="H6" s="6" t="s">
        <v>93</v>
      </c>
      <c r="I6" s="6"/>
      <c r="J6" s="42">
        <f>-PMT(J3,J5,J1)</f>
        <v>4853.1037742142771</v>
      </c>
    </row>
    <row r="7" spans="1:10" ht="12" customHeight="1" x14ac:dyDescent="0.2">
      <c r="A7" s="12"/>
      <c r="B7" s="2">
        <f t="shared" si="4"/>
        <v>388921.07699511491</v>
      </c>
      <c r="C7" s="2">
        <f t="shared" si="0"/>
        <v>2260.2965942468441</v>
      </c>
      <c r="D7" s="2">
        <f t="shared" si="1"/>
        <v>2592.8071799674331</v>
      </c>
      <c r="E7" s="2">
        <f t="shared" si="2"/>
        <v>4853.1037742142771</v>
      </c>
      <c r="F7" s="2">
        <f t="shared" si="3"/>
        <v>386660.78040086804</v>
      </c>
      <c r="G7" s="6"/>
      <c r="H7" s="6"/>
      <c r="I7" s="6"/>
      <c r="J7" s="6"/>
    </row>
    <row r="8" spans="1:10" ht="12" customHeight="1" x14ac:dyDescent="0.2">
      <c r="A8" s="12"/>
      <c r="B8" s="2">
        <f t="shared" si="4"/>
        <v>386660.78040086804</v>
      </c>
      <c r="C8" s="2">
        <f t="shared" si="0"/>
        <v>2275.3652382084902</v>
      </c>
      <c r="D8" s="2">
        <f t="shared" si="1"/>
        <v>2577.738536005787</v>
      </c>
      <c r="E8" s="2">
        <f t="shared" si="2"/>
        <v>4853.1037742142771</v>
      </c>
      <c r="F8" s="2">
        <f t="shared" si="3"/>
        <v>384385.41516265954</v>
      </c>
      <c r="G8" s="6"/>
      <c r="H8" s="6"/>
      <c r="I8" s="6"/>
      <c r="J8" s="6"/>
    </row>
    <row r="9" spans="1:10" ht="12" customHeight="1" x14ac:dyDescent="0.2">
      <c r="A9" s="12"/>
      <c r="B9" s="2">
        <f t="shared" si="4"/>
        <v>384385.41516265954</v>
      </c>
      <c r="C9" s="2">
        <f t="shared" si="0"/>
        <v>2290.5343397965466</v>
      </c>
      <c r="D9" s="2">
        <f t="shared" si="1"/>
        <v>2562.5694344177305</v>
      </c>
      <c r="E9" s="2">
        <f t="shared" si="2"/>
        <v>4853.1037742142771</v>
      </c>
      <c r="F9" s="2">
        <f t="shared" si="3"/>
        <v>382094.88082286302</v>
      </c>
      <c r="G9" s="6"/>
      <c r="H9" s="6"/>
      <c r="I9" s="6"/>
      <c r="J9" s="6"/>
    </row>
    <row r="10" spans="1:10" ht="12" customHeight="1" x14ac:dyDescent="0.2">
      <c r="A10" s="12"/>
      <c r="B10" s="2">
        <f t="shared" si="4"/>
        <v>382094.88082286302</v>
      </c>
      <c r="C10" s="2">
        <f t="shared" si="0"/>
        <v>2305.8045687285235</v>
      </c>
      <c r="D10" s="2">
        <f t="shared" si="1"/>
        <v>2547.2992054857536</v>
      </c>
      <c r="E10" s="2">
        <f t="shared" si="2"/>
        <v>4853.1037742142771</v>
      </c>
      <c r="F10" s="2">
        <f t="shared" si="3"/>
        <v>379789.07625413447</v>
      </c>
      <c r="G10" s="6"/>
      <c r="H10" s="6"/>
      <c r="I10" s="6"/>
      <c r="J10" s="6"/>
    </row>
    <row r="11" spans="1:10" ht="12" customHeight="1" x14ac:dyDescent="0.2">
      <c r="A11" s="12"/>
      <c r="B11" s="2">
        <f t="shared" si="4"/>
        <v>379789.07625413447</v>
      </c>
      <c r="C11" s="2">
        <f t="shared" si="0"/>
        <v>2321.1765991867137</v>
      </c>
      <c r="D11" s="2">
        <f t="shared" si="1"/>
        <v>2531.9271750275634</v>
      </c>
      <c r="E11" s="2">
        <f t="shared" si="2"/>
        <v>4853.1037742142771</v>
      </c>
      <c r="F11" s="2">
        <f t="shared" si="3"/>
        <v>377467.89965494775</v>
      </c>
      <c r="G11" s="6"/>
      <c r="H11" s="6"/>
      <c r="I11" s="6"/>
      <c r="J11" s="6"/>
    </row>
    <row r="12" spans="1:10" ht="12" customHeight="1" x14ac:dyDescent="0.2">
      <c r="A12" s="12"/>
      <c r="B12" s="2">
        <f t="shared" si="4"/>
        <v>377467.89965494775</v>
      </c>
      <c r="C12" s="2">
        <f t="shared" si="0"/>
        <v>2336.6511098479587</v>
      </c>
      <c r="D12" s="2">
        <f t="shared" si="1"/>
        <v>2516.4526643663185</v>
      </c>
      <c r="E12" s="2">
        <f t="shared" si="2"/>
        <v>4853.1037742142771</v>
      </c>
      <c r="F12" s="2">
        <f t="shared" si="3"/>
        <v>375131.24854509981</v>
      </c>
      <c r="G12" s="6"/>
      <c r="H12" s="6"/>
      <c r="I12" s="6"/>
      <c r="J12" s="6"/>
    </row>
    <row r="13" spans="1:10" ht="12" customHeight="1" x14ac:dyDescent="0.2">
      <c r="A13" s="12" t="s">
        <v>101</v>
      </c>
      <c r="B13" s="2">
        <f t="shared" si="4"/>
        <v>375131.24854509981</v>
      </c>
      <c r="C13" s="2">
        <f t="shared" si="0"/>
        <v>2352.2287839136116</v>
      </c>
      <c r="D13" s="2">
        <f t="shared" si="1"/>
        <v>2500.8749903006656</v>
      </c>
      <c r="E13" s="2">
        <f t="shared" si="2"/>
        <v>4853.1037742142771</v>
      </c>
      <c r="F13" s="48">
        <f t="shared" si="3"/>
        <v>372779.01976118621</v>
      </c>
      <c r="G13" s="6"/>
      <c r="H13" s="6"/>
      <c r="I13" s="6"/>
      <c r="J13" s="6"/>
    </row>
    <row r="14" spans="1:10" ht="12" customHeight="1" x14ac:dyDescent="0.2">
      <c r="A14" s="9" t="s">
        <v>102</v>
      </c>
      <c r="B14" s="9"/>
      <c r="C14" s="48"/>
      <c r="D14" s="48">
        <f>SUM(D2:D13)</f>
        <v>31016.265051757531</v>
      </c>
      <c r="E14" s="2"/>
      <c r="F14" s="2"/>
      <c r="G14" s="6"/>
      <c r="H14" s="6"/>
      <c r="I14" s="6"/>
      <c r="J14" s="6"/>
    </row>
    <row r="15" spans="1:10" ht="12" customHeight="1" x14ac:dyDescent="0.2">
      <c r="A15" s="12"/>
      <c r="B15" s="12"/>
      <c r="C15" s="2"/>
      <c r="D15" s="2"/>
      <c r="E15" s="2"/>
      <c r="F15" s="2"/>
      <c r="G15" s="6"/>
      <c r="H15" s="6"/>
      <c r="I15" s="6"/>
      <c r="J15" s="6"/>
    </row>
    <row r="16" spans="1:10" ht="12" customHeight="1" x14ac:dyDescent="0.2">
      <c r="A16" s="12" t="s">
        <v>103</v>
      </c>
      <c r="B16" s="2">
        <f>F13</f>
        <v>372779.01976118621</v>
      </c>
      <c r="C16" s="2">
        <f t="shared" ref="C16:C27" si="5">+E16-D16</f>
        <v>2367.9103091397023</v>
      </c>
      <c r="D16" s="2">
        <f t="shared" ref="D16:D27" si="6">+B16*$J$3</f>
        <v>2485.1934650745748</v>
      </c>
      <c r="E16" s="2">
        <f t="shared" ref="E16:E27" si="7">$J$6</f>
        <v>4853.1037742142771</v>
      </c>
      <c r="F16" s="2">
        <f t="shared" ref="F16:F27" si="8">+B16-C16</f>
        <v>370411.10945204651</v>
      </c>
      <c r="G16" s="6"/>
      <c r="H16" s="6"/>
      <c r="I16" s="6"/>
      <c r="J16" s="6"/>
    </row>
    <row r="17" spans="1:10" ht="12" customHeight="1" x14ac:dyDescent="0.2">
      <c r="A17" s="12"/>
      <c r="B17" s="2">
        <f t="shared" ref="B17:B27" si="9">+F16</f>
        <v>370411.10945204651</v>
      </c>
      <c r="C17" s="2">
        <f t="shared" si="5"/>
        <v>2383.6963778673003</v>
      </c>
      <c r="D17" s="2">
        <f t="shared" si="6"/>
        <v>2469.4073963469768</v>
      </c>
      <c r="E17" s="2">
        <f t="shared" si="7"/>
        <v>4853.1037742142771</v>
      </c>
      <c r="F17" s="2">
        <f t="shared" si="8"/>
        <v>368027.4130741792</v>
      </c>
      <c r="G17" s="6"/>
      <c r="H17" s="6"/>
      <c r="I17" s="6"/>
      <c r="J17" s="6"/>
    </row>
    <row r="18" spans="1:10" ht="12" customHeight="1" x14ac:dyDescent="0.2">
      <c r="A18" s="12"/>
      <c r="B18" s="2">
        <f t="shared" si="9"/>
        <v>368027.4130741792</v>
      </c>
      <c r="C18" s="2">
        <f t="shared" si="5"/>
        <v>2399.5876870530824</v>
      </c>
      <c r="D18" s="2">
        <f t="shared" si="6"/>
        <v>2453.5160871611947</v>
      </c>
      <c r="E18" s="2">
        <f t="shared" si="7"/>
        <v>4853.1037742142771</v>
      </c>
      <c r="F18" s="2">
        <f t="shared" si="8"/>
        <v>365627.82538712613</v>
      </c>
      <c r="G18" s="6"/>
      <c r="H18" s="6"/>
      <c r="I18" s="6"/>
      <c r="J18" s="6"/>
    </row>
    <row r="19" spans="1:10" ht="12" customHeight="1" x14ac:dyDescent="0.2">
      <c r="A19" s="12"/>
      <c r="B19" s="2">
        <f t="shared" si="9"/>
        <v>365627.82538712613</v>
      </c>
      <c r="C19" s="2">
        <f t="shared" si="5"/>
        <v>2415.5849383001027</v>
      </c>
      <c r="D19" s="2">
        <f t="shared" si="6"/>
        <v>2437.5188359141744</v>
      </c>
      <c r="E19" s="2">
        <f t="shared" si="7"/>
        <v>4853.1037742142771</v>
      </c>
      <c r="F19" s="2">
        <f t="shared" si="8"/>
        <v>363212.24044882605</v>
      </c>
      <c r="G19" s="6"/>
      <c r="H19" s="6"/>
      <c r="I19" s="6"/>
      <c r="J19" s="6"/>
    </row>
    <row r="20" spans="1:10" ht="12" customHeight="1" x14ac:dyDescent="0.2">
      <c r="A20" s="12"/>
      <c r="B20" s="2">
        <f t="shared" si="9"/>
        <v>363212.24044882605</v>
      </c>
      <c r="C20" s="2">
        <f t="shared" si="5"/>
        <v>2431.6888378887697</v>
      </c>
      <c r="D20" s="2">
        <f t="shared" si="6"/>
        <v>2421.4149363255074</v>
      </c>
      <c r="E20" s="2">
        <f t="shared" si="7"/>
        <v>4853.1037742142771</v>
      </c>
      <c r="F20" s="2">
        <f t="shared" si="8"/>
        <v>360780.55161093728</v>
      </c>
      <c r="G20" s="6"/>
      <c r="H20" s="6"/>
      <c r="I20" s="6"/>
      <c r="J20" s="6"/>
    </row>
    <row r="21" spans="1:10" ht="12" customHeight="1" x14ac:dyDescent="0.2">
      <c r="A21" s="12"/>
      <c r="B21" s="2">
        <f t="shared" si="9"/>
        <v>360780.55161093728</v>
      </c>
      <c r="C21" s="2">
        <f t="shared" si="5"/>
        <v>2447.9000968080286</v>
      </c>
      <c r="D21" s="2">
        <f t="shared" si="6"/>
        <v>2405.2036774062485</v>
      </c>
      <c r="E21" s="2">
        <f t="shared" si="7"/>
        <v>4853.1037742142771</v>
      </c>
      <c r="F21" s="2">
        <f t="shared" si="8"/>
        <v>358332.65151412925</v>
      </c>
      <c r="G21" s="6"/>
      <c r="H21" s="6"/>
      <c r="I21" s="6"/>
      <c r="J21" s="6"/>
    </row>
    <row r="22" spans="1:10" ht="12" customHeight="1" x14ac:dyDescent="0.2">
      <c r="A22" s="12"/>
      <c r="B22" s="2">
        <f t="shared" si="9"/>
        <v>358332.65151412925</v>
      </c>
      <c r="C22" s="2">
        <f t="shared" si="5"/>
        <v>2464.2194307867485</v>
      </c>
      <c r="D22" s="2">
        <f t="shared" si="6"/>
        <v>2388.8843434275286</v>
      </c>
      <c r="E22" s="2">
        <f t="shared" si="7"/>
        <v>4853.1037742142771</v>
      </c>
      <c r="F22" s="2">
        <f t="shared" si="8"/>
        <v>355868.43208334252</v>
      </c>
      <c r="G22" s="6"/>
      <c r="H22" s="6"/>
      <c r="I22" s="6"/>
      <c r="J22" s="6"/>
    </row>
    <row r="23" spans="1:10" ht="12" customHeight="1" x14ac:dyDescent="0.2">
      <c r="A23" s="12"/>
      <c r="B23" s="2">
        <f t="shared" si="9"/>
        <v>355868.43208334252</v>
      </c>
      <c r="C23" s="2">
        <f t="shared" si="5"/>
        <v>2480.647560325327</v>
      </c>
      <c r="D23" s="2">
        <f t="shared" si="6"/>
        <v>2372.4562138889501</v>
      </c>
      <c r="E23" s="2">
        <f t="shared" si="7"/>
        <v>4853.1037742142771</v>
      </c>
      <c r="F23" s="2">
        <f t="shared" si="8"/>
        <v>353387.78452301718</v>
      </c>
      <c r="G23" s="6"/>
      <c r="H23" s="6"/>
      <c r="I23" s="6"/>
      <c r="J23" s="6"/>
    </row>
    <row r="24" spans="1:10" ht="12" customHeight="1" x14ac:dyDescent="0.2">
      <c r="A24" s="12"/>
      <c r="B24" s="2">
        <f t="shared" si="9"/>
        <v>353387.78452301718</v>
      </c>
      <c r="C24" s="2">
        <f t="shared" si="5"/>
        <v>2497.1852107274958</v>
      </c>
      <c r="D24" s="2">
        <f t="shared" si="6"/>
        <v>2355.9185634867813</v>
      </c>
      <c r="E24" s="2">
        <f t="shared" si="7"/>
        <v>4853.1037742142771</v>
      </c>
      <c r="F24" s="2">
        <f t="shared" si="8"/>
        <v>350890.59931228968</v>
      </c>
      <c r="G24" s="6"/>
      <c r="H24" s="6"/>
      <c r="I24" s="6"/>
      <c r="J24" s="6"/>
    </row>
    <row r="25" spans="1:10" ht="12" customHeight="1" x14ac:dyDescent="0.2">
      <c r="A25" s="12"/>
      <c r="B25" s="2">
        <f t="shared" si="9"/>
        <v>350890.59931228968</v>
      </c>
      <c r="C25" s="2">
        <f t="shared" si="5"/>
        <v>2513.8331121323458</v>
      </c>
      <c r="D25" s="2">
        <f t="shared" si="6"/>
        <v>2339.2706620819313</v>
      </c>
      <c r="E25" s="2">
        <f t="shared" si="7"/>
        <v>4853.1037742142771</v>
      </c>
      <c r="F25" s="2">
        <f t="shared" si="8"/>
        <v>348376.76620015735</v>
      </c>
      <c r="G25" s="6"/>
      <c r="H25" s="6"/>
      <c r="I25" s="6"/>
      <c r="J25" s="6"/>
    </row>
    <row r="26" spans="1:10" ht="12" customHeight="1" x14ac:dyDescent="0.2">
      <c r="A26" s="12"/>
      <c r="B26" s="2">
        <f t="shared" si="9"/>
        <v>348376.76620015735</v>
      </c>
      <c r="C26" s="2">
        <f t="shared" si="5"/>
        <v>2530.5919995465615</v>
      </c>
      <c r="D26" s="2">
        <f t="shared" si="6"/>
        <v>2322.5117746677156</v>
      </c>
      <c r="E26" s="2">
        <f t="shared" si="7"/>
        <v>4853.1037742142771</v>
      </c>
      <c r="F26" s="2">
        <f t="shared" si="8"/>
        <v>345846.17420061078</v>
      </c>
      <c r="G26" s="6"/>
      <c r="H26" s="6"/>
      <c r="I26" s="6"/>
      <c r="J26" s="6"/>
    </row>
    <row r="27" spans="1:10" ht="12" customHeight="1" x14ac:dyDescent="0.2">
      <c r="A27" s="12" t="s">
        <v>104</v>
      </c>
      <c r="B27" s="2">
        <f t="shared" si="9"/>
        <v>345846.17420061078</v>
      </c>
      <c r="C27" s="2">
        <f t="shared" si="5"/>
        <v>2547.4626128768718</v>
      </c>
      <c r="D27" s="2">
        <f t="shared" si="6"/>
        <v>2305.6411613374053</v>
      </c>
      <c r="E27" s="2">
        <f t="shared" si="7"/>
        <v>4853.1037742142771</v>
      </c>
      <c r="F27" s="48">
        <f t="shared" si="8"/>
        <v>343298.71158773394</v>
      </c>
      <c r="G27" s="6"/>
      <c r="H27" s="6"/>
      <c r="I27" s="6"/>
      <c r="J27" s="6"/>
    </row>
    <row r="28" spans="1:10" ht="12" customHeight="1" x14ac:dyDescent="0.2">
      <c r="A28" s="9" t="s">
        <v>102</v>
      </c>
      <c r="B28" s="9"/>
      <c r="C28" s="48"/>
      <c r="D28" s="48">
        <f>SUM(D16:D27)</f>
        <v>28756.937117118989</v>
      </c>
      <c r="E28" s="2"/>
      <c r="F28" s="2"/>
      <c r="G28" s="6"/>
      <c r="H28" s="6"/>
      <c r="I28" s="6"/>
      <c r="J28" s="6"/>
    </row>
    <row r="29" spans="1:10" ht="12" customHeight="1" x14ac:dyDescent="0.2">
      <c r="A29" s="12"/>
      <c r="B29" s="12"/>
      <c r="C29" s="2"/>
      <c r="D29" s="2"/>
      <c r="E29" s="2"/>
      <c r="F29" s="2"/>
      <c r="G29" s="6"/>
      <c r="H29" s="6"/>
      <c r="I29" s="6"/>
      <c r="J29" s="6"/>
    </row>
    <row r="30" spans="1:10" ht="12" customHeight="1" x14ac:dyDescent="0.2">
      <c r="A30" s="12" t="s">
        <v>105</v>
      </c>
      <c r="B30" s="2">
        <f>F27</f>
        <v>343298.71158773394</v>
      </c>
      <c r="C30" s="2">
        <f t="shared" ref="C30:C41" si="10">+E30-D30</f>
        <v>2564.4456969627172</v>
      </c>
      <c r="D30" s="2">
        <f t="shared" ref="D30:D41" si="11">+B30*$J$3</f>
        <v>2288.6580772515599</v>
      </c>
      <c r="E30" s="2">
        <f t="shared" ref="E30:E41" si="12">$J$6</f>
        <v>4853.1037742142771</v>
      </c>
      <c r="F30" s="2">
        <f t="shared" ref="F30:F41" si="13">+B30-C30</f>
        <v>340734.26589077123</v>
      </c>
      <c r="G30" s="6"/>
      <c r="H30" s="6"/>
      <c r="I30" s="6"/>
      <c r="J30" s="6"/>
    </row>
    <row r="31" spans="1:10" ht="12" customHeight="1" x14ac:dyDescent="0.2">
      <c r="A31" s="12"/>
      <c r="B31" s="2">
        <f t="shared" ref="B31:B41" si="14">+F30</f>
        <v>340734.26589077123</v>
      </c>
      <c r="C31" s="2">
        <f t="shared" si="10"/>
        <v>2581.5420016091352</v>
      </c>
      <c r="D31" s="2">
        <f t="shared" si="11"/>
        <v>2271.5617726051419</v>
      </c>
      <c r="E31" s="2">
        <f t="shared" si="12"/>
        <v>4853.1037742142771</v>
      </c>
      <c r="F31" s="2">
        <f t="shared" si="13"/>
        <v>338152.72388916212</v>
      </c>
      <c r="G31" s="6"/>
      <c r="H31" s="6"/>
      <c r="I31" s="6"/>
      <c r="J31" s="6"/>
    </row>
    <row r="32" spans="1:10" ht="12" customHeight="1" x14ac:dyDescent="0.2">
      <c r="A32" s="12"/>
      <c r="B32" s="2">
        <f t="shared" si="14"/>
        <v>338152.72388916212</v>
      </c>
      <c r="C32" s="2">
        <f t="shared" si="10"/>
        <v>2598.752281619863</v>
      </c>
      <c r="D32" s="2">
        <f t="shared" si="11"/>
        <v>2254.3514925944141</v>
      </c>
      <c r="E32" s="2">
        <f t="shared" si="12"/>
        <v>4853.1037742142771</v>
      </c>
      <c r="F32" s="2">
        <f t="shared" si="13"/>
        <v>335553.97160754225</v>
      </c>
      <c r="G32" s="6"/>
      <c r="H32" s="6"/>
      <c r="I32" s="6"/>
      <c r="J32" s="6"/>
    </row>
    <row r="33" spans="1:10" ht="12" customHeight="1" x14ac:dyDescent="0.2">
      <c r="A33" s="12"/>
      <c r="B33" s="2">
        <f t="shared" si="14"/>
        <v>335553.97160754225</v>
      </c>
      <c r="C33" s="2">
        <f t="shared" si="10"/>
        <v>2616.0772968306619</v>
      </c>
      <c r="D33" s="2">
        <f t="shared" si="11"/>
        <v>2237.0264773836152</v>
      </c>
      <c r="E33" s="2">
        <f t="shared" si="12"/>
        <v>4853.1037742142771</v>
      </c>
      <c r="F33" s="2">
        <f t="shared" si="13"/>
        <v>332937.89431071159</v>
      </c>
      <c r="G33" s="6"/>
      <c r="H33" s="6"/>
      <c r="I33" s="6"/>
      <c r="J33" s="6"/>
    </row>
    <row r="34" spans="1:10" ht="12" customHeight="1" x14ac:dyDescent="0.2">
      <c r="A34" s="12"/>
      <c r="B34" s="2">
        <f t="shared" si="14"/>
        <v>332937.89431071159</v>
      </c>
      <c r="C34" s="2">
        <f t="shared" si="10"/>
        <v>2633.5178121428662</v>
      </c>
      <c r="D34" s="2">
        <f t="shared" si="11"/>
        <v>2219.5859620714109</v>
      </c>
      <c r="E34" s="2">
        <f t="shared" si="12"/>
        <v>4853.1037742142771</v>
      </c>
      <c r="F34" s="2">
        <f t="shared" si="13"/>
        <v>330304.37649856874</v>
      </c>
      <c r="G34" s="6"/>
      <c r="H34" s="6"/>
      <c r="I34" s="6"/>
      <c r="J34" s="6"/>
    </row>
    <row r="35" spans="1:10" ht="12" customHeight="1" x14ac:dyDescent="0.2">
      <c r="A35" s="12"/>
      <c r="B35" s="2">
        <f t="shared" si="14"/>
        <v>330304.37649856874</v>
      </c>
      <c r="C35" s="2">
        <f t="shared" si="10"/>
        <v>2651.0745975571522</v>
      </c>
      <c r="D35" s="2">
        <f t="shared" si="11"/>
        <v>2202.0291766571249</v>
      </c>
      <c r="E35" s="2">
        <f t="shared" si="12"/>
        <v>4853.1037742142771</v>
      </c>
      <c r="F35" s="2">
        <f t="shared" si="13"/>
        <v>327653.30190101161</v>
      </c>
      <c r="G35" s="6"/>
      <c r="H35" s="6"/>
      <c r="I35" s="6"/>
      <c r="J35" s="6"/>
    </row>
    <row r="36" spans="1:10" ht="12" customHeight="1" x14ac:dyDescent="0.2">
      <c r="A36" s="12"/>
      <c r="B36" s="2">
        <f t="shared" si="14"/>
        <v>327653.30190101161</v>
      </c>
      <c r="C36" s="2">
        <f t="shared" si="10"/>
        <v>2668.7484282075329</v>
      </c>
      <c r="D36" s="2">
        <f t="shared" si="11"/>
        <v>2184.3553460067442</v>
      </c>
      <c r="E36" s="2">
        <f t="shared" si="12"/>
        <v>4853.1037742142771</v>
      </c>
      <c r="F36" s="2">
        <f t="shared" si="13"/>
        <v>324984.55347280408</v>
      </c>
      <c r="G36" s="6"/>
      <c r="H36" s="6"/>
      <c r="I36" s="6"/>
      <c r="J36" s="6"/>
    </row>
    <row r="37" spans="1:10" ht="12" customHeight="1" x14ac:dyDescent="0.2">
      <c r="A37" s="12"/>
      <c r="B37" s="2">
        <f t="shared" si="14"/>
        <v>324984.55347280408</v>
      </c>
      <c r="C37" s="2">
        <f t="shared" si="10"/>
        <v>2686.5400843955831</v>
      </c>
      <c r="D37" s="2">
        <f t="shared" si="11"/>
        <v>2166.563689818694</v>
      </c>
      <c r="E37" s="2">
        <f t="shared" si="12"/>
        <v>4853.1037742142771</v>
      </c>
      <c r="F37" s="2">
        <f t="shared" si="13"/>
        <v>322298.01338840852</v>
      </c>
      <c r="G37" s="6"/>
      <c r="H37" s="6"/>
      <c r="I37" s="6"/>
      <c r="J37" s="6"/>
    </row>
    <row r="38" spans="1:10" ht="12" customHeight="1" x14ac:dyDescent="0.2">
      <c r="A38" s="12"/>
      <c r="B38" s="2">
        <f t="shared" si="14"/>
        <v>322298.01338840852</v>
      </c>
      <c r="C38" s="2">
        <f t="shared" si="10"/>
        <v>2704.4503516248869</v>
      </c>
      <c r="D38" s="2">
        <f t="shared" si="11"/>
        <v>2148.6534225893902</v>
      </c>
      <c r="E38" s="2">
        <f t="shared" si="12"/>
        <v>4853.1037742142771</v>
      </c>
      <c r="F38" s="2">
        <f t="shared" si="13"/>
        <v>319593.56303678366</v>
      </c>
      <c r="G38" s="6"/>
      <c r="H38" s="6"/>
      <c r="I38" s="6"/>
      <c r="J38" s="6"/>
    </row>
    <row r="39" spans="1:10" ht="12" customHeight="1" x14ac:dyDescent="0.2">
      <c r="A39" s="12"/>
      <c r="B39" s="2">
        <f t="shared" si="14"/>
        <v>319593.56303678366</v>
      </c>
      <c r="C39" s="2">
        <f t="shared" si="10"/>
        <v>2722.4800206357195</v>
      </c>
      <c r="D39" s="2">
        <f t="shared" si="11"/>
        <v>2130.6237535785576</v>
      </c>
      <c r="E39" s="2">
        <f t="shared" si="12"/>
        <v>4853.1037742142771</v>
      </c>
      <c r="F39" s="2">
        <f t="shared" si="13"/>
        <v>316871.08301614795</v>
      </c>
      <c r="G39" s="6"/>
      <c r="H39" s="6"/>
      <c r="I39" s="6"/>
      <c r="J39" s="6"/>
    </row>
    <row r="40" spans="1:10" ht="12" customHeight="1" x14ac:dyDescent="0.2">
      <c r="A40" s="12"/>
      <c r="B40" s="2">
        <f t="shared" si="14"/>
        <v>316871.08301614795</v>
      </c>
      <c r="C40" s="2">
        <f t="shared" si="10"/>
        <v>2740.6298874399572</v>
      </c>
      <c r="D40" s="2">
        <f t="shared" si="11"/>
        <v>2112.4738867743199</v>
      </c>
      <c r="E40" s="2">
        <f t="shared" si="12"/>
        <v>4853.1037742142771</v>
      </c>
      <c r="F40" s="2">
        <f t="shared" si="13"/>
        <v>314130.453128708</v>
      </c>
      <c r="G40" s="6"/>
      <c r="H40" s="6"/>
      <c r="I40" s="6"/>
      <c r="J40" s="6"/>
    </row>
    <row r="41" spans="1:10" ht="12" customHeight="1" x14ac:dyDescent="0.2">
      <c r="A41" s="12" t="s">
        <v>106</v>
      </c>
      <c r="B41" s="2">
        <f t="shared" si="14"/>
        <v>314130.453128708</v>
      </c>
      <c r="C41" s="2">
        <f t="shared" si="10"/>
        <v>2758.9007533562235</v>
      </c>
      <c r="D41" s="2">
        <f t="shared" si="11"/>
        <v>2094.2030208580536</v>
      </c>
      <c r="E41" s="2">
        <f t="shared" si="12"/>
        <v>4853.1037742142771</v>
      </c>
      <c r="F41" s="48">
        <f t="shared" si="13"/>
        <v>311371.55237535178</v>
      </c>
      <c r="G41" s="6"/>
      <c r="H41" s="6"/>
      <c r="I41" s="6"/>
      <c r="J41" s="6"/>
    </row>
    <row r="42" spans="1:10" ht="12" customHeight="1" x14ac:dyDescent="0.2">
      <c r="A42" s="9" t="s">
        <v>102</v>
      </c>
      <c r="B42" s="9"/>
      <c r="C42" s="48"/>
      <c r="D42" s="48">
        <f>SUM(D30:D41)</f>
        <v>26310.086078189022</v>
      </c>
      <c r="E42" s="2"/>
      <c r="F42" s="2"/>
      <c r="G42" s="6"/>
      <c r="H42" s="6"/>
      <c r="I42" s="6"/>
      <c r="J42" s="6"/>
    </row>
    <row r="43" spans="1:10" ht="12" customHeight="1" x14ac:dyDescent="0.2">
      <c r="A43" s="12"/>
      <c r="B43" s="12"/>
      <c r="C43" s="2"/>
      <c r="D43" s="2"/>
      <c r="E43" s="2"/>
      <c r="F43" s="2"/>
      <c r="G43" s="6"/>
      <c r="H43" s="6"/>
      <c r="I43" s="6"/>
      <c r="J43" s="6"/>
    </row>
    <row r="44" spans="1:10" ht="12" customHeight="1" x14ac:dyDescent="0.2">
      <c r="A44" s="12" t="s">
        <v>107</v>
      </c>
      <c r="B44" s="2">
        <f>F41</f>
        <v>311371.55237535178</v>
      </c>
      <c r="C44" s="2">
        <f t="shared" ref="C44:C55" si="15">+E44-D44</f>
        <v>2777.2934250452649</v>
      </c>
      <c r="D44" s="2">
        <f t="shared" ref="D44:D55" si="16">+B44*$J$3</f>
        <v>2075.8103491690122</v>
      </c>
      <c r="E44" s="2">
        <f t="shared" ref="E44:E55" si="17">$J$6</f>
        <v>4853.1037742142771</v>
      </c>
      <c r="F44" s="2">
        <f t="shared" ref="F44:F55" si="18">+B44-C44</f>
        <v>308594.25895030651</v>
      </c>
      <c r="G44" s="6"/>
      <c r="H44" s="6"/>
      <c r="I44" s="6"/>
      <c r="J44" s="6"/>
    </row>
    <row r="45" spans="1:10" ht="12" customHeight="1" x14ac:dyDescent="0.2">
      <c r="A45" s="12"/>
      <c r="B45" s="2">
        <f t="shared" ref="B45:B55" si="19">+F44</f>
        <v>308594.25895030651</v>
      </c>
      <c r="C45" s="2">
        <f t="shared" si="15"/>
        <v>2795.808714545567</v>
      </c>
      <c r="D45" s="2">
        <f t="shared" si="16"/>
        <v>2057.2950596687101</v>
      </c>
      <c r="E45" s="2">
        <f t="shared" si="17"/>
        <v>4853.1037742142771</v>
      </c>
      <c r="F45" s="2">
        <f t="shared" si="18"/>
        <v>305798.45023576095</v>
      </c>
      <c r="G45" s="6"/>
      <c r="H45" s="6"/>
      <c r="I45" s="6"/>
      <c r="J45" s="6"/>
    </row>
    <row r="46" spans="1:10" ht="12" customHeight="1" x14ac:dyDescent="0.2">
      <c r="A46" s="12"/>
      <c r="B46" s="2">
        <f t="shared" si="19"/>
        <v>305798.45023576095</v>
      </c>
      <c r="C46" s="2">
        <f t="shared" si="15"/>
        <v>2814.4474393092041</v>
      </c>
      <c r="D46" s="2">
        <f t="shared" si="16"/>
        <v>2038.6563349050732</v>
      </c>
      <c r="E46" s="2">
        <f t="shared" si="17"/>
        <v>4853.1037742142771</v>
      </c>
      <c r="F46" s="2">
        <f t="shared" si="18"/>
        <v>302984.00279645174</v>
      </c>
      <c r="G46" s="6"/>
      <c r="H46" s="6"/>
      <c r="I46" s="6"/>
      <c r="J46" s="6"/>
    </row>
    <row r="47" spans="1:10" ht="12" customHeight="1" x14ac:dyDescent="0.2">
      <c r="A47" s="12"/>
      <c r="B47" s="2">
        <f t="shared" si="19"/>
        <v>302984.00279645174</v>
      </c>
      <c r="C47" s="2">
        <f t="shared" si="15"/>
        <v>2833.2104222379321</v>
      </c>
      <c r="D47" s="2">
        <f t="shared" si="16"/>
        <v>2019.893351976345</v>
      </c>
      <c r="E47" s="2">
        <f t="shared" si="17"/>
        <v>4853.1037742142771</v>
      </c>
      <c r="F47" s="2">
        <f t="shared" si="18"/>
        <v>300150.79237421381</v>
      </c>
      <c r="G47" s="6"/>
      <c r="H47" s="6"/>
      <c r="I47" s="6"/>
      <c r="J47" s="6"/>
    </row>
    <row r="48" spans="1:10" ht="12" customHeight="1" x14ac:dyDescent="0.2">
      <c r="A48" s="12"/>
      <c r="B48" s="2">
        <f t="shared" si="19"/>
        <v>300150.79237421381</v>
      </c>
      <c r="C48" s="2">
        <f t="shared" si="15"/>
        <v>2852.0984917195183</v>
      </c>
      <c r="D48" s="2">
        <f t="shared" si="16"/>
        <v>2001.0052824947588</v>
      </c>
      <c r="E48" s="2">
        <f t="shared" si="17"/>
        <v>4853.1037742142771</v>
      </c>
      <c r="F48" s="2">
        <f t="shared" si="18"/>
        <v>297298.69388249429</v>
      </c>
      <c r="G48" s="6"/>
      <c r="H48" s="6"/>
      <c r="I48" s="6"/>
      <c r="J48" s="6"/>
    </row>
    <row r="49" spans="1:10" ht="12" customHeight="1" x14ac:dyDescent="0.2">
      <c r="A49" s="12"/>
      <c r="B49" s="2">
        <f t="shared" si="19"/>
        <v>297298.69388249429</v>
      </c>
      <c r="C49" s="2">
        <f t="shared" si="15"/>
        <v>2871.1124816643151</v>
      </c>
      <c r="D49" s="2">
        <f t="shared" si="16"/>
        <v>1981.9912925499621</v>
      </c>
      <c r="E49" s="2">
        <f t="shared" si="17"/>
        <v>4853.1037742142771</v>
      </c>
      <c r="F49" s="2">
        <f t="shared" si="18"/>
        <v>294427.58140082995</v>
      </c>
      <c r="G49" s="6"/>
      <c r="H49" s="6"/>
      <c r="I49" s="6"/>
      <c r="J49" s="6"/>
    </row>
    <row r="50" spans="1:10" ht="12" customHeight="1" x14ac:dyDescent="0.2">
      <c r="A50" s="12"/>
      <c r="B50" s="2">
        <f t="shared" si="19"/>
        <v>294427.58140082995</v>
      </c>
      <c r="C50" s="2">
        <f t="shared" si="15"/>
        <v>2890.2532315420776</v>
      </c>
      <c r="D50" s="2">
        <f t="shared" si="16"/>
        <v>1962.8505426721997</v>
      </c>
      <c r="E50" s="2">
        <f t="shared" si="17"/>
        <v>4853.1037742142771</v>
      </c>
      <c r="F50" s="2">
        <f t="shared" si="18"/>
        <v>291537.32816928788</v>
      </c>
      <c r="G50" s="6"/>
      <c r="H50" s="6"/>
      <c r="I50" s="6"/>
      <c r="J50" s="6"/>
    </row>
    <row r="51" spans="1:10" ht="12" customHeight="1" x14ac:dyDescent="0.2">
      <c r="A51" s="12"/>
      <c r="B51" s="2">
        <f t="shared" si="19"/>
        <v>291537.32816928788</v>
      </c>
      <c r="C51" s="2">
        <f t="shared" si="15"/>
        <v>2909.5215864190245</v>
      </c>
      <c r="D51" s="2">
        <f t="shared" si="16"/>
        <v>1943.5821877952526</v>
      </c>
      <c r="E51" s="2">
        <f t="shared" si="17"/>
        <v>4853.1037742142771</v>
      </c>
      <c r="F51" s="2">
        <f t="shared" si="18"/>
        <v>288627.80658286886</v>
      </c>
      <c r="G51" s="6"/>
      <c r="H51" s="6"/>
      <c r="I51" s="6"/>
      <c r="J51" s="6"/>
    </row>
    <row r="52" spans="1:10" ht="12" customHeight="1" x14ac:dyDescent="0.2">
      <c r="A52" s="12"/>
      <c r="B52" s="2">
        <f t="shared" si="19"/>
        <v>288627.80658286886</v>
      </c>
      <c r="C52" s="2">
        <f t="shared" si="15"/>
        <v>2928.9183969951509</v>
      </c>
      <c r="D52" s="2">
        <f t="shared" si="16"/>
        <v>1924.1853772191259</v>
      </c>
      <c r="E52" s="2">
        <f t="shared" si="17"/>
        <v>4853.1037742142771</v>
      </c>
      <c r="F52" s="2">
        <f t="shared" si="18"/>
        <v>285698.88818587369</v>
      </c>
      <c r="G52" s="6"/>
      <c r="H52" s="6"/>
      <c r="I52" s="6"/>
      <c r="J52" s="6"/>
    </row>
    <row r="53" spans="1:10" ht="12" customHeight="1" x14ac:dyDescent="0.2">
      <c r="A53" s="12"/>
      <c r="B53" s="2">
        <f t="shared" si="19"/>
        <v>285698.88818587369</v>
      </c>
      <c r="C53" s="2">
        <f t="shared" si="15"/>
        <v>2948.4445196417855</v>
      </c>
      <c r="D53" s="2">
        <f t="shared" si="16"/>
        <v>1904.6592545724914</v>
      </c>
      <c r="E53" s="2">
        <f t="shared" si="17"/>
        <v>4853.1037742142771</v>
      </c>
      <c r="F53" s="2">
        <f t="shared" si="18"/>
        <v>282750.44366623188</v>
      </c>
      <c r="G53" s="6"/>
      <c r="H53" s="6"/>
      <c r="I53" s="6"/>
      <c r="J53" s="6"/>
    </row>
    <row r="54" spans="1:10" ht="12" customHeight="1" x14ac:dyDescent="0.2">
      <c r="A54" s="12"/>
      <c r="B54" s="2">
        <f t="shared" si="19"/>
        <v>282750.44366623188</v>
      </c>
      <c r="C54" s="2">
        <f t="shared" si="15"/>
        <v>2968.1008164393979</v>
      </c>
      <c r="D54" s="2">
        <f t="shared" si="16"/>
        <v>1885.0029577748794</v>
      </c>
      <c r="E54" s="2">
        <f t="shared" si="17"/>
        <v>4853.1037742142771</v>
      </c>
      <c r="F54" s="2">
        <f t="shared" si="18"/>
        <v>279782.34284979251</v>
      </c>
      <c r="G54" s="6"/>
      <c r="H54" s="6"/>
      <c r="I54" s="6"/>
      <c r="J54" s="6"/>
    </row>
    <row r="55" spans="1:10" ht="12" customHeight="1" x14ac:dyDescent="0.2">
      <c r="A55" s="12" t="s">
        <v>108</v>
      </c>
      <c r="B55" s="2">
        <f t="shared" si="19"/>
        <v>279782.34284979251</v>
      </c>
      <c r="C55" s="2">
        <f t="shared" si="15"/>
        <v>2987.8881552156604</v>
      </c>
      <c r="D55" s="2">
        <f t="shared" si="16"/>
        <v>1865.2156189986167</v>
      </c>
      <c r="E55" s="2">
        <f t="shared" si="17"/>
        <v>4853.1037742142771</v>
      </c>
      <c r="F55" s="48">
        <f t="shared" si="18"/>
        <v>276794.45469457685</v>
      </c>
      <c r="G55" s="2"/>
      <c r="H55" s="6"/>
      <c r="I55" s="6"/>
      <c r="J55" s="6"/>
    </row>
    <row r="56" spans="1:10" ht="12" customHeight="1" x14ac:dyDescent="0.2">
      <c r="A56" s="9" t="s">
        <v>102</v>
      </c>
      <c r="B56" s="4"/>
      <c r="C56" s="48"/>
      <c r="D56" s="48">
        <f>SUM(D44:D55)</f>
        <v>23660.14760979643</v>
      </c>
      <c r="E56" s="6"/>
      <c r="F56" s="6"/>
      <c r="G56" s="6"/>
      <c r="H56" s="6"/>
      <c r="I56" s="6"/>
      <c r="J56" s="6"/>
    </row>
    <row r="57" spans="1:10" ht="12" customHeight="1" x14ac:dyDescent="0.2">
      <c r="A57" s="12" t="s">
        <v>109</v>
      </c>
      <c r="B57" s="2">
        <f>F55</f>
        <v>276794.45469457685</v>
      </c>
      <c r="C57" s="2">
        <f t="shared" ref="C57:C68" si="20">+E57-D57</f>
        <v>3007.8074095837646</v>
      </c>
      <c r="D57" s="2">
        <f t="shared" ref="D57:D68" si="21">+B57*$J$3</f>
        <v>1845.2963646305125</v>
      </c>
      <c r="E57" s="2">
        <f t="shared" ref="E57:E68" si="22">$J$6</f>
        <v>4853.1037742142771</v>
      </c>
      <c r="F57" s="2">
        <f t="shared" ref="F57:F68" si="23">+B57-C57</f>
        <v>273786.64728499309</v>
      </c>
      <c r="G57" s="6"/>
      <c r="H57" s="6"/>
      <c r="I57" s="6"/>
      <c r="J57" s="6"/>
    </row>
    <row r="58" spans="1:10" ht="12" customHeight="1" x14ac:dyDescent="0.2">
      <c r="A58" s="12"/>
      <c r="B58" s="2">
        <f t="shared" ref="B58:B68" si="24">+F57</f>
        <v>273786.64728499309</v>
      </c>
      <c r="C58" s="2">
        <f t="shared" si="20"/>
        <v>3027.85945898099</v>
      </c>
      <c r="D58" s="2">
        <f t="shared" si="21"/>
        <v>1825.2443152332874</v>
      </c>
      <c r="E58" s="2">
        <f t="shared" si="22"/>
        <v>4853.1037742142771</v>
      </c>
      <c r="F58" s="2">
        <f t="shared" si="23"/>
        <v>270758.78782601212</v>
      </c>
      <c r="G58" s="6"/>
      <c r="H58" s="6"/>
      <c r="I58" s="6"/>
      <c r="J58" s="6"/>
    </row>
    <row r="59" spans="1:10" ht="12" customHeight="1" x14ac:dyDescent="0.2">
      <c r="A59" s="12"/>
      <c r="B59" s="2">
        <f t="shared" si="24"/>
        <v>270758.78782601212</v>
      </c>
      <c r="C59" s="2">
        <f t="shared" si="20"/>
        <v>3048.0451887075296</v>
      </c>
      <c r="D59" s="2">
        <f t="shared" si="21"/>
        <v>1805.0585855067477</v>
      </c>
      <c r="E59" s="2">
        <f t="shared" si="22"/>
        <v>4853.1037742142771</v>
      </c>
      <c r="F59" s="2">
        <f t="shared" si="23"/>
        <v>267710.74263730459</v>
      </c>
      <c r="G59" s="6"/>
      <c r="H59" s="6"/>
      <c r="I59" s="6"/>
      <c r="J59" s="6"/>
    </row>
    <row r="60" spans="1:10" ht="12" customHeight="1" x14ac:dyDescent="0.2">
      <c r="A60" s="12"/>
      <c r="B60" s="2">
        <f t="shared" si="24"/>
        <v>267710.74263730459</v>
      </c>
      <c r="C60" s="2">
        <f t="shared" si="20"/>
        <v>3068.3654899655794</v>
      </c>
      <c r="D60" s="2">
        <f t="shared" si="21"/>
        <v>1784.7382842486975</v>
      </c>
      <c r="E60" s="2">
        <f t="shared" si="22"/>
        <v>4853.1037742142771</v>
      </c>
      <c r="F60" s="2">
        <f t="shared" si="23"/>
        <v>264642.37714733899</v>
      </c>
      <c r="G60" s="6"/>
      <c r="H60" s="6"/>
      <c r="I60" s="6"/>
      <c r="J60" s="6"/>
    </row>
    <row r="61" spans="1:10" ht="12" customHeight="1" x14ac:dyDescent="0.2">
      <c r="A61" s="12"/>
      <c r="B61" s="2">
        <f t="shared" si="24"/>
        <v>264642.37714733899</v>
      </c>
      <c r="C61" s="2">
        <f t="shared" si="20"/>
        <v>3088.8212598986838</v>
      </c>
      <c r="D61" s="2">
        <f t="shared" si="21"/>
        <v>1764.2825143155933</v>
      </c>
      <c r="E61" s="2">
        <f t="shared" si="22"/>
        <v>4853.1037742142771</v>
      </c>
      <c r="F61" s="2">
        <f t="shared" si="23"/>
        <v>261553.55588744031</v>
      </c>
      <c r="G61" s="6"/>
      <c r="H61" s="6"/>
      <c r="I61" s="6"/>
      <c r="J61" s="6"/>
    </row>
    <row r="62" spans="1:10" ht="12" customHeight="1" x14ac:dyDescent="0.2">
      <c r="A62" s="12"/>
      <c r="B62" s="2">
        <f t="shared" si="24"/>
        <v>261553.55588744031</v>
      </c>
      <c r="C62" s="2">
        <f t="shared" si="20"/>
        <v>3109.4134016313419</v>
      </c>
      <c r="D62" s="2">
        <f t="shared" si="21"/>
        <v>1743.6903725829354</v>
      </c>
      <c r="E62" s="2">
        <f t="shared" si="22"/>
        <v>4853.1037742142771</v>
      </c>
      <c r="F62" s="2">
        <f t="shared" si="23"/>
        <v>258444.14248580896</v>
      </c>
      <c r="G62" s="6"/>
      <c r="H62" s="6"/>
      <c r="I62" s="6"/>
      <c r="J62" s="6"/>
    </row>
    <row r="63" spans="1:10" ht="12" customHeight="1" x14ac:dyDescent="0.2">
      <c r="A63" s="12"/>
      <c r="B63" s="2">
        <f t="shared" si="24"/>
        <v>258444.14248580896</v>
      </c>
      <c r="C63" s="2">
        <f t="shared" si="20"/>
        <v>3130.142824308884</v>
      </c>
      <c r="D63" s="2">
        <f t="shared" si="21"/>
        <v>1722.9609499053931</v>
      </c>
      <c r="E63" s="2">
        <f t="shared" si="22"/>
        <v>4853.1037742142771</v>
      </c>
      <c r="F63" s="2">
        <f t="shared" si="23"/>
        <v>255313.99966150007</v>
      </c>
      <c r="G63" s="6"/>
      <c r="H63" s="6"/>
      <c r="I63" s="6"/>
      <c r="J63" s="6"/>
    </row>
    <row r="64" spans="1:10" ht="12" customHeight="1" x14ac:dyDescent="0.2">
      <c r="A64" s="12"/>
      <c r="B64" s="2">
        <f t="shared" si="24"/>
        <v>255313.99966150007</v>
      </c>
      <c r="C64" s="2">
        <f t="shared" si="20"/>
        <v>3151.0104431376099</v>
      </c>
      <c r="D64" s="2">
        <f t="shared" si="21"/>
        <v>1702.0933310766673</v>
      </c>
      <c r="E64" s="2">
        <f t="shared" si="22"/>
        <v>4853.1037742142771</v>
      </c>
      <c r="F64" s="2">
        <f t="shared" si="23"/>
        <v>252162.98921836246</v>
      </c>
      <c r="G64" s="6"/>
      <c r="H64" s="6"/>
      <c r="I64" s="6"/>
      <c r="J64" s="6"/>
    </row>
    <row r="65" spans="1:10" ht="12" customHeight="1" x14ac:dyDescent="0.2">
      <c r="A65" s="12"/>
      <c r="B65" s="2">
        <f t="shared" si="24"/>
        <v>252162.98921836246</v>
      </c>
      <c r="C65" s="2">
        <f t="shared" si="20"/>
        <v>3172.0171794251937</v>
      </c>
      <c r="D65" s="2">
        <f t="shared" si="21"/>
        <v>1681.0865947890832</v>
      </c>
      <c r="E65" s="2">
        <f t="shared" si="22"/>
        <v>4853.1037742142771</v>
      </c>
      <c r="F65" s="2">
        <f t="shared" si="23"/>
        <v>248990.97203893727</v>
      </c>
      <c r="G65" s="6"/>
      <c r="H65" s="6"/>
      <c r="I65" s="6"/>
      <c r="J65" s="6"/>
    </row>
    <row r="66" spans="1:10" ht="12" customHeight="1" x14ac:dyDescent="0.2">
      <c r="A66" s="12"/>
      <c r="B66" s="2">
        <f t="shared" si="24"/>
        <v>248990.97203893727</v>
      </c>
      <c r="C66" s="2">
        <f t="shared" si="20"/>
        <v>3193.1639606213621</v>
      </c>
      <c r="D66" s="2">
        <f t="shared" si="21"/>
        <v>1659.9398135929152</v>
      </c>
      <c r="E66" s="2">
        <f t="shared" si="22"/>
        <v>4853.1037742142771</v>
      </c>
      <c r="F66" s="2">
        <f t="shared" si="23"/>
        <v>245797.80807831589</v>
      </c>
      <c r="G66" s="6"/>
      <c r="H66" s="6"/>
      <c r="I66" s="6"/>
      <c r="J66" s="6"/>
    </row>
    <row r="67" spans="1:10" ht="12" customHeight="1" x14ac:dyDescent="0.2">
      <c r="A67" s="12"/>
      <c r="B67" s="2">
        <f t="shared" si="24"/>
        <v>245797.80807831589</v>
      </c>
      <c r="C67" s="2">
        <f t="shared" si="20"/>
        <v>3214.4517203588375</v>
      </c>
      <c r="D67" s="2">
        <f t="shared" si="21"/>
        <v>1638.6520538554394</v>
      </c>
      <c r="E67" s="2">
        <f t="shared" si="22"/>
        <v>4853.1037742142771</v>
      </c>
      <c r="F67" s="2">
        <f t="shared" si="23"/>
        <v>242583.35635795706</v>
      </c>
      <c r="G67" s="6"/>
      <c r="H67" s="6"/>
      <c r="I67" s="6"/>
      <c r="J67" s="6"/>
    </row>
    <row r="68" spans="1:10" ht="12" customHeight="1" x14ac:dyDescent="0.2">
      <c r="A68" s="12" t="s">
        <v>110</v>
      </c>
      <c r="B68" s="2">
        <f t="shared" si="24"/>
        <v>242583.35635795706</v>
      </c>
      <c r="C68" s="2">
        <f t="shared" si="20"/>
        <v>3235.8813984945632</v>
      </c>
      <c r="D68" s="2">
        <f t="shared" si="21"/>
        <v>1617.2223757197139</v>
      </c>
      <c r="E68" s="2">
        <f t="shared" si="22"/>
        <v>4853.1037742142771</v>
      </c>
      <c r="F68" s="48">
        <f t="shared" si="23"/>
        <v>239347.4749594625</v>
      </c>
      <c r="G68" s="6"/>
      <c r="H68" s="6"/>
      <c r="I68" s="6"/>
      <c r="J68" s="6"/>
    </row>
    <row r="69" spans="1:10" ht="12" customHeight="1" x14ac:dyDescent="0.2">
      <c r="A69" s="9" t="s">
        <v>102</v>
      </c>
      <c r="B69" s="4"/>
      <c r="C69" s="48"/>
      <c r="D69" s="48">
        <f>SUM(D57:D68)</f>
        <v>20790.265555456986</v>
      </c>
      <c r="E69" s="6"/>
      <c r="F69" s="6"/>
      <c r="G69" s="6"/>
      <c r="H69" s="6"/>
      <c r="I69" s="6"/>
      <c r="J69" s="6"/>
    </row>
    <row r="70" spans="1:10" ht="12" customHeight="1" x14ac:dyDescent="0.2">
      <c r="A70" s="12" t="s">
        <v>111</v>
      </c>
      <c r="B70" s="2">
        <f>F68</f>
        <v>239347.4749594625</v>
      </c>
      <c r="C70" s="2">
        <f t="shared" ref="C70:C81" si="25">+E70-D70</f>
        <v>3257.4539411511937</v>
      </c>
      <c r="D70" s="2">
        <f t="shared" ref="D70:D81" si="26">+B70*$J$3</f>
        <v>1595.6498330630834</v>
      </c>
      <c r="E70" s="2">
        <f t="shared" ref="E70:E81" si="27">$J$6</f>
        <v>4853.1037742142771</v>
      </c>
      <c r="F70" s="2">
        <f t="shared" ref="F70:F81" si="28">+B70-C70</f>
        <v>236090.02101831132</v>
      </c>
      <c r="G70" s="6"/>
      <c r="H70" s="6"/>
      <c r="I70" s="6"/>
      <c r="J70" s="6"/>
    </row>
    <row r="71" spans="1:10" ht="12" customHeight="1" x14ac:dyDescent="0.2">
      <c r="A71" s="12"/>
      <c r="B71" s="2">
        <f t="shared" ref="B71:B81" si="29">+F70</f>
        <v>236090.02101831132</v>
      </c>
      <c r="C71" s="2">
        <f t="shared" si="25"/>
        <v>3279.1703007588685</v>
      </c>
      <c r="D71" s="2">
        <f t="shared" si="26"/>
        <v>1573.9334734554088</v>
      </c>
      <c r="E71" s="2">
        <f t="shared" si="27"/>
        <v>4853.1037742142771</v>
      </c>
      <c r="F71" s="2">
        <f t="shared" si="28"/>
        <v>232810.85071755244</v>
      </c>
      <c r="G71" s="6"/>
      <c r="H71" s="6"/>
      <c r="I71" s="6"/>
      <c r="J71" s="6"/>
    </row>
    <row r="72" spans="1:10" ht="12" customHeight="1" x14ac:dyDescent="0.2">
      <c r="A72" s="12"/>
      <c r="B72" s="2">
        <f t="shared" si="29"/>
        <v>232810.85071755244</v>
      </c>
      <c r="C72" s="2">
        <f t="shared" si="25"/>
        <v>3301.0314360972607</v>
      </c>
      <c r="D72" s="2">
        <f t="shared" si="26"/>
        <v>1552.0723381170164</v>
      </c>
      <c r="E72" s="2">
        <f t="shared" si="27"/>
        <v>4853.1037742142771</v>
      </c>
      <c r="F72" s="2">
        <f t="shared" si="28"/>
        <v>229509.81928145519</v>
      </c>
      <c r="G72" s="6"/>
      <c r="H72" s="6"/>
      <c r="I72" s="6"/>
      <c r="J72" s="6"/>
    </row>
    <row r="73" spans="1:10" ht="12" customHeight="1" x14ac:dyDescent="0.2">
      <c r="A73" s="12"/>
      <c r="B73" s="2">
        <f t="shared" si="29"/>
        <v>229509.81928145519</v>
      </c>
      <c r="C73" s="2">
        <f t="shared" si="25"/>
        <v>3323.0383123379088</v>
      </c>
      <c r="D73" s="2">
        <f t="shared" si="26"/>
        <v>1530.0654618763681</v>
      </c>
      <c r="E73" s="2">
        <f t="shared" si="27"/>
        <v>4853.1037742142771</v>
      </c>
      <c r="F73" s="2">
        <f t="shared" si="28"/>
        <v>226186.78096911727</v>
      </c>
      <c r="G73" s="6"/>
      <c r="H73" s="6"/>
      <c r="I73" s="6"/>
      <c r="J73" s="6"/>
    </row>
    <row r="74" spans="1:10" ht="12" customHeight="1" x14ac:dyDescent="0.2">
      <c r="A74" s="12"/>
      <c r="B74" s="2">
        <f t="shared" si="29"/>
        <v>226186.78096911727</v>
      </c>
      <c r="C74" s="2">
        <f t="shared" si="25"/>
        <v>3345.1919010868287</v>
      </c>
      <c r="D74" s="2">
        <f t="shared" si="26"/>
        <v>1507.9118731274486</v>
      </c>
      <c r="E74" s="2">
        <f t="shared" si="27"/>
        <v>4853.1037742142771</v>
      </c>
      <c r="F74" s="2">
        <f t="shared" si="28"/>
        <v>222841.58906803044</v>
      </c>
      <c r="G74" s="6"/>
      <c r="H74" s="6"/>
      <c r="I74" s="6"/>
      <c r="J74" s="6"/>
    </row>
    <row r="75" spans="1:10" ht="12" customHeight="1" x14ac:dyDescent="0.2">
      <c r="A75" s="12"/>
      <c r="B75" s="2">
        <f t="shared" si="29"/>
        <v>222841.58906803044</v>
      </c>
      <c r="C75" s="2">
        <f t="shared" si="25"/>
        <v>3367.4931804274074</v>
      </c>
      <c r="D75" s="2">
        <f t="shared" si="26"/>
        <v>1485.6105937868697</v>
      </c>
      <c r="E75" s="2">
        <f t="shared" si="27"/>
        <v>4853.1037742142771</v>
      </c>
      <c r="F75" s="2">
        <f t="shared" si="28"/>
        <v>219474.09588760303</v>
      </c>
      <c r="G75" s="6"/>
      <c r="H75" s="6"/>
      <c r="I75" s="6"/>
      <c r="J75" s="6"/>
    </row>
    <row r="76" spans="1:10" ht="12" customHeight="1" x14ac:dyDescent="0.2">
      <c r="A76" s="12"/>
      <c r="B76" s="2">
        <f t="shared" si="29"/>
        <v>219474.09588760303</v>
      </c>
      <c r="C76" s="2">
        <f t="shared" si="25"/>
        <v>3389.9431349635902</v>
      </c>
      <c r="D76" s="2">
        <f t="shared" si="26"/>
        <v>1463.1606392506869</v>
      </c>
      <c r="E76" s="2">
        <f t="shared" si="27"/>
        <v>4853.1037742142771</v>
      </c>
      <c r="F76" s="2">
        <f t="shared" si="28"/>
        <v>216084.15275263943</v>
      </c>
      <c r="G76" s="6"/>
      <c r="H76" s="6"/>
      <c r="I76" s="6"/>
      <c r="J76" s="6"/>
    </row>
    <row r="77" spans="1:10" ht="12" customHeight="1" x14ac:dyDescent="0.2">
      <c r="A77" s="12"/>
      <c r="B77" s="2">
        <f t="shared" si="29"/>
        <v>216084.15275263943</v>
      </c>
      <c r="C77" s="2">
        <f t="shared" si="25"/>
        <v>3412.5427558633473</v>
      </c>
      <c r="D77" s="2">
        <f t="shared" si="26"/>
        <v>1440.5610183509298</v>
      </c>
      <c r="E77" s="2">
        <f t="shared" si="27"/>
        <v>4853.1037742142771</v>
      </c>
      <c r="F77" s="2">
        <f t="shared" si="28"/>
        <v>212671.6099967761</v>
      </c>
      <c r="G77" s="6"/>
      <c r="H77" s="6"/>
      <c r="I77" s="6"/>
      <c r="J77" s="6"/>
    </row>
    <row r="78" spans="1:10" ht="12" customHeight="1" x14ac:dyDescent="0.2">
      <c r="A78" s="12"/>
      <c r="B78" s="2">
        <f t="shared" si="29"/>
        <v>212671.6099967761</v>
      </c>
      <c r="C78" s="2">
        <f t="shared" si="25"/>
        <v>3435.2930409024366</v>
      </c>
      <c r="D78" s="2">
        <f t="shared" si="26"/>
        <v>1417.8107333118407</v>
      </c>
      <c r="E78" s="2">
        <f t="shared" si="27"/>
        <v>4853.1037742142771</v>
      </c>
      <c r="F78" s="2">
        <f t="shared" si="28"/>
        <v>209236.31695587366</v>
      </c>
      <c r="G78" s="6"/>
      <c r="H78" s="6"/>
      <c r="I78" s="6"/>
      <c r="J78" s="6"/>
    </row>
    <row r="79" spans="1:10" ht="12" customHeight="1" x14ac:dyDescent="0.2">
      <c r="A79" s="12"/>
      <c r="B79" s="2">
        <f t="shared" si="29"/>
        <v>209236.31695587366</v>
      </c>
      <c r="C79" s="2">
        <f t="shared" si="25"/>
        <v>3458.1949945084525</v>
      </c>
      <c r="D79" s="2">
        <f t="shared" si="26"/>
        <v>1394.9087797058244</v>
      </c>
      <c r="E79" s="2">
        <f t="shared" si="27"/>
        <v>4853.1037742142771</v>
      </c>
      <c r="F79" s="2">
        <f t="shared" si="28"/>
        <v>205778.12196136519</v>
      </c>
      <c r="G79" s="6"/>
      <c r="H79" s="6"/>
      <c r="I79" s="6"/>
      <c r="J79" s="6"/>
    </row>
    <row r="80" spans="1:10" ht="12" customHeight="1" x14ac:dyDescent="0.2">
      <c r="A80" s="12"/>
      <c r="B80" s="2">
        <f t="shared" si="29"/>
        <v>205778.12196136519</v>
      </c>
      <c r="C80" s="2">
        <f t="shared" si="25"/>
        <v>3481.2496278051758</v>
      </c>
      <c r="D80" s="2">
        <f t="shared" si="26"/>
        <v>1371.8541464091013</v>
      </c>
      <c r="E80" s="2">
        <f t="shared" si="27"/>
        <v>4853.1037742142771</v>
      </c>
      <c r="F80" s="2">
        <f t="shared" si="28"/>
        <v>202296.87233356002</v>
      </c>
      <c r="G80" s="6"/>
      <c r="H80" s="6"/>
      <c r="I80" s="6"/>
      <c r="J80" s="6"/>
    </row>
    <row r="81" spans="1:10" ht="12" customHeight="1" x14ac:dyDescent="0.2">
      <c r="A81" s="12" t="s">
        <v>112</v>
      </c>
      <c r="B81" s="2">
        <f t="shared" si="29"/>
        <v>202296.87233356002</v>
      </c>
      <c r="C81" s="2">
        <f t="shared" si="25"/>
        <v>3504.4579586572099</v>
      </c>
      <c r="D81" s="2">
        <f t="shared" si="26"/>
        <v>1348.645815557067</v>
      </c>
      <c r="E81" s="2">
        <f t="shared" si="27"/>
        <v>4853.1037742142771</v>
      </c>
      <c r="F81" s="48">
        <f t="shared" si="28"/>
        <v>198792.41437490282</v>
      </c>
      <c r="G81" s="6"/>
      <c r="H81" s="6"/>
      <c r="I81" s="6"/>
      <c r="J81" s="6"/>
    </row>
    <row r="82" spans="1:10" ht="12" customHeight="1" x14ac:dyDescent="0.2">
      <c r="A82" s="9" t="s">
        <v>102</v>
      </c>
      <c r="B82" s="9"/>
      <c r="C82" s="48"/>
      <c r="D82" s="48">
        <f>SUM(D70:D81)</f>
        <v>17682.184706011645</v>
      </c>
      <c r="E82" s="2"/>
      <c r="F82" s="2"/>
      <c r="G82" s="6"/>
      <c r="H82" s="6"/>
      <c r="I82" s="6"/>
      <c r="J82" s="6"/>
    </row>
    <row r="83" spans="1:10" ht="12" customHeight="1" x14ac:dyDescent="0.2">
      <c r="A83" s="12"/>
      <c r="B83" s="12"/>
      <c r="C83" s="2"/>
      <c r="D83" s="2"/>
      <c r="E83" s="2"/>
      <c r="F83" s="2"/>
      <c r="G83" s="6"/>
      <c r="H83" s="6"/>
      <c r="I83" s="6"/>
      <c r="J83" s="6"/>
    </row>
    <row r="84" spans="1:10" ht="12" customHeight="1" x14ac:dyDescent="0.2">
      <c r="A84" s="12" t="s">
        <v>113</v>
      </c>
      <c r="B84" s="2">
        <f>F81</f>
        <v>198792.41437490282</v>
      </c>
      <c r="C84" s="2">
        <f t="shared" ref="C84:C95" si="30">+E84-D84</f>
        <v>3527.8210117149247</v>
      </c>
      <c r="D84" s="2">
        <f t="shared" ref="D84:D95" si="31">+B84*$J$3</f>
        <v>1325.2827624993522</v>
      </c>
      <c r="E84" s="2">
        <f t="shared" ref="E84:E95" si="32">$J$6</f>
        <v>4853.1037742142771</v>
      </c>
      <c r="F84" s="2">
        <f t="shared" ref="F84:F95" si="33">+B84-C84</f>
        <v>195264.59336318789</v>
      </c>
      <c r="G84" s="6"/>
      <c r="H84" s="6"/>
      <c r="I84" s="6"/>
      <c r="J84" s="6"/>
    </row>
    <row r="85" spans="1:10" ht="12" customHeight="1" x14ac:dyDescent="0.2">
      <c r="A85" s="12"/>
      <c r="B85" s="2">
        <f t="shared" ref="B85:B95" si="34">+F84</f>
        <v>195264.59336318789</v>
      </c>
      <c r="C85" s="2">
        <f t="shared" si="30"/>
        <v>3551.3398184596908</v>
      </c>
      <c r="D85" s="2">
        <f t="shared" si="31"/>
        <v>1301.763955754586</v>
      </c>
      <c r="E85" s="2">
        <f t="shared" si="32"/>
        <v>4853.1037742142771</v>
      </c>
      <c r="F85" s="2">
        <f t="shared" si="33"/>
        <v>191713.25354472818</v>
      </c>
      <c r="G85" s="6"/>
      <c r="H85" s="6"/>
      <c r="I85" s="6"/>
      <c r="J85" s="6"/>
    </row>
    <row r="86" spans="1:10" ht="12" customHeight="1" x14ac:dyDescent="0.2">
      <c r="A86" s="12"/>
      <c r="B86" s="2">
        <f t="shared" si="34"/>
        <v>191713.25354472818</v>
      </c>
      <c r="C86" s="2">
        <f t="shared" si="30"/>
        <v>3575.0154172494222</v>
      </c>
      <c r="D86" s="2">
        <f t="shared" si="31"/>
        <v>1278.0883569648547</v>
      </c>
      <c r="E86" s="2">
        <f t="shared" si="32"/>
        <v>4853.1037742142771</v>
      </c>
      <c r="F86" s="2">
        <f t="shared" si="33"/>
        <v>188138.23812747875</v>
      </c>
      <c r="G86" s="6"/>
      <c r="H86" s="6"/>
      <c r="I86" s="6"/>
      <c r="J86" s="6"/>
    </row>
    <row r="87" spans="1:10" ht="12" customHeight="1" x14ac:dyDescent="0.2">
      <c r="A87" s="12"/>
      <c r="B87" s="2">
        <f t="shared" si="34"/>
        <v>188138.23812747875</v>
      </c>
      <c r="C87" s="2">
        <f t="shared" si="30"/>
        <v>3598.8488533644186</v>
      </c>
      <c r="D87" s="2">
        <f t="shared" si="31"/>
        <v>1254.2549208498583</v>
      </c>
      <c r="E87" s="2">
        <f t="shared" si="32"/>
        <v>4853.1037742142771</v>
      </c>
      <c r="F87" s="2">
        <f t="shared" si="33"/>
        <v>184539.38927411434</v>
      </c>
      <c r="G87" s="6"/>
      <c r="H87" s="6"/>
      <c r="I87" s="6"/>
      <c r="J87" s="6"/>
    </row>
    <row r="88" spans="1:10" ht="12" customHeight="1" x14ac:dyDescent="0.2">
      <c r="A88" s="12"/>
      <c r="B88" s="2">
        <f t="shared" si="34"/>
        <v>184539.38927411434</v>
      </c>
      <c r="C88" s="2">
        <f t="shared" si="30"/>
        <v>3622.8411790535147</v>
      </c>
      <c r="D88" s="2">
        <f t="shared" si="31"/>
        <v>1230.2625951607622</v>
      </c>
      <c r="E88" s="2">
        <f t="shared" si="32"/>
        <v>4853.1037742142771</v>
      </c>
      <c r="F88" s="2">
        <f t="shared" si="33"/>
        <v>180916.54809506083</v>
      </c>
      <c r="G88" s="6"/>
      <c r="H88" s="6"/>
      <c r="I88" s="6"/>
      <c r="J88" s="6"/>
    </row>
    <row r="89" spans="1:10" ht="12" customHeight="1" x14ac:dyDescent="0.2">
      <c r="A89" s="12"/>
      <c r="B89" s="2">
        <f t="shared" si="34"/>
        <v>180916.54809506083</v>
      </c>
      <c r="C89" s="2">
        <f t="shared" si="30"/>
        <v>3646.9934535805382</v>
      </c>
      <c r="D89" s="2">
        <f t="shared" si="31"/>
        <v>1206.1103206337389</v>
      </c>
      <c r="E89" s="2">
        <f t="shared" si="32"/>
        <v>4853.1037742142771</v>
      </c>
      <c r="F89" s="2">
        <f t="shared" si="33"/>
        <v>177269.5546414803</v>
      </c>
      <c r="G89" s="6"/>
      <c r="H89" s="6"/>
      <c r="I89" s="6"/>
      <c r="J89" s="6"/>
    </row>
    <row r="90" spans="1:10" ht="12" customHeight="1" x14ac:dyDescent="0.2">
      <c r="A90" s="12"/>
      <c r="B90" s="2">
        <f t="shared" si="34"/>
        <v>177269.5546414803</v>
      </c>
      <c r="C90" s="2">
        <f t="shared" si="30"/>
        <v>3671.306743271075</v>
      </c>
      <c r="D90" s="2">
        <f t="shared" si="31"/>
        <v>1181.7970309432021</v>
      </c>
      <c r="E90" s="2">
        <f t="shared" si="32"/>
        <v>4853.1037742142771</v>
      </c>
      <c r="F90" s="2">
        <f t="shared" si="33"/>
        <v>173598.24789820923</v>
      </c>
      <c r="G90" s="6"/>
      <c r="H90" s="6"/>
      <c r="I90" s="6"/>
      <c r="J90" s="6"/>
    </row>
    <row r="91" spans="1:10" ht="12" customHeight="1" x14ac:dyDescent="0.2">
      <c r="A91" s="12"/>
      <c r="B91" s="2">
        <f t="shared" si="34"/>
        <v>173598.24789820923</v>
      </c>
      <c r="C91" s="2">
        <f t="shared" si="30"/>
        <v>3695.7821215595486</v>
      </c>
      <c r="D91" s="2">
        <f t="shared" si="31"/>
        <v>1157.3216526547283</v>
      </c>
      <c r="E91" s="2">
        <f t="shared" si="32"/>
        <v>4853.1037742142771</v>
      </c>
      <c r="F91" s="2">
        <f t="shared" si="33"/>
        <v>169902.46577664968</v>
      </c>
      <c r="G91" s="6"/>
      <c r="H91" s="6"/>
      <c r="I91" s="6"/>
      <c r="J91" s="6"/>
    </row>
    <row r="92" spans="1:10" ht="12" customHeight="1" x14ac:dyDescent="0.2">
      <c r="A92" s="12"/>
      <c r="B92" s="2">
        <f t="shared" si="34"/>
        <v>169902.46577664968</v>
      </c>
      <c r="C92" s="2">
        <f t="shared" si="30"/>
        <v>3720.4206690366127</v>
      </c>
      <c r="D92" s="2">
        <f t="shared" si="31"/>
        <v>1132.6831051776646</v>
      </c>
      <c r="E92" s="2">
        <f t="shared" si="32"/>
        <v>4853.1037742142771</v>
      </c>
      <c r="F92" s="2">
        <f t="shared" si="33"/>
        <v>166182.04510761306</v>
      </c>
      <c r="G92" s="6"/>
      <c r="H92" s="6"/>
      <c r="I92" s="6"/>
      <c r="J92" s="6"/>
    </row>
    <row r="93" spans="1:10" ht="12" customHeight="1" x14ac:dyDescent="0.2">
      <c r="A93" s="12"/>
      <c r="B93" s="2">
        <f t="shared" si="34"/>
        <v>166182.04510761306</v>
      </c>
      <c r="C93" s="2">
        <f t="shared" si="30"/>
        <v>3745.223473496857</v>
      </c>
      <c r="D93" s="2">
        <f t="shared" si="31"/>
        <v>1107.8803007174204</v>
      </c>
      <c r="E93" s="2">
        <f t="shared" si="32"/>
        <v>4853.1037742142771</v>
      </c>
      <c r="F93" s="2">
        <f t="shared" si="33"/>
        <v>162436.8216341162</v>
      </c>
      <c r="G93" s="6"/>
      <c r="H93" s="6"/>
      <c r="I93" s="6"/>
      <c r="J93" s="6"/>
    </row>
    <row r="94" spans="1:10" ht="12" customHeight="1" x14ac:dyDescent="0.2">
      <c r="A94" s="12"/>
      <c r="B94" s="2">
        <f t="shared" si="34"/>
        <v>162436.8216341162</v>
      </c>
      <c r="C94" s="2">
        <f t="shared" si="30"/>
        <v>3770.1916299868358</v>
      </c>
      <c r="D94" s="2">
        <f t="shared" si="31"/>
        <v>1082.9121442274413</v>
      </c>
      <c r="E94" s="2">
        <f t="shared" si="32"/>
        <v>4853.1037742142771</v>
      </c>
      <c r="F94" s="2">
        <f t="shared" si="33"/>
        <v>158666.63000412937</v>
      </c>
      <c r="G94" s="6"/>
      <c r="H94" s="6"/>
      <c r="I94" s="6"/>
      <c r="J94" s="6"/>
    </row>
    <row r="95" spans="1:10" ht="12" customHeight="1" x14ac:dyDescent="0.2">
      <c r="A95" s="12" t="s">
        <v>114</v>
      </c>
      <c r="B95" s="2">
        <f t="shared" si="34"/>
        <v>158666.63000412937</v>
      </c>
      <c r="C95" s="2">
        <f t="shared" si="30"/>
        <v>3795.3262408534147</v>
      </c>
      <c r="D95" s="2">
        <f t="shared" si="31"/>
        <v>1057.7775333608627</v>
      </c>
      <c r="E95" s="2">
        <f t="shared" si="32"/>
        <v>4853.1037742142771</v>
      </c>
      <c r="F95" s="48">
        <f t="shared" si="33"/>
        <v>154871.30376327597</v>
      </c>
      <c r="G95" s="6"/>
      <c r="H95" s="6"/>
      <c r="I95" s="6"/>
      <c r="J95" s="6"/>
    </row>
    <row r="96" spans="1:10" ht="12" customHeight="1" x14ac:dyDescent="0.2">
      <c r="A96" s="9" t="s">
        <v>102</v>
      </c>
      <c r="B96" s="9"/>
      <c r="C96" s="48"/>
      <c r="D96" s="48">
        <f>SUM(D84:D95)</f>
        <v>14316.134678944471</v>
      </c>
      <c r="E96" s="2"/>
      <c r="F96" s="2"/>
      <c r="G96" s="6"/>
      <c r="H96" s="6"/>
      <c r="I96" s="6"/>
      <c r="J96" s="6"/>
    </row>
    <row r="97" spans="1:10" ht="12" customHeight="1" x14ac:dyDescent="0.2">
      <c r="A97" s="12"/>
      <c r="B97" s="12"/>
      <c r="C97" s="2"/>
      <c r="D97" s="2"/>
      <c r="E97" s="2"/>
      <c r="F97" s="2"/>
      <c r="G97" s="6"/>
      <c r="H97" s="6"/>
      <c r="I97" s="6"/>
      <c r="J97" s="6"/>
    </row>
    <row r="98" spans="1:10" ht="12" customHeight="1" x14ac:dyDescent="0.2">
      <c r="A98" s="12" t="s">
        <v>115</v>
      </c>
      <c r="B98" s="2">
        <f>F95</f>
        <v>154871.30376327597</v>
      </c>
      <c r="C98" s="2">
        <f t="shared" ref="C98:C109" si="35">+E98-D98</f>
        <v>3820.6284157924374</v>
      </c>
      <c r="D98" s="2">
        <f t="shared" ref="D98:D109" si="36">+B98*$J$3</f>
        <v>1032.4753584218399</v>
      </c>
      <c r="E98" s="2">
        <f t="shared" ref="E98:E109" si="37">$J$6</f>
        <v>4853.1037742142771</v>
      </c>
      <c r="F98" s="2">
        <f t="shared" ref="F98:F109" si="38">+B98-C98</f>
        <v>151050.67534748354</v>
      </c>
      <c r="G98" s="6"/>
      <c r="H98" s="6"/>
      <c r="I98" s="6"/>
      <c r="J98" s="6"/>
    </row>
    <row r="99" spans="1:10" ht="12" customHeight="1" x14ac:dyDescent="0.2">
      <c r="A99" s="12"/>
      <c r="B99" s="2">
        <f t="shared" ref="B99:B109" si="39">+F98</f>
        <v>151050.67534748354</v>
      </c>
      <c r="C99" s="2">
        <f t="shared" si="35"/>
        <v>3846.09927189772</v>
      </c>
      <c r="D99" s="2">
        <f t="shared" si="36"/>
        <v>1007.004502316557</v>
      </c>
      <c r="E99" s="2">
        <f t="shared" si="37"/>
        <v>4853.1037742142771</v>
      </c>
      <c r="F99" s="2">
        <f t="shared" si="38"/>
        <v>147204.57607558582</v>
      </c>
      <c r="G99" s="6"/>
      <c r="H99" s="6"/>
      <c r="I99" s="6"/>
      <c r="J99" s="6"/>
    </row>
    <row r="100" spans="1:10" ht="12" customHeight="1" x14ac:dyDescent="0.2">
      <c r="A100" s="12"/>
      <c r="B100" s="2">
        <f t="shared" si="39"/>
        <v>147204.57607558582</v>
      </c>
      <c r="C100" s="2">
        <f t="shared" si="35"/>
        <v>3871.7399337103716</v>
      </c>
      <c r="D100" s="2">
        <f t="shared" si="36"/>
        <v>981.36384050390552</v>
      </c>
      <c r="E100" s="2">
        <f t="shared" si="37"/>
        <v>4853.1037742142771</v>
      </c>
      <c r="F100" s="2">
        <f t="shared" si="38"/>
        <v>143332.83614187545</v>
      </c>
      <c r="G100" s="6"/>
      <c r="H100" s="6"/>
      <c r="I100" s="6"/>
      <c r="J100" s="6"/>
    </row>
    <row r="101" spans="1:10" ht="12" customHeight="1" x14ac:dyDescent="0.2">
      <c r="A101" s="12"/>
      <c r="B101" s="2">
        <f t="shared" si="39"/>
        <v>143332.83614187545</v>
      </c>
      <c r="C101" s="2">
        <f t="shared" si="35"/>
        <v>3897.5515332684408</v>
      </c>
      <c r="D101" s="2">
        <f t="shared" si="36"/>
        <v>955.55224094583639</v>
      </c>
      <c r="E101" s="2">
        <f t="shared" si="37"/>
        <v>4853.1037742142771</v>
      </c>
      <c r="F101" s="2">
        <f t="shared" si="38"/>
        <v>139435.28460860701</v>
      </c>
      <c r="G101" s="6"/>
      <c r="H101" s="6"/>
      <c r="I101" s="6"/>
      <c r="J101" s="6"/>
    </row>
    <row r="102" spans="1:10" ht="12" customHeight="1" x14ac:dyDescent="0.2">
      <c r="A102" s="12"/>
      <c r="B102" s="2">
        <f t="shared" si="39"/>
        <v>139435.28460860701</v>
      </c>
      <c r="C102" s="2">
        <f t="shared" si="35"/>
        <v>3923.5352101568969</v>
      </c>
      <c r="D102" s="2">
        <f t="shared" si="36"/>
        <v>929.56856405738006</v>
      </c>
      <c r="E102" s="2">
        <f t="shared" si="37"/>
        <v>4853.1037742142771</v>
      </c>
      <c r="F102" s="2">
        <f t="shared" si="38"/>
        <v>135511.74939845011</v>
      </c>
      <c r="G102" s="6"/>
      <c r="H102" s="6"/>
      <c r="I102" s="6"/>
      <c r="J102" s="6"/>
    </row>
    <row r="103" spans="1:10" ht="12" customHeight="1" x14ac:dyDescent="0.2">
      <c r="A103" s="12"/>
      <c r="B103" s="2">
        <f t="shared" si="39"/>
        <v>135511.74939845011</v>
      </c>
      <c r="C103" s="2">
        <f t="shared" si="35"/>
        <v>3949.692111557943</v>
      </c>
      <c r="D103" s="2">
        <f t="shared" si="36"/>
        <v>903.4116626563341</v>
      </c>
      <c r="E103" s="2">
        <f t="shared" si="37"/>
        <v>4853.1037742142771</v>
      </c>
      <c r="F103" s="2">
        <f t="shared" si="38"/>
        <v>131562.05728689217</v>
      </c>
      <c r="G103" s="6"/>
      <c r="H103" s="6"/>
      <c r="I103" s="6"/>
      <c r="J103" s="6"/>
    </row>
    <row r="104" spans="1:10" ht="12" customHeight="1" x14ac:dyDescent="0.2">
      <c r="A104" s="12"/>
      <c r="B104" s="2">
        <f t="shared" si="39"/>
        <v>131562.05728689217</v>
      </c>
      <c r="C104" s="2">
        <f t="shared" si="35"/>
        <v>3976.0233923016626</v>
      </c>
      <c r="D104" s="2">
        <f t="shared" si="36"/>
        <v>877.0803819126146</v>
      </c>
      <c r="E104" s="2">
        <f t="shared" si="37"/>
        <v>4853.1037742142771</v>
      </c>
      <c r="F104" s="2">
        <f t="shared" si="38"/>
        <v>127586.03389459051</v>
      </c>
      <c r="G104" s="6"/>
      <c r="H104" s="6"/>
      <c r="I104" s="6"/>
      <c r="J104" s="6"/>
    </row>
    <row r="105" spans="1:10" ht="12" customHeight="1" x14ac:dyDescent="0.2">
      <c r="A105" s="12"/>
      <c r="B105" s="2">
        <f t="shared" si="39"/>
        <v>127586.03389459051</v>
      </c>
      <c r="C105" s="2">
        <f t="shared" si="35"/>
        <v>4002.530214917007</v>
      </c>
      <c r="D105" s="2">
        <f t="shared" si="36"/>
        <v>850.57355929727009</v>
      </c>
      <c r="E105" s="2">
        <f t="shared" si="37"/>
        <v>4853.1037742142771</v>
      </c>
      <c r="F105" s="2">
        <f t="shared" si="38"/>
        <v>123583.50367967351</v>
      </c>
      <c r="G105" s="6"/>
      <c r="H105" s="6"/>
      <c r="I105" s="6"/>
      <c r="J105" s="6"/>
    </row>
    <row r="106" spans="1:10" ht="12" customHeight="1" x14ac:dyDescent="0.2">
      <c r="A106" s="12"/>
      <c r="B106" s="2">
        <f t="shared" si="39"/>
        <v>123583.50367967351</v>
      </c>
      <c r="C106" s="2">
        <f t="shared" si="35"/>
        <v>4029.2137496831201</v>
      </c>
      <c r="D106" s="2">
        <f t="shared" si="36"/>
        <v>823.89002453115677</v>
      </c>
      <c r="E106" s="2">
        <f t="shared" si="37"/>
        <v>4853.1037742142771</v>
      </c>
      <c r="F106" s="2">
        <f t="shared" si="38"/>
        <v>119554.28992999039</v>
      </c>
      <c r="G106" s="6"/>
      <c r="H106" s="6"/>
      <c r="I106" s="6"/>
      <c r="J106" s="6"/>
    </row>
    <row r="107" spans="1:10" ht="12" customHeight="1" x14ac:dyDescent="0.2">
      <c r="A107" s="12"/>
      <c r="B107" s="2">
        <f t="shared" si="39"/>
        <v>119554.28992999039</v>
      </c>
      <c r="C107" s="2">
        <f t="shared" si="35"/>
        <v>4056.0751746810079</v>
      </c>
      <c r="D107" s="2">
        <f t="shared" si="36"/>
        <v>797.02859953326936</v>
      </c>
      <c r="E107" s="2">
        <f t="shared" si="37"/>
        <v>4853.1037742142771</v>
      </c>
      <c r="F107" s="2">
        <f t="shared" si="38"/>
        <v>115498.21475530938</v>
      </c>
      <c r="G107" s="6"/>
      <c r="H107" s="6"/>
      <c r="I107" s="6"/>
      <c r="J107" s="6"/>
    </row>
    <row r="108" spans="1:10" ht="12" customHeight="1" x14ac:dyDescent="0.2">
      <c r="A108" s="12"/>
      <c r="B108" s="2">
        <f t="shared" si="39"/>
        <v>115498.21475530938</v>
      </c>
      <c r="C108" s="2">
        <f t="shared" si="35"/>
        <v>4083.1156758455477</v>
      </c>
      <c r="D108" s="2">
        <f t="shared" si="36"/>
        <v>769.98809836872931</v>
      </c>
      <c r="E108" s="2">
        <f t="shared" si="37"/>
        <v>4853.1037742142771</v>
      </c>
      <c r="F108" s="2">
        <f t="shared" si="38"/>
        <v>111415.09907946383</v>
      </c>
      <c r="G108" s="6"/>
      <c r="H108" s="6"/>
      <c r="I108" s="6"/>
      <c r="J108" s="6"/>
    </row>
    <row r="109" spans="1:10" ht="12" customHeight="1" x14ac:dyDescent="0.2">
      <c r="A109" s="12" t="s">
        <v>116</v>
      </c>
      <c r="B109" s="2">
        <f t="shared" si="39"/>
        <v>111415.09907946383</v>
      </c>
      <c r="C109" s="2">
        <f t="shared" si="35"/>
        <v>4110.3364470178512</v>
      </c>
      <c r="D109" s="2">
        <f t="shared" si="36"/>
        <v>742.76732719642564</v>
      </c>
      <c r="E109" s="2">
        <f t="shared" si="37"/>
        <v>4853.1037742142771</v>
      </c>
      <c r="F109" s="48">
        <f t="shared" si="38"/>
        <v>107304.76263244599</v>
      </c>
      <c r="G109" s="6"/>
      <c r="H109" s="6"/>
      <c r="I109" s="6"/>
      <c r="J109" s="6"/>
    </row>
    <row r="110" spans="1:10" ht="12" customHeight="1" x14ac:dyDescent="0.2">
      <c r="A110" s="9" t="s">
        <v>102</v>
      </c>
      <c r="B110" s="9"/>
      <c r="C110" s="48"/>
      <c r="D110" s="48">
        <f>SUM(D98:D109)</f>
        <v>10670.704159741315</v>
      </c>
      <c r="E110" s="2"/>
      <c r="F110" s="2"/>
      <c r="G110" s="6"/>
      <c r="H110" s="6"/>
      <c r="I110" s="6"/>
      <c r="J110" s="6"/>
    </row>
    <row r="111" spans="1:10" ht="12" customHeight="1" x14ac:dyDescent="0.2">
      <c r="A111" s="12"/>
      <c r="B111" s="12"/>
      <c r="C111" s="2"/>
      <c r="D111" s="2"/>
      <c r="E111" s="2"/>
      <c r="F111" s="2"/>
      <c r="G111" s="6"/>
      <c r="H111" s="6"/>
      <c r="I111" s="6"/>
      <c r="J111" s="6"/>
    </row>
    <row r="112" spans="1:10" ht="12" customHeight="1" x14ac:dyDescent="0.2">
      <c r="A112" s="12" t="s">
        <v>117</v>
      </c>
      <c r="B112" s="2">
        <f>F109</f>
        <v>107304.76263244599</v>
      </c>
      <c r="C112" s="2">
        <f t="shared" ref="C112:C123" si="40">+E112-D112</f>
        <v>4137.7386899979701</v>
      </c>
      <c r="D112" s="2">
        <f t="shared" ref="D112:D123" si="41">+B112*$J$3</f>
        <v>715.36508421630663</v>
      </c>
      <c r="E112" s="2">
        <f t="shared" ref="E112:E123" si="42">$J$6</f>
        <v>4853.1037742142771</v>
      </c>
      <c r="F112" s="2">
        <f t="shared" ref="F112:F123" si="43">+B112-C112</f>
        <v>103167.02394244801</v>
      </c>
      <c r="G112" s="6"/>
      <c r="H112" s="6"/>
      <c r="I112" s="6"/>
      <c r="J112" s="6"/>
    </row>
    <row r="113" spans="1:10" ht="12" customHeight="1" x14ac:dyDescent="0.2">
      <c r="A113" s="12"/>
      <c r="B113" s="2">
        <f t="shared" ref="B113:B123" si="44">+F112</f>
        <v>103167.02394244801</v>
      </c>
      <c r="C113" s="2">
        <f t="shared" si="40"/>
        <v>4165.3236145979572</v>
      </c>
      <c r="D113" s="2">
        <f t="shared" si="41"/>
        <v>687.78015961632013</v>
      </c>
      <c r="E113" s="2">
        <f t="shared" si="42"/>
        <v>4853.1037742142771</v>
      </c>
      <c r="F113" s="2">
        <f t="shared" si="43"/>
        <v>99001.700327850049</v>
      </c>
      <c r="G113" s="6"/>
      <c r="H113" s="6"/>
      <c r="I113" s="6"/>
      <c r="J113" s="6"/>
    </row>
    <row r="114" spans="1:10" ht="12" customHeight="1" x14ac:dyDescent="0.2">
      <c r="A114" s="12"/>
      <c r="B114" s="2">
        <f t="shared" si="44"/>
        <v>99001.700327850049</v>
      </c>
      <c r="C114" s="2">
        <f t="shared" si="40"/>
        <v>4193.0924386952765</v>
      </c>
      <c r="D114" s="2">
        <f t="shared" si="41"/>
        <v>660.01133551900034</v>
      </c>
      <c r="E114" s="2">
        <f t="shared" si="42"/>
        <v>4853.1037742142771</v>
      </c>
      <c r="F114" s="2">
        <f t="shared" si="43"/>
        <v>94808.607889154766</v>
      </c>
      <c r="G114" s="6"/>
      <c r="H114" s="6"/>
      <c r="I114" s="6"/>
      <c r="J114" s="6"/>
    </row>
    <row r="115" spans="1:10" ht="12" customHeight="1" x14ac:dyDescent="0.2">
      <c r="A115" s="12"/>
      <c r="B115" s="2">
        <f t="shared" si="44"/>
        <v>94808.607889154766</v>
      </c>
      <c r="C115" s="2">
        <f t="shared" si="40"/>
        <v>4221.0463882865788</v>
      </c>
      <c r="D115" s="2">
        <f t="shared" si="41"/>
        <v>632.05738592769853</v>
      </c>
      <c r="E115" s="2">
        <f t="shared" si="42"/>
        <v>4853.1037742142771</v>
      </c>
      <c r="F115" s="2">
        <f t="shared" si="43"/>
        <v>90587.561500868193</v>
      </c>
      <c r="G115" s="6"/>
      <c r="H115" s="6"/>
      <c r="I115" s="6"/>
      <c r="J115" s="6"/>
    </row>
    <row r="116" spans="1:10" ht="12" customHeight="1" x14ac:dyDescent="0.2">
      <c r="A116" s="12"/>
      <c r="B116" s="2">
        <f t="shared" si="44"/>
        <v>90587.561500868193</v>
      </c>
      <c r="C116" s="2">
        <f t="shared" si="40"/>
        <v>4249.1866975418225</v>
      </c>
      <c r="D116" s="2">
        <f t="shared" si="41"/>
        <v>603.91707667245464</v>
      </c>
      <c r="E116" s="2">
        <f t="shared" si="42"/>
        <v>4853.1037742142771</v>
      </c>
      <c r="F116" s="2">
        <f t="shared" si="43"/>
        <v>86338.374803326369</v>
      </c>
      <c r="G116" s="6"/>
      <c r="H116" s="6"/>
      <c r="I116" s="6"/>
      <c r="J116" s="6"/>
    </row>
    <row r="117" spans="1:10" ht="12" customHeight="1" x14ac:dyDescent="0.2">
      <c r="A117" s="12"/>
      <c r="B117" s="2">
        <f t="shared" si="44"/>
        <v>86338.374803326369</v>
      </c>
      <c r="C117" s="2">
        <f t="shared" si="40"/>
        <v>4277.514608858768</v>
      </c>
      <c r="D117" s="2">
        <f t="shared" si="41"/>
        <v>575.58916535550918</v>
      </c>
      <c r="E117" s="2">
        <f t="shared" si="42"/>
        <v>4853.1037742142771</v>
      </c>
      <c r="F117" s="2">
        <f t="shared" si="43"/>
        <v>82060.860194467605</v>
      </c>
      <c r="G117" s="6"/>
      <c r="H117" s="6"/>
      <c r="I117" s="6"/>
      <c r="J117" s="6"/>
    </row>
    <row r="118" spans="1:10" ht="12" customHeight="1" x14ac:dyDescent="0.2">
      <c r="A118" s="12"/>
      <c r="B118" s="2">
        <f t="shared" si="44"/>
        <v>82060.860194467605</v>
      </c>
      <c r="C118" s="2">
        <f t="shared" si="40"/>
        <v>4306.031372917826</v>
      </c>
      <c r="D118" s="2">
        <f t="shared" si="41"/>
        <v>547.07240129645072</v>
      </c>
      <c r="E118" s="2">
        <f t="shared" si="42"/>
        <v>4853.1037742142771</v>
      </c>
      <c r="F118" s="2">
        <f t="shared" si="43"/>
        <v>77754.828821549774</v>
      </c>
      <c r="G118" s="6"/>
      <c r="H118" s="6"/>
      <c r="I118" s="6"/>
      <c r="J118" s="6"/>
    </row>
    <row r="119" spans="1:10" ht="12" customHeight="1" x14ac:dyDescent="0.2">
      <c r="A119" s="12"/>
      <c r="B119" s="2">
        <f t="shared" si="44"/>
        <v>77754.828821549774</v>
      </c>
      <c r="C119" s="2">
        <f t="shared" si="40"/>
        <v>4334.7382487372788</v>
      </c>
      <c r="D119" s="2">
        <f t="shared" si="41"/>
        <v>518.36552547699853</v>
      </c>
      <c r="E119" s="2">
        <f t="shared" si="42"/>
        <v>4853.1037742142771</v>
      </c>
      <c r="F119" s="2">
        <f t="shared" si="43"/>
        <v>73420.090572812493</v>
      </c>
      <c r="G119" s="6"/>
      <c r="H119" s="6"/>
      <c r="I119" s="6"/>
      <c r="J119" s="6"/>
    </row>
    <row r="120" spans="1:10" ht="12" customHeight="1" x14ac:dyDescent="0.2">
      <c r="A120" s="12"/>
      <c r="B120" s="2">
        <f t="shared" si="44"/>
        <v>73420.090572812493</v>
      </c>
      <c r="C120" s="2">
        <f t="shared" si="40"/>
        <v>4363.6365037288606</v>
      </c>
      <c r="D120" s="2">
        <f t="shared" si="41"/>
        <v>489.46727048541663</v>
      </c>
      <c r="E120" s="2">
        <f t="shared" si="42"/>
        <v>4853.1037742142771</v>
      </c>
      <c r="F120" s="2">
        <f t="shared" si="43"/>
        <v>69056.454069083629</v>
      </c>
      <c r="G120" s="6"/>
      <c r="H120" s="6"/>
      <c r="I120" s="6"/>
      <c r="J120" s="6"/>
    </row>
    <row r="121" spans="1:10" ht="12" customHeight="1" x14ac:dyDescent="0.2">
      <c r="A121" s="12"/>
      <c r="B121" s="2">
        <f t="shared" si="44"/>
        <v>69056.454069083629</v>
      </c>
      <c r="C121" s="2">
        <f t="shared" si="40"/>
        <v>4392.7274137537197</v>
      </c>
      <c r="D121" s="2">
        <f t="shared" si="41"/>
        <v>460.37636046055758</v>
      </c>
      <c r="E121" s="2">
        <f t="shared" si="42"/>
        <v>4853.1037742142771</v>
      </c>
      <c r="F121" s="2">
        <f t="shared" si="43"/>
        <v>64663.726655329912</v>
      </c>
      <c r="G121" s="6"/>
      <c r="H121" s="6"/>
      <c r="I121" s="6"/>
      <c r="J121" s="6"/>
    </row>
    <row r="122" spans="1:10" ht="12" customHeight="1" x14ac:dyDescent="0.2">
      <c r="A122" s="12"/>
      <c r="B122" s="2">
        <f t="shared" si="44"/>
        <v>64663.726655329912</v>
      </c>
      <c r="C122" s="2">
        <f t="shared" si="40"/>
        <v>4422.0122631787444</v>
      </c>
      <c r="D122" s="2">
        <f t="shared" si="41"/>
        <v>431.09151103553279</v>
      </c>
      <c r="E122" s="2">
        <f t="shared" si="42"/>
        <v>4853.1037742142771</v>
      </c>
      <c r="F122" s="2">
        <f t="shared" si="43"/>
        <v>60241.714392151167</v>
      </c>
      <c r="G122" s="6"/>
      <c r="H122" s="6"/>
      <c r="I122" s="6"/>
      <c r="J122" s="6"/>
    </row>
    <row r="123" spans="1:10" ht="12" customHeight="1" x14ac:dyDescent="0.2">
      <c r="A123" s="12" t="s">
        <v>118</v>
      </c>
      <c r="B123" s="2">
        <f t="shared" si="44"/>
        <v>60241.714392151167</v>
      </c>
      <c r="C123" s="2">
        <f t="shared" si="40"/>
        <v>4451.4923449332691</v>
      </c>
      <c r="D123" s="2">
        <f t="shared" si="41"/>
        <v>401.61142928100782</v>
      </c>
      <c r="E123" s="2">
        <f t="shared" si="42"/>
        <v>4853.1037742142771</v>
      </c>
      <c r="F123" s="48">
        <f t="shared" si="43"/>
        <v>55790.222047217896</v>
      </c>
      <c r="G123" s="6"/>
      <c r="H123" s="6"/>
      <c r="I123" s="6"/>
      <c r="J123" s="6"/>
    </row>
    <row r="124" spans="1:10" ht="12" customHeight="1" x14ac:dyDescent="0.2">
      <c r="A124" s="9" t="s">
        <v>102</v>
      </c>
      <c r="B124" s="4"/>
      <c r="C124" s="48"/>
      <c r="D124" s="48">
        <f>SUM(D112:D123)</f>
        <v>6722.7047053432534</v>
      </c>
      <c r="E124" s="6"/>
      <c r="F124" s="6"/>
      <c r="G124" s="6"/>
      <c r="H124" s="6"/>
      <c r="I124" s="6"/>
      <c r="J124" s="6"/>
    </row>
    <row r="125" spans="1:10" ht="12" customHeight="1" x14ac:dyDescent="0.2">
      <c r="A125" s="12" t="s">
        <v>119</v>
      </c>
      <c r="B125" s="2">
        <f>F123</f>
        <v>55790.222047217896</v>
      </c>
      <c r="C125" s="2">
        <f t="shared" ref="C125:C136" si="45">+E125-D125</f>
        <v>4481.1689605661577</v>
      </c>
      <c r="D125" s="2">
        <f t="shared" ref="D125:D136" si="46">+B125*$J$3</f>
        <v>371.9348136481193</v>
      </c>
      <c r="E125" s="2">
        <f t="shared" ref="E125:E136" si="47">$J$6</f>
        <v>4853.1037742142771</v>
      </c>
      <c r="F125" s="2">
        <f t="shared" ref="F125:F136" si="48">+B125-C125</f>
        <v>51309.053086651737</v>
      </c>
      <c r="G125" s="6"/>
      <c r="H125" s="6"/>
      <c r="I125" s="6"/>
      <c r="J125" s="6"/>
    </row>
    <row r="126" spans="1:10" ht="12" customHeight="1" x14ac:dyDescent="0.2">
      <c r="A126" s="12"/>
      <c r="B126" s="2">
        <f t="shared" ref="B126:B136" si="49">+F125</f>
        <v>51309.053086651737</v>
      </c>
      <c r="C126" s="2">
        <f t="shared" si="45"/>
        <v>4511.0434203032655</v>
      </c>
      <c r="D126" s="2">
        <f t="shared" si="46"/>
        <v>342.06035391101159</v>
      </c>
      <c r="E126" s="2">
        <f t="shared" si="47"/>
        <v>4853.1037742142771</v>
      </c>
      <c r="F126" s="2">
        <f t="shared" si="48"/>
        <v>46798.009666348473</v>
      </c>
      <c r="G126" s="6"/>
      <c r="H126" s="6"/>
      <c r="I126" s="6"/>
      <c r="J126" s="6"/>
    </row>
    <row r="127" spans="1:10" ht="12" customHeight="1" x14ac:dyDescent="0.2">
      <c r="A127" s="12"/>
      <c r="B127" s="2">
        <f t="shared" si="49"/>
        <v>46798.009666348473</v>
      </c>
      <c r="C127" s="2">
        <f t="shared" si="45"/>
        <v>4541.1170431052869</v>
      </c>
      <c r="D127" s="2">
        <f t="shared" si="46"/>
        <v>311.98673110898983</v>
      </c>
      <c r="E127" s="2">
        <f t="shared" si="47"/>
        <v>4853.1037742142771</v>
      </c>
      <c r="F127" s="2">
        <f t="shared" si="48"/>
        <v>42256.892623243184</v>
      </c>
      <c r="G127" s="6"/>
      <c r="H127" s="6"/>
      <c r="I127" s="6"/>
      <c r="J127" s="6"/>
    </row>
    <row r="128" spans="1:10" ht="12" customHeight="1" x14ac:dyDescent="0.2">
      <c r="A128" s="12"/>
      <c r="B128" s="2">
        <f t="shared" si="49"/>
        <v>42256.892623243184</v>
      </c>
      <c r="C128" s="2">
        <f t="shared" si="45"/>
        <v>4571.3911567259893</v>
      </c>
      <c r="D128" s="2">
        <f t="shared" si="46"/>
        <v>281.71261748828789</v>
      </c>
      <c r="E128" s="2">
        <f t="shared" si="47"/>
        <v>4853.1037742142771</v>
      </c>
      <c r="F128" s="2">
        <f t="shared" si="48"/>
        <v>37685.501466517191</v>
      </c>
      <c r="G128" s="6"/>
      <c r="H128" s="6"/>
      <c r="I128" s="6"/>
      <c r="J128" s="6"/>
    </row>
    <row r="129" spans="1:10" ht="12" customHeight="1" x14ac:dyDescent="0.2">
      <c r="A129" s="12"/>
      <c r="B129" s="2">
        <f t="shared" si="49"/>
        <v>37685.501466517191</v>
      </c>
      <c r="C129" s="2">
        <f t="shared" si="45"/>
        <v>4601.8670977708289</v>
      </c>
      <c r="D129" s="2">
        <f t="shared" si="46"/>
        <v>251.23667644344795</v>
      </c>
      <c r="E129" s="2">
        <f t="shared" si="47"/>
        <v>4853.1037742142771</v>
      </c>
      <c r="F129" s="2">
        <f t="shared" si="48"/>
        <v>33083.63436874636</v>
      </c>
      <c r="G129" s="6"/>
      <c r="H129" s="6"/>
      <c r="I129" s="6"/>
      <c r="J129" s="6"/>
    </row>
    <row r="130" spans="1:10" ht="12" customHeight="1" x14ac:dyDescent="0.2">
      <c r="A130" s="12"/>
      <c r="B130" s="2">
        <f t="shared" si="49"/>
        <v>33083.63436874636</v>
      </c>
      <c r="C130" s="2">
        <f t="shared" si="45"/>
        <v>4632.5462117559682</v>
      </c>
      <c r="D130" s="2">
        <f t="shared" si="46"/>
        <v>220.55756245830906</v>
      </c>
      <c r="E130" s="2">
        <f t="shared" si="47"/>
        <v>4853.1037742142771</v>
      </c>
      <c r="F130" s="2">
        <f t="shared" si="48"/>
        <v>28451.08815699039</v>
      </c>
      <c r="G130" s="6"/>
      <c r="H130" s="6"/>
      <c r="I130" s="6"/>
      <c r="J130" s="6"/>
    </row>
    <row r="131" spans="1:10" ht="12" customHeight="1" x14ac:dyDescent="0.2">
      <c r="A131" s="12"/>
      <c r="B131" s="2">
        <f t="shared" si="49"/>
        <v>28451.08815699039</v>
      </c>
      <c r="C131" s="2">
        <f t="shared" si="45"/>
        <v>4663.4298531676741</v>
      </c>
      <c r="D131" s="2">
        <f t="shared" si="46"/>
        <v>189.6739210466026</v>
      </c>
      <c r="E131" s="2">
        <f t="shared" si="47"/>
        <v>4853.1037742142771</v>
      </c>
      <c r="F131" s="2">
        <f t="shared" si="48"/>
        <v>23787.658303822718</v>
      </c>
      <c r="G131" s="6"/>
      <c r="H131" s="6"/>
      <c r="I131" s="6"/>
      <c r="J131" s="6"/>
    </row>
    <row r="132" spans="1:10" ht="12" customHeight="1" x14ac:dyDescent="0.2">
      <c r="A132" s="12"/>
      <c r="B132" s="2">
        <f t="shared" si="49"/>
        <v>23787.658303822718</v>
      </c>
      <c r="C132" s="2">
        <f t="shared" si="45"/>
        <v>4694.519385522126</v>
      </c>
      <c r="D132" s="2">
        <f t="shared" si="46"/>
        <v>158.58438869215146</v>
      </c>
      <c r="E132" s="2">
        <f t="shared" si="47"/>
        <v>4853.1037742142771</v>
      </c>
      <c r="F132" s="2">
        <f t="shared" si="48"/>
        <v>19093.138918300592</v>
      </c>
      <c r="G132" s="6"/>
      <c r="H132" s="6"/>
      <c r="I132" s="6"/>
      <c r="J132" s="6"/>
    </row>
    <row r="133" spans="1:10" ht="12" customHeight="1" x14ac:dyDescent="0.2">
      <c r="A133" s="12"/>
      <c r="B133" s="2">
        <f t="shared" si="49"/>
        <v>19093.138918300592</v>
      </c>
      <c r="C133" s="2">
        <f t="shared" si="45"/>
        <v>4725.8161814256064</v>
      </c>
      <c r="D133" s="2">
        <f t="shared" si="46"/>
        <v>127.28759278867062</v>
      </c>
      <c r="E133" s="2">
        <f t="shared" si="47"/>
        <v>4853.1037742142771</v>
      </c>
      <c r="F133" s="2">
        <f t="shared" si="48"/>
        <v>14367.322736874987</v>
      </c>
      <c r="G133" s="6"/>
      <c r="H133" s="6"/>
      <c r="I133" s="6"/>
      <c r="J133" s="6"/>
    </row>
    <row r="134" spans="1:10" ht="12" customHeight="1" x14ac:dyDescent="0.2">
      <c r="A134" s="12"/>
      <c r="B134" s="2">
        <f t="shared" si="49"/>
        <v>14367.322736874987</v>
      </c>
      <c r="C134" s="2">
        <f t="shared" si="45"/>
        <v>4757.3216226351105</v>
      </c>
      <c r="D134" s="2">
        <f t="shared" si="46"/>
        <v>95.78215157916658</v>
      </c>
      <c r="E134" s="2">
        <f t="shared" si="47"/>
        <v>4853.1037742142771</v>
      </c>
      <c r="F134" s="2">
        <f t="shared" si="48"/>
        <v>9610.0011142398762</v>
      </c>
      <c r="G134" s="6"/>
      <c r="H134" s="6"/>
      <c r="I134" s="6"/>
      <c r="J134" s="6"/>
    </row>
    <row r="135" spans="1:10" ht="12" customHeight="1" x14ac:dyDescent="0.2">
      <c r="A135" s="12"/>
      <c r="B135" s="2">
        <f t="shared" si="49"/>
        <v>9610.0011142398762</v>
      </c>
      <c r="C135" s="2">
        <f t="shared" si="45"/>
        <v>4789.0371001193444</v>
      </c>
      <c r="D135" s="2">
        <f t="shared" si="46"/>
        <v>64.066674094932509</v>
      </c>
      <c r="E135" s="2">
        <f t="shared" si="47"/>
        <v>4853.1037742142771</v>
      </c>
      <c r="F135" s="2">
        <f t="shared" si="48"/>
        <v>4820.9640141205318</v>
      </c>
      <c r="G135" s="6"/>
      <c r="H135" s="6"/>
      <c r="I135" s="6"/>
      <c r="J135" s="6"/>
    </row>
    <row r="136" spans="1:10" ht="12" customHeight="1" x14ac:dyDescent="0.2">
      <c r="A136" s="12" t="s">
        <v>120</v>
      </c>
      <c r="B136" s="2">
        <f t="shared" si="49"/>
        <v>4820.9640141205318</v>
      </c>
      <c r="C136" s="2">
        <f t="shared" si="45"/>
        <v>4820.9640141201398</v>
      </c>
      <c r="D136" s="2">
        <f t="shared" si="46"/>
        <v>32.139760094136882</v>
      </c>
      <c r="E136" s="2">
        <f t="shared" si="47"/>
        <v>4853.1037742142771</v>
      </c>
      <c r="F136" s="48">
        <f t="shared" si="48"/>
        <v>3.9199221646413207E-10</v>
      </c>
      <c r="G136" s="6"/>
      <c r="H136" s="6"/>
      <c r="I136" s="6"/>
      <c r="J136" s="6"/>
    </row>
    <row r="137" spans="1:10" ht="12" customHeight="1" x14ac:dyDescent="0.2">
      <c r="A137" s="9" t="s">
        <v>102</v>
      </c>
      <c r="B137" s="4"/>
      <c r="C137" s="48"/>
      <c r="D137" s="48">
        <f>SUM(D125:D136)</f>
        <v>2447.0232433538263</v>
      </c>
      <c r="E137" s="6"/>
      <c r="F137" s="6"/>
      <c r="G137" s="6"/>
      <c r="H137" s="6"/>
      <c r="I137" s="6"/>
      <c r="J137" s="6"/>
    </row>
    <row r="138" spans="1:10" ht="12" customHeight="1" x14ac:dyDescent="0.2">
      <c r="A138" s="12" t="s">
        <v>121</v>
      </c>
      <c r="B138" s="2">
        <f>F136</f>
        <v>3.9199221646413207E-10</v>
      </c>
      <c r="C138" s="2">
        <f t="shared" ref="C138:C149" si="50">+E138-D138</f>
        <v>4853.1037742142744</v>
      </c>
      <c r="D138" s="2">
        <f t="shared" ref="D138:D149" si="51">+B138*$J$3</f>
        <v>2.613281443094214E-12</v>
      </c>
      <c r="E138" s="2">
        <f t="shared" ref="E138:E149" si="52">$J$6</f>
        <v>4853.1037742142771</v>
      </c>
      <c r="F138" s="2">
        <f t="shared" ref="F138:F149" si="53">+B138-C138</f>
        <v>-4853.1037742138824</v>
      </c>
      <c r="G138" s="6"/>
      <c r="H138" s="6"/>
      <c r="I138" s="6"/>
      <c r="J138" s="6"/>
    </row>
    <row r="139" spans="1:10" ht="12" customHeight="1" x14ac:dyDescent="0.2">
      <c r="A139" s="12"/>
      <c r="B139" s="2">
        <f t="shared" ref="B139:B149" si="54">+F138</f>
        <v>-4853.1037742138824</v>
      </c>
      <c r="C139" s="2">
        <f t="shared" si="50"/>
        <v>4885.457799375703</v>
      </c>
      <c r="D139" s="2">
        <f t="shared" si="51"/>
        <v>-32.354025161425888</v>
      </c>
      <c r="E139" s="2">
        <f t="shared" si="52"/>
        <v>4853.1037742142771</v>
      </c>
      <c r="F139" s="2">
        <f t="shared" si="53"/>
        <v>-9738.5615735895844</v>
      </c>
      <c r="G139" s="6"/>
      <c r="H139" s="6"/>
      <c r="I139" s="6"/>
      <c r="J139" s="6"/>
    </row>
    <row r="140" spans="1:10" ht="12" customHeight="1" x14ac:dyDescent="0.2">
      <c r="A140" s="12"/>
      <c r="B140" s="2">
        <f t="shared" si="54"/>
        <v>-9738.5615735895844</v>
      </c>
      <c r="C140" s="2">
        <f t="shared" si="50"/>
        <v>4918.0275180382077</v>
      </c>
      <c r="D140" s="2">
        <f t="shared" si="51"/>
        <v>-64.923743823930565</v>
      </c>
      <c r="E140" s="2">
        <f t="shared" si="52"/>
        <v>4853.1037742142771</v>
      </c>
      <c r="F140" s="2">
        <f t="shared" si="53"/>
        <v>-14656.589091627793</v>
      </c>
      <c r="G140" s="6"/>
      <c r="H140" s="6"/>
      <c r="I140" s="6"/>
      <c r="J140" s="6"/>
    </row>
    <row r="141" spans="1:10" ht="12" customHeight="1" x14ac:dyDescent="0.2">
      <c r="A141" s="12"/>
      <c r="B141" s="2">
        <f t="shared" si="54"/>
        <v>-14656.589091627793</v>
      </c>
      <c r="C141" s="2">
        <f t="shared" si="50"/>
        <v>4950.8143681584625</v>
      </c>
      <c r="D141" s="2">
        <f t="shared" si="51"/>
        <v>-97.710593944185291</v>
      </c>
      <c r="E141" s="2">
        <f t="shared" si="52"/>
        <v>4853.1037742142771</v>
      </c>
      <c r="F141" s="2">
        <f t="shared" si="53"/>
        <v>-19607.403459786256</v>
      </c>
      <c r="G141" s="6"/>
      <c r="H141" s="6"/>
      <c r="I141" s="6"/>
      <c r="J141" s="6"/>
    </row>
    <row r="142" spans="1:10" ht="12" customHeight="1" x14ac:dyDescent="0.2">
      <c r="A142" s="12"/>
      <c r="B142" s="2">
        <f t="shared" si="54"/>
        <v>-19607.403459786256</v>
      </c>
      <c r="C142" s="2">
        <f t="shared" si="50"/>
        <v>4983.8197972795188</v>
      </c>
      <c r="D142" s="2">
        <f t="shared" si="51"/>
        <v>-130.7160230652417</v>
      </c>
      <c r="E142" s="2">
        <f t="shared" si="52"/>
        <v>4853.1037742142771</v>
      </c>
      <c r="F142" s="2">
        <f t="shared" si="53"/>
        <v>-24591.223257065772</v>
      </c>
      <c r="G142" s="6"/>
      <c r="H142" s="6"/>
      <c r="I142" s="6"/>
      <c r="J142" s="6"/>
    </row>
    <row r="143" spans="1:10" ht="12" customHeight="1" x14ac:dyDescent="0.2">
      <c r="A143" s="12"/>
      <c r="B143" s="2">
        <f t="shared" si="54"/>
        <v>-24591.223257065772</v>
      </c>
      <c r="C143" s="2">
        <f t="shared" si="50"/>
        <v>5017.0452625947155</v>
      </c>
      <c r="D143" s="2">
        <f t="shared" si="51"/>
        <v>-163.9414883804385</v>
      </c>
      <c r="E143" s="2">
        <f t="shared" si="52"/>
        <v>4853.1037742142771</v>
      </c>
      <c r="F143" s="2">
        <f t="shared" si="53"/>
        <v>-29608.268519660487</v>
      </c>
      <c r="G143" s="6"/>
      <c r="H143" s="6"/>
      <c r="I143" s="6"/>
      <c r="J143" s="6"/>
    </row>
    <row r="144" spans="1:10" ht="12" customHeight="1" x14ac:dyDescent="0.2">
      <c r="A144" s="12"/>
      <c r="B144" s="2">
        <f t="shared" si="54"/>
        <v>-29608.268519660487</v>
      </c>
      <c r="C144" s="2">
        <f t="shared" si="50"/>
        <v>5050.4922310120137</v>
      </c>
      <c r="D144" s="2">
        <f t="shared" si="51"/>
        <v>-197.38845679773658</v>
      </c>
      <c r="E144" s="2">
        <f t="shared" si="52"/>
        <v>4853.1037742142771</v>
      </c>
      <c r="F144" s="2">
        <f t="shared" si="53"/>
        <v>-34658.760750672503</v>
      </c>
      <c r="G144" s="6"/>
      <c r="H144" s="6"/>
      <c r="I144" s="6"/>
      <c r="J144" s="6"/>
    </row>
    <row r="145" spans="1:10" ht="12" customHeight="1" x14ac:dyDescent="0.2">
      <c r="A145" s="12"/>
      <c r="B145" s="2">
        <f t="shared" si="54"/>
        <v>-34658.760750672503</v>
      </c>
      <c r="C145" s="2">
        <f t="shared" si="50"/>
        <v>5084.1621792187607</v>
      </c>
      <c r="D145" s="2">
        <f t="shared" si="51"/>
        <v>-231.05840500448338</v>
      </c>
      <c r="E145" s="2">
        <f t="shared" si="52"/>
        <v>4853.1037742142771</v>
      </c>
      <c r="F145" s="2">
        <f t="shared" si="53"/>
        <v>-39742.922929891261</v>
      </c>
      <c r="G145" s="6"/>
      <c r="H145" s="6"/>
      <c r="I145" s="6"/>
      <c r="J145" s="6"/>
    </row>
    <row r="146" spans="1:10" ht="12" customHeight="1" x14ac:dyDescent="0.2">
      <c r="A146" s="12"/>
      <c r="B146" s="2">
        <f t="shared" si="54"/>
        <v>-39742.922929891261</v>
      </c>
      <c r="C146" s="2">
        <f t="shared" si="50"/>
        <v>5118.0565937468855</v>
      </c>
      <c r="D146" s="2">
        <f t="shared" si="51"/>
        <v>-264.95281953260843</v>
      </c>
      <c r="E146" s="2">
        <f t="shared" si="52"/>
        <v>4853.1037742142771</v>
      </c>
      <c r="F146" s="2">
        <f t="shared" si="53"/>
        <v>-44860.979523638147</v>
      </c>
      <c r="G146" s="6"/>
      <c r="H146" s="6"/>
      <c r="I146" s="6"/>
      <c r="J146" s="6"/>
    </row>
    <row r="147" spans="1:10" ht="12" customHeight="1" x14ac:dyDescent="0.2">
      <c r="A147" s="12"/>
      <c r="B147" s="2">
        <f t="shared" si="54"/>
        <v>-44860.979523638147</v>
      </c>
      <c r="C147" s="2">
        <f t="shared" si="50"/>
        <v>5152.1769710385315</v>
      </c>
      <c r="D147" s="2">
        <f t="shared" si="51"/>
        <v>-299.07319682425435</v>
      </c>
      <c r="E147" s="2">
        <f t="shared" si="52"/>
        <v>4853.1037742142771</v>
      </c>
      <c r="F147" s="2">
        <f t="shared" si="53"/>
        <v>-50013.156494676681</v>
      </c>
      <c r="G147" s="6"/>
      <c r="H147" s="6"/>
      <c r="I147" s="6"/>
      <c r="J147" s="6"/>
    </row>
    <row r="148" spans="1:10" ht="12" customHeight="1" x14ac:dyDescent="0.2">
      <c r="A148" s="12"/>
      <c r="B148" s="2">
        <f t="shared" si="54"/>
        <v>-50013.156494676681</v>
      </c>
      <c r="C148" s="2">
        <f t="shared" si="50"/>
        <v>5186.5248175121214</v>
      </c>
      <c r="D148" s="2">
        <f t="shared" si="51"/>
        <v>-333.42104329784456</v>
      </c>
      <c r="E148" s="2">
        <f t="shared" si="52"/>
        <v>4853.1037742142771</v>
      </c>
      <c r="F148" s="2">
        <f t="shared" si="53"/>
        <v>-55199.681312188804</v>
      </c>
      <c r="G148" s="6"/>
      <c r="H148" s="6"/>
      <c r="I148" s="6"/>
      <c r="J148" s="6"/>
    </row>
    <row r="149" spans="1:10" ht="12" customHeight="1" x14ac:dyDescent="0.2">
      <c r="A149" s="12" t="s">
        <v>122</v>
      </c>
      <c r="B149" s="2">
        <f t="shared" si="54"/>
        <v>-55199.681312188804</v>
      </c>
      <c r="C149" s="2">
        <f t="shared" si="50"/>
        <v>5221.1016496288694</v>
      </c>
      <c r="D149" s="2">
        <f t="shared" si="51"/>
        <v>-367.99787541459204</v>
      </c>
      <c r="E149" s="2">
        <f t="shared" si="52"/>
        <v>4853.1037742142771</v>
      </c>
      <c r="F149" s="48">
        <f t="shared" si="53"/>
        <v>-60420.782961817677</v>
      </c>
      <c r="G149" s="6"/>
      <c r="H149" s="6"/>
      <c r="I149" s="6"/>
      <c r="J149" s="6"/>
    </row>
    <row r="150" spans="1:10" ht="12" customHeight="1" x14ac:dyDescent="0.2">
      <c r="A150" s="9" t="s">
        <v>102</v>
      </c>
      <c r="B150" s="9"/>
      <c r="C150" s="48"/>
      <c r="D150" s="48">
        <f>SUM(D138:D149)</f>
        <v>-2183.5376712467387</v>
      </c>
      <c r="E150" s="2"/>
      <c r="F150" s="2"/>
      <c r="G150" s="6"/>
      <c r="H150" s="6"/>
      <c r="I150" s="6"/>
      <c r="J150" s="6"/>
    </row>
    <row r="151" spans="1:10" ht="12" customHeight="1" x14ac:dyDescent="0.2">
      <c r="A151" s="12"/>
      <c r="B151" s="12"/>
      <c r="C151" s="2"/>
      <c r="D151" s="2"/>
      <c r="E151" s="2"/>
      <c r="F151" s="2"/>
      <c r="G151" s="6"/>
      <c r="H151" s="6"/>
      <c r="I151" s="6"/>
      <c r="J151" s="6"/>
    </row>
    <row r="152" spans="1:10" ht="12" customHeight="1" x14ac:dyDescent="0.2">
      <c r="A152" s="12" t="s">
        <v>123</v>
      </c>
      <c r="B152" s="2">
        <f>F149</f>
        <v>-60420.782961817677</v>
      </c>
      <c r="C152" s="2">
        <f t="shared" ref="C152:C163" si="55">+E152-D152</f>
        <v>5255.9089939597279</v>
      </c>
      <c r="D152" s="2">
        <f t="shared" ref="D152:D163" si="56">+B152*$J$3</f>
        <v>-402.80521974545121</v>
      </c>
      <c r="E152" s="2">
        <f t="shared" ref="E152:E163" si="57">$J$6</f>
        <v>4853.1037742142771</v>
      </c>
      <c r="F152" s="2">
        <f t="shared" ref="F152:F163" si="58">+B152-C152</f>
        <v>-65676.691955777409</v>
      </c>
      <c r="G152" s="6"/>
      <c r="H152" s="6"/>
      <c r="I152" s="6"/>
      <c r="J152" s="6"/>
    </row>
    <row r="153" spans="1:10" ht="12" customHeight="1" x14ac:dyDescent="0.2">
      <c r="A153" s="12"/>
      <c r="B153" s="2">
        <f t="shared" ref="B153:B163" si="59">+F152</f>
        <v>-65676.691955777409</v>
      </c>
      <c r="C153" s="2">
        <f t="shared" si="55"/>
        <v>5290.9483872527935</v>
      </c>
      <c r="D153" s="2">
        <f t="shared" si="56"/>
        <v>-437.84461303851612</v>
      </c>
      <c r="E153" s="2">
        <f t="shared" si="57"/>
        <v>4853.1037742142771</v>
      </c>
      <c r="F153" s="2">
        <f t="shared" si="58"/>
        <v>-70967.640343030202</v>
      </c>
      <c r="G153" s="6"/>
      <c r="H153" s="6"/>
      <c r="I153" s="6"/>
      <c r="J153" s="6"/>
    </row>
    <row r="154" spans="1:10" ht="12" customHeight="1" x14ac:dyDescent="0.2">
      <c r="A154" s="12"/>
      <c r="B154" s="2">
        <f t="shared" si="59"/>
        <v>-70967.640343030202</v>
      </c>
      <c r="C154" s="2">
        <f t="shared" si="55"/>
        <v>5326.2213765011447</v>
      </c>
      <c r="D154" s="2">
        <f t="shared" si="56"/>
        <v>-473.11760228686802</v>
      </c>
      <c r="E154" s="2">
        <f t="shared" si="57"/>
        <v>4853.1037742142771</v>
      </c>
      <c r="F154" s="2">
        <f t="shared" si="58"/>
        <v>-76293.861719531342</v>
      </c>
      <c r="G154" s="6"/>
      <c r="H154" s="6"/>
      <c r="I154" s="6"/>
      <c r="J154" s="6"/>
    </row>
    <row r="155" spans="1:10" ht="12" customHeight="1" x14ac:dyDescent="0.2">
      <c r="A155" s="12"/>
      <c r="B155" s="2">
        <f t="shared" si="59"/>
        <v>-76293.861719531342</v>
      </c>
      <c r="C155" s="2">
        <f t="shared" si="55"/>
        <v>5361.7295190111527</v>
      </c>
      <c r="D155" s="2">
        <f t="shared" si="56"/>
        <v>-508.62574479687567</v>
      </c>
      <c r="E155" s="2">
        <f t="shared" si="57"/>
        <v>4853.1037742142771</v>
      </c>
      <c r="F155" s="2">
        <f t="shared" si="58"/>
        <v>-81655.591238542489</v>
      </c>
      <c r="G155" s="6"/>
      <c r="H155" s="6"/>
      <c r="I155" s="6"/>
      <c r="J155" s="6"/>
    </row>
    <row r="156" spans="1:10" ht="12" customHeight="1" x14ac:dyDescent="0.2">
      <c r="A156" s="12"/>
      <c r="B156" s="2">
        <f t="shared" si="59"/>
        <v>-81655.591238542489</v>
      </c>
      <c r="C156" s="2">
        <f t="shared" si="55"/>
        <v>5397.4743824712268</v>
      </c>
      <c r="D156" s="2">
        <f t="shared" si="56"/>
        <v>-544.37060825694994</v>
      </c>
      <c r="E156" s="2">
        <f t="shared" si="57"/>
        <v>4853.1037742142771</v>
      </c>
      <c r="F156" s="2">
        <f t="shared" si="58"/>
        <v>-87053.065621013709</v>
      </c>
      <c r="G156" s="6"/>
      <c r="H156" s="6"/>
      <c r="I156" s="6"/>
      <c r="J156" s="6"/>
    </row>
    <row r="157" spans="1:10" ht="12" customHeight="1" x14ac:dyDescent="0.2">
      <c r="A157" s="12"/>
      <c r="B157" s="2">
        <f t="shared" si="59"/>
        <v>-87053.065621013709</v>
      </c>
      <c r="C157" s="2">
        <f t="shared" si="55"/>
        <v>5433.457545021035</v>
      </c>
      <c r="D157" s="2">
        <f t="shared" si="56"/>
        <v>-580.35377080675812</v>
      </c>
      <c r="E157" s="2">
        <f t="shared" si="57"/>
        <v>4853.1037742142771</v>
      </c>
      <c r="F157" s="2">
        <f t="shared" si="58"/>
        <v>-92486.523166034749</v>
      </c>
      <c r="G157" s="6"/>
      <c r="H157" s="6"/>
      <c r="I157" s="6"/>
      <c r="J157" s="6"/>
    </row>
    <row r="158" spans="1:10" ht="12" customHeight="1" x14ac:dyDescent="0.2">
      <c r="A158" s="12"/>
      <c r="B158" s="2">
        <f t="shared" si="59"/>
        <v>-92486.523166034749</v>
      </c>
      <c r="C158" s="2">
        <f t="shared" si="55"/>
        <v>5469.6805953211751</v>
      </c>
      <c r="D158" s="2">
        <f t="shared" si="56"/>
        <v>-616.57682110689836</v>
      </c>
      <c r="E158" s="2">
        <f t="shared" si="57"/>
        <v>4853.1037742142771</v>
      </c>
      <c r="F158" s="2">
        <f t="shared" si="58"/>
        <v>-97956.203761355922</v>
      </c>
      <c r="G158" s="6"/>
      <c r="H158" s="6"/>
      <c r="I158" s="6"/>
      <c r="J158" s="6"/>
    </row>
    <row r="159" spans="1:10" ht="12" customHeight="1" x14ac:dyDescent="0.2">
      <c r="A159" s="12"/>
      <c r="B159" s="2">
        <f t="shared" si="59"/>
        <v>-97956.203761355922</v>
      </c>
      <c r="C159" s="2">
        <f t="shared" si="55"/>
        <v>5506.1451326233164</v>
      </c>
      <c r="D159" s="2">
        <f t="shared" si="56"/>
        <v>-653.0413584090395</v>
      </c>
      <c r="E159" s="2">
        <f t="shared" si="57"/>
        <v>4853.1037742142771</v>
      </c>
      <c r="F159" s="2">
        <f t="shared" si="58"/>
        <v>-103462.34889397924</v>
      </c>
      <c r="G159" s="6"/>
      <c r="H159" s="6"/>
      <c r="I159" s="6"/>
      <c r="J159" s="6"/>
    </row>
    <row r="160" spans="1:10" ht="12" customHeight="1" x14ac:dyDescent="0.2">
      <c r="A160" s="12"/>
      <c r="B160" s="2">
        <f t="shared" si="59"/>
        <v>-103462.34889397924</v>
      </c>
      <c r="C160" s="2">
        <f t="shared" si="55"/>
        <v>5542.8527668408051</v>
      </c>
      <c r="D160" s="2">
        <f t="shared" si="56"/>
        <v>-689.74899262652832</v>
      </c>
      <c r="E160" s="2">
        <f t="shared" si="57"/>
        <v>4853.1037742142771</v>
      </c>
      <c r="F160" s="2">
        <f t="shared" si="58"/>
        <v>-109005.20166082005</v>
      </c>
      <c r="G160" s="6"/>
      <c r="H160" s="6"/>
      <c r="I160" s="6"/>
      <c r="J160" s="6"/>
    </row>
    <row r="161" spans="1:10" ht="12" customHeight="1" x14ac:dyDescent="0.2">
      <c r="A161" s="12"/>
      <c r="B161" s="2">
        <f t="shared" si="59"/>
        <v>-109005.20166082005</v>
      </c>
      <c r="C161" s="2">
        <f t="shared" si="55"/>
        <v>5579.8051186197445</v>
      </c>
      <c r="D161" s="2">
        <f t="shared" si="56"/>
        <v>-726.70134440546701</v>
      </c>
      <c r="E161" s="2">
        <f t="shared" si="57"/>
        <v>4853.1037742142771</v>
      </c>
      <c r="F161" s="2">
        <f t="shared" si="58"/>
        <v>-114585.00677943979</v>
      </c>
      <c r="G161" s="6"/>
      <c r="H161" s="6"/>
      <c r="I161" s="6"/>
      <c r="J161" s="6"/>
    </row>
    <row r="162" spans="1:10" ht="12" customHeight="1" x14ac:dyDescent="0.2">
      <c r="A162" s="12"/>
      <c r="B162" s="2">
        <f t="shared" si="59"/>
        <v>-114585.00677943979</v>
      </c>
      <c r="C162" s="2">
        <f t="shared" si="55"/>
        <v>5617.0038194105427</v>
      </c>
      <c r="D162" s="2">
        <f t="shared" si="56"/>
        <v>-763.9000451962653</v>
      </c>
      <c r="E162" s="2">
        <f t="shared" si="57"/>
        <v>4853.1037742142771</v>
      </c>
      <c r="F162" s="2">
        <f t="shared" si="58"/>
        <v>-120202.01059885033</v>
      </c>
      <c r="G162" s="6"/>
      <c r="H162" s="6"/>
      <c r="I162" s="6"/>
      <c r="J162" s="6"/>
    </row>
    <row r="163" spans="1:10" ht="12" customHeight="1" x14ac:dyDescent="0.2">
      <c r="A163" s="12" t="s">
        <v>124</v>
      </c>
      <c r="B163" s="2">
        <f t="shared" si="59"/>
        <v>-120202.01059885033</v>
      </c>
      <c r="C163" s="2">
        <f t="shared" si="55"/>
        <v>5654.4505115399461</v>
      </c>
      <c r="D163" s="2">
        <f t="shared" si="56"/>
        <v>-801.34673732566898</v>
      </c>
      <c r="E163" s="2">
        <f t="shared" si="57"/>
        <v>4853.1037742142771</v>
      </c>
      <c r="F163" s="48">
        <f t="shared" si="58"/>
        <v>-125856.46111039029</v>
      </c>
      <c r="G163" s="6"/>
      <c r="H163" s="6"/>
      <c r="I163" s="6"/>
      <c r="J163" s="6"/>
    </row>
    <row r="164" spans="1:10" ht="12" customHeight="1" x14ac:dyDescent="0.2">
      <c r="A164" s="9" t="s">
        <v>102</v>
      </c>
      <c r="B164" s="9"/>
      <c r="C164" s="48"/>
      <c r="D164" s="48">
        <f>SUM(D152:D163)</f>
        <v>-7198.4328580012871</v>
      </c>
      <c r="E164" s="2"/>
      <c r="F164" s="2"/>
      <c r="G164" s="6"/>
      <c r="H164" s="6"/>
      <c r="I164" s="6"/>
      <c r="J164" s="6"/>
    </row>
    <row r="165" spans="1:10" ht="12" customHeight="1" x14ac:dyDescent="0.2">
      <c r="A165" s="12"/>
      <c r="B165" s="12"/>
      <c r="C165" s="2"/>
      <c r="D165" s="2"/>
      <c r="E165" s="2"/>
      <c r="F165" s="2"/>
      <c r="G165" s="6"/>
      <c r="H165" s="6"/>
      <c r="I165" s="6"/>
      <c r="J165" s="6"/>
    </row>
    <row r="166" spans="1:10" ht="12" customHeight="1" x14ac:dyDescent="0.2">
      <c r="A166" s="12" t="s">
        <v>125</v>
      </c>
      <c r="B166" s="2">
        <f>F163</f>
        <v>-125856.46111039029</v>
      </c>
      <c r="C166" s="2">
        <f t="shared" ref="C166:C177" si="60">+E166-D166</f>
        <v>5692.1468482835462</v>
      </c>
      <c r="D166" s="2">
        <f t="shared" ref="D166:D177" si="61">+B166*$J$3</f>
        <v>-839.04307406926864</v>
      </c>
      <c r="E166" s="2">
        <f t="shared" ref="E166:E177" si="62">$J$6</f>
        <v>4853.1037742142771</v>
      </c>
      <c r="F166" s="2">
        <f t="shared" ref="F166:F177" si="63">+B166-C166</f>
        <v>-131548.60795867382</v>
      </c>
      <c r="G166" s="6"/>
      <c r="H166" s="6"/>
      <c r="I166" s="6"/>
      <c r="J166" s="6"/>
    </row>
    <row r="167" spans="1:10" ht="12" customHeight="1" x14ac:dyDescent="0.2">
      <c r="A167" s="12"/>
      <c r="B167" s="2">
        <f t="shared" ref="B167:B177" si="64">+F166</f>
        <v>-131548.60795867382</v>
      </c>
      <c r="C167" s="2">
        <f t="shared" si="60"/>
        <v>5730.0944939387691</v>
      </c>
      <c r="D167" s="2">
        <f t="shared" si="61"/>
        <v>-876.99071972449224</v>
      </c>
      <c r="E167" s="2">
        <f t="shared" si="62"/>
        <v>4853.1037742142771</v>
      </c>
      <c r="F167" s="2">
        <f t="shared" si="63"/>
        <v>-137278.70245261258</v>
      </c>
      <c r="G167" s="6"/>
      <c r="H167" s="6"/>
      <c r="I167" s="6"/>
      <c r="J167" s="6"/>
    </row>
    <row r="168" spans="1:10" ht="12" customHeight="1" x14ac:dyDescent="0.2">
      <c r="A168" s="12"/>
      <c r="B168" s="2">
        <f t="shared" si="64"/>
        <v>-137278.70245261258</v>
      </c>
      <c r="C168" s="2">
        <f t="shared" si="60"/>
        <v>5768.2951238983605</v>
      </c>
      <c r="D168" s="2">
        <f t="shared" si="61"/>
        <v>-915.19134968408389</v>
      </c>
      <c r="E168" s="2">
        <f t="shared" si="62"/>
        <v>4853.1037742142771</v>
      </c>
      <c r="F168" s="2">
        <f t="shared" si="63"/>
        <v>-143046.99757651094</v>
      </c>
      <c r="G168" s="6"/>
      <c r="H168" s="6"/>
      <c r="I168" s="6"/>
      <c r="J168" s="6"/>
    </row>
    <row r="169" spans="1:10" ht="12" customHeight="1" x14ac:dyDescent="0.2">
      <c r="A169" s="12"/>
      <c r="B169" s="2">
        <f t="shared" si="64"/>
        <v>-143046.99757651094</v>
      </c>
      <c r="C169" s="2">
        <f t="shared" si="60"/>
        <v>5806.7504247243505</v>
      </c>
      <c r="D169" s="2">
        <f t="shared" si="61"/>
        <v>-953.64665051007296</v>
      </c>
      <c r="E169" s="2">
        <f t="shared" si="62"/>
        <v>4853.1037742142771</v>
      </c>
      <c r="F169" s="2">
        <f t="shared" si="63"/>
        <v>-148853.7480012353</v>
      </c>
      <c r="G169" s="6"/>
      <c r="H169" s="6"/>
      <c r="I169" s="6"/>
      <c r="J169" s="6"/>
    </row>
    <row r="170" spans="1:10" ht="12" customHeight="1" x14ac:dyDescent="0.2">
      <c r="A170" s="12"/>
      <c r="B170" s="2">
        <f t="shared" si="64"/>
        <v>-148853.7480012353</v>
      </c>
      <c r="C170" s="2">
        <f t="shared" si="60"/>
        <v>5845.4620942225129</v>
      </c>
      <c r="D170" s="2">
        <f t="shared" si="61"/>
        <v>-992.35832000823541</v>
      </c>
      <c r="E170" s="2">
        <f t="shared" si="62"/>
        <v>4853.1037742142771</v>
      </c>
      <c r="F170" s="2">
        <f t="shared" si="63"/>
        <v>-154699.21009545782</v>
      </c>
      <c r="G170" s="6"/>
      <c r="H170" s="6"/>
      <c r="I170" s="6"/>
      <c r="J170" s="6"/>
    </row>
    <row r="171" spans="1:10" ht="12" customHeight="1" x14ac:dyDescent="0.2">
      <c r="A171" s="12"/>
      <c r="B171" s="2">
        <f t="shared" si="64"/>
        <v>-154699.21009545782</v>
      </c>
      <c r="C171" s="2">
        <f t="shared" si="60"/>
        <v>5884.4318415173293</v>
      </c>
      <c r="D171" s="2">
        <f t="shared" si="61"/>
        <v>-1031.3280673030522</v>
      </c>
      <c r="E171" s="2">
        <f t="shared" si="62"/>
        <v>4853.1037742142771</v>
      </c>
      <c r="F171" s="2">
        <f t="shared" si="63"/>
        <v>-160583.64193697515</v>
      </c>
      <c r="G171" s="6"/>
      <c r="H171" s="6"/>
      <c r="I171" s="6"/>
      <c r="J171" s="6"/>
    </row>
    <row r="172" spans="1:10" ht="12" customHeight="1" x14ac:dyDescent="0.2">
      <c r="A172" s="12"/>
      <c r="B172" s="2">
        <f t="shared" si="64"/>
        <v>-160583.64193697515</v>
      </c>
      <c r="C172" s="2">
        <f t="shared" si="60"/>
        <v>5923.6613871274449</v>
      </c>
      <c r="D172" s="2">
        <f t="shared" si="61"/>
        <v>-1070.5576129131678</v>
      </c>
      <c r="E172" s="2">
        <f t="shared" si="62"/>
        <v>4853.1037742142771</v>
      </c>
      <c r="F172" s="2">
        <f t="shared" si="63"/>
        <v>-166507.3033241026</v>
      </c>
      <c r="G172" s="6"/>
      <c r="H172" s="6"/>
      <c r="I172" s="6"/>
      <c r="J172" s="6"/>
    </row>
    <row r="173" spans="1:10" ht="12" customHeight="1" x14ac:dyDescent="0.2">
      <c r="A173" s="12"/>
      <c r="B173" s="2">
        <f t="shared" si="64"/>
        <v>-166507.3033241026</v>
      </c>
      <c r="C173" s="2">
        <f t="shared" si="60"/>
        <v>5963.1524630416279</v>
      </c>
      <c r="D173" s="2">
        <f t="shared" si="61"/>
        <v>-1110.0486888273508</v>
      </c>
      <c r="E173" s="2">
        <f t="shared" si="62"/>
        <v>4853.1037742142771</v>
      </c>
      <c r="F173" s="2">
        <f t="shared" si="63"/>
        <v>-172470.45578714422</v>
      </c>
      <c r="G173" s="6"/>
      <c r="H173" s="6"/>
      <c r="I173" s="6"/>
      <c r="J173" s="6"/>
    </row>
    <row r="174" spans="1:10" ht="12" customHeight="1" x14ac:dyDescent="0.2">
      <c r="A174" s="12"/>
      <c r="B174" s="2">
        <f t="shared" si="64"/>
        <v>-172470.45578714422</v>
      </c>
      <c r="C174" s="2">
        <f t="shared" si="60"/>
        <v>6002.9068127952387</v>
      </c>
      <c r="D174" s="2">
        <f t="shared" si="61"/>
        <v>-1149.8030385809616</v>
      </c>
      <c r="E174" s="2">
        <f t="shared" si="62"/>
        <v>4853.1037742142771</v>
      </c>
      <c r="F174" s="2">
        <f t="shared" si="63"/>
        <v>-178473.36259993946</v>
      </c>
      <c r="G174" s="6"/>
      <c r="H174" s="6"/>
      <c r="I174" s="6"/>
      <c r="J174" s="6"/>
    </row>
    <row r="175" spans="1:10" ht="12" customHeight="1" x14ac:dyDescent="0.2">
      <c r="A175" s="12"/>
      <c r="B175" s="2">
        <f t="shared" si="64"/>
        <v>-178473.36259993946</v>
      </c>
      <c r="C175" s="2">
        <f t="shared" si="60"/>
        <v>6042.9261915472071</v>
      </c>
      <c r="D175" s="2">
        <f t="shared" si="61"/>
        <v>-1189.8224173329297</v>
      </c>
      <c r="E175" s="2">
        <f t="shared" si="62"/>
        <v>4853.1037742142771</v>
      </c>
      <c r="F175" s="2">
        <f t="shared" si="63"/>
        <v>-184516.28879148667</v>
      </c>
      <c r="G175" s="6"/>
      <c r="H175" s="6"/>
      <c r="I175" s="6"/>
      <c r="J175" s="6"/>
    </row>
    <row r="176" spans="1:10" ht="12" customHeight="1" x14ac:dyDescent="0.2">
      <c r="A176" s="12"/>
      <c r="B176" s="2">
        <f t="shared" si="64"/>
        <v>-184516.28879148667</v>
      </c>
      <c r="C176" s="2">
        <f t="shared" si="60"/>
        <v>6083.2123661575215</v>
      </c>
      <c r="D176" s="2">
        <f t="shared" si="61"/>
        <v>-1230.1085919432446</v>
      </c>
      <c r="E176" s="2">
        <f t="shared" si="62"/>
        <v>4853.1037742142771</v>
      </c>
      <c r="F176" s="2">
        <f t="shared" si="63"/>
        <v>-190599.5011576442</v>
      </c>
      <c r="G176" s="6"/>
      <c r="H176" s="6"/>
      <c r="I176" s="6"/>
      <c r="J176" s="6"/>
    </row>
    <row r="177" spans="1:10" ht="12" customHeight="1" x14ac:dyDescent="0.2">
      <c r="A177" s="12" t="s">
        <v>126</v>
      </c>
      <c r="B177" s="2">
        <f t="shared" si="64"/>
        <v>-190599.5011576442</v>
      </c>
      <c r="C177" s="2">
        <f t="shared" si="60"/>
        <v>6123.7671152652383</v>
      </c>
      <c r="D177" s="2">
        <f t="shared" si="61"/>
        <v>-1270.6633410509614</v>
      </c>
      <c r="E177" s="2">
        <f t="shared" si="62"/>
        <v>4853.1037742142771</v>
      </c>
      <c r="F177" s="48">
        <f t="shared" si="63"/>
        <v>-196723.26827290945</v>
      </c>
      <c r="G177" s="6"/>
      <c r="H177" s="6"/>
      <c r="I177" s="6"/>
      <c r="J177" s="6"/>
    </row>
    <row r="178" spans="1:10" ht="12" customHeight="1" x14ac:dyDescent="0.2">
      <c r="A178" s="9" t="s">
        <v>102</v>
      </c>
      <c r="B178" s="9"/>
      <c r="C178" s="48"/>
      <c r="D178" s="48">
        <f>SUM(D166:D177)</f>
        <v>-12629.561871947821</v>
      </c>
      <c r="E178" s="2"/>
      <c r="F178" s="2"/>
      <c r="G178" s="6"/>
      <c r="H178" s="6"/>
      <c r="I178" s="6"/>
      <c r="J178" s="6"/>
    </row>
    <row r="179" spans="1:10" ht="12" customHeight="1" x14ac:dyDescent="0.2">
      <c r="A179" s="12"/>
      <c r="B179" s="12"/>
      <c r="C179" s="2"/>
      <c r="D179" s="2"/>
      <c r="E179" s="2"/>
      <c r="F179" s="2"/>
      <c r="G179" s="6"/>
      <c r="H179" s="6"/>
      <c r="I179" s="6"/>
      <c r="J179" s="6"/>
    </row>
    <row r="180" spans="1:10" ht="12" customHeight="1" x14ac:dyDescent="0.2">
      <c r="A180" s="12" t="s">
        <v>127</v>
      </c>
      <c r="B180" s="2">
        <f>F177</f>
        <v>-196723.26827290945</v>
      </c>
      <c r="C180" s="2">
        <f t="shared" ref="C180:C191" si="65">+E180-D180</f>
        <v>6164.5922293670064</v>
      </c>
      <c r="D180" s="2">
        <f t="shared" ref="D180:D191" si="66">+B180*$J$3</f>
        <v>-1311.4884551527298</v>
      </c>
      <c r="E180" s="2">
        <f t="shared" ref="E180:E191" si="67">$J$6</f>
        <v>4853.1037742142771</v>
      </c>
      <c r="F180" s="2">
        <f t="shared" ref="F180:F191" si="68">+B180-C180</f>
        <v>-202887.86050227645</v>
      </c>
      <c r="G180" s="6"/>
      <c r="H180" s="6"/>
      <c r="I180" s="6"/>
      <c r="J180" s="6"/>
    </row>
    <row r="181" spans="1:10" ht="12" customHeight="1" x14ac:dyDescent="0.2">
      <c r="A181" s="12"/>
      <c r="B181" s="2">
        <f t="shared" ref="B181:B191" si="69">+F180</f>
        <v>-202887.86050227645</v>
      </c>
      <c r="C181" s="2">
        <f t="shared" si="65"/>
        <v>6205.6895108961198</v>
      </c>
      <c r="D181" s="2">
        <f t="shared" si="66"/>
        <v>-1352.5857366818432</v>
      </c>
      <c r="E181" s="2">
        <f t="shared" si="67"/>
        <v>4853.1037742142771</v>
      </c>
      <c r="F181" s="2">
        <f t="shared" si="68"/>
        <v>-209093.55001317259</v>
      </c>
      <c r="G181" s="6"/>
      <c r="H181" s="6"/>
      <c r="I181" s="6"/>
      <c r="J181" s="6"/>
    </row>
    <row r="182" spans="1:10" ht="12" customHeight="1" x14ac:dyDescent="0.2">
      <c r="A182" s="12"/>
      <c r="B182" s="2">
        <f t="shared" si="69"/>
        <v>-209093.55001317259</v>
      </c>
      <c r="C182" s="2">
        <f t="shared" si="65"/>
        <v>6247.0607743020946</v>
      </c>
      <c r="D182" s="2">
        <f t="shared" si="66"/>
        <v>-1393.9570000878173</v>
      </c>
      <c r="E182" s="2">
        <f t="shared" si="67"/>
        <v>4853.1037742142771</v>
      </c>
      <c r="F182" s="2">
        <f t="shared" si="68"/>
        <v>-215340.61078747467</v>
      </c>
      <c r="G182" s="6"/>
      <c r="H182" s="6"/>
      <c r="I182" s="6"/>
      <c r="J182" s="6"/>
    </row>
    <row r="183" spans="1:10" ht="12" customHeight="1" x14ac:dyDescent="0.2">
      <c r="A183" s="12"/>
      <c r="B183" s="2">
        <f t="shared" si="69"/>
        <v>-215340.61078747467</v>
      </c>
      <c r="C183" s="2">
        <f t="shared" si="65"/>
        <v>6288.7078461307747</v>
      </c>
      <c r="D183" s="2">
        <f t="shared" si="66"/>
        <v>-1435.6040719164978</v>
      </c>
      <c r="E183" s="2">
        <f t="shared" si="67"/>
        <v>4853.1037742142771</v>
      </c>
      <c r="F183" s="2">
        <f t="shared" si="68"/>
        <v>-221629.31863360544</v>
      </c>
      <c r="G183" s="6"/>
      <c r="H183" s="6"/>
      <c r="I183" s="6"/>
      <c r="J183" s="6"/>
    </row>
    <row r="184" spans="1:10" ht="12" customHeight="1" x14ac:dyDescent="0.2">
      <c r="A184" s="12"/>
      <c r="B184" s="2">
        <f t="shared" si="69"/>
        <v>-221629.31863360544</v>
      </c>
      <c r="C184" s="2">
        <f t="shared" si="65"/>
        <v>6330.6325651049801</v>
      </c>
      <c r="D184" s="2">
        <f t="shared" si="66"/>
        <v>-1477.528790890703</v>
      </c>
      <c r="E184" s="2">
        <f t="shared" si="67"/>
        <v>4853.1037742142771</v>
      </c>
      <c r="F184" s="2">
        <f t="shared" si="68"/>
        <v>-227959.95119871042</v>
      </c>
      <c r="G184" s="6"/>
      <c r="H184" s="6"/>
      <c r="I184" s="6"/>
      <c r="J184" s="6"/>
    </row>
    <row r="185" spans="1:10" ht="12" customHeight="1" x14ac:dyDescent="0.2">
      <c r="A185" s="12"/>
      <c r="B185" s="2">
        <f t="shared" si="69"/>
        <v>-227959.95119871042</v>
      </c>
      <c r="C185" s="2">
        <f t="shared" si="65"/>
        <v>6372.8367822056798</v>
      </c>
      <c r="D185" s="2">
        <f t="shared" si="66"/>
        <v>-1519.7330079914029</v>
      </c>
      <c r="E185" s="2">
        <f t="shared" si="67"/>
        <v>4853.1037742142771</v>
      </c>
      <c r="F185" s="2">
        <f t="shared" si="68"/>
        <v>-234332.78798091609</v>
      </c>
      <c r="G185" s="6"/>
      <c r="H185" s="6"/>
      <c r="I185" s="6"/>
      <c r="J185" s="6"/>
    </row>
    <row r="186" spans="1:10" ht="12" customHeight="1" x14ac:dyDescent="0.2">
      <c r="A186" s="12"/>
      <c r="B186" s="2">
        <f t="shared" si="69"/>
        <v>-234332.78798091609</v>
      </c>
      <c r="C186" s="2">
        <f t="shared" si="65"/>
        <v>6415.3223607537184</v>
      </c>
      <c r="D186" s="2">
        <f t="shared" si="66"/>
        <v>-1562.2185865394408</v>
      </c>
      <c r="E186" s="2">
        <f t="shared" si="67"/>
        <v>4853.1037742142771</v>
      </c>
      <c r="F186" s="2">
        <f t="shared" si="68"/>
        <v>-240748.11034166982</v>
      </c>
      <c r="G186" s="6"/>
      <c r="H186" s="6"/>
      <c r="I186" s="6"/>
      <c r="J186" s="6"/>
    </row>
    <row r="187" spans="1:10" ht="12" customHeight="1" x14ac:dyDescent="0.2">
      <c r="A187" s="12"/>
      <c r="B187" s="2">
        <f t="shared" si="69"/>
        <v>-240748.11034166982</v>
      </c>
      <c r="C187" s="2">
        <f t="shared" si="65"/>
        <v>6458.0911764920766</v>
      </c>
      <c r="D187" s="2">
        <f t="shared" si="66"/>
        <v>-1604.987402277799</v>
      </c>
      <c r="E187" s="2">
        <f t="shared" si="67"/>
        <v>4853.1037742142771</v>
      </c>
      <c r="F187" s="2">
        <f t="shared" si="68"/>
        <v>-247206.20151816189</v>
      </c>
      <c r="G187" s="6"/>
      <c r="H187" s="6"/>
      <c r="I187" s="6"/>
      <c r="J187" s="6"/>
    </row>
    <row r="188" spans="1:10" ht="12" customHeight="1" x14ac:dyDescent="0.2">
      <c r="A188" s="12"/>
      <c r="B188" s="2">
        <f t="shared" si="69"/>
        <v>-247206.20151816189</v>
      </c>
      <c r="C188" s="2">
        <f t="shared" si="65"/>
        <v>6501.1451176686896</v>
      </c>
      <c r="D188" s="2">
        <f t="shared" si="66"/>
        <v>-1648.0413434544128</v>
      </c>
      <c r="E188" s="2">
        <f t="shared" si="67"/>
        <v>4853.1037742142771</v>
      </c>
      <c r="F188" s="2">
        <f t="shared" si="68"/>
        <v>-253707.34663583059</v>
      </c>
      <c r="G188" s="6"/>
      <c r="H188" s="6"/>
      <c r="I188" s="6"/>
      <c r="J188" s="6"/>
    </row>
    <row r="189" spans="1:10" ht="12" customHeight="1" x14ac:dyDescent="0.2">
      <c r="A189" s="12"/>
      <c r="B189" s="2">
        <f t="shared" si="69"/>
        <v>-253707.34663583059</v>
      </c>
      <c r="C189" s="2">
        <f t="shared" si="65"/>
        <v>6544.4860851198146</v>
      </c>
      <c r="D189" s="2">
        <f t="shared" si="66"/>
        <v>-1691.3823109055375</v>
      </c>
      <c r="E189" s="2">
        <f t="shared" si="67"/>
        <v>4853.1037742142771</v>
      </c>
      <c r="F189" s="2">
        <f t="shared" si="68"/>
        <v>-260251.83272095039</v>
      </c>
      <c r="G189" s="6"/>
      <c r="H189" s="6"/>
      <c r="I189" s="6"/>
      <c r="J189" s="6"/>
    </row>
    <row r="190" spans="1:10" ht="12" customHeight="1" x14ac:dyDescent="0.2">
      <c r="A190" s="12"/>
      <c r="B190" s="2">
        <f t="shared" si="69"/>
        <v>-260251.83272095039</v>
      </c>
      <c r="C190" s="2">
        <f t="shared" si="65"/>
        <v>6588.1159923539462</v>
      </c>
      <c r="D190" s="2">
        <f t="shared" si="66"/>
        <v>-1735.0122181396694</v>
      </c>
      <c r="E190" s="2">
        <f t="shared" si="67"/>
        <v>4853.1037742142771</v>
      </c>
      <c r="F190" s="2">
        <f t="shared" si="68"/>
        <v>-266839.94871330436</v>
      </c>
      <c r="G190" s="6"/>
      <c r="H190" s="6"/>
      <c r="I190" s="6"/>
      <c r="J190" s="6"/>
    </row>
    <row r="191" spans="1:10" ht="12" customHeight="1" x14ac:dyDescent="0.2">
      <c r="A191" s="12" t="s">
        <v>128</v>
      </c>
      <c r="B191" s="2">
        <f t="shared" si="69"/>
        <v>-266839.94871330436</v>
      </c>
      <c r="C191" s="2">
        <f t="shared" si="65"/>
        <v>6632.036765636306</v>
      </c>
      <c r="D191" s="2">
        <f t="shared" si="66"/>
        <v>-1778.9329914220291</v>
      </c>
      <c r="E191" s="2">
        <f t="shared" si="67"/>
        <v>4853.1037742142771</v>
      </c>
      <c r="F191" s="48">
        <f t="shared" si="68"/>
        <v>-273471.98547894065</v>
      </c>
      <c r="G191" s="6"/>
      <c r="H191" s="6"/>
      <c r="I191" s="6"/>
      <c r="J191" s="6"/>
    </row>
    <row r="192" spans="1:10" ht="12" customHeight="1" x14ac:dyDescent="0.2">
      <c r="A192" s="9" t="s">
        <v>102</v>
      </c>
      <c r="B192" s="4"/>
      <c r="C192" s="48"/>
      <c r="D192" s="48">
        <f>SUM(D180:D191)</f>
        <v>-18511.471915459882</v>
      </c>
      <c r="E192" s="6"/>
      <c r="F192" s="6"/>
      <c r="G192" s="6"/>
      <c r="H192" s="6"/>
      <c r="I192" s="6"/>
      <c r="J192" s="6"/>
    </row>
    <row r="193" spans="1:10" ht="12" customHeight="1" x14ac:dyDescent="0.2">
      <c r="A193" s="12"/>
      <c r="B193" s="12"/>
      <c r="C193" s="2"/>
      <c r="D193" s="2"/>
      <c r="E193" s="12"/>
      <c r="F193" s="12"/>
      <c r="G193" s="6"/>
      <c r="H193" s="6"/>
      <c r="I193" s="6"/>
      <c r="J193" s="6"/>
    </row>
    <row r="194" spans="1:10" ht="12" customHeight="1" x14ac:dyDescent="0.2">
      <c r="A194" s="12" t="s">
        <v>127</v>
      </c>
      <c r="B194" s="2">
        <f>F191</f>
        <v>-273471.98547894065</v>
      </c>
      <c r="C194" s="2">
        <f t="shared" ref="C194:C205" si="70">+E194-D194</f>
        <v>6676.2503440738819</v>
      </c>
      <c r="D194" s="2">
        <f t="shared" ref="D194:D205" si="71">+B194*$J$3</f>
        <v>-1823.1465698596044</v>
      </c>
      <c r="E194" s="2">
        <f t="shared" ref="E194:E205" si="72">$J$6</f>
        <v>4853.1037742142771</v>
      </c>
      <c r="F194" s="2">
        <f t="shared" ref="F194:F205" si="73">+B194-C194</f>
        <v>-280148.23582301452</v>
      </c>
      <c r="G194" s="6"/>
      <c r="H194" s="6"/>
      <c r="I194" s="6"/>
      <c r="J194" s="6"/>
    </row>
    <row r="195" spans="1:10" ht="12" customHeight="1" x14ac:dyDescent="0.2">
      <c r="A195" s="12"/>
      <c r="B195" s="2">
        <f t="shared" ref="B195:B205" si="74">+F194</f>
        <v>-280148.23582301452</v>
      </c>
      <c r="C195" s="2">
        <f t="shared" si="70"/>
        <v>6720.7586797010408</v>
      </c>
      <c r="D195" s="2">
        <f t="shared" si="71"/>
        <v>-1867.6549054867635</v>
      </c>
      <c r="E195" s="2">
        <f t="shared" si="72"/>
        <v>4853.1037742142771</v>
      </c>
      <c r="F195" s="2">
        <f t="shared" si="73"/>
        <v>-286868.99450271553</v>
      </c>
      <c r="G195" s="6"/>
      <c r="H195" s="6"/>
      <c r="I195" s="6"/>
      <c r="J195" s="6"/>
    </row>
    <row r="196" spans="1:10" ht="12" customHeight="1" x14ac:dyDescent="0.2">
      <c r="A196" s="12"/>
      <c r="B196" s="2">
        <f t="shared" si="74"/>
        <v>-286868.99450271553</v>
      </c>
      <c r="C196" s="2">
        <f t="shared" si="70"/>
        <v>6765.5637375657143</v>
      </c>
      <c r="D196" s="2">
        <f t="shared" si="71"/>
        <v>-1912.459963351437</v>
      </c>
      <c r="E196" s="2">
        <f t="shared" si="72"/>
        <v>4853.1037742142771</v>
      </c>
      <c r="F196" s="2">
        <f t="shared" si="73"/>
        <v>-293634.55824028124</v>
      </c>
      <c r="G196" s="6"/>
      <c r="H196" s="6"/>
      <c r="I196" s="6"/>
      <c r="J196" s="6"/>
    </row>
    <row r="197" spans="1:10" ht="12" customHeight="1" x14ac:dyDescent="0.2">
      <c r="A197" s="12"/>
      <c r="B197" s="2">
        <f t="shared" si="74"/>
        <v>-293634.55824028124</v>
      </c>
      <c r="C197" s="2">
        <f t="shared" si="70"/>
        <v>6810.667495816152</v>
      </c>
      <c r="D197" s="2">
        <f t="shared" si="71"/>
        <v>-1957.5637216018752</v>
      </c>
      <c r="E197" s="2">
        <f t="shared" si="72"/>
        <v>4853.1037742142771</v>
      </c>
      <c r="F197" s="2">
        <f t="shared" si="73"/>
        <v>-300445.22573609737</v>
      </c>
      <c r="G197" s="6"/>
      <c r="H197" s="6"/>
      <c r="I197" s="6"/>
      <c r="J197" s="6"/>
    </row>
    <row r="198" spans="1:10" ht="12" customHeight="1" x14ac:dyDescent="0.2">
      <c r="A198" s="12"/>
      <c r="B198" s="2">
        <f t="shared" si="74"/>
        <v>-300445.22573609737</v>
      </c>
      <c r="C198" s="2">
        <f t="shared" si="70"/>
        <v>6856.0719457882597</v>
      </c>
      <c r="D198" s="2">
        <f t="shared" si="71"/>
        <v>-2002.9681715739825</v>
      </c>
      <c r="E198" s="2">
        <f t="shared" si="72"/>
        <v>4853.1037742142771</v>
      </c>
      <c r="F198" s="2">
        <f t="shared" si="73"/>
        <v>-307301.29768188566</v>
      </c>
      <c r="G198" s="6"/>
      <c r="H198" s="6"/>
      <c r="I198" s="6"/>
      <c r="J198" s="6"/>
    </row>
    <row r="199" spans="1:10" ht="12" customHeight="1" x14ac:dyDescent="0.2">
      <c r="A199" s="12"/>
      <c r="B199" s="2">
        <f t="shared" si="74"/>
        <v>-307301.29768188566</v>
      </c>
      <c r="C199" s="2">
        <f t="shared" si="70"/>
        <v>6901.7790920935149</v>
      </c>
      <c r="D199" s="2">
        <f t="shared" si="71"/>
        <v>-2048.6753178792378</v>
      </c>
      <c r="E199" s="2">
        <f t="shared" si="72"/>
        <v>4853.1037742142771</v>
      </c>
      <c r="F199" s="2">
        <f t="shared" si="73"/>
        <v>-314203.07677397918</v>
      </c>
      <c r="G199" s="6"/>
      <c r="H199" s="6"/>
      <c r="I199" s="6"/>
      <c r="J199" s="6"/>
    </row>
    <row r="200" spans="1:10" ht="12" customHeight="1" x14ac:dyDescent="0.2">
      <c r="A200" s="12"/>
      <c r="B200" s="2">
        <f t="shared" si="74"/>
        <v>-314203.07677397918</v>
      </c>
      <c r="C200" s="2">
        <f t="shared" si="70"/>
        <v>6947.7909527074717</v>
      </c>
      <c r="D200" s="2">
        <f t="shared" si="71"/>
        <v>-2094.6871784931946</v>
      </c>
      <c r="E200" s="2">
        <f t="shared" si="72"/>
        <v>4853.1037742142771</v>
      </c>
      <c r="F200" s="2">
        <f t="shared" si="73"/>
        <v>-321150.86772668664</v>
      </c>
      <c r="G200" s="6"/>
      <c r="H200" s="6"/>
      <c r="I200" s="6"/>
      <c r="J200" s="6"/>
    </row>
    <row r="201" spans="1:10" ht="12" customHeight="1" x14ac:dyDescent="0.2">
      <c r="A201" s="12"/>
      <c r="B201" s="2">
        <f t="shared" si="74"/>
        <v>-321150.86772668664</v>
      </c>
      <c r="C201" s="2">
        <f t="shared" si="70"/>
        <v>6994.1095590588548</v>
      </c>
      <c r="D201" s="2">
        <f t="shared" si="71"/>
        <v>-2141.0057848445776</v>
      </c>
      <c r="E201" s="2">
        <f t="shared" si="72"/>
        <v>4853.1037742142771</v>
      </c>
      <c r="F201" s="2">
        <f t="shared" si="73"/>
        <v>-328144.9772857455</v>
      </c>
      <c r="G201" s="6"/>
      <c r="H201" s="6"/>
      <c r="I201" s="6"/>
      <c r="J201" s="6"/>
    </row>
    <row r="202" spans="1:10" ht="12" customHeight="1" x14ac:dyDescent="0.2">
      <c r="A202" s="12"/>
      <c r="B202" s="2">
        <f t="shared" si="74"/>
        <v>-328144.9772857455</v>
      </c>
      <c r="C202" s="2">
        <f t="shared" si="70"/>
        <v>7040.7369561192472</v>
      </c>
      <c r="D202" s="2">
        <f t="shared" si="71"/>
        <v>-2187.6331819049701</v>
      </c>
      <c r="E202" s="2">
        <f t="shared" si="72"/>
        <v>4853.1037742142771</v>
      </c>
      <c r="F202" s="2">
        <f t="shared" si="73"/>
        <v>-335185.71424186474</v>
      </c>
      <c r="G202" s="6"/>
      <c r="H202" s="6"/>
      <c r="I202" s="6"/>
      <c r="J202" s="6"/>
    </row>
    <row r="203" spans="1:10" ht="12" customHeight="1" x14ac:dyDescent="0.2">
      <c r="A203" s="12"/>
      <c r="B203" s="2">
        <f t="shared" si="74"/>
        <v>-335185.71424186474</v>
      </c>
      <c r="C203" s="2">
        <f t="shared" si="70"/>
        <v>7087.6752024933758</v>
      </c>
      <c r="D203" s="2">
        <f t="shared" si="71"/>
        <v>-2234.5714282790982</v>
      </c>
      <c r="E203" s="2">
        <f t="shared" si="72"/>
        <v>4853.1037742142771</v>
      </c>
      <c r="F203" s="2">
        <f t="shared" si="73"/>
        <v>-342273.38944435812</v>
      </c>
      <c r="G203" s="6"/>
      <c r="H203" s="6"/>
      <c r="I203" s="6"/>
      <c r="J203" s="6"/>
    </row>
    <row r="204" spans="1:10" ht="12" customHeight="1" x14ac:dyDescent="0.2">
      <c r="A204" s="12"/>
      <c r="B204" s="2">
        <f t="shared" si="74"/>
        <v>-342273.38944435812</v>
      </c>
      <c r="C204" s="2">
        <f t="shared" si="70"/>
        <v>7134.9263705099984</v>
      </c>
      <c r="D204" s="2">
        <f t="shared" si="71"/>
        <v>-2281.8225962957208</v>
      </c>
      <c r="E204" s="2">
        <f t="shared" si="72"/>
        <v>4853.1037742142771</v>
      </c>
      <c r="F204" s="2">
        <f t="shared" si="73"/>
        <v>-349408.31581486814</v>
      </c>
      <c r="G204" s="6"/>
      <c r="H204" s="6"/>
      <c r="I204" s="6"/>
      <c r="J204" s="6"/>
    </row>
    <row r="205" spans="1:10" ht="12" customHeight="1" x14ac:dyDescent="0.2">
      <c r="A205" s="12" t="s">
        <v>128</v>
      </c>
      <c r="B205" s="2">
        <f t="shared" si="74"/>
        <v>-349408.31581486814</v>
      </c>
      <c r="C205" s="2">
        <f t="shared" si="70"/>
        <v>7182.4925463133986</v>
      </c>
      <c r="D205" s="2">
        <f t="shared" si="71"/>
        <v>-2329.3887720991211</v>
      </c>
      <c r="E205" s="2">
        <f t="shared" si="72"/>
        <v>4853.1037742142771</v>
      </c>
      <c r="F205" s="48">
        <f t="shared" si="73"/>
        <v>-356590.80836118152</v>
      </c>
      <c r="G205" s="6"/>
      <c r="H205" s="6"/>
      <c r="I205" s="6"/>
      <c r="J205" s="6"/>
    </row>
    <row r="206" spans="1:10" ht="12" customHeight="1" x14ac:dyDescent="0.2">
      <c r="A206" s="9" t="s">
        <v>102</v>
      </c>
      <c r="B206" s="4"/>
      <c r="C206" s="48"/>
      <c r="D206" s="48">
        <f>SUM(D194:D205)</f>
        <v>-24881.577591669586</v>
      </c>
      <c r="E206" s="6"/>
      <c r="F206" s="6"/>
      <c r="G206" s="6"/>
      <c r="H206" s="6"/>
      <c r="I206" s="6"/>
      <c r="J206" s="6"/>
    </row>
    <row r="207" spans="1:10" ht="12" customHeight="1" x14ac:dyDescent="0.2">
      <c r="A207" s="12"/>
      <c r="B207" s="2"/>
      <c r="C207" s="2"/>
      <c r="D207" s="2"/>
      <c r="E207" s="2"/>
      <c r="F207" s="2"/>
      <c r="G207" s="6"/>
      <c r="H207" s="6"/>
      <c r="I207" s="6"/>
      <c r="J207" s="6"/>
    </row>
    <row r="208" spans="1:10" ht="12" customHeight="1" x14ac:dyDescent="0.2">
      <c r="A208" s="12"/>
      <c r="B208" s="2"/>
      <c r="C208" s="2"/>
      <c r="D208" s="2"/>
      <c r="E208" s="2"/>
      <c r="F208" s="2"/>
      <c r="G208" s="6"/>
      <c r="H208" s="6"/>
      <c r="I208" s="6"/>
      <c r="J208" s="6"/>
    </row>
    <row r="209" spans="1:10" ht="12" customHeight="1" x14ac:dyDescent="0.2">
      <c r="A209" s="12"/>
      <c r="B209" s="2"/>
      <c r="C209" s="2"/>
      <c r="D209" s="2"/>
      <c r="E209" s="2"/>
      <c r="F209" s="2"/>
      <c r="G209" s="6"/>
      <c r="H209" s="6"/>
      <c r="I209" s="6"/>
      <c r="J209" s="6"/>
    </row>
    <row r="210" spans="1:10" ht="12" customHeight="1" x14ac:dyDescent="0.2">
      <c r="A210" s="12"/>
      <c r="B210" s="2"/>
      <c r="C210" s="2"/>
      <c r="D210" s="2"/>
      <c r="E210" s="2"/>
      <c r="F210" s="2"/>
      <c r="G210" s="6"/>
      <c r="H210" s="6"/>
      <c r="I210" s="6"/>
      <c r="J210" s="6"/>
    </row>
    <row r="211" spans="1:10" ht="12" customHeight="1" x14ac:dyDescent="0.2">
      <c r="A211" s="12"/>
      <c r="B211" s="2"/>
      <c r="C211" s="2"/>
      <c r="D211" s="2"/>
      <c r="E211" s="2"/>
      <c r="F211" s="2"/>
      <c r="G211" s="6"/>
      <c r="H211" s="6"/>
      <c r="I211" s="6"/>
      <c r="J211" s="6"/>
    </row>
    <row r="212" spans="1:10" ht="12" customHeight="1" x14ac:dyDescent="0.2">
      <c r="A212" s="9"/>
      <c r="B212" s="4"/>
      <c r="C212" s="48"/>
      <c r="D212" s="48"/>
      <c r="E212" s="6"/>
      <c r="F212" s="6"/>
      <c r="G212" s="6"/>
      <c r="H212" s="6"/>
      <c r="I212" s="6"/>
      <c r="J212" s="6"/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workbookViewId="0"/>
  </sheetViews>
  <sheetFormatPr defaultColWidth="17.140625" defaultRowHeight="12.75" customHeight="1" x14ac:dyDescent="0.2"/>
  <cols>
    <col min="1" max="1" width="31.7109375" customWidth="1"/>
    <col min="2" max="2" width="34.7109375" customWidth="1"/>
    <col min="3" max="3" width="12.140625" customWidth="1"/>
    <col min="4" max="4" width="18.7109375" customWidth="1"/>
    <col min="5" max="6" width="10.42578125" customWidth="1"/>
    <col min="7" max="7" width="14.28515625" customWidth="1"/>
    <col min="8" max="8" width="15.140625" customWidth="1"/>
    <col min="9" max="9" width="19.28515625" customWidth="1"/>
    <col min="10" max="10" width="8.7109375" customWidth="1"/>
    <col min="11" max="11" width="15.85546875" customWidth="1"/>
    <col min="12" max="12" width="18.42578125" customWidth="1"/>
    <col min="13" max="13" width="8.7109375" customWidth="1"/>
  </cols>
  <sheetData>
    <row r="1" spans="1:13" ht="13.5" customHeight="1" x14ac:dyDescent="0.25">
      <c r="A1" s="50"/>
      <c r="B1" s="50"/>
      <c r="C1" s="50"/>
      <c r="D1" s="50">
        <v>2014</v>
      </c>
      <c r="E1" s="50">
        <v>2015</v>
      </c>
      <c r="F1" s="50">
        <v>2016</v>
      </c>
      <c r="G1" s="50">
        <v>2017</v>
      </c>
      <c r="H1" s="12"/>
      <c r="I1" s="12"/>
      <c r="J1" s="12"/>
      <c r="K1" s="12"/>
      <c r="L1" s="12"/>
      <c r="M1" s="12"/>
    </row>
    <row r="2" spans="1:13" ht="13.5" customHeight="1" x14ac:dyDescent="0.25">
      <c r="A2" s="50" t="s">
        <v>0</v>
      </c>
      <c r="B2" s="50"/>
      <c r="C2" s="50"/>
      <c r="D2" s="50"/>
      <c r="E2" s="50"/>
      <c r="F2" s="50"/>
      <c r="G2" s="50"/>
      <c r="H2" s="12"/>
      <c r="I2" s="12"/>
      <c r="J2" s="12"/>
      <c r="K2" s="12"/>
      <c r="L2" s="12"/>
      <c r="M2" s="12"/>
    </row>
    <row r="3" spans="1:13" ht="13.5" customHeight="1" x14ac:dyDescent="0.25">
      <c r="A3" s="50" t="s">
        <v>1</v>
      </c>
      <c r="B3" s="50"/>
      <c r="C3" s="50"/>
      <c r="D3" s="44">
        <f>(D4/3)*2</f>
        <v>666.66666666666663</v>
      </c>
      <c r="E3" s="44">
        <f>(E4/3)*2</f>
        <v>673.33333333333337</v>
      </c>
      <c r="F3" s="44">
        <f>(F4/3)*2</f>
        <v>680.06666666666672</v>
      </c>
      <c r="G3" s="44">
        <f>(G4/3)*2</f>
        <v>686.86733333333325</v>
      </c>
      <c r="H3" s="12"/>
      <c r="I3" s="12"/>
      <c r="J3" s="12"/>
      <c r="K3" s="12"/>
      <c r="L3" s="12"/>
      <c r="M3" s="12"/>
    </row>
    <row r="4" spans="1:13" ht="13.5" customHeight="1" x14ac:dyDescent="0.25">
      <c r="A4" s="50" t="s">
        <v>2</v>
      </c>
      <c r="B4" s="50"/>
      <c r="C4" s="50"/>
      <c r="D4" s="16">
        <v>1000</v>
      </c>
      <c r="E4" s="16">
        <f>D4*(1+$H$4)</f>
        <v>1010</v>
      </c>
      <c r="F4" s="16">
        <f>E4*(1+$H$4)</f>
        <v>1020.1</v>
      </c>
      <c r="G4" s="16">
        <f>F4*(1+$H$4)</f>
        <v>1030.3009999999999</v>
      </c>
      <c r="H4" s="1">
        <v>0.01</v>
      </c>
      <c r="I4" s="23" t="s">
        <v>3</v>
      </c>
      <c r="J4" s="12"/>
      <c r="K4" s="12"/>
      <c r="L4" s="12"/>
      <c r="M4" s="12"/>
    </row>
    <row r="5" spans="1:13" ht="13.5" customHeight="1" x14ac:dyDescent="0.25">
      <c r="A5" s="50" t="s">
        <v>4</v>
      </c>
      <c r="B5" s="50"/>
      <c r="C5" s="50"/>
      <c r="D5" s="8">
        <v>200</v>
      </c>
      <c r="E5" s="8">
        <f>D5*(1+$H$5)</f>
        <v>170</v>
      </c>
      <c r="F5" s="8">
        <f>E5*(1+$H$5)</f>
        <v>144.5</v>
      </c>
      <c r="G5" s="8">
        <f>F5*(1+$H$5)</f>
        <v>122.825</v>
      </c>
      <c r="H5" s="13">
        <v>-0.15</v>
      </c>
      <c r="I5" s="23" t="s">
        <v>3</v>
      </c>
      <c r="J5" s="12" t="s">
        <v>135</v>
      </c>
      <c r="K5" s="12"/>
      <c r="L5" s="12"/>
      <c r="M5" s="12"/>
    </row>
    <row r="6" spans="1:13" ht="13.5" customHeight="1" x14ac:dyDescent="0.25">
      <c r="A6" s="50" t="s">
        <v>5</v>
      </c>
      <c r="B6" s="50"/>
      <c r="C6" s="50"/>
      <c r="D6" s="38">
        <f>D7*0.6</f>
        <v>36</v>
      </c>
      <c r="E6" s="38">
        <f>D6*(1+$H$6)</f>
        <v>36.72</v>
      </c>
      <c r="F6" s="38">
        <f>E6*(1+$H$6)</f>
        <v>37.4544</v>
      </c>
      <c r="G6" s="38">
        <f>F6*(1+$H$6)</f>
        <v>38.203488</v>
      </c>
      <c r="H6" s="13">
        <v>0.02</v>
      </c>
      <c r="I6" s="23" t="s">
        <v>3</v>
      </c>
      <c r="J6" s="12"/>
      <c r="K6" s="12"/>
      <c r="L6" s="12"/>
      <c r="M6" s="12"/>
    </row>
    <row r="7" spans="1:13" ht="13.5" customHeight="1" x14ac:dyDescent="0.25">
      <c r="A7" s="50" t="s">
        <v>6</v>
      </c>
      <c r="B7" s="50"/>
      <c r="C7" s="50"/>
      <c r="D7" s="11">
        <v>60</v>
      </c>
      <c r="E7" s="11">
        <f>D7*(1+$H$7)</f>
        <v>61.2</v>
      </c>
      <c r="F7" s="11">
        <f>E7*(1+$H$7)</f>
        <v>62.424000000000007</v>
      </c>
      <c r="G7" s="11">
        <f>F7*(1+$H$7)</f>
        <v>63.672480000000007</v>
      </c>
      <c r="H7" s="13">
        <v>0.02</v>
      </c>
      <c r="I7" s="23" t="s">
        <v>3</v>
      </c>
      <c r="J7" s="12"/>
      <c r="K7" s="12"/>
      <c r="L7" s="12"/>
      <c r="M7" s="12"/>
    </row>
    <row r="8" spans="1:13" ht="13.5" customHeight="1" x14ac:dyDescent="0.25">
      <c r="A8" s="50" t="s">
        <v>7</v>
      </c>
      <c r="B8" s="50"/>
      <c r="C8" s="50"/>
      <c r="D8" s="11">
        <v>1000</v>
      </c>
      <c r="E8" s="11">
        <f>D8*(1+$H$8)</f>
        <v>950</v>
      </c>
      <c r="F8" s="11">
        <f>E8*(1+$H$8)</f>
        <v>902.5</v>
      </c>
      <c r="G8" s="11">
        <f>F8*(1+$H$8)</f>
        <v>857.375</v>
      </c>
      <c r="H8" s="13">
        <v>-0.05</v>
      </c>
      <c r="I8" s="23" t="s">
        <v>3</v>
      </c>
      <c r="J8" s="12"/>
      <c r="K8" s="12"/>
      <c r="L8" s="12"/>
      <c r="M8" s="12"/>
    </row>
    <row r="9" spans="1:13" ht="13.5" customHeight="1" x14ac:dyDescent="0.25">
      <c r="A9" s="50"/>
      <c r="B9" s="50"/>
      <c r="C9" s="50"/>
      <c r="D9" s="50"/>
      <c r="E9" s="50"/>
      <c r="F9" s="50"/>
      <c r="G9" s="50"/>
      <c r="H9" s="13"/>
      <c r="I9" s="12"/>
      <c r="J9" s="12"/>
      <c r="K9" s="12"/>
      <c r="L9" s="12"/>
      <c r="M9" s="12"/>
    </row>
    <row r="10" spans="1:13" ht="13.5" customHeight="1" x14ac:dyDescent="0.25">
      <c r="A10" s="50" t="s">
        <v>8</v>
      </c>
      <c r="B10" s="50"/>
      <c r="C10" s="50"/>
      <c r="D10" s="27">
        <v>3</v>
      </c>
      <c r="E10" s="27">
        <f>D10*(1+$H$10)</f>
        <v>2.9849999999999999</v>
      </c>
      <c r="F10" s="27">
        <f>E10*(1+$H$10)</f>
        <v>2.970075</v>
      </c>
      <c r="G10" s="27">
        <f>F10*(1+$H$10)</f>
        <v>2.955224625</v>
      </c>
      <c r="H10" s="13">
        <v>-5.0000000000000001E-3</v>
      </c>
      <c r="I10" s="23" t="s">
        <v>3</v>
      </c>
      <c r="J10" s="12"/>
      <c r="K10" s="12"/>
      <c r="L10" s="12"/>
      <c r="M10" s="12"/>
    </row>
    <row r="11" spans="1:13" ht="13.5" customHeight="1" x14ac:dyDescent="0.25">
      <c r="A11" s="50" t="s">
        <v>9</v>
      </c>
      <c r="B11" s="50"/>
      <c r="C11" s="50"/>
      <c r="D11" s="27">
        <f>365/2</f>
        <v>182.5</v>
      </c>
      <c r="E11" s="27">
        <f>D11*(1+$H$11)</f>
        <v>189.8</v>
      </c>
      <c r="F11" s="27">
        <f>E11*(1+$H$11)</f>
        <v>197.39200000000002</v>
      </c>
      <c r="G11" s="27">
        <f>F11*(1+$H$11)</f>
        <v>205.28768000000002</v>
      </c>
      <c r="H11" s="13">
        <v>0.04</v>
      </c>
      <c r="I11" s="23" t="s">
        <v>3</v>
      </c>
      <c r="J11" s="12"/>
      <c r="K11" s="12"/>
      <c r="L11" s="12"/>
      <c r="M11" s="12"/>
    </row>
    <row r="12" spans="1:13" ht="13.5" customHeight="1" x14ac:dyDescent="0.25">
      <c r="A12" s="50" t="s">
        <v>10</v>
      </c>
      <c r="B12" s="50"/>
      <c r="C12" s="50"/>
      <c r="D12" s="27">
        <v>30</v>
      </c>
      <c r="E12" s="27">
        <f>D12*(1+$H$12)</f>
        <v>29.85</v>
      </c>
      <c r="F12" s="27">
        <f>E12*(1+$H$12)</f>
        <v>29.700750000000003</v>
      </c>
      <c r="G12" s="27">
        <f>F12*(1+$H$12)</f>
        <v>29.552246250000003</v>
      </c>
      <c r="H12" s="23">
        <v>-5.0000000000000001E-3</v>
      </c>
      <c r="I12" s="23" t="s">
        <v>3</v>
      </c>
      <c r="J12" s="12"/>
      <c r="K12" s="12"/>
      <c r="L12" s="12"/>
      <c r="M12" s="12"/>
    </row>
    <row r="13" spans="1:13" ht="13.5" customHeight="1" x14ac:dyDescent="0.25">
      <c r="A13" s="50"/>
      <c r="B13" s="50"/>
      <c r="C13" s="50"/>
      <c r="D13" s="50"/>
      <c r="E13" s="50"/>
      <c r="F13" s="50"/>
      <c r="G13" s="50"/>
      <c r="H13" s="12"/>
      <c r="I13" s="12"/>
      <c r="J13" s="12"/>
      <c r="K13" s="12"/>
      <c r="L13" s="12"/>
      <c r="M13" s="12"/>
    </row>
    <row r="14" spans="1:13" ht="13.5" customHeight="1" x14ac:dyDescent="0.25">
      <c r="A14" s="50"/>
      <c r="B14" s="50"/>
      <c r="C14" s="50"/>
      <c r="D14" s="50"/>
      <c r="E14" s="50"/>
      <c r="F14" s="50"/>
      <c r="G14" s="50"/>
      <c r="H14" s="12"/>
      <c r="I14" s="12"/>
      <c r="J14" s="12"/>
      <c r="K14" s="12"/>
      <c r="L14" s="12"/>
      <c r="M14" s="12"/>
    </row>
    <row r="15" spans="1:13" ht="13.5" customHeight="1" x14ac:dyDescent="0.25">
      <c r="A15" s="15" t="s">
        <v>11</v>
      </c>
      <c r="B15" s="50"/>
      <c r="C15" s="50"/>
      <c r="D15" s="50"/>
      <c r="E15" s="50"/>
      <c r="F15" s="50"/>
      <c r="G15" s="50"/>
      <c r="H15" s="12"/>
      <c r="I15" s="12"/>
      <c r="J15" s="12"/>
      <c r="K15" s="12"/>
      <c r="L15" s="12"/>
      <c r="M15" s="12"/>
    </row>
    <row r="16" spans="1:13" ht="13.5" customHeight="1" x14ac:dyDescent="0.25">
      <c r="A16" s="50" t="s">
        <v>12</v>
      </c>
      <c r="B16" s="50"/>
      <c r="C16" s="50"/>
      <c r="D16" s="50"/>
      <c r="E16" s="50"/>
      <c r="F16" s="50"/>
      <c r="G16" s="50"/>
      <c r="H16" s="12"/>
      <c r="I16" s="12"/>
      <c r="J16" s="12"/>
      <c r="K16" s="12"/>
      <c r="L16" s="12"/>
      <c r="M16" s="12"/>
    </row>
    <row r="17" spans="1:13" ht="13.5" customHeight="1" x14ac:dyDescent="0.25">
      <c r="A17" s="50"/>
      <c r="B17" s="50" t="s">
        <v>13</v>
      </c>
      <c r="C17" s="10"/>
      <c r="D17" s="10">
        <f>D4*D5</f>
        <v>200000</v>
      </c>
      <c r="E17" s="10">
        <f>E4*E5</f>
        <v>171700</v>
      </c>
      <c r="F17" s="10">
        <f>F4*F5</f>
        <v>147404.45000000001</v>
      </c>
      <c r="G17" s="10">
        <f>G4*G5</f>
        <v>126546.72032499999</v>
      </c>
      <c r="H17" s="12"/>
      <c r="I17" s="12"/>
      <c r="J17" s="12"/>
      <c r="K17" s="12"/>
      <c r="L17" s="12"/>
      <c r="M17" s="12"/>
    </row>
    <row r="18" spans="1:13" ht="13.5" customHeight="1" x14ac:dyDescent="0.25">
      <c r="A18" s="50"/>
      <c r="B18" s="50" t="s">
        <v>14</v>
      </c>
      <c r="C18" s="10"/>
      <c r="D18" s="10">
        <f>D7*D8</f>
        <v>60000</v>
      </c>
      <c r="E18" s="10">
        <f>E7*E8</f>
        <v>58140</v>
      </c>
      <c r="F18" s="10">
        <f>F7*F8</f>
        <v>56337.66</v>
      </c>
      <c r="G18" s="10">
        <f>G7*G8</f>
        <v>54591.192540000004</v>
      </c>
      <c r="H18" s="12"/>
      <c r="I18" s="12"/>
      <c r="J18" s="12"/>
      <c r="K18" s="12"/>
      <c r="L18" s="12"/>
      <c r="M18" s="12"/>
    </row>
    <row r="19" spans="1:13" ht="13.5" customHeight="1" x14ac:dyDescent="0.25">
      <c r="A19" s="50"/>
      <c r="B19" s="50"/>
      <c r="C19" s="10"/>
      <c r="D19" s="10"/>
      <c r="E19" s="10"/>
      <c r="F19" s="10"/>
      <c r="G19" s="10"/>
      <c r="H19" s="12"/>
      <c r="I19" s="12"/>
      <c r="J19" s="12"/>
      <c r="K19" s="12"/>
      <c r="L19" s="12"/>
      <c r="M19" s="12"/>
    </row>
    <row r="20" spans="1:13" ht="13.5" customHeight="1" x14ac:dyDescent="0.25">
      <c r="A20" s="50" t="s">
        <v>15</v>
      </c>
      <c r="B20" s="50"/>
      <c r="C20" s="10"/>
      <c r="D20" s="10">
        <f>(D5*D3)+(D6*D8)</f>
        <v>169333.33333333331</v>
      </c>
      <c r="E20" s="10">
        <f>(E5*E3)+(E6*E8)</f>
        <v>149350.66666666669</v>
      </c>
      <c r="F20" s="10">
        <f>(F5*F3)+(F6*F8)</f>
        <v>132072.22933333335</v>
      </c>
      <c r="G20" s="10">
        <f>(G5*G3)+(G6*G8)</f>
        <v>117119.19574066666</v>
      </c>
      <c r="H20" s="12"/>
      <c r="I20" s="12"/>
      <c r="J20" s="12"/>
      <c r="K20" s="12"/>
      <c r="L20" s="12"/>
      <c r="M20" s="12"/>
    </row>
    <row r="21" spans="1:13" ht="13.5" customHeight="1" x14ac:dyDescent="0.25">
      <c r="A21" s="50"/>
      <c r="B21" s="50"/>
      <c r="C21" s="10"/>
      <c r="D21" s="10"/>
      <c r="E21" s="10"/>
      <c r="F21" s="10"/>
      <c r="G21" s="10"/>
      <c r="H21" s="12"/>
      <c r="I21" s="12"/>
      <c r="J21" s="12"/>
      <c r="K21" s="12"/>
      <c r="L21" s="12"/>
      <c r="M21" s="12"/>
    </row>
    <row r="22" spans="1:13" ht="13.5" customHeight="1" x14ac:dyDescent="0.25">
      <c r="A22" s="50" t="s">
        <v>16</v>
      </c>
      <c r="B22" s="50"/>
      <c r="C22" s="10"/>
      <c r="D22" s="10"/>
      <c r="E22" s="10"/>
      <c r="F22" s="10"/>
      <c r="G22" s="10"/>
      <c r="H22" s="12"/>
      <c r="I22" s="12"/>
      <c r="J22" s="12"/>
      <c r="K22" s="12"/>
      <c r="L22" s="12"/>
      <c r="M22" s="12"/>
    </row>
    <row r="23" spans="1:13" ht="13.5" customHeight="1" x14ac:dyDescent="0.25">
      <c r="A23" s="50"/>
      <c r="B23" s="50" t="s">
        <v>17</v>
      </c>
      <c r="C23" s="10"/>
      <c r="D23" s="10">
        <f>(D17+D18)*$H$23</f>
        <v>18200</v>
      </c>
      <c r="E23" s="10">
        <f>(E17+E18)*$H$23</f>
        <v>16088.800000000001</v>
      </c>
      <c r="F23" s="10">
        <f>(F17+F18)*$H$23</f>
        <v>14261.947700000002</v>
      </c>
      <c r="G23" s="10">
        <f>(G17+G18)*$H$23</f>
        <v>12679.65390055</v>
      </c>
      <c r="H23" s="13">
        <v>7.0000000000000007E-2</v>
      </c>
      <c r="I23" s="23" t="s">
        <v>18</v>
      </c>
      <c r="J23" s="12"/>
      <c r="K23" s="12"/>
      <c r="L23" s="12"/>
      <c r="M23" s="12"/>
    </row>
    <row r="24" spans="1:13" ht="13.5" customHeight="1" x14ac:dyDescent="0.25">
      <c r="A24" s="50"/>
      <c r="B24" s="50" t="s">
        <v>19</v>
      </c>
      <c r="C24" s="10"/>
      <c r="D24" s="10">
        <f>(D17+D18)*$H$24</f>
        <v>39000</v>
      </c>
      <c r="E24" s="10">
        <f>(E17+E18)*$H$24</f>
        <v>34476</v>
      </c>
      <c r="F24" s="10">
        <f>(F17+F18)*$H$24</f>
        <v>30561.316500000001</v>
      </c>
      <c r="G24" s="10">
        <f>(G17+G18)*$H$24</f>
        <v>27170.686929749998</v>
      </c>
      <c r="H24" s="13">
        <v>0.15</v>
      </c>
      <c r="I24" s="23" t="s">
        <v>20</v>
      </c>
      <c r="J24" s="12"/>
      <c r="K24" s="12"/>
      <c r="L24" s="12"/>
      <c r="M24" s="12"/>
    </row>
    <row r="25" spans="1:13" ht="13.5" customHeight="1" x14ac:dyDescent="0.25">
      <c r="A25" s="50"/>
      <c r="B25" s="50"/>
      <c r="C25" s="10"/>
      <c r="D25" s="10"/>
      <c r="E25" s="10"/>
      <c r="F25" s="10"/>
      <c r="G25" s="10"/>
      <c r="H25" s="12"/>
      <c r="I25" s="12"/>
      <c r="J25" s="12"/>
      <c r="K25" s="12"/>
      <c r="L25" s="12"/>
      <c r="M25" s="12"/>
    </row>
    <row r="26" spans="1:13" ht="13.5" customHeight="1" x14ac:dyDescent="0.25">
      <c r="A26" s="50" t="s">
        <v>21</v>
      </c>
      <c r="B26" s="50"/>
      <c r="C26" s="10"/>
      <c r="D26" s="10">
        <f>D42/$H$26</f>
        <v>11666.666666666666</v>
      </c>
      <c r="E26" s="10">
        <f>E42/$H$26</f>
        <v>11666.666666666666</v>
      </c>
      <c r="F26" s="10">
        <f>F42/$H$26</f>
        <v>11666.666666666666</v>
      </c>
      <c r="G26" s="10">
        <f>G42/$H$26</f>
        <v>11666.666666666666</v>
      </c>
      <c r="H26" s="23">
        <v>30</v>
      </c>
      <c r="I26" s="23" t="s">
        <v>22</v>
      </c>
      <c r="J26" s="12"/>
      <c r="K26" s="12"/>
      <c r="L26" s="12"/>
      <c r="M26" s="12"/>
    </row>
    <row r="27" spans="1:13" ht="13.5" customHeight="1" x14ac:dyDescent="0.25">
      <c r="A27" s="50" t="s">
        <v>23</v>
      </c>
      <c r="B27" s="50"/>
      <c r="C27" s="10"/>
      <c r="D27" s="10">
        <f>Mortgage!D14</f>
        <v>27139.231920287843</v>
      </c>
      <c r="E27" s="10">
        <f>Mortgage!D28</f>
        <v>25162.319977479125</v>
      </c>
      <c r="F27" s="10">
        <f>Mortgage!D42</f>
        <v>23021.325318415398</v>
      </c>
      <c r="G27" s="10">
        <f>Mortgage!D56</f>
        <v>20702.629158571865</v>
      </c>
      <c r="H27" s="3">
        <v>0.08</v>
      </c>
      <c r="I27" s="23" t="s">
        <v>24</v>
      </c>
      <c r="J27" s="12"/>
      <c r="K27" s="12"/>
      <c r="L27" s="12"/>
      <c r="M27" s="12"/>
    </row>
    <row r="28" spans="1:13" ht="13.5" customHeight="1" x14ac:dyDescent="0.25">
      <c r="A28" s="50" t="s">
        <v>25</v>
      </c>
      <c r="B28" s="50"/>
      <c r="C28" s="10"/>
      <c r="D28" s="10">
        <f>$H$28*D52</f>
        <v>0</v>
      </c>
      <c r="E28" s="10">
        <f>$H$28*E52</f>
        <v>0</v>
      </c>
      <c r="F28" s="10">
        <f>$H$28*F52</f>
        <v>1105.94</v>
      </c>
      <c r="G28" s="10">
        <f>$H$28*G52</f>
        <v>5604.5</v>
      </c>
      <c r="H28" s="13">
        <v>0.11</v>
      </c>
      <c r="I28" s="23" t="s">
        <v>26</v>
      </c>
      <c r="J28" s="12"/>
      <c r="K28" s="12"/>
      <c r="L28" s="12"/>
      <c r="M28" s="12"/>
    </row>
    <row r="29" spans="1:13" ht="13.5" customHeight="1" x14ac:dyDescent="0.25">
      <c r="A29" s="50"/>
      <c r="B29" s="50"/>
      <c r="C29" s="10"/>
      <c r="D29" s="10"/>
      <c r="E29" s="10"/>
      <c r="F29" s="10"/>
      <c r="G29" s="10"/>
      <c r="H29" s="13"/>
      <c r="I29" s="12"/>
      <c r="J29" s="12"/>
      <c r="K29" s="12"/>
      <c r="L29" s="12"/>
      <c r="M29" s="12"/>
    </row>
    <row r="30" spans="1:13" ht="13.5" customHeight="1" x14ac:dyDescent="0.25">
      <c r="A30" s="50" t="s">
        <v>27</v>
      </c>
      <c r="B30" s="50"/>
      <c r="C30" s="10"/>
      <c r="D30" s="10">
        <f>SUM(D17:D18)-SUM(D20:D28)</f>
        <v>-5339.231920287828</v>
      </c>
      <c r="E30" s="10">
        <f>SUM(E17:E18)-SUM(E20:E28)</f>
        <v>-6904.4533108124451</v>
      </c>
      <c r="F30" s="10">
        <f>SUM(F17:F18)-SUM(F20:F28)</f>
        <v>-8947.3155184153875</v>
      </c>
      <c r="G30" s="10">
        <f>SUM(G17:G18)-SUM(G20:G28)</f>
        <v>-13805.419531205174</v>
      </c>
      <c r="H30" s="13"/>
      <c r="I30" s="12"/>
      <c r="J30" s="12"/>
      <c r="K30" s="12"/>
      <c r="L30" s="12"/>
      <c r="M30" s="12"/>
    </row>
    <row r="31" spans="1:13" ht="13.5" customHeight="1" x14ac:dyDescent="0.25">
      <c r="A31" s="50" t="s">
        <v>28</v>
      </c>
      <c r="B31" s="50"/>
      <c r="C31" s="10"/>
      <c r="D31" s="10">
        <f>IF((D30&lt;0),0,(D30*$H$31))</f>
        <v>0</v>
      </c>
      <c r="E31" s="10">
        <f>IF((E30&lt;0),0,(E30*$H$31))</f>
        <v>0</v>
      </c>
      <c r="F31" s="10">
        <f>IF((F30&lt;0),0,(F30*$H$31))</f>
        <v>0</v>
      </c>
      <c r="G31" s="10">
        <f>IF((G30&lt;0),0,(G30*$H$31))</f>
        <v>0</v>
      </c>
      <c r="H31" s="13">
        <v>0.2</v>
      </c>
      <c r="I31" s="23" t="s">
        <v>29</v>
      </c>
      <c r="J31" s="12"/>
      <c r="K31" s="12"/>
      <c r="L31" s="12"/>
      <c r="M31" s="12"/>
    </row>
    <row r="32" spans="1:13" ht="13.5" customHeight="1" x14ac:dyDescent="0.25">
      <c r="A32" s="50" t="s">
        <v>30</v>
      </c>
      <c r="B32" s="50"/>
      <c r="C32" s="10"/>
      <c r="D32" s="10">
        <f>D30-D31</f>
        <v>-5339.231920287828</v>
      </c>
      <c r="E32" s="10">
        <f>E30-E31</f>
        <v>-6904.4533108124451</v>
      </c>
      <c r="F32" s="10">
        <f>F30-F31</f>
        <v>-8947.3155184153875</v>
      </c>
      <c r="G32" s="10">
        <f>G30-G31</f>
        <v>-13805.419531205174</v>
      </c>
      <c r="H32" s="12"/>
      <c r="I32" s="12"/>
      <c r="J32" s="12"/>
      <c r="K32" s="12"/>
      <c r="L32" s="12"/>
      <c r="M32" s="12"/>
    </row>
    <row r="33" spans="1:13" ht="13.5" customHeight="1" x14ac:dyDescent="0.25">
      <c r="A33" s="50"/>
      <c r="B33" s="50"/>
      <c r="C33" s="10"/>
      <c r="D33" s="10"/>
      <c r="E33" s="10"/>
      <c r="F33" s="10"/>
      <c r="G33" s="10"/>
      <c r="H33" s="12"/>
      <c r="I33" s="12"/>
      <c r="J33" s="12"/>
      <c r="K33" s="12"/>
      <c r="L33" s="12"/>
      <c r="M33" s="12"/>
    </row>
    <row r="34" spans="1:13" ht="13.5" customHeight="1" x14ac:dyDescent="0.25">
      <c r="A34" s="15" t="s">
        <v>31</v>
      </c>
      <c r="B34" s="50"/>
      <c r="C34" s="10"/>
      <c r="D34" s="10"/>
      <c r="E34" s="10"/>
      <c r="F34" s="10"/>
      <c r="G34" s="10"/>
      <c r="H34" s="12"/>
      <c r="I34" s="12"/>
      <c r="J34" s="12"/>
      <c r="K34" s="12"/>
      <c r="L34" s="12"/>
      <c r="M34" s="12"/>
    </row>
    <row r="35" spans="1:13" ht="13.5" customHeight="1" x14ac:dyDescent="0.25">
      <c r="A35" s="50" t="s">
        <v>32</v>
      </c>
      <c r="B35" s="50"/>
      <c r="C35" s="10"/>
      <c r="D35" s="10"/>
      <c r="E35" s="10"/>
      <c r="F35" s="10"/>
      <c r="G35" s="10"/>
      <c r="H35" s="12"/>
      <c r="I35" s="12"/>
      <c r="J35" s="12"/>
      <c r="K35" s="12" t="s">
        <v>136</v>
      </c>
      <c r="L35" s="12" t="s">
        <v>137</v>
      </c>
      <c r="M35" s="12"/>
    </row>
    <row r="36" spans="1:13" ht="13.5" customHeight="1" x14ac:dyDescent="0.25">
      <c r="A36" s="50" t="s">
        <v>33</v>
      </c>
      <c r="B36" s="50"/>
      <c r="C36" s="10"/>
      <c r="D36" s="10">
        <v>1200</v>
      </c>
      <c r="E36" s="10">
        <f>D36</f>
        <v>1200</v>
      </c>
      <c r="F36" s="10">
        <f>E36</f>
        <v>1200</v>
      </c>
      <c r="G36" s="10">
        <f>F36</f>
        <v>1200</v>
      </c>
      <c r="H36" s="12"/>
      <c r="I36" s="12"/>
      <c r="J36" s="12"/>
      <c r="K36" s="12">
        <v>1200</v>
      </c>
      <c r="L36" s="12"/>
      <c r="M36" s="12"/>
    </row>
    <row r="37" spans="1:13" ht="13.5" customHeight="1" x14ac:dyDescent="0.25">
      <c r="A37" s="50" t="s">
        <v>34</v>
      </c>
      <c r="B37" s="50"/>
      <c r="C37" s="10"/>
      <c r="D37" s="10">
        <v>48215</v>
      </c>
      <c r="E37" s="10">
        <v>22161</v>
      </c>
      <c r="F37" s="10"/>
      <c r="G37" s="10"/>
      <c r="H37" s="12"/>
      <c r="I37" s="12"/>
      <c r="J37" s="12"/>
      <c r="K37" s="12"/>
      <c r="L37" s="12"/>
      <c r="M37" s="12"/>
    </row>
    <row r="38" spans="1:13" ht="13.5" customHeight="1" x14ac:dyDescent="0.25">
      <c r="A38" s="50" t="s">
        <v>35</v>
      </c>
      <c r="B38" s="50"/>
      <c r="C38" s="10"/>
      <c r="D38" s="10">
        <f>((D17+D18)/365)*D10</f>
        <v>2136.9863013698632</v>
      </c>
      <c r="E38" s="10">
        <f>(E17/365)*E10</f>
        <v>1404.1767123287671</v>
      </c>
      <c r="F38" s="10">
        <f>(F17/365)*F10</f>
        <v>1199.4582789965755</v>
      </c>
      <c r="G38" s="10">
        <f>(G17/365)*G10</f>
        <v>1024.586257855967</v>
      </c>
      <c r="H38" s="12"/>
      <c r="I38" s="12"/>
      <c r="J38" s="12"/>
      <c r="K38" s="12">
        <v>0</v>
      </c>
      <c r="L38" s="12"/>
      <c r="M38" s="12"/>
    </row>
    <row r="39" spans="1:13" ht="13.5" customHeight="1" x14ac:dyDescent="0.25">
      <c r="A39" s="50" t="s">
        <v>36</v>
      </c>
      <c r="B39" s="50"/>
      <c r="C39" s="10"/>
      <c r="D39" s="10">
        <f>(D20/365)*D11</f>
        <v>84666.666666666657</v>
      </c>
      <c r="E39" s="10">
        <f>(E20/365)*E11</f>
        <v>77662.346666666679</v>
      </c>
      <c r="F39" s="10">
        <f>(F20/365)*F11</f>
        <v>71424.661623466687</v>
      </c>
      <c r="G39" s="10">
        <f>(G20/365)*G11</f>
        <v>65871.583498814638</v>
      </c>
      <c r="H39" s="12"/>
      <c r="I39" s="12"/>
      <c r="J39" s="12"/>
      <c r="K39" s="12">
        <v>0</v>
      </c>
      <c r="L39" s="12"/>
      <c r="M39" s="12"/>
    </row>
    <row r="40" spans="1:13" ht="13.5" customHeight="1" x14ac:dyDescent="0.25">
      <c r="A40" s="50"/>
      <c r="B40" s="50"/>
      <c r="C40" s="10"/>
      <c r="D40" s="10"/>
      <c r="E40" s="10"/>
      <c r="F40" s="10"/>
      <c r="G40" s="10"/>
      <c r="H40" s="12"/>
      <c r="I40" s="12"/>
      <c r="J40" s="12"/>
      <c r="K40" s="12"/>
      <c r="L40" s="12"/>
      <c r="M40" s="12"/>
    </row>
    <row r="41" spans="1:13" ht="13.5" customHeight="1" x14ac:dyDescent="0.25">
      <c r="A41" s="50" t="s">
        <v>37</v>
      </c>
      <c r="B41" s="50"/>
      <c r="C41" s="10"/>
      <c r="D41" s="10">
        <v>50000</v>
      </c>
      <c r="E41" s="10">
        <f>D41</f>
        <v>50000</v>
      </c>
      <c r="F41" s="10">
        <f>E41</f>
        <v>50000</v>
      </c>
      <c r="G41" s="10">
        <f>F41</f>
        <v>50000</v>
      </c>
      <c r="H41" s="23">
        <v>50000</v>
      </c>
      <c r="I41" s="12"/>
      <c r="J41" s="12"/>
      <c r="K41" s="12">
        <v>40000</v>
      </c>
      <c r="L41" s="12"/>
      <c r="M41" s="12"/>
    </row>
    <row r="42" spans="1:13" ht="13.5" customHeight="1" x14ac:dyDescent="0.25">
      <c r="A42" s="50" t="s">
        <v>38</v>
      </c>
      <c r="B42" s="50"/>
      <c r="C42" s="10"/>
      <c r="D42" s="10">
        <f>$H$42</f>
        <v>350000</v>
      </c>
      <c r="E42" s="10">
        <f>$H$42</f>
        <v>350000</v>
      </c>
      <c r="F42" s="10">
        <f>$H$42</f>
        <v>350000</v>
      </c>
      <c r="G42" s="10">
        <f>$H$42</f>
        <v>350000</v>
      </c>
      <c r="H42" s="23">
        <v>350000</v>
      </c>
      <c r="I42" s="23" t="s">
        <v>39</v>
      </c>
      <c r="J42" s="12"/>
      <c r="K42" s="12">
        <f>(300000-K41)-K36</f>
        <v>258800</v>
      </c>
      <c r="L42" s="12"/>
      <c r="M42" s="12"/>
    </row>
    <row r="43" spans="1:13" ht="13.5" customHeight="1" x14ac:dyDescent="0.25">
      <c r="A43" s="50" t="s">
        <v>40</v>
      </c>
      <c r="B43" s="50"/>
      <c r="C43" s="10"/>
      <c r="D43" s="10">
        <f>C43+D26</f>
        <v>11666.666666666666</v>
      </c>
      <c r="E43" s="10">
        <f>D43+E26</f>
        <v>23333.333333333332</v>
      </c>
      <c r="F43" s="10">
        <f>E43+F26</f>
        <v>35000</v>
      </c>
      <c r="G43" s="10">
        <f>F43+G26</f>
        <v>46666.666666666664</v>
      </c>
      <c r="H43" s="12"/>
      <c r="I43" s="12"/>
      <c r="J43" s="12"/>
      <c r="K43" s="12"/>
      <c r="L43" s="12"/>
      <c r="M43" s="12"/>
    </row>
    <row r="44" spans="1:13" ht="13.5" customHeight="1" x14ac:dyDescent="0.25">
      <c r="A44" s="50"/>
      <c r="B44" s="50"/>
      <c r="C44" s="10"/>
      <c r="D44" s="10"/>
      <c r="E44" s="10"/>
      <c r="F44" s="10"/>
      <c r="G44" s="10"/>
      <c r="H44" s="23" t="s">
        <v>41</v>
      </c>
      <c r="I44" s="12"/>
      <c r="J44" s="12"/>
      <c r="K44" s="12"/>
      <c r="L44" s="12"/>
      <c r="M44" s="12"/>
    </row>
    <row r="45" spans="1:13" ht="13.5" customHeight="1" x14ac:dyDescent="0.25">
      <c r="A45" s="50" t="s">
        <v>43</v>
      </c>
      <c r="B45" s="50"/>
      <c r="C45" s="10"/>
      <c r="D45" s="10">
        <f>SUM(D36:D42)-D43</f>
        <v>524551.98630136985</v>
      </c>
      <c r="E45" s="10">
        <f>SUM(E36:E42)-E43</f>
        <v>479094.19004566217</v>
      </c>
      <c r="F45" s="10">
        <f>SUM(F36:F42)-F43</f>
        <v>438824.11990246328</v>
      </c>
      <c r="G45" s="10">
        <f>SUM(G36:G42)-G43</f>
        <v>421429.50309000391</v>
      </c>
      <c r="H45" s="23" t="s">
        <v>44</v>
      </c>
      <c r="I45" s="23">
        <v>1.97</v>
      </c>
      <c r="J45" s="12"/>
      <c r="K45" s="12"/>
      <c r="L45" s="12"/>
      <c r="M45" s="12"/>
    </row>
    <row r="46" spans="1:13" ht="13.5" customHeight="1" x14ac:dyDescent="0.25">
      <c r="A46" s="50"/>
      <c r="B46" s="50"/>
      <c r="C46" s="10"/>
      <c r="D46" s="10"/>
      <c r="E46" s="10"/>
      <c r="F46" s="10"/>
      <c r="G46" s="10"/>
      <c r="H46" s="23" t="s">
        <v>45</v>
      </c>
      <c r="I46" s="1">
        <f>0.0013*52</f>
        <v>6.7599999999999993E-2</v>
      </c>
      <c r="J46" s="12"/>
      <c r="K46" s="12"/>
      <c r="L46" s="12"/>
      <c r="M46" s="12"/>
    </row>
    <row r="47" spans="1:13" ht="13.5" customHeight="1" x14ac:dyDescent="0.25">
      <c r="A47" s="50" t="s">
        <v>47</v>
      </c>
      <c r="B47" s="50"/>
      <c r="C47" s="10"/>
      <c r="D47" s="10"/>
      <c r="E47" s="10"/>
      <c r="F47" s="10"/>
      <c r="G47" s="10"/>
      <c r="H47" s="23" t="s">
        <v>48</v>
      </c>
      <c r="I47" s="3">
        <v>0.19</v>
      </c>
      <c r="J47" s="12"/>
      <c r="K47" s="12"/>
      <c r="L47" s="12"/>
      <c r="M47" s="12"/>
    </row>
    <row r="48" spans="1:13" ht="13.5" customHeight="1" x14ac:dyDescent="0.25">
      <c r="A48" s="50" t="s">
        <v>49</v>
      </c>
      <c r="B48" s="50"/>
      <c r="C48" s="10"/>
      <c r="D48" s="10">
        <f>(D20/365)*D12</f>
        <v>13917.80821917808</v>
      </c>
      <c r="E48" s="10">
        <f>(E20/365)*E12</f>
        <v>12214.020273972605</v>
      </c>
      <c r="F48" s="10">
        <f>(F20/365)*F12</f>
        <v>10746.970590060277</v>
      </c>
      <c r="G48" s="10">
        <f>(G20/365)*G12</f>
        <v>9482.5625017263901</v>
      </c>
      <c r="H48" s="23" t="s">
        <v>50</v>
      </c>
      <c r="I48" s="1">
        <f>(I45*(I47-I46))+I46</f>
        <v>0.308728</v>
      </c>
      <c r="J48" s="12"/>
      <c r="K48" s="12"/>
      <c r="L48" s="12"/>
      <c r="M48" s="12"/>
    </row>
    <row r="49" spans="1:13" ht="13.5" customHeight="1" x14ac:dyDescent="0.25">
      <c r="A49" s="50" t="s">
        <v>51</v>
      </c>
      <c r="B49" s="50"/>
      <c r="C49" s="10"/>
      <c r="D49" s="10">
        <f>D31</f>
        <v>0</v>
      </c>
      <c r="E49" s="10">
        <f>E31</f>
        <v>0</v>
      </c>
      <c r="F49" s="10">
        <f>F31</f>
        <v>0</v>
      </c>
      <c r="G49" s="10">
        <f>G31</f>
        <v>0</v>
      </c>
      <c r="H49" s="12"/>
      <c r="I49" s="12"/>
      <c r="J49" s="12"/>
      <c r="K49" s="12"/>
      <c r="L49" s="12"/>
      <c r="M49" s="12"/>
    </row>
    <row r="50" spans="1:13" ht="13.5" customHeight="1" x14ac:dyDescent="0.25">
      <c r="A50" s="50"/>
      <c r="B50" s="50"/>
      <c r="C50" s="10"/>
      <c r="D50" s="10"/>
      <c r="E50" s="10"/>
      <c r="F50" s="10"/>
      <c r="G50" s="10"/>
      <c r="H50" s="23" t="s">
        <v>52</v>
      </c>
      <c r="I50" s="23" t="s">
        <v>53</v>
      </c>
      <c r="J50" s="23" t="s">
        <v>54</v>
      </c>
      <c r="K50" s="23" t="s">
        <v>55</v>
      </c>
      <c r="L50" s="12" t="s">
        <v>56</v>
      </c>
      <c r="M50" s="12"/>
    </row>
    <row r="51" spans="1:13" ht="13.5" customHeight="1" x14ac:dyDescent="0.25">
      <c r="A51" s="50" t="s">
        <v>57</v>
      </c>
      <c r="B51" s="50"/>
      <c r="C51" s="10"/>
      <c r="D51" s="10">
        <f>'Bad Mortgage'!F13</f>
        <v>465973.77470148279</v>
      </c>
      <c r="E51" s="10">
        <f>'Bad Mortgage'!F27</f>
        <v>429123.38948466734</v>
      </c>
      <c r="F51" s="10">
        <f>'Bad Mortgage'!F41</f>
        <v>389214.44046918943</v>
      </c>
      <c r="G51" s="10">
        <f>'Bad Mortgage'!F55</f>
        <v>345993.06836822076</v>
      </c>
      <c r="H51" s="31">
        <f>AVERAGE(D51:G51)</f>
        <v>407576.16825589002</v>
      </c>
      <c r="I51" s="3">
        <f>H51/$H$57</f>
        <v>0.86785623234875753</v>
      </c>
      <c r="J51" s="3">
        <f>H27</f>
        <v>0.08</v>
      </c>
      <c r="K51" s="1">
        <f>J51*(1-H31)</f>
        <v>6.4000000000000001E-2</v>
      </c>
      <c r="L51" s="51">
        <f>K51*I51</f>
        <v>5.554279887032048E-2</v>
      </c>
      <c r="M51" s="12"/>
    </row>
    <row r="52" spans="1:13" ht="13.5" customHeight="1" x14ac:dyDescent="0.25">
      <c r="A52" s="50" t="s">
        <v>58</v>
      </c>
      <c r="B52" s="50"/>
      <c r="C52" s="10"/>
      <c r="D52" s="10"/>
      <c r="E52" s="10"/>
      <c r="F52" s="10">
        <v>10054</v>
      </c>
      <c r="G52" s="10">
        <v>50950</v>
      </c>
      <c r="H52" s="31">
        <f>AVERAGE(D52:G52)</f>
        <v>30502</v>
      </c>
      <c r="I52" s="3">
        <f>H52/$H$57</f>
        <v>6.494823019799871E-2</v>
      </c>
      <c r="J52" s="13">
        <f>H28</f>
        <v>0.11</v>
      </c>
      <c r="K52" s="1">
        <f>J52*(1-H31)</f>
        <v>8.8000000000000009E-2</v>
      </c>
      <c r="L52" s="51">
        <f>K52*I52</f>
        <v>5.715444257423887E-3</v>
      </c>
      <c r="M52" s="12"/>
    </row>
    <row r="53" spans="1:13" ht="13.5" customHeight="1" x14ac:dyDescent="0.25">
      <c r="A53" s="50"/>
      <c r="B53" s="50"/>
      <c r="C53" s="10"/>
      <c r="D53" s="10"/>
      <c r="E53" s="10"/>
      <c r="F53" s="10"/>
      <c r="G53" s="10"/>
      <c r="H53" s="12"/>
      <c r="I53" s="12"/>
      <c r="J53" s="12"/>
      <c r="K53" s="12"/>
      <c r="L53" s="12"/>
      <c r="M53" s="12"/>
    </row>
    <row r="54" spans="1:13" ht="13.5" customHeight="1" x14ac:dyDescent="0.25">
      <c r="A54" s="50" t="s">
        <v>59</v>
      </c>
      <c r="B54" s="50"/>
      <c r="C54" s="10"/>
      <c r="D54" s="10">
        <v>50000</v>
      </c>
      <c r="E54" s="10">
        <f>D54</f>
        <v>50000</v>
      </c>
      <c r="F54" s="10">
        <f>E54</f>
        <v>50000</v>
      </c>
      <c r="G54" s="10">
        <f>F54</f>
        <v>50000</v>
      </c>
      <c r="H54" s="31">
        <f>AVERAGE(D54:G54)</f>
        <v>50000</v>
      </c>
      <c r="I54" s="3">
        <f>SUM(H54:H55)/H57</f>
        <v>6.7195537453243845E-2</v>
      </c>
      <c r="J54" s="1">
        <f>I48</f>
        <v>0.308728</v>
      </c>
      <c r="K54" s="1">
        <f>J54</f>
        <v>0.308728</v>
      </c>
      <c r="L54" s="51">
        <f>K54*I54</f>
        <v>2.0745143886865065E-2</v>
      </c>
      <c r="M54" s="12"/>
    </row>
    <row r="55" spans="1:13" ht="13.5" customHeight="1" x14ac:dyDescent="0.25">
      <c r="A55" s="50" t="s">
        <v>60</v>
      </c>
      <c r="B55" s="50"/>
      <c r="C55" s="10"/>
      <c r="D55" s="10">
        <f>C55+D32</f>
        <v>-5339.231920287828</v>
      </c>
      <c r="E55" s="10">
        <f>D55+E32</f>
        <v>-12243.685231100273</v>
      </c>
      <c r="F55" s="10">
        <f>E55+F32</f>
        <v>-21191.000749515661</v>
      </c>
      <c r="G55" s="10">
        <f>F55+G32</f>
        <v>-34996.420280720835</v>
      </c>
      <c r="H55" s="31">
        <f>AVERAGE(D55:G55)</f>
        <v>-18442.584545406149</v>
      </c>
      <c r="I55" s="12"/>
      <c r="J55" s="12"/>
      <c r="K55" s="12"/>
      <c r="L55" s="12"/>
      <c r="M55" s="12"/>
    </row>
    <row r="56" spans="1:13" ht="13.5" customHeight="1" x14ac:dyDescent="0.25">
      <c r="A56" s="50"/>
      <c r="B56" s="50"/>
      <c r="C56" s="50"/>
      <c r="D56" s="10"/>
      <c r="E56" s="10"/>
      <c r="F56" s="10"/>
      <c r="G56" s="10"/>
      <c r="H56" s="12"/>
      <c r="I56" s="12"/>
      <c r="J56" s="12"/>
      <c r="K56" s="12"/>
      <c r="L56" s="12"/>
      <c r="M56" s="12"/>
    </row>
    <row r="57" spans="1:13" ht="13.5" customHeight="1" x14ac:dyDescent="0.25">
      <c r="A57" s="50" t="s">
        <v>61</v>
      </c>
      <c r="B57" s="50"/>
      <c r="C57" s="50"/>
      <c r="D57" s="10">
        <f>SUM(D48:D55)</f>
        <v>524552.35100037302</v>
      </c>
      <c r="E57" s="10">
        <f>SUM(E48:E55)</f>
        <v>479093.72452753969</v>
      </c>
      <c r="F57" s="10">
        <f>SUM(F48:F55)</f>
        <v>438824.41030973406</v>
      </c>
      <c r="G57" s="10">
        <f>SUM(G48:G55)</f>
        <v>421429.21058922634</v>
      </c>
      <c r="H57" s="19">
        <f>SUM(H51:H55)</f>
        <v>469635.58371048386</v>
      </c>
      <c r="I57" s="12"/>
      <c r="J57" s="12"/>
      <c r="K57" s="12"/>
      <c r="L57" s="51">
        <f>SUM(L51:L54)</f>
        <v>8.2003387014609436E-2</v>
      </c>
      <c r="M57" s="12" t="s">
        <v>62</v>
      </c>
    </row>
    <row r="58" spans="1:13" ht="13.5" customHeight="1" x14ac:dyDescent="0.25">
      <c r="A58" s="23" t="s">
        <v>63</v>
      </c>
      <c r="B58" s="6"/>
      <c r="C58" s="6"/>
      <c r="D58" s="34">
        <f>D45-D57</f>
        <v>-0.3646990031702444</v>
      </c>
      <c r="E58" s="34">
        <f>E45-E57</f>
        <v>0.46551812248071656</v>
      </c>
      <c r="F58" s="34">
        <f>F45-F57</f>
        <v>-0.29040727077517658</v>
      </c>
      <c r="G58" s="34">
        <f>G45-G57</f>
        <v>0.29250077757751569</v>
      </c>
      <c r="H58" s="6"/>
      <c r="I58" s="6"/>
      <c r="J58" s="6"/>
      <c r="K58" s="6"/>
      <c r="L58" s="12"/>
      <c r="M58" s="12"/>
    </row>
    <row r="59" spans="1:13" ht="13.5" customHeight="1" x14ac:dyDescent="0.25">
      <c r="A59" s="41" t="s">
        <v>64</v>
      </c>
      <c r="B59" s="18"/>
      <c r="C59" s="18"/>
      <c r="D59" s="18"/>
      <c r="E59" s="18"/>
      <c r="F59" s="18"/>
      <c r="G59" s="18"/>
      <c r="H59" s="6"/>
      <c r="I59" s="6"/>
      <c r="J59" s="6"/>
      <c r="K59" s="6"/>
      <c r="L59" s="12"/>
      <c r="M59" s="12"/>
    </row>
    <row r="60" spans="1:13" ht="13.5" customHeight="1" x14ac:dyDescent="0.25">
      <c r="A60" s="18"/>
      <c r="B60" s="18"/>
      <c r="C60" s="18"/>
      <c r="D60" s="18"/>
      <c r="E60" s="18"/>
      <c r="F60" s="18"/>
      <c r="G60" s="18"/>
      <c r="H60" s="6" t="s">
        <v>42</v>
      </c>
      <c r="I60" s="6">
        <f>I45</f>
        <v>1.97</v>
      </c>
      <c r="J60" s="6"/>
      <c r="K60" s="6"/>
      <c r="L60" s="12"/>
      <c r="M60" s="12"/>
    </row>
    <row r="61" spans="1:13" ht="13.5" customHeight="1" x14ac:dyDescent="0.25">
      <c r="A61" s="41" t="s">
        <v>65</v>
      </c>
      <c r="B61" s="18"/>
      <c r="C61" s="18"/>
      <c r="D61" s="18"/>
      <c r="E61" s="18"/>
      <c r="F61" s="18"/>
      <c r="G61" s="18"/>
      <c r="H61" s="6" t="s">
        <v>29</v>
      </c>
      <c r="I61" s="6">
        <f>H31</f>
        <v>0.2</v>
      </c>
      <c r="J61" s="6"/>
      <c r="K61" s="6"/>
      <c r="L61" s="12"/>
      <c r="M61" s="12"/>
    </row>
    <row r="62" spans="1:13" ht="13.5" customHeight="1" x14ac:dyDescent="0.25">
      <c r="A62" s="18"/>
      <c r="B62" s="18" t="s">
        <v>66</v>
      </c>
      <c r="C62" s="18"/>
      <c r="D62" s="29">
        <f>SUM(D17:D18)-SUM(D20:D24)</f>
        <v>33466.666666666686</v>
      </c>
      <c r="E62" s="29">
        <f>SUM(E17:E18)-SUM(E20:E24)</f>
        <v>29924.533333333326</v>
      </c>
      <c r="F62" s="29">
        <f>SUM(F17:F18)-SUM(F20:F24)</f>
        <v>26846.616466666659</v>
      </c>
      <c r="G62" s="29">
        <f>SUM(G17:G18)-SUM(G20:G24)</f>
        <v>24168.37629403334</v>
      </c>
      <c r="H62" s="6" t="s">
        <v>46</v>
      </c>
      <c r="I62" s="6">
        <f>I60*(1+((1-I61)*((I51+I52)/I54)))</f>
        <v>23.847938456800293</v>
      </c>
      <c r="J62" s="6"/>
      <c r="K62" s="6"/>
      <c r="L62" s="12"/>
      <c r="M62" s="12"/>
    </row>
    <row r="63" spans="1:13" ht="13.5" customHeight="1" x14ac:dyDescent="0.25">
      <c r="A63" s="18"/>
      <c r="B63" s="18" t="s">
        <v>67</v>
      </c>
      <c r="C63" s="18"/>
      <c r="D63" s="29">
        <f>D26</f>
        <v>11666.666666666666</v>
      </c>
      <c r="E63" s="29">
        <f>E26</f>
        <v>11666.666666666666</v>
      </c>
      <c r="F63" s="29">
        <f>F26</f>
        <v>11666.666666666666</v>
      </c>
      <c r="G63" s="29">
        <f>G26</f>
        <v>11666.666666666666</v>
      </c>
      <c r="H63" s="6"/>
      <c r="I63" s="6"/>
      <c r="J63" s="6"/>
      <c r="K63" s="6"/>
      <c r="L63" s="12"/>
      <c r="M63" s="12"/>
    </row>
    <row r="64" spans="1:13" ht="13.5" customHeight="1" x14ac:dyDescent="0.25">
      <c r="A64" s="18"/>
      <c r="B64" s="18" t="s">
        <v>68</v>
      </c>
      <c r="C64" s="18"/>
      <c r="D64" s="29">
        <f>D62-D63</f>
        <v>21800.000000000022</v>
      </c>
      <c r="E64" s="29">
        <f>E62-E63</f>
        <v>18257.866666666661</v>
      </c>
      <c r="F64" s="29">
        <f>F62-F63</f>
        <v>15179.949799999993</v>
      </c>
      <c r="G64" s="29">
        <f>G62-G63</f>
        <v>12501.709627366674</v>
      </c>
      <c r="H64" s="6"/>
      <c r="I64" s="6"/>
      <c r="J64" s="6"/>
      <c r="K64" s="6"/>
      <c r="L64" s="12"/>
      <c r="M64" s="12"/>
    </row>
    <row r="65" spans="1:13" ht="13.5" customHeight="1" x14ac:dyDescent="0.25">
      <c r="A65" s="18"/>
      <c r="B65" s="18" t="s">
        <v>69</v>
      </c>
      <c r="C65" s="18"/>
      <c r="D65" s="29">
        <f>D64*$H$31</f>
        <v>4360.0000000000045</v>
      </c>
      <c r="E65" s="29">
        <f>E64*$H$31</f>
        <v>3651.5733333333324</v>
      </c>
      <c r="F65" s="29">
        <f>F64*$H$31</f>
        <v>3035.989959999999</v>
      </c>
      <c r="G65" s="29">
        <f>G64*$H$31</f>
        <v>2500.3419254733349</v>
      </c>
      <c r="H65" s="6"/>
      <c r="I65" s="6"/>
      <c r="J65" s="6"/>
      <c r="K65" s="6"/>
      <c r="L65" s="12"/>
      <c r="M65" s="12"/>
    </row>
    <row r="66" spans="1:13" ht="13.5" customHeight="1" x14ac:dyDescent="0.25">
      <c r="A66" s="18"/>
      <c r="B66" s="18" t="s">
        <v>70</v>
      </c>
      <c r="C66" s="22"/>
      <c r="D66" s="47">
        <f>D63</f>
        <v>11666.666666666666</v>
      </c>
      <c r="E66" s="47">
        <f>E63</f>
        <v>11666.666666666666</v>
      </c>
      <c r="F66" s="47">
        <f>F63</f>
        <v>11666.666666666666</v>
      </c>
      <c r="G66" s="47">
        <f>G63</f>
        <v>11666.666666666666</v>
      </c>
      <c r="H66" s="6"/>
      <c r="I66" s="6"/>
      <c r="J66" s="6"/>
      <c r="K66" s="6"/>
      <c r="L66" s="12"/>
      <c r="M66" s="12"/>
    </row>
    <row r="67" spans="1:13" ht="13.5" customHeight="1" x14ac:dyDescent="0.25">
      <c r="A67" s="18"/>
      <c r="B67" s="37" t="s">
        <v>71</v>
      </c>
      <c r="C67" s="5"/>
      <c r="D67" s="21">
        <f>(D64-D65)+D66</f>
        <v>29106.666666666686</v>
      </c>
      <c r="E67" s="21">
        <f>(E64-E65)+E66</f>
        <v>26272.959999999995</v>
      </c>
      <c r="F67" s="21">
        <f>(F64-F65)+F66</f>
        <v>23810.62650666666</v>
      </c>
      <c r="G67" s="21">
        <f>(G64-G65)+G66</f>
        <v>21668.034368560006</v>
      </c>
      <c r="H67" s="35"/>
      <c r="I67" s="6"/>
      <c r="J67" s="6"/>
      <c r="K67" s="6"/>
      <c r="L67" s="12"/>
      <c r="M67" s="12"/>
    </row>
    <row r="68" spans="1:13" ht="13.5" customHeight="1" x14ac:dyDescent="0.25">
      <c r="A68" s="18"/>
      <c r="B68" s="18"/>
      <c r="C68" s="32"/>
      <c r="D68" s="32"/>
      <c r="E68" s="32"/>
      <c r="F68" s="32"/>
      <c r="G68" s="32"/>
      <c r="H68" s="6"/>
      <c r="I68" s="6"/>
      <c r="J68" s="6"/>
      <c r="K68" s="6"/>
      <c r="L68" s="12"/>
      <c r="M68" s="12"/>
    </row>
    <row r="69" spans="1:13" ht="13.5" customHeight="1" x14ac:dyDescent="0.25">
      <c r="A69" s="41" t="s">
        <v>72</v>
      </c>
      <c r="B69" s="18"/>
      <c r="C69" s="18"/>
      <c r="D69" s="18"/>
      <c r="E69" s="18"/>
      <c r="F69" s="18"/>
      <c r="G69" s="18"/>
      <c r="H69" s="6" t="s">
        <v>73</v>
      </c>
      <c r="I69" s="24" t="e">
        <f>#REF!</f>
        <v>#REF!</v>
      </c>
      <c r="J69" s="6"/>
      <c r="K69" s="6"/>
      <c r="L69" s="12"/>
      <c r="M69" s="12"/>
    </row>
    <row r="70" spans="1:13" ht="13.5" customHeight="1" x14ac:dyDescent="0.25">
      <c r="A70" s="18"/>
      <c r="B70" s="18" t="s">
        <v>74</v>
      </c>
      <c r="C70" s="29">
        <f>-D42</f>
        <v>-350000</v>
      </c>
      <c r="D70" s="18"/>
      <c r="E70" s="18"/>
      <c r="F70" s="18"/>
      <c r="G70" s="18"/>
      <c r="H70" s="6" t="s">
        <v>75</v>
      </c>
      <c r="I70" s="24" t="e">
        <f>#REF!</f>
        <v>#REF!</v>
      </c>
      <c r="J70" s="6"/>
      <c r="K70" s="6"/>
      <c r="L70" s="12"/>
      <c r="M70" s="12"/>
    </row>
    <row r="71" spans="1:13" ht="13.5" customHeight="1" x14ac:dyDescent="0.25">
      <c r="A71" s="18"/>
      <c r="B71" s="18" t="s">
        <v>76</v>
      </c>
      <c r="C71" s="18"/>
      <c r="D71" s="18"/>
      <c r="E71" s="18"/>
      <c r="F71" s="18"/>
      <c r="G71" s="29"/>
      <c r="H71" s="34">
        <f>H42</f>
        <v>350000</v>
      </c>
      <c r="I71" s="3">
        <v>1.5</v>
      </c>
      <c r="J71" s="6"/>
      <c r="K71" s="6"/>
      <c r="L71" s="12"/>
      <c r="M71" s="12"/>
    </row>
    <row r="72" spans="1:13" ht="13.5" customHeight="1" x14ac:dyDescent="0.25">
      <c r="A72" s="18"/>
      <c r="B72" s="18" t="s">
        <v>77</v>
      </c>
      <c r="C72" s="25">
        <f>-D41</f>
        <v>-50000</v>
      </c>
      <c r="D72" s="18"/>
      <c r="E72" s="18"/>
      <c r="F72" s="18"/>
      <c r="G72" s="29"/>
      <c r="H72" s="12"/>
      <c r="I72" s="6"/>
      <c r="J72" s="6"/>
      <c r="K72" s="6"/>
      <c r="L72" s="12"/>
      <c r="M72" s="12"/>
    </row>
    <row r="73" spans="1:13" ht="13.5" customHeight="1" x14ac:dyDescent="0.25">
      <c r="A73" s="18"/>
      <c r="B73" s="18" t="s">
        <v>78</v>
      </c>
      <c r="C73" s="18"/>
      <c r="D73" s="18"/>
      <c r="E73" s="18"/>
      <c r="F73" s="18"/>
      <c r="G73" s="29"/>
      <c r="H73" s="23">
        <v>50000</v>
      </c>
      <c r="I73" s="6">
        <v>2</v>
      </c>
      <c r="J73" s="6"/>
      <c r="K73" s="6"/>
      <c r="L73" s="12"/>
      <c r="M73" s="12"/>
    </row>
    <row r="74" spans="1:13" ht="13.5" customHeight="1" x14ac:dyDescent="0.25">
      <c r="A74" s="18"/>
      <c r="B74" s="18" t="s">
        <v>79</v>
      </c>
      <c r="C74" s="18"/>
      <c r="D74" s="18"/>
      <c r="E74" s="18"/>
      <c r="F74" s="18"/>
      <c r="G74" s="29"/>
      <c r="H74" s="12" t="s">
        <v>73</v>
      </c>
      <c r="I74" s="6" t="e">
        <f>#REF!</f>
        <v>#REF!</v>
      </c>
      <c r="J74" s="6"/>
      <c r="K74" s="6"/>
      <c r="L74" s="12"/>
      <c r="M74" s="12"/>
    </row>
    <row r="75" spans="1:13" ht="13.5" customHeight="1" x14ac:dyDescent="0.25">
      <c r="A75" s="18"/>
      <c r="B75" s="18"/>
      <c r="C75" s="18"/>
      <c r="D75" s="18"/>
      <c r="E75" s="18"/>
      <c r="F75" s="18"/>
      <c r="G75" s="18"/>
      <c r="H75" s="6"/>
      <c r="I75" s="6"/>
      <c r="J75" s="6"/>
      <c r="K75" s="6"/>
      <c r="L75" s="12"/>
      <c r="M75" s="12"/>
    </row>
    <row r="76" spans="1:13" ht="13.5" customHeight="1" x14ac:dyDescent="0.25">
      <c r="A76" s="41" t="s">
        <v>80</v>
      </c>
      <c r="B76" s="18"/>
      <c r="C76" s="18"/>
      <c r="D76" s="18"/>
      <c r="E76" s="18"/>
      <c r="F76" s="18"/>
      <c r="G76" s="18"/>
      <c r="H76" s="6"/>
      <c r="I76" s="6"/>
      <c r="J76" s="6"/>
      <c r="K76" s="6"/>
      <c r="L76" s="12"/>
      <c r="M76" s="12"/>
    </row>
    <row r="77" spans="1:13" ht="13.5" customHeight="1" x14ac:dyDescent="0.25">
      <c r="A77" s="18" t="s">
        <v>81</v>
      </c>
      <c r="B77" s="18" t="s">
        <v>35</v>
      </c>
      <c r="C77" s="18"/>
      <c r="D77" s="29">
        <f t="shared" ref="D77:G78" si="0">-(D38-C38)</f>
        <v>-2136.9863013698632</v>
      </c>
      <c r="E77" s="29">
        <f t="shared" si="0"/>
        <v>732.80958904109616</v>
      </c>
      <c r="F77" s="29">
        <f t="shared" si="0"/>
        <v>204.71843333219158</v>
      </c>
      <c r="G77" s="29">
        <f t="shared" si="0"/>
        <v>174.87202114060847</v>
      </c>
      <c r="H77" s="6"/>
      <c r="I77" s="6"/>
      <c r="J77" s="6"/>
      <c r="K77" s="6"/>
      <c r="L77" s="12"/>
      <c r="M77" s="12"/>
    </row>
    <row r="78" spans="1:13" ht="13.5" customHeight="1" x14ac:dyDescent="0.25">
      <c r="A78" s="18" t="s">
        <v>81</v>
      </c>
      <c r="B78" s="18" t="s">
        <v>36</v>
      </c>
      <c r="C78" s="18"/>
      <c r="D78" s="29">
        <f t="shared" si="0"/>
        <v>-84666.666666666657</v>
      </c>
      <c r="E78" s="29">
        <f t="shared" si="0"/>
        <v>7004.3199999999779</v>
      </c>
      <c r="F78" s="29">
        <f t="shared" si="0"/>
        <v>6237.6850431999919</v>
      </c>
      <c r="G78" s="29">
        <f t="shared" si="0"/>
        <v>5553.0781246520492</v>
      </c>
      <c r="H78" s="6"/>
      <c r="I78" s="6"/>
      <c r="J78" s="6"/>
      <c r="K78" s="6"/>
      <c r="L78" s="12"/>
      <c r="M78" s="12"/>
    </row>
    <row r="79" spans="1:13" ht="13.5" customHeight="1" x14ac:dyDescent="0.25">
      <c r="A79" s="18" t="s">
        <v>82</v>
      </c>
      <c r="B79" s="18" t="s">
        <v>49</v>
      </c>
      <c r="C79" s="18"/>
      <c r="D79" s="29">
        <f>(D48-C48)</f>
        <v>13917.80821917808</v>
      </c>
      <c r="E79" s="29">
        <f>(E48-D48)</f>
        <v>-1703.7879452054749</v>
      </c>
      <c r="F79" s="29">
        <f>(F48-E48)</f>
        <v>-1467.049683912328</v>
      </c>
      <c r="G79" s="29">
        <f>(G48-F48)</f>
        <v>-1264.4080883338866</v>
      </c>
      <c r="H79" s="6"/>
      <c r="I79" s="6"/>
      <c r="J79" s="6"/>
      <c r="K79" s="6"/>
      <c r="L79" s="12"/>
      <c r="M79" s="12"/>
    </row>
    <row r="80" spans="1:13" ht="13.5" customHeight="1" x14ac:dyDescent="0.25">
      <c r="A80" s="18" t="s">
        <v>82</v>
      </c>
      <c r="B80" s="18" t="s">
        <v>83</v>
      </c>
      <c r="C80" s="18"/>
      <c r="D80" s="29">
        <f>(D65-C65)</f>
        <v>4360.0000000000045</v>
      </c>
      <c r="E80" s="29">
        <f>(E65-D65)</f>
        <v>-708.42666666667219</v>
      </c>
      <c r="F80" s="29">
        <f>(F65-E65)</f>
        <v>-615.58337333333338</v>
      </c>
      <c r="G80" s="29">
        <f>(G65-F65)</f>
        <v>-535.64803452666411</v>
      </c>
      <c r="H80" s="6"/>
      <c r="I80" s="6"/>
      <c r="J80" s="6"/>
      <c r="K80" s="6"/>
      <c r="L80" s="12"/>
      <c r="M80" s="12"/>
    </row>
    <row r="81" spans="1:13" ht="13.5" customHeight="1" x14ac:dyDescent="0.25">
      <c r="A81" s="18"/>
      <c r="B81" s="18"/>
      <c r="C81" s="18"/>
      <c r="D81" s="18"/>
      <c r="E81" s="18"/>
      <c r="F81" s="18"/>
      <c r="G81" s="18"/>
      <c r="H81" s="6"/>
      <c r="I81" s="6"/>
      <c r="J81" s="6"/>
      <c r="K81" s="6"/>
      <c r="L81" s="12"/>
      <c r="M81" s="12"/>
    </row>
    <row r="82" spans="1:13" ht="13.5" customHeight="1" x14ac:dyDescent="0.25">
      <c r="A82" s="41" t="s">
        <v>84</v>
      </c>
      <c r="B82" s="18"/>
      <c r="C82" s="18"/>
      <c r="D82" s="18"/>
      <c r="E82" s="18"/>
      <c r="F82" s="18"/>
      <c r="G82" s="18"/>
      <c r="H82" s="6"/>
      <c r="I82" s="6"/>
      <c r="J82" s="6"/>
      <c r="K82" s="6"/>
      <c r="L82" s="12"/>
      <c r="M82" s="12"/>
    </row>
    <row r="83" spans="1:13" ht="13.5" customHeight="1" x14ac:dyDescent="0.25">
      <c r="A83" s="18" t="s">
        <v>82</v>
      </c>
      <c r="B83" s="18" t="s">
        <v>35</v>
      </c>
      <c r="C83" s="18"/>
      <c r="D83" s="29"/>
      <c r="E83" s="29"/>
      <c r="F83" s="29"/>
      <c r="G83" s="29">
        <f>G38</f>
        <v>1024.586257855967</v>
      </c>
      <c r="H83" s="6"/>
      <c r="I83" s="6"/>
      <c r="J83" s="6"/>
      <c r="K83" s="6"/>
      <c r="L83" s="12"/>
      <c r="M83" s="12"/>
    </row>
    <row r="84" spans="1:13" ht="13.5" customHeight="1" x14ac:dyDescent="0.25">
      <c r="A84" s="18" t="s">
        <v>82</v>
      </c>
      <c r="B84" s="18" t="s">
        <v>36</v>
      </c>
      <c r="C84" s="18"/>
      <c r="D84" s="29"/>
      <c r="E84" s="29"/>
      <c r="F84" s="29"/>
      <c r="G84" s="29">
        <f>G39</f>
        <v>65871.583498814638</v>
      </c>
      <c r="H84" s="6"/>
      <c r="I84" s="6"/>
      <c r="J84" s="6"/>
      <c r="K84" s="6"/>
      <c r="L84" s="12"/>
      <c r="M84" s="12"/>
    </row>
    <row r="85" spans="1:13" ht="13.5" customHeight="1" x14ac:dyDescent="0.25">
      <c r="A85" s="18" t="s">
        <v>81</v>
      </c>
      <c r="B85" s="18" t="s">
        <v>49</v>
      </c>
      <c r="C85" s="18"/>
      <c r="D85" s="29"/>
      <c r="E85" s="29"/>
      <c r="F85" s="29"/>
      <c r="G85" s="29">
        <f>-G48</f>
        <v>-9482.5625017263901</v>
      </c>
      <c r="H85" s="6"/>
      <c r="I85" s="6"/>
      <c r="J85" s="6"/>
      <c r="K85" s="6"/>
      <c r="L85" s="12"/>
      <c r="M85" s="12"/>
    </row>
    <row r="86" spans="1:13" ht="13.5" customHeight="1" x14ac:dyDescent="0.25">
      <c r="A86" s="18" t="s">
        <v>81</v>
      </c>
      <c r="B86" s="18" t="s">
        <v>83</v>
      </c>
      <c r="C86" s="18"/>
      <c r="D86" s="29"/>
      <c r="E86" s="29"/>
      <c r="F86" s="29"/>
      <c r="G86" s="29"/>
      <c r="H86" s="6"/>
      <c r="I86" s="6"/>
      <c r="J86" s="6"/>
      <c r="K86" s="6"/>
      <c r="L86" s="12"/>
      <c r="M86" s="12"/>
    </row>
    <row r="87" spans="1:13" ht="13.5" customHeight="1" x14ac:dyDescent="0.25">
      <c r="A87" s="18"/>
      <c r="B87" s="18"/>
      <c r="C87" s="18"/>
      <c r="D87" s="18"/>
      <c r="E87" s="18"/>
      <c r="F87" s="18"/>
      <c r="G87" s="18"/>
      <c r="H87" s="6"/>
      <c r="I87" s="6"/>
      <c r="J87" s="6"/>
      <c r="K87" s="6"/>
      <c r="L87" s="12"/>
      <c r="M87" s="12"/>
    </row>
    <row r="88" spans="1:13" ht="13.5" customHeight="1" x14ac:dyDescent="0.25">
      <c r="A88" s="41" t="s">
        <v>85</v>
      </c>
      <c r="B88" s="18"/>
      <c r="C88" s="29">
        <f>SUM(C67:C86)</f>
        <v>-400000</v>
      </c>
      <c r="D88" s="29">
        <f>SUM(D67:D86)</f>
        <v>-39419.178082191749</v>
      </c>
      <c r="E88" s="29">
        <f>SUM(E67:E86)</f>
        <v>31597.874977168918</v>
      </c>
      <c r="F88" s="29">
        <f>SUM(F67:F86)</f>
        <v>28170.39692595318</v>
      </c>
      <c r="G88" s="29">
        <f>SUM(G67:G86)</f>
        <v>83009.535646436314</v>
      </c>
      <c r="H88" s="1"/>
      <c r="I88" s="6"/>
      <c r="J88" s="6"/>
      <c r="K88" s="6"/>
      <c r="L88" s="12"/>
      <c r="M88" s="12"/>
    </row>
    <row r="89" spans="1:13" ht="13.5" customHeight="1" x14ac:dyDescent="0.25">
      <c r="A89" s="41" t="s">
        <v>86</v>
      </c>
      <c r="B89" s="18"/>
      <c r="C89" s="29">
        <f>-PV($C$91,C90,,C88)</f>
        <v>-400000</v>
      </c>
      <c r="D89" s="29">
        <f>-PV($C$91,D90,,D88)</f>
        <v>-36499.238964992357</v>
      </c>
      <c r="E89" s="29">
        <f>-PV($C$91,E90,,E88)</f>
        <v>27090.084856969235</v>
      </c>
      <c r="F89" s="29">
        <f>-PV($C$91,F90,,F88)</f>
        <v>22362.569322157109</v>
      </c>
      <c r="G89" s="29">
        <f>-PV($C$91,G90,,G88)</f>
        <v>61014.486766902024</v>
      </c>
      <c r="H89" s="6"/>
      <c r="I89" s="6"/>
      <c r="J89" s="6"/>
      <c r="K89" s="6"/>
      <c r="L89" s="12"/>
      <c r="M89" s="12"/>
    </row>
    <row r="90" spans="1:13" ht="13.5" customHeight="1" x14ac:dyDescent="0.25">
      <c r="A90" s="18"/>
      <c r="B90" s="18"/>
      <c r="C90" s="18">
        <v>0</v>
      </c>
      <c r="D90" s="18">
        <v>1</v>
      </c>
      <c r="E90" s="18">
        <v>2</v>
      </c>
      <c r="F90" s="18">
        <v>3</v>
      </c>
      <c r="G90" s="18">
        <v>4</v>
      </c>
      <c r="H90" s="6"/>
      <c r="I90" s="6"/>
      <c r="J90" s="6"/>
      <c r="K90" s="6"/>
      <c r="L90" s="12"/>
      <c r="M90" s="12"/>
    </row>
    <row r="91" spans="1:13" ht="13.5" customHeight="1" x14ac:dyDescent="0.25">
      <c r="A91" s="18" t="s">
        <v>87</v>
      </c>
      <c r="B91" s="18"/>
      <c r="C91" s="39">
        <v>0.08</v>
      </c>
      <c r="D91" s="18"/>
      <c r="E91" s="18"/>
      <c r="F91" s="18"/>
      <c r="G91" s="18"/>
      <c r="H91" s="6"/>
      <c r="I91" s="6"/>
      <c r="J91" s="6"/>
      <c r="K91" s="6"/>
      <c r="L91" s="12"/>
      <c r="M91" s="12"/>
    </row>
    <row r="92" spans="1:13" ht="13.5" customHeight="1" x14ac:dyDescent="0.25">
      <c r="A92" s="41" t="s">
        <v>88</v>
      </c>
      <c r="B92" s="17"/>
      <c r="C92" s="21">
        <f>SUM(C89:G89)</f>
        <v>-326032.09801896394</v>
      </c>
      <c r="D92" s="7"/>
      <c r="E92" s="18"/>
      <c r="F92" s="18"/>
      <c r="G92" s="18"/>
      <c r="H92" s="6"/>
      <c r="I92" s="6"/>
      <c r="J92" s="6"/>
      <c r="K92" s="6"/>
      <c r="L92" s="12"/>
      <c r="M92" s="12"/>
    </row>
    <row r="93" spans="1:13" ht="13.5" customHeight="1" x14ac:dyDescent="0.25">
      <c r="A93" s="41" t="s">
        <v>89</v>
      </c>
      <c r="B93" s="17"/>
      <c r="C93" s="46">
        <f>IRR(C88:G88)</f>
        <v>-0.28437866301481818</v>
      </c>
      <c r="D93" s="7"/>
      <c r="E93" s="18"/>
      <c r="F93" s="18"/>
      <c r="G93" s="18"/>
      <c r="H93" s="6"/>
      <c r="I93" s="6"/>
      <c r="J93" s="6"/>
      <c r="K93" s="6"/>
      <c r="L93" s="12"/>
      <c r="M93" s="12"/>
    </row>
    <row r="94" spans="1:13" ht="13.5" customHeight="1" x14ac:dyDescent="0.25">
      <c r="A94" s="41"/>
      <c r="B94" s="18"/>
      <c r="C94" s="26"/>
      <c r="D94" s="18"/>
      <c r="E94" s="18"/>
      <c r="F94" s="18"/>
      <c r="G94" s="18"/>
      <c r="H94" s="6"/>
      <c r="I94" s="6"/>
      <c r="J94" s="6"/>
      <c r="K94" s="6"/>
      <c r="L94" s="12"/>
      <c r="M94" s="12"/>
    </row>
    <row r="95" spans="1:13" ht="13.5" customHeight="1" x14ac:dyDescent="0.25">
      <c r="A95" s="41"/>
      <c r="B95" s="18"/>
      <c r="C95" s="47"/>
      <c r="D95" s="29"/>
      <c r="E95" s="29"/>
      <c r="F95" s="29"/>
      <c r="G95" s="29"/>
      <c r="H95" s="1"/>
      <c r="I95" s="6"/>
      <c r="J95" s="6"/>
      <c r="K95" s="6"/>
      <c r="L95" s="12"/>
      <c r="M95" s="12"/>
    </row>
    <row r="96" spans="1:13" ht="13.5" customHeight="1" x14ac:dyDescent="0.25">
      <c r="A96" s="41"/>
      <c r="B96" s="17"/>
      <c r="C96" s="46"/>
      <c r="D96" s="7"/>
      <c r="E96" s="18"/>
      <c r="F96" s="18"/>
      <c r="G96" s="18"/>
      <c r="H96" s="6"/>
      <c r="I96" s="6"/>
      <c r="J96" s="6"/>
      <c r="K96" s="6"/>
      <c r="L96" s="12"/>
      <c r="M96" s="12"/>
    </row>
  </sheetData>
  <pageMargins left="0.75" right="0.75" top="1" bottom="1" header="0.5" footer="0.5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workbookViewId="0"/>
  </sheetViews>
  <sheetFormatPr defaultColWidth="17.140625" defaultRowHeight="12.75" customHeight="1" x14ac:dyDescent="0.2"/>
  <cols>
    <col min="1" max="1" width="31.7109375" customWidth="1"/>
    <col min="2" max="2" width="34.7109375" customWidth="1"/>
    <col min="3" max="3" width="12.140625" customWidth="1"/>
    <col min="4" max="4" width="18.7109375" customWidth="1"/>
    <col min="5" max="6" width="10.42578125" customWidth="1"/>
    <col min="7" max="7" width="14.28515625" customWidth="1"/>
    <col min="8" max="8" width="15.140625" customWidth="1"/>
    <col min="9" max="9" width="19.28515625" customWidth="1"/>
    <col min="10" max="10" width="14.42578125" customWidth="1"/>
    <col min="11" max="11" width="15.85546875" customWidth="1"/>
    <col min="12" max="12" width="18.42578125" customWidth="1"/>
    <col min="13" max="13" width="8.7109375" customWidth="1"/>
  </cols>
  <sheetData>
    <row r="1" spans="1:13" ht="13.5" customHeight="1" x14ac:dyDescent="0.25">
      <c r="A1" s="50"/>
      <c r="B1" s="50"/>
      <c r="C1" s="50"/>
      <c r="D1" s="50">
        <v>2014</v>
      </c>
      <c r="E1" s="50">
        <v>2015</v>
      </c>
      <c r="F1" s="50">
        <v>2016</v>
      </c>
      <c r="G1" s="50">
        <v>2017</v>
      </c>
      <c r="H1" s="12"/>
      <c r="I1" s="12"/>
      <c r="J1" s="12"/>
      <c r="K1" s="12"/>
      <c r="L1" s="12"/>
      <c r="M1" s="12"/>
    </row>
    <row r="2" spans="1:13" ht="13.5" customHeight="1" x14ac:dyDescent="0.25">
      <c r="A2" s="50" t="s">
        <v>0</v>
      </c>
      <c r="B2" s="50"/>
      <c r="C2" s="50"/>
      <c r="D2" s="50"/>
      <c r="E2" s="50"/>
      <c r="F2" s="50"/>
      <c r="G2" s="50"/>
      <c r="H2" s="12"/>
      <c r="I2" s="12"/>
      <c r="J2" s="12"/>
      <c r="K2" s="12"/>
      <c r="L2" s="12"/>
      <c r="M2" s="12"/>
    </row>
    <row r="3" spans="1:13" ht="13.5" customHeight="1" x14ac:dyDescent="0.25">
      <c r="A3" s="50" t="s">
        <v>1</v>
      </c>
      <c r="B3" s="50"/>
      <c r="C3" s="50"/>
      <c r="D3" s="44">
        <f>(D4/3)*2</f>
        <v>666.66666666666663</v>
      </c>
      <c r="E3" s="44">
        <f>(E4/3)*2</f>
        <v>673.33333333333337</v>
      </c>
      <c r="F3" s="44">
        <f>(F4/3)*2</f>
        <v>680.06666666666672</v>
      </c>
      <c r="G3" s="44">
        <f>(G4/3)*2</f>
        <v>686.86733333333325</v>
      </c>
      <c r="H3" s="12"/>
      <c r="I3" s="12"/>
      <c r="J3" s="12"/>
      <c r="K3" s="12"/>
      <c r="L3" s="12"/>
      <c r="M3" s="12"/>
    </row>
    <row r="4" spans="1:13" ht="13.5" customHeight="1" x14ac:dyDescent="0.25">
      <c r="A4" s="50" t="s">
        <v>2</v>
      </c>
      <c r="B4" s="50"/>
      <c r="C4" s="50"/>
      <c r="D4" s="16">
        <v>1000</v>
      </c>
      <c r="E4" s="16">
        <f>D4*(1+$H$4)</f>
        <v>1010</v>
      </c>
      <c r="F4" s="16">
        <f>E4*(1+$H$4)</f>
        <v>1020.1</v>
      </c>
      <c r="G4" s="16">
        <f>F4*(1+$H$4)</f>
        <v>1030.3009999999999</v>
      </c>
      <c r="H4" s="1">
        <v>0.01</v>
      </c>
      <c r="I4" s="23" t="s">
        <v>3</v>
      </c>
      <c r="J4" s="12"/>
      <c r="K4" s="12"/>
      <c r="L4" s="12"/>
      <c r="M4" s="12"/>
    </row>
    <row r="5" spans="1:13" ht="13.5" customHeight="1" x14ac:dyDescent="0.25">
      <c r="A5" s="50" t="s">
        <v>4</v>
      </c>
      <c r="B5" s="50"/>
      <c r="C5" s="50"/>
      <c r="D5" s="8">
        <v>200</v>
      </c>
      <c r="E5" s="8">
        <f>D5*(1+$H$5)</f>
        <v>170</v>
      </c>
      <c r="F5" s="8">
        <f>E5*(1+$H$5)</f>
        <v>144.5</v>
      </c>
      <c r="G5" s="8">
        <f>F5*(1+$H$5)</f>
        <v>122.825</v>
      </c>
      <c r="H5" s="13">
        <v>-0.15</v>
      </c>
      <c r="I5" s="23" t="s">
        <v>3</v>
      </c>
      <c r="J5" s="12" t="s">
        <v>135</v>
      </c>
      <c r="K5" s="12"/>
      <c r="L5" s="12"/>
      <c r="M5" s="12"/>
    </row>
    <row r="6" spans="1:13" ht="13.5" customHeight="1" x14ac:dyDescent="0.25">
      <c r="A6" s="50" t="s">
        <v>5</v>
      </c>
      <c r="B6" s="50"/>
      <c r="C6" s="50"/>
      <c r="D6" s="38">
        <f>D7*0.6</f>
        <v>36</v>
      </c>
      <c r="E6" s="38">
        <f>D6*(1+$H$6)</f>
        <v>36.72</v>
      </c>
      <c r="F6" s="38">
        <f>E6*(1+$H$6)</f>
        <v>37.4544</v>
      </c>
      <c r="G6" s="38">
        <f>F6*(1+$H$6)</f>
        <v>38.203488</v>
      </c>
      <c r="H6" s="13">
        <v>0.02</v>
      </c>
      <c r="I6" s="23" t="s">
        <v>3</v>
      </c>
      <c r="J6" s="12"/>
      <c r="K6" s="12"/>
      <c r="L6" s="12"/>
      <c r="M6" s="12"/>
    </row>
    <row r="7" spans="1:13" ht="13.5" customHeight="1" x14ac:dyDescent="0.25">
      <c r="A7" s="50" t="s">
        <v>6</v>
      </c>
      <c r="B7" s="50"/>
      <c r="C7" s="50"/>
      <c r="D7" s="11">
        <v>60</v>
      </c>
      <c r="E7" s="11">
        <f>D7*(1+$H$7)</f>
        <v>61.2</v>
      </c>
      <c r="F7" s="11">
        <f>E7*(1+$H$7)</f>
        <v>62.424000000000007</v>
      </c>
      <c r="G7" s="11">
        <f>F7*(1+$H$7)</f>
        <v>63.672480000000007</v>
      </c>
      <c r="H7" s="13">
        <v>0.02</v>
      </c>
      <c r="I7" s="23" t="s">
        <v>3</v>
      </c>
      <c r="J7" s="12"/>
      <c r="K7" s="12"/>
      <c r="L7" s="12"/>
      <c r="M7" s="12"/>
    </row>
    <row r="8" spans="1:13" ht="13.5" customHeight="1" x14ac:dyDescent="0.25">
      <c r="A8" s="50" t="s">
        <v>7</v>
      </c>
      <c r="B8" s="50"/>
      <c r="C8" s="50"/>
      <c r="D8" s="11">
        <v>1000</v>
      </c>
      <c r="E8" s="11">
        <f>D8*(1+$H$8)</f>
        <v>950</v>
      </c>
      <c r="F8" s="11">
        <f>E8*(1+$H$8)</f>
        <v>902.5</v>
      </c>
      <c r="G8" s="11">
        <f>F8*(1+$H$8)</f>
        <v>857.375</v>
      </c>
      <c r="H8" s="13">
        <v>-0.05</v>
      </c>
      <c r="I8" s="23" t="s">
        <v>3</v>
      </c>
      <c r="J8" s="12"/>
      <c r="K8" s="12"/>
      <c r="L8" s="12"/>
      <c r="M8" s="12"/>
    </row>
    <row r="9" spans="1:13" ht="13.5" customHeight="1" x14ac:dyDescent="0.25">
      <c r="A9" s="50"/>
      <c r="B9" s="50"/>
      <c r="C9" s="50"/>
      <c r="D9" s="50"/>
      <c r="E9" s="50"/>
      <c r="F9" s="50"/>
      <c r="G9" s="50"/>
      <c r="H9" s="13"/>
      <c r="I9" s="12"/>
      <c r="J9" s="12"/>
      <c r="K9" s="12"/>
      <c r="L9" s="12"/>
      <c r="M9" s="12"/>
    </row>
    <row r="10" spans="1:13" ht="13.5" customHeight="1" x14ac:dyDescent="0.25">
      <c r="A10" s="50" t="s">
        <v>8</v>
      </c>
      <c r="B10" s="50"/>
      <c r="C10" s="50"/>
      <c r="D10" s="27">
        <v>3</v>
      </c>
      <c r="E10" s="27">
        <f>D10*(1+$H$10)</f>
        <v>2.9849999999999999</v>
      </c>
      <c r="F10" s="27">
        <f>E10*(1+$H$10)</f>
        <v>2.970075</v>
      </c>
      <c r="G10" s="27">
        <f>F10*(1+$H$10)</f>
        <v>2.955224625</v>
      </c>
      <c r="H10" s="13">
        <v>-5.0000000000000001E-3</v>
      </c>
      <c r="I10" s="23" t="s">
        <v>3</v>
      </c>
      <c r="J10" s="12"/>
      <c r="K10" s="12"/>
      <c r="L10" s="12"/>
      <c r="M10" s="12"/>
    </row>
    <row r="11" spans="1:13" ht="13.5" customHeight="1" x14ac:dyDescent="0.25">
      <c r="A11" s="50" t="s">
        <v>9</v>
      </c>
      <c r="B11" s="50"/>
      <c r="C11" s="50"/>
      <c r="D11" s="27">
        <f>365/2</f>
        <v>182.5</v>
      </c>
      <c r="E11" s="27">
        <f>D11*(1+$H$11)</f>
        <v>189.8</v>
      </c>
      <c r="F11" s="27">
        <f>E11*(1+$H$11)</f>
        <v>197.39200000000002</v>
      </c>
      <c r="G11" s="27">
        <f>F11*(1+$H$11)</f>
        <v>205.28768000000002</v>
      </c>
      <c r="H11" s="13">
        <v>0.04</v>
      </c>
      <c r="I11" s="23" t="s">
        <v>3</v>
      </c>
      <c r="J11" s="12"/>
      <c r="K11" s="12"/>
      <c r="L11" s="12"/>
      <c r="M11" s="12"/>
    </row>
    <row r="12" spans="1:13" ht="13.5" customHeight="1" x14ac:dyDescent="0.25">
      <c r="A12" s="50" t="s">
        <v>10</v>
      </c>
      <c r="B12" s="50"/>
      <c r="C12" s="50"/>
      <c r="D12" s="27">
        <v>30</v>
      </c>
      <c r="E12" s="27">
        <f>D12*(1+$H$12)</f>
        <v>29.85</v>
      </c>
      <c r="F12" s="27">
        <f>E12*(1+$H$12)</f>
        <v>29.700750000000003</v>
      </c>
      <c r="G12" s="27">
        <f>F12*(1+$H$12)</f>
        <v>29.552246250000003</v>
      </c>
      <c r="H12" s="23">
        <v>-5.0000000000000001E-3</v>
      </c>
      <c r="I12" s="23" t="s">
        <v>3</v>
      </c>
      <c r="J12" s="12"/>
      <c r="K12" s="12"/>
      <c r="L12" s="12"/>
      <c r="M12" s="12"/>
    </row>
    <row r="13" spans="1:13" ht="13.5" customHeight="1" x14ac:dyDescent="0.25">
      <c r="A13" s="50"/>
      <c r="B13" s="50"/>
      <c r="C13" s="50"/>
      <c r="D13" s="50"/>
      <c r="E13" s="50"/>
      <c r="F13" s="50"/>
      <c r="G13" s="50"/>
      <c r="H13" s="12"/>
      <c r="I13" s="12"/>
      <c r="J13" s="12"/>
      <c r="K13" s="12"/>
      <c r="L13" s="12"/>
      <c r="M13" s="12"/>
    </row>
    <row r="14" spans="1:13" ht="13.5" customHeight="1" x14ac:dyDescent="0.25">
      <c r="A14" s="50"/>
      <c r="B14" s="50"/>
      <c r="C14" s="50"/>
      <c r="D14" s="50"/>
      <c r="E14" s="50"/>
      <c r="F14" s="50"/>
      <c r="G14" s="50"/>
      <c r="H14" s="12"/>
      <c r="I14" s="12"/>
      <c r="J14" s="12"/>
      <c r="K14" s="12"/>
      <c r="L14" s="12"/>
      <c r="M14" s="12"/>
    </row>
    <row r="15" spans="1:13" ht="13.5" customHeight="1" x14ac:dyDescent="0.25">
      <c r="A15" s="15" t="s">
        <v>11</v>
      </c>
      <c r="B15" s="50"/>
      <c r="C15" s="50"/>
      <c r="D15" s="50"/>
      <c r="E15" s="50"/>
      <c r="F15" s="50"/>
      <c r="G15" s="50"/>
      <c r="H15" s="12"/>
      <c r="I15" s="12"/>
      <c r="J15" s="12"/>
      <c r="K15" s="12"/>
      <c r="L15" s="12"/>
      <c r="M15" s="12"/>
    </row>
    <row r="16" spans="1:13" ht="13.5" customHeight="1" x14ac:dyDescent="0.25">
      <c r="A16" s="50" t="s">
        <v>12</v>
      </c>
      <c r="B16" s="50"/>
      <c r="C16" s="50"/>
      <c r="D16" s="50"/>
      <c r="E16" s="50"/>
      <c r="F16" s="50"/>
      <c r="G16" s="50"/>
      <c r="H16" s="12"/>
      <c r="I16" s="12"/>
      <c r="J16" s="12"/>
      <c r="K16" s="12"/>
      <c r="L16" s="12"/>
      <c r="M16" s="12"/>
    </row>
    <row r="17" spans="1:13" ht="13.5" customHeight="1" x14ac:dyDescent="0.25">
      <c r="A17" s="50"/>
      <c r="B17" s="50" t="s">
        <v>13</v>
      </c>
      <c r="C17" s="10"/>
      <c r="D17" s="10">
        <f>D4*D5</f>
        <v>200000</v>
      </c>
      <c r="E17" s="10">
        <f>E4*E5</f>
        <v>171700</v>
      </c>
      <c r="F17" s="10">
        <f>F4*F5</f>
        <v>147404.45000000001</v>
      </c>
      <c r="G17" s="10">
        <f>G4*G5</f>
        <v>126546.72032499999</v>
      </c>
      <c r="H17" s="12"/>
      <c r="I17" s="12"/>
      <c r="J17" s="12"/>
      <c r="K17" s="12"/>
      <c r="L17" s="12"/>
      <c r="M17" s="12"/>
    </row>
    <row r="18" spans="1:13" ht="13.5" customHeight="1" x14ac:dyDescent="0.25">
      <c r="A18" s="50"/>
      <c r="B18" s="50" t="s">
        <v>14</v>
      </c>
      <c r="C18" s="10"/>
      <c r="D18" s="10">
        <f>D7*D8</f>
        <v>60000</v>
      </c>
      <c r="E18" s="10">
        <f>E7*E8</f>
        <v>58140</v>
      </c>
      <c r="F18" s="10">
        <f>F7*F8</f>
        <v>56337.66</v>
      </c>
      <c r="G18" s="10">
        <f>G7*G8</f>
        <v>54591.192540000004</v>
      </c>
      <c r="H18" s="12"/>
      <c r="I18" s="12"/>
      <c r="J18" s="12"/>
      <c r="K18" s="12"/>
      <c r="L18" s="12"/>
      <c r="M18" s="12"/>
    </row>
    <row r="19" spans="1:13" ht="13.5" customHeight="1" x14ac:dyDescent="0.25">
      <c r="A19" s="50"/>
      <c r="B19" s="50"/>
      <c r="C19" s="10"/>
      <c r="D19" s="10"/>
      <c r="E19" s="10"/>
      <c r="F19" s="10"/>
      <c r="G19" s="10"/>
      <c r="H19" s="12"/>
      <c r="I19" s="12"/>
      <c r="J19" s="12"/>
      <c r="K19" s="12"/>
      <c r="L19" s="12"/>
      <c r="M19" s="12"/>
    </row>
    <row r="20" spans="1:13" ht="13.5" customHeight="1" x14ac:dyDescent="0.25">
      <c r="A20" s="50" t="s">
        <v>15</v>
      </c>
      <c r="B20" s="50"/>
      <c r="C20" s="10"/>
      <c r="D20" s="10">
        <f>(D5*D3)+(D6*D8)</f>
        <v>169333.33333333331</v>
      </c>
      <c r="E20" s="10">
        <f>(E5*E3)+(E6*E8)</f>
        <v>149350.66666666669</v>
      </c>
      <c r="F20" s="10">
        <f>(F5*F3)+(F6*F8)</f>
        <v>132072.22933333335</v>
      </c>
      <c r="G20" s="10">
        <f>(G5*G3)+(G6*G8)</f>
        <v>117119.19574066666</v>
      </c>
      <c r="H20" s="12"/>
      <c r="I20" s="12"/>
      <c r="J20" s="12"/>
      <c r="K20" s="12"/>
      <c r="L20" s="12"/>
      <c r="M20" s="12"/>
    </row>
    <row r="21" spans="1:13" ht="13.5" customHeight="1" x14ac:dyDescent="0.25">
      <c r="A21" s="50"/>
      <c r="B21" s="50"/>
      <c r="C21" s="10"/>
      <c r="D21" s="10"/>
      <c r="E21" s="10"/>
      <c r="F21" s="10"/>
      <c r="G21" s="10"/>
      <c r="H21" s="12"/>
      <c r="I21" s="12"/>
      <c r="J21" s="12"/>
      <c r="K21" s="12"/>
      <c r="L21" s="12"/>
      <c r="M21" s="12"/>
    </row>
    <row r="22" spans="1:13" ht="13.5" customHeight="1" x14ac:dyDescent="0.25">
      <c r="A22" s="50" t="s">
        <v>16</v>
      </c>
      <c r="B22" s="50"/>
      <c r="C22" s="10"/>
      <c r="D22" s="10"/>
      <c r="E22" s="10"/>
      <c r="F22" s="10"/>
      <c r="G22" s="10"/>
      <c r="H22" s="12"/>
      <c r="I22" s="12"/>
      <c r="J22" s="12"/>
      <c r="K22" s="12"/>
      <c r="L22" s="12"/>
      <c r="M22" s="12"/>
    </row>
    <row r="23" spans="1:13" ht="13.5" customHeight="1" x14ac:dyDescent="0.25">
      <c r="A23" s="50"/>
      <c r="B23" s="50" t="s">
        <v>17</v>
      </c>
      <c r="C23" s="10"/>
      <c r="D23" s="10">
        <f>(D17+D18)*$H$23</f>
        <v>18200</v>
      </c>
      <c r="E23" s="10">
        <f>(E17+E18)*$H$23</f>
        <v>16088.800000000001</v>
      </c>
      <c r="F23" s="10">
        <f>(F17+F18)*$H$23</f>
        <v>14261.947700000002</v>
      </c>
      <c r="G23" s="10">
        <f>(G17+G18)*$H$23</f>
        <v>12679.65390055</v>
      </c>
      <c r="H23" s="13">
        <v>7.0000000000000007E-2</v>
      </c>
      <c r="I23" s="23" t="s">
        <v>18</v>
      </c>
      <c r="J23" s="12"/>
      <c r="K23" s="12"/>
      <c r="L23" s="12"/>
      <c r="M23" s="12"/>
    </row>
    <row r="24" spans="1:13" ht="13.5" customHeight="1" x14ac:dyDescent="0.25">
      <c r="A24" s="50"/>
      <c r="B24" s="50" t="s">
        <v>19</v>
      </c>
      <c r="C24" s="10"/>
      <c r="D24" s="10">
        <f>(D17+D18)*$H$24</f>
        <v>39000</v>
      </c>
      <c r="E24" s="10">
        <f>(E17+E18)*$H$24</f>
        <v>34476</v>
      </c>
      <c r="F24" s="10">
        <f>(F17+F18)*$H$24</f>
        <v>30561.316500000001</v>
      </c>
      <c r="G24" s="10">
        <f>(G17+G18)*$H$24</f>
        <v>27170.686929749998</v>
      </c>
      <c r="H24" s="13">
        <v>0.15</v>
      </c>
      <c r="I24" s="23" t="s">
        <v>20</v>
      </c>
      <c r="J24" s="12"/>
      <c r="K24" s="12"/>
      <c r="L24" s="12"/>
      <c r="M24" s="12"/>
    </row>
    <row r="25" spans="1:13" ht="13.5" customHeight="1" x14ac:dyDescent="0.25">
      <c r="A25" s="50"/>
      <c r="B25" s="50"/>
      <c r="C25" s="10"/>
      <c r="D25" s="10"/>
      <c r="E25" s="10"/>
      <c r="F25" s="10"/>
      <c r="G25" s="10"/>
      <c r="H25" s="12"/>
      <c r="I25" s="12"/>
      <c r="J25" s="12"/>
      <c r="K25" s="12"/>
      <c r="L25" s="12"/>
      <c r="M25" s="12"/>
    </row>
    <row r="26" spans="1:13" ht="13.5" customHeight="1" x14ac:dyDescent="0.25">
      <c r="A26" s="50" t="s">
        <v>21</v>
      </c>
      <c r="B26" s="50"/>
      <c r="C26" s="10"/>
      <c r="D26" s="10">
        <f>D42/$H$26</f>
        <v>11666.666666666666</v>
      </c>
      <c r="E26" s="10">
        <f>E42/$H$26</f>
        <v>11666.666666666666</v>
      </c>
      <c r="F26" s="10">
        <f>F42/$H$26</f>
        <v>11666.666666666666</v>
      </c>
      <c r="G26" s="10">
        <f>G42/$H$26</f>
        <v>11666.666666666666</v>
      </c>
      <c r="H26" s="23">
        <v>30</v>
      </c>
      <c r="I26" s="23" t="s">
        <v>22</v>
      </c>
      <c r="J26" s="12"/>
      <c r="K26" s="12"/>
      <c r="L26" s="12"/>
      <c r="M26" s="12"/>
    </row>
    <row r="27" spans="1:13" ht="13.5" customHeight="1" x14ac:dyDescent="0.25">
      <c r="A27" s="50" t="s">
        <v>23</v>
      </c>
      <c r="B27" s="50"/>
      <c r="C27" s="10"/>
      <c r="D27" s="10">
        <f>Mortgage!D14</f>
        <v>27139.231920287843</v>
      </c>
      <c r="E27" s="10">
        <f>Mortgage!D28</f>
        <v>25162.319977479125</v>
      </c>
      <c r="F27" s="10">
        <f>Mortgage!D42</f>
        <v>23021.325318415398</v>
      </c>
      <c r="G27" s="10">
        <f>Mortgage!D56</f>
        <v>20702.629158571865</v>
      </c>
      <c r="H27" s="3">
        <v>0.08</v>
      </c>
      <c r="I27" s="23" t="s">
        <v>24</v>
      </c>
      <c r="J27" s="12"/>
      <c r="K27" s="12"/>
      <c r="L27" s="12"/>
      <c r="M27" s="12"/>
    </row>
    <row r="28" spans="1:13" ht="13.5" customHeight="1" x14ac:dyDescent="0.25">
      <c r="A28" s="50" t="s">
        <v>25</v>
      </c>
      <c r="B28" s="50"/>
      <c r="C28" s="10"/>
      <c r="D28" s="10">
        <f>$H$28*D52</f>
        <v>0</v>
      </c>
      <c r="E28" s="10">
        <f>$H$28*E52</f>
        <v>0</v>
      </c>
      <c r="F28" s="10">
        <f>$H$28*F52</f>
        <v>1105.94</v>
      </c>
      <c r="G28" s="10">
        <f>$H$28*G52</f>
        <v>5604.5</v>
      </c>
      <c r="H28" s="13">
        <v>0.11</v>
      </c>
      <c r="I28" s="23" t="s">
        <v>26</v>
      </c>
      <c r="J28" s="12"/>
      <c r="K28" s="12"/>
      <c r="L28" s="12"/>
      <c r="M28" s="12"/>
    </row>
    <row r="29" spans="1:13" ht="13.5" customHeight="1" x14ac:dyDescent="0.25">
      <c r="A29" s="50"/>
      <c r="B29" s="50"/>
      <c r="C29" s="10"/>
      <c r="D29" s="10"/>
      <c r="E29" s="10"/>
      <c r="F29" s="10"/>
      <c r="G29" s="10"/>
      <c r="H29" s="13"/>
      <c r="I29" s="12"/>
      <c r="J29" s="12"/>
      <c r="K29" s="12"/>
      <c r="L29" s="12"/>
      <c r="M29" s="12"/>
    </row>
    <row r="30" spans="1:13" ht="13.5" customHeight="1" x14ac:dyDescent="0.25">
      <c r="A30" s="50" t="s">
        <v>27</v>
      </c>
      <c r="B30" s="50"/>
      <c r="C30" s="10"/>
      <c r="D30" s="10">
        <f>SUM(D17:D18)-SUM(D20:D28)</f>
        <v>-5339.231920287828</v>
      </c>
      <c r="E30" s="10">
        <f>SUM(E17:E18)-SUM(E20:E28)</f>
        <v>-6904.4533108124451</v>
      </c>
      <c r="F30" s="10">
        <f>SUM(F17:F18)-SUM(F20:F28)</f>
        <v>-8947.3155184153875</v>
      </c>
      <c r="G30" s="10">
        <f>SUM(G17:G18)-SUM(G20:G28)</f>
        <v>-13805.419531205174</v>
      </c>
      <c r="H30" s="13"/>
      <c r="I30" s="12"/>
      <c r="J30" s="12"/>
      <c r="K30" s="12"/>
      <c r="L30" s="12"/>
      <c r="M30" s="12"/>
    </row>
    <row r="31" spans="1:13" ht="13.5" customHeight="1" x14ac:dyDescent="0.25">
      <c r="A31" s="50" t="s">
        <v>28</v>
      </c>
      <c r="B31" s="50"/>
      <c r="C31" s="10"/>
      <c r="D31" s="10">
        <f>IF((D30&lt;0),0,(D30*$H$31))</f>
        <v>0</v>
      </c>
      <c r="E31" s="10">
        <f>IF((E30&lt;0),0,(E30*$H$31))</f>
        <v>0</v>
      </c>
      <c r="F31" s="10">
        <f>IF((F30&lt;0),0,(F30*$H$31))</f>
        <v>0</v>
      </c>
      <c r="G31" s="10">
        <f>IF((G30&lt;0),0,(G30*$H$31))</f>
        <v>0</v>
      </c>
      <c r="H31" s="13">
        <v>0.2</v>
      </c>
      <c r="I31" s="23" t="s">
        <v>29</v>
      </c>
      <c r="J31" s="12"/>
      <c r="K31" s="12"/>
      <c r="L31" s="12"/>
      <c r="M31" s="12"/>
    </row>
    <row r="32" spans="1:13" ht="13.5" customHeight="1" x14ac:dyDescent="0.25">
      <c r="A32" s="50" t="s">
        <v>30</v>
      </c>
      <c r="B32" s="50"/>
      <c r="C32" s="10"/>
      <c r="D32" s="10">
        <f>D30-D31</f>
        <v>-5339.231920287828</v>
      </c>
      <c r="E32" s="10">
        <f>E30-E31</f>
        <v>-6904.4533108124451</v>
      </c>
      <c r="F32" s="10">
        <f>F30-F31</f>
        <v>-8947.3155184153875</v>
      </c>
      <c r="G32" s="10">
        <f>G30-G31</f>
        <v>-13805.419531205174</v>
      </c>
      <c r="H32" s="12"/>
      <c r="I32" s="12"/>
      <c r="J32" s="12"/>
      <c r="K32" s="12"/>
      <c r="L32" s="12"/>
      <c r="M32" s="12"/>
    </row>
    <row r="33" spans="1:13" ht="13.5" customHeight="1" x14ac:dyDescent="0.25">
      <c r="A33" s="50"/>
      <c r="B33" s="50"/>
      <c r="C33" s="10"/>
      <c r="D33" s="10"/>
      <c r="E33" s="10"/>
      <c r="F33" s="10"/>
      <c r="G33" s="10"/>
      <c r="H33" s="12"/>
      <c r="I33" s="12"/>
      <c r="J33" s="12"/>
      <c r="K33" s="12"/>
      <c r="L33" s="12"/>
      <c r="M33" s="12"/>
    </row>
    <row r="34" spans="1:13" ht="13.5" customHeight="1" x14ac:dyDescent="0.25">
      <c r="A34" s="15" t="s">
        <v>31</v>
      </c>
      <c r="B34" s="50"/>
      <c r="C34" s="10"/>
      <c r="D34" s="10"/>
      <c r="E34" s="10"/>
      <c r="F34" s="10"/>
      <c r="G34" s="10"/>
      <c r="H34" s="12"/>
      <c r="I34" s="12"/>
      <c r="J34" s="12"/>
      <c r="K34" s="12"/>
      <c r="L34" s="12"/>
      <c r="M34" s="12"/>
    </row>
    <row r="35" spans="1:13" ht="13.5" customHeight="1" x14ac:dyDescent="0.25">
      <c r="A35" s="50" t="s">
        <v>32</v>
      </c>
      <c r="B35" s="50"/>
      <c r="C35" s="10"/>
      <c r="D35" s="10"/>
      <c r="E35" s="10"/>
      <c r="F35" s="10"/>
      <c r="G35" s="10"/>
      <c r="H35" s="12"/>
      <c r="I35" s="12"/>
      <c r="J35" s="12" t="s">
        <v>136</v>
      </c>
      <c r="K35" s="12" t="s">
        <v>137</v>
      </c>
      <c r="M35" s="12"/>
    </row>
    <row r="36" spans="1:13" ht="13.5" customHeight="1" x14ac:dyDescent="0.25">
      <c r="A36" s="50" t="s">
        <v>33</v>
      </c>
      <c r="B36" s="50"/>
      <c r="C36" s="10"/>
      <c r="D36" s="10">
        <v>1200</v>
      </c>
      <c r="E36" s="10">
        <f>D36</f>
        <v>1200</v>
      </c>
      <c r="F36" s="10">
        <f>E36</f>
        <v>1200</v>
      </c>
      <c r="G36" s="10">
        <f>F36</f>
        <v>1200</v>
      </c>
      <c r="H36" s="12"/>
      <c r="I36" s="12"/>
      <c r="J36" s="12"/>
      <c r="K36" s="12">
        <v>1200</v>
      </c>
      <c r="M36" s="12"/>
    </row>
    <row r="37" spans="1:13" ht="13.5" customHeight="1" x14ac:dyDescent="0.25">
      <c r="A37" s="50" t="s">
        <v>34</v>
      </c>
      <c r="B37" s="50"/>
      <c r="C37" s="10"/>
      <c r="D37" s="10">
        <v>48215</v>
      </c>
      <c r="E37" s="10">
        <v>22161</v>
      </c>
      <c r="F37" s="10"/>
      <c r="G37" s="10"/>
      <c r="H37" s="12"/>
      <c r="I37" s="12"/>
      <c r="J37" s="12"/>
      <c r="K37" s="12"/>
      <c r="M37" s="12"/>
    </row>
    <row r="38" spans="1:13" ht="13.5" customHeight="1" x14ac:dyDescent="0.25">
      <c r="A38" s="50" t="s">
        <v>35</v>
      </c>
      <c r="B38" s="50"/>
      <c r="C38" s="10"/>
      <c r="D38" s="10">
        <f>((D17+D18)/365)*D10</f>
        <v>2136.9863013698632</v>
      </c>
      <c r="E38" s="10">
        <f>(E17/365)*E10</f>
        <v>1404.1767123287671</v>
      </c>
      <c r="F38" s="10">
        <f>(F17/365)*F10</f>
        <v>1199.4582789965755</v>
      </c>
      <c r="G38" s="10">
        <f>(G17/365)*G10</f>
        <v>1024.586257855967</v>
      </c>
      <c r="H38" s="12"/>
      <c r="I38" s="12"/>
      <c r="J38" s="12"/>
      <c r="K38" s="12">
        <v>600</v>
      </c>
      <c r="M38" s="12"/>
    </row>
    <row r="39" spans="1:13" ht="13.5" customHeight="1" x14ac:dyDescent="0.25">
      <c r="A39" s="50" t="s">
        <v>36</v>
      </c>
      <c r="B39" s="50"/>
      <c r="C39" s="10"/>
      <c r="D39" s="10">
        <f>(D20/365)*D11</f>
        <v>84666.666666666657</v>
      </c>
      <c r="E39" s="10">
        <f>(E20/365)*E11</f>
        <v>77662.346666666679</v>
      </c>
      <c r="F39" s="10">
        <f>(F20/365)*F11</f>
        <v>71424.661623466687</v>
      </c>
      <c r="G39" s="10">
        <f>(G20/365)*G11</f>
        <v>65871.583498814638</v>
      </c>
      <c r="H39" s="12"/>
      <c r="I39" s="12"/>
      <c r="J39" s="12"/>
      <c r="K39" s="12">
        <v>50000</v>
      </c>
      <c r="M39" s="12"/>
    </row>
    <row r="40" spans="1:13" ht="13.5" customHeight="1" x14ac:dyDescent="0.25">
      <c r="A40" s="50"/>
      <c r="B40" s="50"/>
      <c r="C40" s="10"/>
      <c r="D40" s="10"/>
      <c r="E40" s="10"/>
      <c r="F40" s="10"/>
      <c r="G40" s="10"/>
      <c r="H40" s="12"/>
      <c r="I40" s="12"/>
      <c r="J40" s="12"/>
      <c r="K40" s="12"/>
      <c r="M40" s="12"/>
    </row>
    <row r="41" spans="1:13" ht="13.5" customHeight="1" x14ac:dyDescent="0.25">
      <c r="A41" s="50" t="s">
        <v>37</v>
      </c>
      <c r="B41" s="50"/>
      <c r="C41" s="10"/>
      <c r="D41" s="10">
        <v>50000</v>
      </c>
      <c r="E41" s="10">
        <f>D41</f>
        <v>50000</v>
      </c>
      <c r="F41" s="10">
        <f>E41</f>
        <v>50000</v>
      </c>
      <c r="G41" s="10">
        <f>F41</f>
        <v>50000</v>
      </c>
      <c r="H41" s="23">
        <v>50000</v>
      </c>
      <c r="I41" s="12"/>
      <c r="J41" s="12">
        <v>45000</v>
      </c>
      <c r="K41" s="12"/>
      <c r="M41" s="12"/>
    </row>
    <row r="42" spans="1:13" ht="13.5" customHeight="1" x14ac:dyDescent="0.25">
      <c r="A42" s="50" t="s">
        <v>38</v>
      </c>
      <c r="B42" s="50"/>
      <c r="C42" s="10"/>
      <c r="D42" s="10">
        <f>$H$42</f>
        <v>350000</v>
      </c>
      <c r="E42" s="10">
        <f>$H$42</f>
        <v>350000</v>
      </c>
      <c r="F42" s="10">
        <f>$H$42</f>
        <v>350000</v>
      </c>
      <c r="G42" s="10">
        <f>$H$42</f>
        <v>350000</v>
      </c>
      <c r="H42" s="23">
        <v>350000</v>
      </c>
      <c r="I42" s="23" t="s">
        <v>39</v>
      </c>
      <c r="J42" s="12">
        <f>(300000-J41)-J36</f>
        <v>255000</v>
      </c>
      <c r="K42" s="12"/>
      <c r="M42" s="12"/>
    </row>
    <row r="43" spans="1:13" ht="13.5" customHeight="1" x14ac:dyDescent="0.25">
      <c r="A43" s="50" t="s">
        <v>40</v>
      </c>
      <c r="B43" s="50"/>
      <c r="C43" s="10"/>
      <c r="D43" s="10">
        <f>C43+D26</f>
        <v>11666.666666666666</v>
      </c>
      <c r="E43" s="10">
        <f>D43+E26</f>
        <v>23333.333333333332</v>
      </c>
      <c r="F43" s="10">
        <f>E43+F26</f>
        <v>35000</v>
      </c>
      <c r="G43" s="10">
        <f>F43+G26</f>
        <v>46666.666666666664</v>
      </c>
      <c r="H43" s="12"/>
      <c r="I43" s="12"/>
      <c r="J43" s="12"/>
      <c r="K43" s="12"/>
      <c r="L43" s="12"/>
      <c r="M43" s="12"/>
    </row>
    <row r="44" spans="1:13" ht="13.5" customHeight="1" x14ac:dyDescent="0.25">
      <c r="A44" s="50"/>
      <c r="B44" s="50"/>
      <c r="C44" s="10"/>
      <c r="D44" s="10"/>
      <c r="E44" s="10"/>
      <c r="F44" s="10"/>
      <c r="G44" s="10"/>
      <c r="H44" s="23"/>
      <c r="I44" s="12"/>
      <c r="J44" s="12"/>
      <c r="K44" s="12"/>
      <c r="L44" s="12"/>
      <c r="M44" s="12"/>
    </row>
    <row r="45" spans="1:13" ht="13.5" customHeight="1" x14ac:dyDescent="0.25">
      <c r="A45" s="50" t="s">
        <v>43</v>
      </c>
      <c r="B45" s="50"/>
      <c r="C45" s="10"/>
      <c r="D45" s="10">
        <f>SUM(D36:D42)-D43</f>
        <v>524551.98630136985</v>
      </c>
      <c r="E45" s="10">
        <f>SUM(E36:E42)-E43</f>
        <v>479094.19004566217</v>
      </c>
      <c r="F45" s="10">
        <f>SUM(F36:F42)-F43</f>
        <v>438824.11990246328</v>
      </c>
      <c r="G45" s="10">
        <f>SUM(G36:G42)-G43</f>
        <v>421429.50309000391</v>
      </c>
      <c r="H45" s="23"/>
      <c r="I45" s="23"/>
      <c r="J45" s="12"/>
      <c r="K45" s="12"/>
      <c r="L45" s="12"/>
      <c r="M45" s="12"/>
    </row>
    <row r="46" spans="1:13" ht="13.5" customHeight="1" x14ac:dyDescent="0.25">
      <c r="A46" s="50"/>
      <c r="B46" s="50"/>
      <c r="C46" s="10"/>
      <c r="D46" s="10"/>
      <c r="E46" s="10"/>
      <c r="F46" s="10"/>
      <c r="G46" s="10"/>
      <c r="H46" s="23"/>
      <c r="I46" s="1"/>
      <c r="J46" s="12"/>
      <c r="K46" s="12"/>
      <c r="L46" s="12"/>
      <c r="M46" s="12"/>
    </row>
    <row r="47" spans="1:13" ht="13.5" customHeight="1" x14ac:dyDescent="0.25">
      <c r="A47" s="50" t="s">
        <v>47</v>
      </c>
      <c r="B47" s="50"/>
      <c r="C47" s="10"/>
      <c r="D47" s="10"/>
      <c r="E47" s="10"/>
      <c r="F47" s="10"/>
      <c r="G47" s="10"/>
      <c r="H47" s="23"/>
      <c r="I47" s="3"/>
      <c r="J47" s="12"/>
      <c r="K47" s="12"/>
      <c r="L47" s="12"/>
      <c r="M47" s="12"/>
    </row>
    <row r="48" spans="1:13" ht="13.5" customHeight="1" x14ac:dyDescent="0.25">
      <c r="A48" s="50" t="s">
        <v>49</v>
      </c>
      <c r="B48" s="50"/>
      <c r="C48" s="10"/>
      <c r="D48" s="10">
        <f>(D20/365)*D12</f>
        <v>13917.80821917808</v>
      </c>
      <c r="E48" s="10">
        <f>(E20/365)*E12</f>
        <v>12214.020273972605</v>
      </c>
      <c r="F48" s="10">
        <f>(F20/365)*F12</f>
        <v>10746.970590060277</v>
      </c>
      <c r="G48" s="10">
        <f>(G20/365)*G12</f>
        <v>9482.5625017263901</v>
      </c>
      <c r="H48" s="23"/>
      <c r="I48" s="1"/>
      <c r="J48" s="12"/>
      <c r="K48" s="12">
        <v>-9483</v>
      </c>
      <c r="L48" s="12"/>
      <c r="M48" s="12"/>
    </row>
    <row r="49" spans="1:15" ht="13.5" customHeight="1" x14ac:dyDescent="0.25">
      <c r="A49" s="50" t="s">
        <v>51</v>
      </c>
      <c r="B49" s="50"/>
      <c r="C49" s="10"/>
      <c r="D49" s="10">
        <f>D31</f>
        <v>0</v>
      </c>
      <c r="E49" s="10">
        <f>E31</f>
        <v>0</v>
      </c>
      <c r="F49" s="10">
        <f>F31</f>
        <v>0</v>
      </c>
      <c r="G49" s="10">
        <f>G31</f>
        <v>0</v>
      </c>
      <c r="H49" s="12"/>
      <c r="I49" s="12"/>
      <c r="J49" s="12"/>
      <c r="K49" s="49">
        <f>SUM(K36:K48)</f>
        <v>42317</v>
      </c>
      <c r="L49" s="12"/>
      <c r="M49" s="12"/>
    </row>
    <row r="50" spans="1:15" ht="13.5" customHeight="1" x14ac:dyDescent="0.25">
      <c r="A50" s="50"/>
      <c r="B50" s="50"/>
      <c r="C50" s="10"/>
      <c r="D50" s="10"/>
      <c r="E50" s="10"/>
      <c r="F50" s="10"/>
      <c r="G50" s="10"/>
      <c r="H50" s="23"/>
      <c r="I50" s="23"/>
      <c r="J50" s="43">
        <f>J51/G51</f>
        <v>0.86706939365827718</v>
      </c>
      <c r="K50" s="23"/>
      <c r="L50" s="12" t="s">
        <v>138</v>
      </c>
      <c r="M50" s="12" t="s">
        <v>139</v>
      </c>
      <c r="N50" t="s">
        <v>140</v>
      </c>
      <c r="O50" t="s">
        <v>141</v>
      </c>
    </row>
    <row r="51" spans="1:15" ht="13.5" customHeight="1" x14ac:dyDescent="0.25">
      <c r="A51" s="50" t="s">
        <v>57</v>
      </c>
      <c r="B51" s="50"/>
      <c r="C51" s="10"/>
      <c r="D51" s="10">
        <f>'Bad Mortgage'!F13</f>
        <v>465973.77470148279</v>
      </c>
      <c r="E51" s="10">
        <f>'Bad Mortgage'!F27</f>
        <v>429123.38948466734</v>
      </c>
      <c r="F51" s="10">
        <f>'Bad Mortgage'!F41</f>
        <v>389214.44046918943</v>
      </c>
      <c r="G51" s="10">
        <f>'Bad Mortgage'!F55</f>
        <v>345993.06836822076</v>
      </c>
      <c r="H51" s="31"/>
      <c r="I51" s="3"/>
      <c r="J51" s="49">
        <f>SUM(J36:J42)</f>
        <v>300000</v>
      </c>
      <c r="K51" s="43">
        <f>G51-J51</f>
        <v>45993.06836822076</v>
      </c>
      <c r="L51" s="51">
        <f>K51/K53</f>
        <v>0.47443380060474655</v>
      </c>
      <c r="M51" s="28">
        <f>L51*K49</f>
        <v>20076.615140191061</v>
      </c>
      <c r="N51" s="14">
        <f>J51+M51</f>
        <v>320076.61514019105</v>
      </c>
      <c r="O51" s="14">
        <f>N51/G51</f>
        <v>0.92509545537933058</v>
      </c>
    </row>
    <row r="52" spans="1:15" ht="13.5" customHeight="1" x14ac:dyDescent="0.25">
      <c r="A52" s="50" t="s">
        <v>58</v>
      </c>
      <c r="B52" s="50"/>
      <c r="C52" s="10"/>
      <c r="D52" s="10"/>
      <c r="E52" s="10"/>
      <c r="F52" s="10">
        <v>10054</v>
      </c>
      <c r="G52" s="10">
        <v>50950</v>
      </c>
      <c r="H52" s="31"/>
      <c r="I52" s="3"/>
      <c r="J52" s="13"/>
      <c r="K52">
        <f>G52-J52</f>
        <v>50950</v>
      </c>
      <c r="L52" s="51">
        <f>K52/K53</f>
        <v>0.52556619939525351</v>
      </c>
      <c r="M52" s="28">
        <f>L52*K49</f>
        <v>22240.384859808943</v>
      </c>
      <c r="N52" s="14">
        <f>J52+M52</f>
        <v>22240.384859808943</v>
      </c>
      <c r="O52" s="14">
        <f>N52/G52</f>
        <v>0.43651393247907638</v>
      </c>
    </row>
    <row r="53" spans="1:15" ht="13.5" customHeight="1" x14ac:dyDescent="0.25">
      <c r="A53" s="50"/>
      <c r="B53" s="50"/>
      <c r="C53" s="10"/>
      <c r="D53" s="10"/>
      <c r="E53" s="10"/>
      <c r="F53" s="10"/>
      <c r="G53" s="10"/>
      <c r="H53" s="12"/>
      <c r="I53" s="12"/>
      <c r="J53" s="12"/>
      <c r="K53" s="28">
        <f>SUM(K51:K52)</f>
        <v>96943.06836822076</v>
      </c>
      <c r="L53" s="12"/>
      <c r="M53" s="12"/>
    </row>
    <row r="54" spans="1:15" ht="13.5" customHeight="1" x14ac:dyDescent="0.25">
      <c r="A54" s="50" t="s">
        <v>59</v>
      </c>
      <c r="B54" s="50"/>
      <c r="C54" s="10"/>
      <c r="D54" s="10">
        <v>50000</v>
      </c>
      <c r="E54" s="10">
        <f>D54</f>
        <v>50000</v>
      </c>
      <c r="F54" s="10">
        <f>E54</f>
        <v>50000</v>
      </c>
      <c r="G54" s="10">
        <f>F54</f>
        <v>50000</v>
      </c>
      <c r="H54" s="31"/>
      <c r="I54" s="3"/>
      <c r="J54" s="1"/>
      <c r="K54" s="1"/>
      <c r="L54" s="51"/>
      <c r="M54" s="12"/>
    </row>
    <row r="55" spans="1:15" ht="13.5" customHeight="1" x14ac:dyDescent="0.25">
      <c r="A55" s="50" t="s">
        <v>60</v>
      </c>
      <c r="B55" s="50"/>
      <c r="C55" s="10"/>
      <c r="D55" s="10">
        <f>C55+D32</f>
        <v>-5339.231920287828</v>
      </c>
      <c r="E55" s="10">
        <f>D55+E32</f>
        <v>-12243.685231100273</v>
      </c>
      <c r="F55" s="10">
        <f>E55+F32</f>
        <v>-21191.000749515661</v>
      </c>
      <c r="G55" s="10">
        <f>F55+G32</f>
        <v>-34996.420280720835</v>
      </c>
      <c r="H55" s="31"/>
      <c r="I55" s="12"/>
      <c r="J55" s="12"/>
      <c r="K55" s="12"/>
      <c r="L55" s="12"/>
      <c r="M55" s="12"/>
    </row>
    <row r="56" spans="1:15" ht="13.5" customHeight="1" x14ac:dyDescent="0.25">
      <c r="A56" s="50"/>
      <c r="B56" s="50"/>
      <c r="C56" s="50"/>
      <c r="D56" s="10"/>
      <c r="E56" s="10"/>
      <c r="F56" s="10"/>
      <c r="G56" s="10"/>
      <c r="H56" s="12"/>
      <c r="I56" s="12"/>
      <c r="J56" s="12"/>
      <c r="K56" s="12"/>
      <c r="L56" s="12"/>
      <c r="M56" s="12"/>
    </row>
    <row r="57" spans="1:15" ht="13.5" customHeight="1" x14ac:dyDescent="0.25">
      <c r="A57" s="50" t="s">
        <v>61</v>
      </c>
      <c r="B57" s="50"/>
      <c r="C57" s="50"/>
      <c r="D57" s="10">
        <f>SUM(D48:D55)</f>
        <v>524552.35100037302</v>
      </c>
      <c r="E57" s="10">
        <f>SUM(E48:E55)</f>
        <v>479093.72452753969</v>
      </c>
      <c r="F57" s="10">
        <f>SUM(F48:F55)</f>
        <v>438824.41030973406</v>
      </c>
      <c r="G57" s="10">
        <f>SUM(G48:G55)</f>
        <v>421429.21058922634</v>
      </c>
      <c r="H57" s="19"/>
      <c r="I57" s="12"/>
      <c r="J57" s="12"/>
      <c r="K57" s="12"/>
      <c r="L57" s="51"/>
      <c r="M57" s="12"/>
    </row>
    <row r="58" spans="1:15" ht="13.5" customHeight="1" x14ac:dyDescent="0.25">
      <c r="A58" s="23" t="s">
        <v>63</v>
      </c>
      <c r="B58" s="6"/>
      <c r="C58" s="6"/>
      <c r="D58" s="34">
        <f>D45-D57</f>
        <v>-0.3646990031702444</v>
      </c>
      <c r="E58" s="34">
        <f>E45-E57</f>
        <v>0.46551812248071656</v>
      </c>
      <c r="F58" s="34">
        <f>F45-F57</f>
        <v>-0.29040727077517658</v>
      </c>
      <c r="G58" s="34">
        <f>G45-G57</f>
        <v>0.29250077757751569</v>
      </c>
      <c r="H58" s="6"/>
      <c r="I58" s="6"/>
      <c r="J58" s="6"/>
      <c r="K58" s="6"/>
      <c r="L58" s="12"/>
      <c r="M58" s="12"/>
    </row>
    <row r="59" spans="1:15" ht="13.5" customHeight="1" x14ac:dyDescent="0.25">
      <c r="A59" s="41" t="s">
        <v>64</v>
      </c>
      <c r="B59" s="18"/>
      <c r="C59" s="18"/>
      <c r="D59" s="18"/>
      <c r="E59" s="18"/>
      <c r="F59" s="18"/>
      <c r="G59" s="18"/>
      <c r="H59" s="6"/>
      <c r="I59" s="6"/>
      <c r="J59" s="6"/>
      <c r="K59" s="6"/>
      <c r="L59" s="12"/>
      <c r="M59" s="12"/>
    </row>
    <row r="60" spans="1:15" ht="13.5" customHeight="1" x14ac:dyDescent="0.25">
      <c r="A60" s="18"/>
      <c r="B60" s="18"/>
      <c r="C60" s="18"/>
      <c r="D60" s="18"/>
      <c r="E60" s="18"/>
      <c r="F60" s="18"/>
      <c r="G60" s="18"/>
      <c r="H60" s="6"/>
      <c r="I60" s="6"/>
      <c r="J60" s="6"/>
      <c r="K60" s="6"/>
      <c r="L60" s="12"/>
      <c r="M60" s="12"/>
    </row>
    <row r="61" spans="1:15" ht="13.5" customHeight="1" x14ac:dyDescent="0.25">
      <c r="A61" s="41" t="s">
        <v>65</v>
      </c>
      <c r="B61" s="18"/>
      <c r="C61" s="18"/>
      <c r="D61" s="18"/>
      <c r="E61" s="18"/>
      <c r="F61" s="18"/>
      <c r="G61" s="18"/>
      <c r="H61" s="6"/>
      <c r="I61" s="6"/>
      <c r="J61" s="6"/>
      <c r="K61" s="6"/>
      <c r="L61" s="12"/>
      <c r="M61" s="12"/>
    </row>
    <row r="62" spans="1:15" ht="13.5" customHeight="1" x14ac:dyDescent="0.25">
      <c r="A62" s="18"/>
      <c r="B62" s="18" t="s">
        <v>66</v>
      </c>
      <c r="C62" s="18"/>
      <c r="D62" s="29">
        <f>SUM(D17:D18)-SUM(D20:D24)</f>
        <v>33466.666666666686</v>
      </c>
      <c r="E62" s="29">
        <f>SUM(E17:E18)-SUM(E20:E24)</f>
        <v>29924.533333333326</v>
      </c>
      <c r="F62" s="29">
        <f>SUM(F17:F18)-SUM(F20:F24)</f>
        <v>26846.616466666659</v>
      </c>
      <c r="G62" s="29">
        <f>SUM(G17:G18)-SUM(G20:G24)</f>
        <v>24168.37629403334</v>
      </c>
      <c r="H62" s="6"/>
      <c r="I62" s="6"/>
      <c r="J62" s="6"/>
      <c r="K62" s="6"/>
      <c r="L62" s="12"/>
      <c r="M62" s="12"/>
    </row>
    <row r="63" spans="1:15" ht="13.5" customHeight="1" x14ac:dyDescent="0.25">
      <c r="A63" s="18"/>
      <c r="B63" s="18" t="s">
        <v>67</v>
      </c>
      <c r="C63" s="18"/>
      <c r="D63" s="29">
        <f>D26</f>
        <v>11666.666666666666</v>
      </c>
      <c r="E63" s="29">
        <f>E26</f>
        <v>11666.666666666666</v>
      </c>
      <c r="F63" s="29">
        <f>F26</f>
        <v>11666.666666666666</v>
      </c>
      <c r="G63" s="29">
        <f>G26</f>
        <v>11666.666666666666</v>
      </c>
      <c r="H63" s="6"/>
      <c r="I63" s="6"/>
      <c r="J63" s="6"/>
      <c r="K63" s="6"/>
      <c r="L63" s="12"/>
      <c r="M63" s="12"/>
    </row>
    <row r="64" spans="1:15" ht="13.5" customHeight="1" x14ac:dyDescent="0.25">
      <c r="A64" s="18"/>
      <c r="B64" s="18" t="s">
        <v>68</v>
      </c>
      <c r="C64" s="18"/>
      <c r="D64" s="29">
        <f>D62-D63</f>
        <v>21800.000000000022</v>
      </c>
      <c r="E64" s="29">
        <f>E62-E63</f>
        <v>18257.866666666661</v>
      </c>
      <c r="F64" s="29">
        <f>F62-F63</f>
        <v>15179.949799999993</v>
      </c>
      <c r="G64" s="29">
        <f>G62-G63</f>
        <v>12501.709627366674</v>
      </c>
      <c r="H64" s="6"/>
      <c r="I64" s="6"/>
      <c r="J64" s="6"/>
      <c r="K64" s="6"/>
      <c r="L64" s="12"/>
      <c r="M64" s="12"/>
    </row>
    <row r="65" spans="1:13" ht="13.5" customHeight="1" x14ac:dyDescent="0.25">
      <c r="A65" s="18"/>
      <c r="B65" s="18" t="s">
        <v>69</v>
      </c>
      <c r="C65" s="18"/>
      <c r="D65" s="29">
        <f>D64*$H$31</f>
        <v>4360.0000000000045</v>
      </c>
      <c r="E65" s="29">
        <f>E64*$H$31</f>
        <v>3651.5733333333324</v>
      </c>
      <c r="F65" s="29">
        <f>F64*$H$31</f>
        <v>3035.989959999999</v>
      </c>
      <c r="G65" s="29">
        <f>G64*$H$31</f>
        <v>2500.3419254733349</v>
      </c>
      <c r="H65" s="6"/>
      <c r="I65" s="6"/>
      <c r="J65" s="6"/>
      <c r="K65" s="6"/>
      <c r="L65" s="12"/>
      <c r="M65" s="12"/>
    </row>
    <row r="66" spans="1:13" ht="13.5" customHeight="1" x14ac:dyDescent="0.25">
      <c r="A66" s="18"/>
      <c r="B66" s="18" t="s">
        <v>70</v>
      </c>
      <c r="C66" s="22"/>
      <c r="D66" s="47">
        <f>D63</f>
        <v>11666.666666666666</v>
      </c>
      <c r="E66" s="47">
        <f>E63</f>
        <v>11666.666666666666</v>
      </c>
      <c r="F66" s="47">
        <f>F63</f>
        <v>11666.666666666666</v>
      </c>
      <c r="G66" s="47">
        <f>G63</f>
        <v>11666.666666666666</v>
      </c>
      <c r="H66" s="6"/>
      <c r="I66" s="6"/>
      <c r="J66" s="6"/>
      <c r="K66" s="6"/>
      <c r="L66" s="12"/>
      <c r="M66" s="12"/>
    </row>
    <row r="67" spans="1:13" ht="13.5" customHeight="1" x14ac:dyDescent="0.25">
      <c r="A67" s="18"/>
      <c r="B67" s="37" t="s">
        <v>71</v>
      </c>
      <c r="C67" s="5"/>
      <c r="D67" s="21">
        <f>(D64-D65)+D66</f>
        <v>29106.666666666686</v>
      </c>
      <c r="E67" s="21">
        <f>(E64-E65)+E66</f>
        <v>26272.959999999995</v>
      </c>
      <c r="F67" s="21">
        <f>(F64-F65)+F66</f>
        <v>23810.62650666666</v>
      </c>
      <c r="G67" s="21">
        <f>(G64-G65)+G66</f>
        <v>21668.034368560006</v>
      </c>
      <c r="H67" s="35"/>
      <c r="I67" s="6"/>
      <c r="J67" s="6"/>
      <c r="K67" s="6"/>
      <c r="L67" s="12"/>
      <c r="M67" s="12"/>
    </row>
    <row r="68" spans="1:13" ht="13.5" customHeight="1" x14ac:dyDescent="0.25">
      <c r="A68" s="18"/>
      <c r="B68" s="18"/>
      <c r="C68" s="32"/>
      <c r="D68" s="32"/>
      <c r="E68" s="32"/>
      <c r="F68" s="32"/>
      <c r="G68" s="32"/>
      <c r="H68" s="6"/>
      <c r="I68" s="6"/>
      <c r="J68" s="6"/>
      <c r="K68" s="6"/>
      <c r="L68" s="12"/>
      <c r="M68" s="12"/>
    </row>
    <row r="69" spans="1:13" ht="13.5" customHeight="1" x14ac:dyDescent="0.25">
      <c r="A69" s="41" t="s">
        <v>72</v>
      </c>
      <c r="B69" s="18"/>
      <c r="C69" s="18"/>
      <c r="D69" s="18"/>
      <c r="E69" s="18"/>
      <c r="F69" s="18"/>
      <c r="G69" s="18"/>
      <c r="H69" s="6" t="s">
        <v>73</v>
      </c>
      <c r="I69" s="24" t="e">
        <f>#REF!</f>
        <v>#REF!</v>
      </c>
      <c r="J69" s="6"/>
      <c r="K69" s="6"/>
      <c r="L69" s="12"/>
      <c r="M69" s="12"/>
    </row>
    <row r="70" spans="1:13" ht="13.5" customHeight="1" x14ac:dyDescent="0.25">
      <c r="A70" s="18"/>
      <c r="B70" s="18" t="s">
        <v>74</v>
      </c>
      <c r="C70" s="29">
        <f>-D42</f>
        <v>-350000</v>
      </c>
      <c r="D70" s="18"/>
      <c r="E70" s="18"/>
      <c r="F70" s="18"/>
      <c r="G70" s="18"/>
      <c r="H70" s="6" t="s">
        <v>75</v>
      </c>
      <c r="I70" s="24" t="e">
        <f>#REF!</f>
        <v>#REF!</v>
      </c>
      <c r="J70" s="6"/>
      <c r="K70" s="6"/>
      <c r="L70" s="12"/>
      <c r="M70" s="12"/>
    </row>
    <row r="71" spans="1:13" ht="13.5" customHeight="1" x14ac:dyDescent="0.25">
      <c r="A71" s="18"/>
      <c r="B71" s="18" t="s">
        <v>76</v>
      </c>
      <c r="C71" s="18"/>
      <c r="D71" s="18"/>
      <c r="E71" s="18"/>
      <c r="F71" s="18"/>
      <c r="G71" s="29"/>
      <c r="H71" s="34">
        <f>H42</f>
        <v>350000</v>
      </c>
      <c r="I71" s="3">
        <v>1.5</v>
      </c>
      <c r="J71" s="6"/>
      <c r="K71" s="6"/>
      <c r="L71" s="12"/>
      <c r="M71" s="12"/>
    </row>
    <row r="72" spans="1:13" ht="13.5" customHeight="1" x14ac:dyDescent="0.25">
      <c r="A72" s="18"/>
      <c r="B72" s="18" t="s">
        <v>77</v>
      </c>
      <c r="C72" s="25">
        <f>-D41</f>
        <v>-50000</v>
      </c>
      <c r="D72" s="18"/>
      <c r="E72" s="18"/>
      <c r="F72" s="18"/>
      <c r="G72" s="29"/>
      <c r="H72" s="12"/>
      <c r="I72" s="6"/>
      <c r="J72" s="6"/>
      <c r="K72" s="6"/>
      <c r="L72" s="12"/>
      <c r="M72" s="12"/>
    </row>
    <row r="73" spans="1:13" ht="13.5" customHeight="1" x14ac:dyDescent="0.25">
      <c r="A73" s="18"/>
      <c r="B73" s="18" t="s">
        <v>78</v>
      </c>
      <c r="C73" s="18"/>
      <c r="D73" s="18"/>
      <c r="E73" s="18"/>
      <c r="F73" s="18"/>
      <c r="G73" s="29"/>
      <c r="H73" s="23">
        <v>50000</v>
      </c>
      <c r="I73" s="6">
        <v>2</v>
      </c>
      <c r="J73" s="6"/>
      <c r="K73" s="6"/>
      <c r="L73" s="12"/>
      <c r="M73" s="12"/>
    </row>
    <row r="74" spans="1:13" ht="13.5" customHeight="1" x14ac:dyDescent="0.25">
      <c r="A74" s="18"/>
      <c r="B74" s="18" t="s">
        <v>79</v>
      </c>
      <c r="C74" s="18"/>
      <c r="D74" s="18"/>
      <c r="E74" s="18"/>
      <c r="F74" s="18"/>
      <c r="G74" s="29"/>
      <c r="H74" s="12" t="s">
        <v>73</v>
      </c>
      <c r="I74" s="6" t="e">
        <f>#REF!</f>
        <v>#REF!</v>
      </c>
      <c r="J74" s="6"/>
      <c r="K74" s="6"/>
      <c r="L74" s="12"/>
      <c r="M74" s="12"/>
    </row>
    <row r="75" spans="1:13" ht="13.5" customHeight="1" x14ac:dyDescent="0.25">
      <c r="A75" s="18"/>
      <c r="B75" s="18"/>
      <c r="C75" s="18"/>
      <c r="D75" s="18"/>
      <c r="E75" s="18"/>
      <c r="F75" s="18"/>
      <c r="G75" s="18"/>
      <c r="H75" s="6"/>
      <c r="I75" s="6"/>
      <c r="J75" s="6"/>
      <c r="K75" s="6"/>
      <c r="L75" s="12"/>
      <c r="M75" s="12"/>
    </row>
    <row r="76" spans="1:13" ht="13.5" customHeight="1" x14ac:dyDescent="0.25">
      <c r="A76" s="41" t="s">
        <v>80</v>
      </c>
      <c r="B76" s="18"/>
      <c r="C76" s="18"/>
      <c r="D76" s="18"/>
      <c r="E76" s="18"/>
      <c r="F76" s="18"/>
      <c r="G76" s="18"/>
      <c r="H76" s="6"/>
      <c r="I76" s="6"/>
      <c r="J76" s="6"/>
      <c r="K76" s="6"/>
      <c r="L76" s="12"/>
      <c r="M76" s="12"/>
    </row>
    <row r="77" spans="1:13" ht="13.5" customHeight="1" x14ac:dyDescent="0.25">
      <c r="A77" s="18" t="s">
        <v>81</v>
      </c>
      <c r="B77" s="18" t="s">
        <v>35</v>
      </c>
      <c r="C77" s="18"/>
      <c r="D77" s="29">
        <f t="shared" ref="D77:G78" si="0">-(D38-C38)</f>
        <v>-2136.9863013698632</v>
      </c>
      <c r="E77" s="29">
        <f t="shared" si="0"/>
        <v>732.80958904109616</v>
      </c>
      <c r="F77" s="29">
        <f t="shared" si="0"/>
        <v>204.71843333219158</v>
      </c>
      <c r="G77" s="29">
        <f t="shared" si="0"/>
        <v>174.87202114060847</v>
      </c>
      <c r="H77" s="6"/>
      <c r="I77" s="6"/>
      <c r="J77" s="6"/>
      <c r="K77" s="6"/>
      <c r="L77" s="12"/>
      <c r="M77" s="12"/>
    </row>
    <row r="78" spans="1:13" ht="13.5" customHeight="1" x14ac:dyDescent="0.25">
      <c r="A78" s="18" t="s">
        <v>81</v>
      </c>
      <c r="B78" s="18" t="s">
        <v>36</v>
      </c>
      <c r="C78" s="18"/>
      <c r="D78" s="29">
        <f t="shared" si="0"/>
        <v>-84666.666666666657</v>
      </c>
      <c r="E78" s="29">
        <f t="shared" si="0"/>
        <v>7004.3199999999779</v>
      </c>
      <c r="F78" s="29">
        <f t="shared" si="0"/>
        <v>6237.6850431999919</v>
      </c>
      <c r="G78" s="29">
        <f t="shared" si="0"/>
        <v>5553.0781246520492</v>
      </c>
      <c r="H78" s="6"/>
      <c r="I78" s="6"/>
      <c r="J78" s="6"/>
      <c r="K78" s="6"/>
      <c r="L78" s="12"/>
      <c r="M78" s="12"/>
    </row>
    <row r="79" spans="1:13" ht="13.5" customHeight="1" x14ac:dyDescent="0.25">
      <c r="A79" s="18" t="s">
        <v>82</v>
      </c>
      <c r="B79" s="18" t="s">
        <v>49</v>
      </c>
      <c r="C79" s="18"/>
      <c r="D79" s="29">
        <f>(D48-C48)</f>
        <v>13917.80821917808</v>
      </c>
      <c r="E79" s="29">
        <f>(E48-D48)</f>
        <v>-1703.7879452054749</v>
      </c>
      <c r="F79" s="29">
        <f>(F48-E48)</f>
        <v>-1467.049683912328</v>
      </c>
      <c r="G79" s="29">
        <f>(G48-F48)</f>
        <v>-1264.4080883338866</v>
      </c>
      <c r="H79" s="6"/>
      <c r="I79" s="6"/>
      <c r="J79" s="6"/>
      <c r="K79" s="6"/>
      <c r="L79" s="12"/>
      <c r="M79" s="12"/>
    </row>
    <row r="80" spans="1:13" ht="13.5" customHeight="1" x14ac:dyDescent="0.25">
      <c r="A80" s="18" t="s">
        <v>82</v>
      </c>
      <c r="B80" s="18" t="s">
        <v>83</v>
      </c>
      <c r="C80" s="18"/>
      <c r="D80" s="29">
        <f>(D65-C65)</f>
        <v>4360.0000000000045</v>
      </c>
      <c r="E80" s="29">
        <f>(E65-D65)</f>
        <v>-708.42666666667219</v>
      </c>
      <c r="F80" s="29">
        <f>(F65-E65)</f>
        <v>-615.58337333333338</v>
      </c>
      <c r="G80" s="29">
        <f>(G65-F65)</f>
        <v>-535.64803452666411</v>
      </c>
      <c r="H80" s="6"/>
      <c r="I80" s="6"/>
      <c r="J80" s="6"/>
      <c r="K80" s="6"/>
      <c r="L80" s="12"/>
      <c r="M80" s="12"/>
    </row>
    <row r="81" spans="1:13" ht="13.5" customHeight="1" x14ac:dyDescent="0.25">
      <c r="A81" s="18"/>
      <c r="B81" s="18"/>
      <c r="C81" s="18"/>
      <c r="D81" s="18"/>
      <c r="E81" s="18"/>
      <c r="F81" s="18"/>
      <c r="G81" s="18"/>
      <c r="H81" s="6"/>
      <c r="I81" s="6"/>
      <c r="J81" s="6"/>
      <c r="K81" s="6"/>
      <c r="L81" s="12"/>
      <c r="M81" s="12"/>
    </row>
    <row r="82" spans="1:13" ht="13.5" customHeight="1" x14ac:dyDescent="0.25">
      <c r="A82" s="41" t="s">
        <v>84</v>
      </c>
      <c r="B82" s="18"/>
      <c r="C82" s="18"/>
      <c r="D82" s="18"/>
      <c r="E82" s="18"/>
      <c r="F82" s="18"/>
      <c r="G82" s="18"/>
      <c r="H82" s="6"/>
      <c r="I82" s="6"/>
      <c r="J82" s="6"/>
      <c r="K82" s="6"/>
      <c r="L82" s="12"/>
      <c r="M82" s="12"/>
    </row>
    <row r="83" spans="1:13" ht="13.5" customHeight="1" x14ac:dyDescent="0.25">
      <c r="A83" s="18" t="s">
        <v>82</v>
      </c>
      <c r="B83" s="18" t="s">
        <v>35</v>
      </c>
      <c r="C83" s="18"/>
      <c r="D83" s="29"/>
      <c r="E83" s="29"/>
      <c r="F83" s="29"/>
      <c r="G83" s="29"/>
      <c r="H83" s="6"/>
      <c r="I83" s="6"/>
      <c r="J83" s="6"/>
      <c r="K83" s="6"/>
      <c r="L83" s="12"/>
      <c r="M83" s="12"/>
    </row>
    <row r="84" spans="1:13" ht="13.5" customHeight="1" x14ac:dyDescent="0.25">
      <c r="A84" s="18" t="s">
        <v>82</v>
      </c>
      <c r="B84" s="18" t="s">
        <v>36</v>
      </c>
      <c r="C84" s="18"/>
      <c r="D84" s="29"/>
      <c r="E84" s="29"/>
      <c r="F84" s="29"/>
      <c r="G84" s="29"/>
      <c r="H84" s="6"/>
      <c r="I84" s="6"/>
      <c r="J84" s="6"/>
      <c r="K84" s="6"/>
      <c r="L84" s="12"/>
      <c r="M84" s="12"/>
    </row>
    <row r="85" spans="1:13" ht="13.5" customHeight="1" x14ac:dyDescent="0.25">
      <c r="A85" s="18" t="s">
        <v>81</v>
      </c>
      <c r="B85" s="18" t="s">
        <v>49</v>
      </c>
      <c r="C85" s="18"/>
      <c r="D85" s="29"/>
      <c r="E85" s="29"/>
      <c r="F85" s="29"/>
      <c r="G85" s="29"/>
      <c r="H85" s="6"/>
      <c r="I85" s="6"/>
      <c r="J85" s="6"/>
      <c r="K85" s="6"/>
      <c r="L85" s="12"/>
      <c r="M85" s="12"/>
    </row>
    <row r="86" spans="1:13" ht="13.5" customHeight="1" x14ac:dyDescent="0.25">
      <c r="A86" s="18" t="s">
        <v>81</v>
      </c>
      <c r="B86" s="18" t="s">
        <v>83</v>
      </c>
      <c r="C86" s="18"/>
      <c r="D86" s="29"/>
      <c r="E86" s="29"/>
      <c r="F86" s="29"/>
      <c r="G86" s="29"/>
      <c r="H86" s="6"/>
      <c r="I86" s="6"/>
      <c r="J86" s="6"/>
      <c r="K86" s="6"/>
      <c r="L86" s="12"/>
      <c r="M86" s="12"/>
    </row>
    <row r="87" spans="1:13" ht="13.5" customHeight="1" x14ac:dyDescent="0.25">
      <c r="A87" s="18"/>
      <c r="B87" s="18"/>
      <c r="C87" s="18"/>
      <c r="D87" s="18"/>
      <c r="E87" s="18"/>
      <c r="F87" s="18"/>
      <c r="G87" s="18"/>
      <c r="H87" s="6"/>
      <c r="I87" s="6"/>
      <c r="J87" s="6"/>
      <c r="K87" s="6"/>
      <c r="L87" s="12"/>
      <c r="M87" s="12"/>
    </row>
    <row r="88" spans="1:13" ht="13.5" customHeight="1" x14ac:dyDescent="0.25">
      <c r="A88" s="41" t="s">
        <v>85</v>
      </c>
      <c r="B88" s="18"/>
      <c r="C88" s="29">
        <f>SUM(C67:C86)</f>
        <v>-400000</v>
      </c>
      <c r="D88" s="29">
        <f>SUM(D67:D86)</f>
        <v>-39419.178082191749</v>
      </c>
      <c r="E88" s="29">
        <f>SUM(E67:E86)</f>
        <v>31597.874977168918</v>
      </c>
      <c r="F88" s="29">
        <f>SUM(F67:F86)</f>
        <v>28170.39692595318</v>
      </c>
      <c r="G88" s="29">
        <f>SUM(G67:G86)</f>
        <v>25595.928391492111</v>
      </c>
      <c r="H88" s="1"/>
      <c r="I88" s="6"/>
      <c r="J88" s="6"/>
      <c r="K88" s="6"/>
      <c r="L88" s="12"/>
      <c r="M88" s="12"/>
    </row>
    <row r="89" spans="1:13" ht="13.5" customHeight="1" x14ac:dyDescent="0.25">
      <c r="A89" s="41" t="s">
        <v>86</v>
      </c>
      <c r="B89" s="18"/>
      <c r="C89" s="29">
        <f>-PV($C$91,C90,,C88)</f>
        <v>-400000</v>
      </c>
      <c r="D89" s="29">
        <f>-PV($C$91,D90,,D88)</f>
        <v>-36499.238964992357</v>
      </c>
      <c r="E89" s="29">
        <f>-PV($C$91,E90,,E88)</f>
        <v>27090.084856969235</v>
      </c>
      <c r="F89" s="29">
        <f>-PV($C$91,F90,,F88)</f>
        <v>22362.569322157109</v>
      </c>
      <c r="G89" s="29">
        <f>-PV($C$91,G90,,G88)</f>
        <v>18813.771477787006</v>
      </c>
      <c r="H89" s="6"/>
      <c r="I89" s="6"/>
      <c r="J89" s="6"/>
      <c r="K89" s="6"/>
      <c r="L89" s="12"/>
      <c r="M89" s="12"/>
    </row>
    <row r="90" spans="1:13" ht="13.5" customHeight="1" x14ac:dyDescent="0.25">
      <c r="A90" s="18"/>
      <c r="B90" s="18"/>
      <c r="C90" s="18">
        <v>0</v>
      </c>
      <c r="D90" s="18">
        <v>1</v>
      </c>
      <c r="E90" s="18">
        <v>2</v>
      </c>
      <c r="F90" s="18">
        <v>3</v>
      </c>
      <c r="G90" s="18">
        <v>4</v>
      </c>
      <c r="H90" s="6"/>
      <c r="I90" s="6"/>
      <c r="J90" s="6"/>
      <c r="K90" s="6"/>
      <c r="L90" s="12"/>
      <c r="M90" s="12"/>
    </row>
    <row r="91" spans="1:13" ht="13.5" customHeight="1" x14ac:dyDescent="0.25">
      <c r="A91" s="18" t="s">
        <v>87</v>
      </c>
      <c r="B91" s="18"/>
      <c r="C91" s="39">
        <v>0.08</v>
      </c>
      <c r="D91" s="18"/>
      <c r="E91" s="18"/>
      <c r="F91" s="18"/>
      <c r="G91" s="18"/>
      <c r="H91" s="6"/>
      <c r="I91" s="6"/>
      <c r="J91" s="6"/>
      <c r="K91" s="6"/>
      <c r="L91" s="12"/>
      <c r="M91" s="12"/>
    </row>
    <row r="92" spans="1:13" ht="13.5" customHeight="1" x14ac:dyDescent="0.25">
      <c r="A92" s="41" t="s">
        <v>88</v>
      </c>
      <c r="B92" s="17"/>
      <c r="C92" s="21">
        <f>SUM(C89:G89)</f>
        <v>-368232.81330807897</v>
      </c>
      <c r="D92" s="7"/>
      <c r="E92" s="18"/>
      <c r="F92" s="18"/>
      <c r="G92" s="18"/>
      <c r="H92" s="6"/>
      <c r="I92" s="6"/>
      <c r="J92" s="6"/>
      <c r="K92" s="6"/>
      <c r="L92" s="12"/>
      <c r="M92" s="12"/>
    </row>
    <row r="93" spans="1:13" ht="13.5" customHeight="1" x14ac:dyDescent="0.25">
      <c r="A93" s="41" t="s">
        <v>89</v>
      </c>
      <c r="B93" s="17"/>
      <c r="C93" s="46">
        <f>IRR(C88:G88)</f>
        <v>-0.42137371935867474</v>
      </c>
      <c r="D93" s="7"/>
      <c r="E93" s="18"/>
      <c r="F93" s="18"/>
      <c r="G93" s="18"/>
      <c r="H93" s="6"/>
      <c r="I93" s="6"/>
      <c r="J93" s="6"/>
      <c r="K93" s="6"/>
      <c r="L93" s="12"/>
      <c r="M93" s="12"/>
    </row>
    <row r="94" spans="1:13" ht="13.5" customHeight="1" x14ac:dyDescent="0.25">
      <c r="A94" s="41"/>
      <c r="B94" s="18"/>
      <c r="C94" s="26"/>
      <c r="D94" s="18"/>
      <c r="E94" s="18"/>
      <c r="F94" s="18"/>
      <c r="G94" s="18"/>
      <c r="H94" s="6"/>
      <c r="I94" s="6"/>
      <c r="J94" s="6"/>
      <c r="K94" s="6"/>
      <c r="L94" s="12"/>
      <c r="M94" s="12"/>
    </row>
    <row r="95" spans="1:13" ht="13.5" customHeight="1" x14ac:dyDescent="0.25">
      <c r="A95" s="41"/>
      <c r="B95" s="18"/>
      <c r="C95" s="47"/>
      <c r="D95" s="29"/>
      <c r="E95" s="29"/>
      <c r="F95" s="29"/>
      <c r="G95" s="29"/>
      <c r="H95" s="1"/>
      <c r="I95" s="6"/>
      <c r="J95" s="6"/>
      <c r="K95" s="6"/>
      <c r="L95" s="12"/>
      <c r="M95" s="12"/>
    </row>
    <row r="96" spans="1:13" ht="13.5" customHeight="1" x14ac:dyDescent="0.25">
      <c r="A96" s="41"/>
      <c r="B96" s="17"/>
      <c r="C96" s="46"/>
      <c r="D96" s="7"/>
      <c r="E96" s="18"/>
      <c r="F96" s="18"/>
      <c r="G96" s="18"/>
      <c r="H96" s="6"/>
      <c r="I96" s="6"/>
      <c r="J96" s="6"/>
      <c r="K96" s="6"/>
      <c r="L96" s="12"/>
      <c r="M96" s="12"/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2"/>
  <sheetViews>
    <sheetView workbookViewId="0"/>
  </sheetViews>
  <sheetFormatPr defaultColWidth="17.140625" defaultRowHeight="12.75" customHeight="1" x14ac:dyDescent="0.2"/>
  <cols>
    <col min="1" max="1" width="30.140625" customWidth="1"/>
    <col min="2" max="2" width="16.140625" customWidth="1"/>
    <col min="3" max="3" width="12.7109375" customWidth="1"/>
    <col min="4" max="4" width="12.85546875" customWidth="1"/>
    <col min="5" max="5" width="13.42578125" customWidth="1"/>
    <col min="6" max="6" width="12.42578125" customWidth="1"/>
    <col min="7" max="9" width="10.7109375" customWidth="1"/>
  </cols>
  <sheetData>
    <row r="1" spans="1:10" ht="14.25" x14ac:dyDescent="0.2">
      <c r="A1" s="6"/>
      <c r="B1" s="6" t="s">
        <v>90</v>
      </c>
      <c r="C1" s="6" t="s">
        <v>91</v>
      </c>
      <c r="D1" s="6" t="s">
        <v>92</v>
      </c>
      <c r="E1" s="6" t="s">
        <v>93</v>
      </c>
      <c r="F1" s="6" t="s">
        <v>94</v>
      </c>
      <c r="G1" s="6"/>
      <c r="H1" s="6" t="s">
        <v>95</v>
      </c>
      <c r="I1" s="6"/>
      <c r="J1" s="20">
        <v>500000</v>
      </c>
    </row>
    <row r="2" spans="1:10" ht="12" customHeight="1" x14ac:dyDescent="0.2">
      <c r="A2" s="12" t="s">
        <v>96</v>
      </c>
      <c r="B2" s="2">
        <f>J1</f>
        <v>500000</v>
      </c>
      <c r="C2" s="2">
        <f t="shared" ref="C2:C13" si="0">+E2-D2</f>
        <v>2733.0463844345127</v>
      </c>
      <c r="D2" s="2">
        <f t="shared" ref="D2:D13" si="1">+B2*$J$3</f>
        <v>3333.3333333333335</v>
      </c>
      <c r="E2" s="2">
        <f t="shared" ref="E2:E13" si="2">$J$6</f>
        <v>6066.3797177678462</v>
      </c>
      <c r="F2" s="2">
        <f t="shared" ref="F2:F13" si="3">+B2-C2</f>
        <v>497266.95361556549</v>
      </c>
      <c r="G2" s="6"/>
      <c r="H2" s="6" t="s">
        <v>97</v>
      </c>
      <c r="I2" s="6"/>
      <c r="J2" s="33">
        <f>Answer!N27</f>
        <v>0.08</v>
      </c>
    </row>
    <row r="3" spans="1:10" ht="12" customHeight="1" x14ac:dyDescent="0.2">
      <c r="A3" s="12"/>
      <c r="B3" s="2">
        <f t="shared" ref="B3:B13" si="4">+F2</f>
        <v>497266.95361556549</v>
      </c>
      <c r="C3" s="2">
        <f t="shared" si="0"/>
        <v>2751.2666936640758</v>
      </c>
      <c r="D3" s="2">
        <f t="shared" si="1"/>
        <v>3315.1130241037704</v>
      </c>
      <c r="E3" s="2">
        <f t="shared" si="2"/>
        <v>6066.3797177678462</v>
      </c>
      <c r="F3" s="2">
        <f t="shared" si="3"/>
        <v>494515.68692190142</v>
      </c>
      <c r="G3" s="6"/>
      <c r="H3" s="6" t="s">
        <v>98</v>
      </c>
      <c r="I3" s="6"/>
      <c r="J3" s="52">
        <f>J2/12</f>
        <v>6.6666666666666671E-3</v>
      </c>
    </row>
    <row r="4" spans="1:10" ht="12" customHeight="1" x14ac:dyDescent="0.2">
      <c r="A4" s="12"/>
      <c r="B4" s="2">
        <f t="shared" si="4"/>
        <v>494515.68692190142</v>
      </c>
      <c r="C4" s="2">
        <f t="shared" si="0"/>
        <v>2769.6084716218365</v>
      </c>
      <c r="D4" s="2">
        <f t="shared" si="1"/>
        <v>3296.7712461460096</v>
      </c>
      <c r="E4" s="2">
        <f t="shared" si="2"/>
        <v>6066.3797177678462</v>
      </c>
      <c r="F4" s="2">
        <f t="shared" si="3"/>
        <v>491746.0784502796</v>
      </c>
      <c r="G4" s="6"/>
      <c r="H4" s="6" t="s">
        <v>99</v>
      </c>
      <c r="I4" s="6"/>
      <c r="J4" s="6">
        <v>10</v>
      </c>
    </row>
    <row r="5" spans="1:10" ht="12" customHeight="1" x14ac:dyDescent="0.2">
      <c r="A5" s="12"/>
      <c r="B5" s="2">
        <f t="shared" si="4"/>
        <v>491746.0784502796</v>
      </c>
      <c r="C5" s="2">
        <f t="shared" si="0"/>
        <v>2788.0725280993152</v>
      </c>
      <c r="D5" s="2">
        <f t="shared" si="1"/>
        <v>3278.307189668531</v>
      </c>
      <c r="E5" s="2">
        <f t="shared" si="2"/>
        <v>6066.3797177678462</v>
      </c>
      <c r="F5" s="2">
        <f t="shared" si="3"/>
        <v>488958.00592218031</v>
      </c>
      <c r="G5" s="6"/>
      <c r="H5" s="6" t="s">
        <v>100</v>
      </c>
      <c r="I5" s="6"/>
      <c r="J5" s="6">
        <f>J4*12</f>
        <v>120</v>
      </c>
    </row>
    <row r="6" spans="1:10" ht="12" customHeight="1" x14ac:dyDescent="0.2">
      <c r="A6" s="12"/>
      <c r="B6" s="2">
        <f t="shared" si="4"/>
        <v>488958.00592218031</v>
      </c>
      <c r="C6" s="2">
        <f t="shared" si="0"/>
        <v>2806.6596782866441</v>
      </c>
      <c r="D6" s="2">
        <f t="shared" si="1"/>
        <v>3259.7200394812021</v>
      </c>
      <c r="E6" s="2">
        <f t="shared" si="2"/>
        <v>6066.3797177678462</v>
      </c>
      <c r="F6" s="2">
        <f t="shared" si="3"/>
        <v>486151.34624389367</v>
      </c>
      <c r="G6" s="6"/>
      <c r="H6" s="6" t="s">
        <v>93</v>
      </c>
      <c r="I6" s="6"/>
      <c r="J6" s="42">
        <f>-PMT(J3,J5,J1)</f>
        <v>6066.3797177678462</v>
      </c>
    </row>
    <row r="7" spans="1:10" ht="12" customHeight="1" x14ac:dyDescent="0.2">
      <c r="A7" s="12"/>
      <c r="B7" s="2">
        <f t="shared" si="4"/>
        <v>486151.34624389367</v>
      </c>
      <c r="C7" s="2">
        <f t="shared" si="0"/>
        <v>2825.370742808555</v>
      </c>
      <c r="D7" s="2">
        <f t="shared" si="1"/>
        <v>3241.0089749592912</v>
      </c>
      <c r="E7" s="2">
        <f t="shared" si="2"/>
        <v>6066.3797177678462</v>
      </c>
      <c r="F7" s="2">
        <f t="shared" si="3"/>
        <v>483325.97550108511</v>
      </c>
      <c r="G7" s="6"/>
      <c r="H7" s="6"/>
      <c r="I7" s="6"/>
      <c r="J7" s="6"/>
    </row>
    <row r="8" spans="1:10" ht="12" customHeight="1" x14ac:dyDescent="0.2">
      <c r="A8" s="12"/>
      <c r="B8" s="2">
        <f t="shared" si="4"/>
        <v>483325.97550108511</v>
      </c>
      <c r="C8" s="2">
        <f t="shared" si="0"/>
        <v>2844.206547760612</v>
      </c>
      <c r="D8" s="2">
        <f t="shared" si="1"/>
        <v>3222.1731700072341</v>
      </c>
      <c r="E8" s="2">
        <f t="shared" si="2"/>
        <v>6066.3797177678462</v>
      </c>
      <c r="F8" s="2">
        <f t="shared" si="3"/>
        <v>480481.76895332447</v>
      </c>
      <c r="G8" s="6"/>
      <c r="H8" s="6"/>
      <c r="I8" s="6"/>
      <c r="J8" s="6"/>
    </row>
    <row r="9" spans="1:10" ht="12" customHeight="1" x14ac:dyDescent="0.2">
      <c r="A9" s="12"/>
      <c r="B9" s="2">
        <f t="shared" si="4"/>
        <v>480481.76895332447</v>
      </c>
      <c r="C9" s="2">
        <f t="shared" si="0"/>
        <v>2863.1679247456827</v>
      </c>
      <c r="D9" s="2">
        <f t="shared" si="1"/>
        <v>3203.2117930221634</v>
      </c>
      <c r="E9" s="2">
        <f t="shared" si="2"/>
        <v>6066.3797177678462</v>
      </c>
      <c r="F9" s="2">
        <f t="shared" si="3"/>
        <v>477618.60102857876</v>
      </c>
      <c r="G9" s="6"/>
      <c r="H9" s="6"/>
      <c r="I9" s="6"/>
      <c r="J9" s="6"/>
    </row>
    <row r="10" spans="1:10" ht="12" customHeight="1" x14ac:dyDescent="0.2">
      <c r="A10" s="12"/>
      <c r="B10" s="2">
        <f t="shared" si="4"/>
        <v>477618.60102857876</v>
      </c>
      <c r="C10" s="2">
        <f t="shared" si="0"/>
        <v>2882.2557109106542</v>
      </c>
      <c r="D10" s="2">
        <f t="shared" si="1"/>
        <v>3184.1240068571919</v>
      </c>
      <c r="E10" s="2">
        <f t="shared" si="2"/>
        <v>6066.3797177678462</v>
      </c>
      <c r="F10" s="2">
        <f t="shared" si="3"/>
        <v>474736.34531766811</v>
      </c>
      <c r="G10" s="6"/>
      <c r="H10" s="6"/>
      <c r="I10" s="6"/>
      <c r="J10" s="6"/>
    </row>
    <row r="11" spans="1:10" ht="12" customHeight="1" x14ac:dyDescent="0.2">
      <c r="A11" s="12"/>
      <c r="B11" s="2">
        <f t="shared" si="4"/>
        <v>474736.34531766811</v>
      </c>
      <c r="C11" s="2">
        <f t="shared" si="0"/>
        <v>2901.4707489833918</v>
      </c>
      <c r="D11" s="2">
        <f t="shared" si="1"/>
        <v>3164.9089687844544</v>
      </c>
      <c r="E11" s="2">
        <f t="shared" si="2"/>
        <v>6066.3797177678462</v>
      </c>
      <c r="F11" s="2">
        <f t="shared" si="3"/>
        <v>471834.87456868473</v>
      </c>
      <c r="G11" s="6"/>
      <c r="H11" s="6"/>
      <c r="I11" s="6"/>
      <c r="J11" s="6"/>
    </row>
    <row r="12" spans="1:10" ht="12" customHeight="1" x14ac:dyDescent="0.2">
      <c r="A12" s="12"/>
      <c r="B12" s="2">
        <f t="shared" si="4"/>
        <v>471834.87456868473</v>
      </c>
      <c r="C12" s="2">
        <f t="shared" si="0"/>
        <v>2920.8138873099479</v>
      </c>
      <c r="D12" s="2">
        <f t="shared" si="1"/>
        <v>3145.5658304578983</v>
      </c>
      <c r="E12" s="2">
        <f t="shared" si="2"/>
        <v>6066.3797177678462</v>
      </c>
      <c r="F12" s="2">
        <f t="shared" si="3"/>
        <v>468914.0606813748</v>
      </c>
      <c r="G12" s="6"/>
      <c r="H12" s="6"/>
      <c r="I12" s="6"/>
      <c r="J12" s="6"/>
    </row>
    <row r="13" spans="1:10" ht="12" customHeight="1" x14ac:dyDescent="0.2">
      <c r="A13" s="12" t="s">
        <v>101</v>
      </c>
      <c r="B13" s="2">
        <f t="shared" si="4"/>
        <v>468914.0606813748</v>
      </c>
      <c r="C13" s="2">
        <f t="shared" si="0"/>
        <v>2940.285979892014</v>
      </c>
      <c r="D13" s="2">
        <f t="shared" si="1"/>
        <v>3126.0937378758322</v>
      </c>
      <c r="E13" s="2">
        <f t="shared" si="2"/>
        <v>6066.3797177678462</v>
      </c>
      <c r="F13" s="48">
        <f t="shared" si="3"/>
        <v>465973.77470148279</v>
      </c>
      <c r="G13" s="6"/>
      <c r="H13" s="6"/>
      <c r="I13" s="6"/>
      <c r="J13" s="6"/>
    </row>
    <row r="14" spans="1:10" ht="12" customHeight="1" x14ac:dyDescent="0.2">
      <c r="A14" s="9" t="s">
        <v>102</v>
      </c>
      <c r="B14" s="9"/>
      <c r="C14" s="48"/>
      <c r="D14" s="48">
        <f>SUM(D2:D13)</f>
        <v>38770.331314696916</v>
      </c>
      <c r="E14" s="2"/>
      <c r="F14" s="2"/>
      <c r="G14" s="6"/>
      <c r="H14" s="6"/>
      <c r="I14" s="6"/>
      <c r="J14" s="6"/>
    </row>
    <row r="15" spans="1:10" ht="12" customHeight="1" x14ac:dyDescent="0.2">
      <c r="A15" s="12"/>
      <c r="B15" s="12"/>
      <c r="C15" s="2"/>
      <c r="D15" s="2"/>
      <c r="E15" s="2"/>
      <c r="F15" s="2"/>
      <c r="G15" s="6"/>
      <c r="H15" s="6"/>
      <c r="I15" s="6"/>
      <c r="J15" s="6"/>
    </row>
    <row r="16" spans="1:10" ht="12" customHeight="1" x14ac:dyDescent="0.2">
      <c r="A16" s="12" t="s">
        <v>103</v>
      </c>
      <c r="B16" s="2">
        <f>F13</f>
        <v>465973.77470148279</v>
      </c>
      <c r="C16" s="2">
        <f t="shared" ref="C16:C27" si="5">+E16-D16</f>
        <v>2959.8878864246271</v>
      </c>
      <c r="D16" s="2">
        <f t="shared" ref="D16:D27" si="6">+B16*$J$3</f>
        <v>3106.491831343219</v>
      </c>
      <c r="E16" s="2">
        <f t="shared" ref="E16:E27" si="7">$J$6</f>
        <v>6066.3797177678462</v>
      </c>
      <c r="F16" s="2">
        <f t="shared" ref="F16:F27" si="8">+B16-C16</f>
        <v>463013.88681505818</v>
      </c>
      <c r="G16" s="6"/>
      <c r="H16" s="6"/>
      <c r="I16" s="6"/>
      <c r="J16" s="6"/>
    </row>
    <row r="17" spans="1:10" ht="12" customHeight="1" x14ac:dyDescent="0.2">
      <c r="A17" s="12"/>
      <c r="B17" s="2">
        <f t="shared" ref="B17:B27" si="9">+F16</f>
        <v>463013.88681505818</v>
      </c>
      <c r="C17" s="2">
        <f t="shared" si="5"/>
        <v>2979.6204723341248</v>
      </c>
      <c r="D17" s="2">
        <f t="shared" si="6"/>
        <v>3086.7592454337214</v>
      </c>
      <c r="E17" s="2">
        <f t="shared" si="7"/>
        <v>6066.3797177678462</v>
      </c>
      <c r="F17" s="2">
        <f t="shared" si="8"/>
        <v>460034.26634272403</v>
      </c>
      <c r="G17" s="6"/>
      <c r="H17" s="6"/>
      <c r="I17" s="6"/>
      <c r="J17" s="6"/>
    </row>
    <row r="18" spans="1:10" ht="12" customHeight="1" x14ac:dyDescent="0.2">
      <c r="A18" s="12"/>
      <c r="B18" s="2">
        <f t="shared" si="9"/>
        <v>460034.26634272403</v>
      </c>
      <c r="C18" s="2">
        <f t="shared" si="5"/>
        <v>2999.4846088163522</v>
      </c>
      <c r="D18" s="2">
        <f t="shared" si="6"/>
        <v>3066.895108951494</v>
      </c>
      <c r="E18" s="2">
        <f t="shared" si="7"/>
        <v>6066.3797177678462</v>
      </c>
      <c r="F18" s="2">
        <f t="shared" si="8"/>
        <v>457034.7817339077</v>
      </c>
      <c r="G18" s="6"/>
      <c r="H18" s="6"/>
      <c r="I18" s="6"/>
      <c r="J18" s="6"/>
    </row>
    <row r="19" spans="1:10" ht="12" customHeight="1" x14ac:dyDescent="0.2">
      <c r="A19" s="12"/>
      <c r="B19" s="2">
        <f t="shared" si="9"/>
        <v>457034.7817339077</v>
      </c>
      <c r="C19" s="2">
        <f t="shared" si="5"/>
        <v>3019.4811728751279</v>
      </c>
      <c r="D19" s="2">
        <f t="shared" si="6"/>
        <v>3046.8985448927183</v>
      </c>
      <c r="E19" s="2">
        <f t="shared" si="7"/>
        <v>6066.3797177678462</v>
      </c>
      <c r="F19" s="2">
        <f t="shared" si="8"/>
        <v>454015.30056103255</v>
      </c>
      <c r="G19" s="6"/>
      <c r="H19" s="6"/>
      <c r="I19" s="6"/>
      <c r="J19" s="6"/>
    </row>
    <row r="20" spans="1:10" ht="12" customHeight="1" x14ac:dyDescent="0.2">
      <c r="A20" s="12"/>
      <c r="B20" s="2">
        <f t="shared" si="9"/>
        <v>454015.30056103255</v>
      </c>
      <c r="C20" s="2">
        <f t="shared" si="5"/>
        <v>3039.6110473609624</v>
      </c>
      <c r="D20" s="2">
        <f t="shared" si="6"/>
        <v>3026.7686704068838</v>
      </c>
      <c r="E20" s="2">
        <f t="shared" si="7"/>
        <v>6066.3797177678462</v>
      </c>
      <c r="F20" s="2">
        <f t="shared" si="8"/>
        <v>450975.68951367156</v>
      </c>
      <c r="G20" s="6"/>
      <c r="H20" s="6"/>
      <c r="I20" s="6"/>
      <c r="J20" s="6"/>
    </row>
    <row r="21" spans="1:10" ht="12" customHeight="1" x14ac:dyDescent="0.2">
      <c r="A21" s="12"/>
      <c r="B21" s="2">
        <f t="shared" si="9"/>
        <v>450975.68951367156</v>
      </c>
      <c r="C21" s="2">
        <f t="shared" si="5"/>
        <v>3059.8751210100354</v>
      </c>
      <c r="D21" s="2">
        <f t="shared" si="6"/>
        <v>3006.5045967578108</v>
      </c>
      <c r="E21" s="2">
        <f t="shared" si="7"/>
        <v>6066.3797177678462</v>
      </c>
      <c r="F21" s="2">
        <f t="shared" si="8"/>
        <v>447915.8143926615</v>
      </c>
      <c r="G21" s="6"/>
      <c r="H21" s="6"/>
      <c r="I21" s="6"/>
      <c r="J21" s="6"/>
    </row>
    <row r="22" spans="1:10" ht="12" customHeight="1" x14ac:dyDescent="0.2">
      <c r="A22" s="12"/>
      <c r="B22" s="2">
        <f t="shared" si="9"/>
        <v>447915.8143926615</v>
      </c>
      <c r="C22" s="2">
        <f t="shared" si="5"/>
        <v>3080.2742884834361</v>
      </c>
      <c r="D22" s="2">
        <f t="shared" si="6"/>
        <v>2986.1054292844101</v>
      </c>
      <c r="E22" s="2">
        <f t="shared" si="7"/>
        <v>6066.3797177678462</v>
      </c>
      <c r="F22" s="2">
        <f t="shared" si="8"/>
        <v>444835.54010417807</v>
      </c>
      <c r="G22" s="6"/>
      <c r="H22" s="6"/>
      <c r="I22" s="6"/>
      <c r="J22" s="6"/>
    </row>
    <row r="23" spans="1:10" ht="12" customHeight="1" x14ac:dyDescent="0.2">
      <c r="A23" s="12"/>
      <c r="B23" s="2">
        <f t="shared" si="9"/>
        <v>444835.54010417807</v>
      </c>
      <c r="C23" s="2">
        <f t="shared" si="5"/>
        <v>3100.8094504066589</v>
      </c>
      <c r="D23" s="2">
        <f t="shared" si="6"/>
        <v>2965.5702673611872</v>
      </c>
      <c r="E23" s="2">
        <f t="shared" si="7"/>
        <v>6066.3797177678462</v>
      </c>
      <c r="F23" s="2">
        <f t="shared" si="8"/>
        <v>441734.73065377143</v>
      </c>
      <c r="G23" s="6"/>
      <c r="H23" s="6"/>
      <c r="I23" s="6"/>
      <c r="J23" s="6"/>
    </row>
    <row r="24" spans="1:10" ht="12" customHeight="1" x14ac:dyDescent="0.2">
      <c r="A24" s="12"/>
      <c r="B24" s="2">
        <f t="shared" si="9"/>
        <v>441734.73065377143</v>
      </c>
      <c r="C24" s="2">
        <f t="shared" si="5"/>
        <v>3121.4815134093697</v>
      </c>
      <c r="D24" s="2">
        <f t="shared" si="6"/>
        <v>2944.8982043584765</v>
      </c>
      <c r="E24" s="2">
        <f t="shared" si="7"/>
        <v>6066.3797177678462</v>
      </c>
      <c r="F24" s="2">
        <f t="shared" si="8"/>
        <v>438613.24914036208</v>
      </c>
      <c r="G24" s="6"/>
      <c r="H24" s="6"/>
      <c r="I24" s="6"/>
      <c r="J24" s="6"/>
    </row>
    <row r="25" spans="1:10" ht="12" customHeight="1" x14ac:dyDescent="0.2">
      <c r="A25" s="12"/>
      <c r="B25" s="2">
        <f t="shared" si="9"/>
        <v>438613.24914036208</v>
      </c>
      <c r="C25" s="2">
        <f t="shared" si="5"/>
        <v>3142.2913901654319</v>
      </c>
      <c r="D25" s="2">
        <f t="shared" si="6"/>
        <v>2924.0883276024142</v>
      </c>
      <c r="E25" s="2">
        <f t="shared" si="7"/>
        <v>6066.3797177678462</v>
      </c>
      <c r="F25" s="2">
        <f t="shared" si="8"/>
        <v>435470.95775019663</v>
      </c>
      <c r="G25" s="6"/>
      <c r="H25" s="6"/>
      <c r="I25" s="6"/>
      <c r="J25" s="6"/>
    </row>
    <row r="26" spans="1:10" ht="12" customHeight="1" x14ac:dyDescent="0.2">
      <c r="A26" s="12"/>
      <c r="B26" s="2">
        <f t="shared" si="9"/>
        <v>435470.95775019663</v>
      </c>
      <c r="C26" s="2">
        <f t="shared" si="5"/>
        <v>3163.2399994332018</v>
      </c>
      <c r="D26" s="2">
        <f t="shared" si="6"/>
        <v>2903.1397183346444</v>
      </c>
      <c r="E26" s="2">
        <f t="shared" si="7"/>
        <v>6066.3797177678462</v>
      </c>
      <c r="F26" s="2">
        <f t="shared" si="8"/>
        <v>432307.7177507634</v>
      </c>
      <c r="G26" s="6"/>
      <c r="H26" s="6"/>
      <c r="I26" s="6"/>
      <c r="J26" s="6"/>
    </row>
    <row r="27" spans="1:10" ht="12" customHeight="1" x14ac:dyDescent="0.2">
      <c r="A27" s="12" t="s">
        <v>104</v>
      </c>
      <c r="B27" s="2">
        <f t="shared" si="9"/>
        <v>432307.7177507634</v>
      </c>
      <c r="C27" s="2">
        <f t="shared" si="5"/>
        <v>3184.3282660960899</v>
      </c>
      <c r="D27" s="2">
        <f t="shared" si="6"/>
        <v>2882.0514516717562</v>
      </c>
      <c r="E27" s="2">
        <f t="shared" si="7"/>
        <v>6066.3797177678462</v>
      </c>
      <c r="F27" s="48">
        <f t="shared" si="8"/>
        <v>429123.38948466734</v>
      </c>
      <c r="G27" s="6"/>
      <c r="H27" s="6"/>
      <c r="I27" s="6"/>
      <c r="J27" s="6"/>
    </row>
    <row r="28" spans="1:10" ht="12" customHeight="1" x14ac:dyDescent="0.2">
      <c r="A28" s="9" t="s">
        <v>102</v>
      </c>
      <c r="B28" s="9"/>
      <c r="C28" s="48"/>
      <c r="D28" s="48">
        <f>SUM(D16:D27)</f>
        <v>35946.171396398735</v>
      </c>
      <c r="E28" s="2"/>
      <c r="F28" s="2"/>
      <c r="G28" s="6"/>
      <c r="H28" s="6"/>
      <c r="I28" s="6"/>
      <c r="J28" s="6"/>
    </row>
    <row r="29" spans="1:10" ht="12" customHeight="1" x14ac:dyDescent="0.2">
      <c r="A29" s="12"/>
      <c r="B29" s="12"/>
      <c r="C29" s="2"/>
      <c r="D29" s="2"/>
      <c r="E29" s="2"/>
      <c r="F29" s="2"/>
      <c r="G29" s="6"/>
      <c r="H29" s="6"/>
      <c r="I29" s="6"/>
      <c r="J29" s="6"/>
    </row>
    <row r="30" spans="1:10" ht="12" customHeight="1" x14ac:dyDescent="0.2">
      <c r="A30" s="12" t="s">
        <v>105</v>
      </c>
      <c r="B30" s="2">
        <f>F27</f>
        <v>429123.38948466734</v>
      </c>
      <c r="C30" s="2">
        <f t="shared" ref="C30:C41" si="10">+E30-D30</f>
        <v>3205.5571212033969</v>
      </c>
      <c r="D30" s="2">
        <f t="shared" ref="D30:D41" si="11">+B30*$J$3</f>
        <v>2860.8225965644492</v>
      </c>
      <c r="E30" s="2">
        <f t="shared" ref="E30:E41" si="12">$J$6</f>
        <v>6066.3797177678462</v>
      </c>
      <c r="F30" s="2">
        <f t="shared" ref="F30:F41" si="13">+B30-C30</f>
        <v>425917.83236346394</v>
      </c>
      <c r="G30" s="6"/>
      <c r="H30" s="6"/>
      <c r="I30" s="6"/>
      <c r="J30" s="6"/>
    </row>
    <row r="31" spans="1:10" ht="12" customHeight="1" x14ac:dyDescent="0.2">
      <c r="A31" s="12"/>
      <c r="B31" s="2">
        <f t="shared" ref="B31:B41" si="14">+F30</f>
        <v>425917.83236346394</v>
      </c>
      <c r="C31" s="2">
        <f t="shared" si="10"/>
        <v>3226.9275020114196</v>
      </c>
      <c r="D31" s="2">
        <f t="shared" si="11"/>
        <v>2839.4522157564265</v>
      </c>
      <c r="E31" s="2">
        <f t="shared" si="12"/>
        <v>6066.3797177678462</v>
      </c>
      <c r="F31" s="2">
        <f t="shared" si="13"/>
        <v>422690.90486145252</v>
      </c>
      <c r="G31" s="6"/>
      <c r="H31" s="6"/>
      <c r="I31" s="6"/>
      <c r="J31" s="6"/>
    </row>
    <row r="32" spans="1:10" ht="12" customHeight="1" x14ac:dyDescent="0.2">
      <c r="A32" s="12"/>
      <c r="B32" s="2">
        <f t="shared" si="14"/>
        <v>422690.90486145252</v>
      </c>
      <c r="C32" s="2">
        <f t="shared" si="10"/>
        <v>3248.4403520248293</v>
      </c>
      <c r="D32" s="2">
        <f t="shared" si="11"/>
        <v>2817.9393657430169</v>
      </c>
      <c r="E32" s="2">
        <f t="shared" si="12"/>
        <v>6066.3797177678462</v>
      </c>
      <c r="F32" s="2">
        <f t="shared" si="13"/>
        <v>419442.46450942772</v>
      </c>
      <c r="G32" s="6"/>
      <c r="H32" s="6"/>
      <c r="I32" s="6"/>
      <c r="J32" s="6"/>
    </row>
    <row r="33" spans="1:10" ht="12" customHeight="1" x14ac:dyDescent="0.2">
      <c r="A33" s="12"/>
      <c r="B33" s="2">
        <f t="shared" si="14"/>
        <v>419442.46450942772</v>
      </c>
      <c r="C33" s="2">
        <f t="shared" si="10"/>
        <v>3270.0966210383276</v>
      </c>
      <c r="D33" s="2">
        <f t="shared" si="11"/>
        <v>2796.2830967295185</v>
      </c>
      <c r="E33" s="2">
        <f t="shared" si="12"/>
        <v>6066.3797177678462</v>
      </c>
      <c r="F33" s="2">
        <f t="shared" si="13"/>
        <v>416172.36788838939</v>
      </c>
      <c r="G33" s="6"/>
      <c r="H33" s="6"/>
      <c r="I33" s="6"/>
      <c r="J33" s="6"/>
    </row>
    <row r="34" spans="1:10" ht="12" customHeight="1" x14ac:dyDescent="0.2">
      <c r="A34" s="12"/>
      <c r="B34" s="2">
        <f t="shared" si="14"/>
        <v>416172.36788838939</v>
      </c>
      <c r="C34" s="2">
        <f t="shared" si="10"/>
        <v>3291.8972651785834</v>
      </c>
      <c r="D34" s="2">
        <f t="shared" si="11"/>
        <v>2774.4824525892627</v>
      </c>
      <c r="E34" s="2">
        <f t="shared" si="12"/>
        <v>6066.3797177678462</v>
      </c>
      <c r="F34" s="2">
        <f t="shared" si="13"/>
        <v>412880.47062321083</v>
      </c>
      <c r="G34" s="6"/>
      <c r="H34" s="6"/>
      <c r="I34" s="6"/>
      <c r="J34" s="6"/>
    </row>
    <row r="35" spans="1:10" ht="12" customHeight="1" x14ac:dyDescent="0.2">
      <c r="A35" s="12"/>
      <c r="B35" s="2">
        <f t="shared" si="14"/>
        <v>412880.47062321083</v>
      </c>
      <c r="C35" s="2">
        <f t="shared" si="10"/>
        <v>3313.8432469464406</v>
      </c>
      <c r="D35" s="2">
        <f t="shared" si="11"/>
        <v>2752.5364708214056</v>
      </c>
      <c r="E35" s="2">
        <f t="shared" si="12"/>
        <v>6066.3797177678462</v>
      </c>
      <c r="F35" s="2">
        <f t="shared" si="13"/>
        <v>409566.62737626437</v>
      </c>
      <c r="G35" s="6"/>
      <c r="H35" s="6"/>
      <c r="I35" s="6"/>
      <c r="J35" s="6"/>
    </row>
    <row r="36" spans="1:10" ht="12" customHeight="1" x14ac:dyDescent="0.2">
      <c r="A36" s="12"/>
      <c r="B36" s="2">
        <f t="shared" si="14"/>
        <v>409566.62737626437</v>
      </c>
      <c r="C36" s="2">
        <f t="shared" si="10"/>
        <v>3335.9355352594171</v>
      </c>
      <c r="D36" s="2">
        <f t="shared" si="11"/>
        <v>2730.4441825084291</v>
      </c>
      <c r="E36" s="2">
        <f t="shared" si="12"/>
        <v>6066.3797177678462</v>
      </c>
      <c r="F36" s="2">
        <f t="shared" si="13"/>
        <v>406230.69184100494</v>
      </c>
      <c r="G36" s="6"/>
      <c r="H36" s="6"/>
      <c r="I36" s="6"/>
      <c r="J36" s="6"/>
    </row>
    <row r="37" spans="1:10" ht="12" customHeight="1" x14ac:dyDescent="0.2">
      <c r="A37" s="12"/>
      <c r="B37" s="2">
        <f t="shared" si="14"/>
        <v>406230.69184100494</v>
      </c>
      <c r="C37" s="2">
        <f t="shared" si="10"/>
        <v>3358.1751054944798</v>
      </c>
      <c r="D37" s="2">
        <f t="shared" si="11"/>
        <v>2708.2046122733664</v>
      </c>
      <c r="E37" s="2">
        <f t="shared" si="12"/>
        <v>6066.3797177678462</v>
      </c>
      <c r="F37" s="2">
        <f t="shared" si="13"/>
        <v>402872.51673551043</v>
      </c>
      <c r="G37" s="6"/>
      <c r="H37" s="6"/>
      <c r="I37" s="6"/>
      <c r="J37" s="6"/>
    </row>
    <row r="38" spans="1:10" ht="12" customHeight="1" x14ac:dyDescent="0.2">
      <c r="A38" s="12"/>
      <c r="B38" s="2">
        <f t="shared" si="14"/>
        <v>402872.51673551043</v>
      </c>
      <c r="C38" s="2">
        <f t="shared" si="10"/>
        <v>3380.5629395311098</v>
      </c>
      <c r="D38" s="2">
        <f t="shared" si="11"/>
        <v>2685.8167782367364</v>
      </c>
      <c r="E38" s="2">
        <f t="shared" si="12"/>
        <v>6066.3797177678462</v>
      </c>
      <c r="F38" s="2">
        <f t="shared" si="13"/>
        <v>399491.95379597932</v>
      </c>
      <c r="G38" s="6"/>
      <c r="H38" s="6"/>
      <c r="I38" s="6"/>
      <c r="J38" s="6"/>
    </row>
    <row r="39" spans="1:10" ht="12" customHeight="1" x14ac:dyDescent="0.2">
      <c r="A39" s="12"/>
      <c r="B39" s="2">
        <f t="shared" si="14"/>
        <v>399491.95379597932</v>
      </c>
      <c r="C39" s="2">
        <f t="shared" si="10"/>
        <v>3403.1000257946507</v>
      </c>
      <c r="D39" s="2">
        <f t="shared" si="11"/>
        <v>2663.2796919731954</v>
      </c>
      <c r="E39" s="2">
        <f t="shared" si="12"/>
        <v>6066.3797177678462</v>
      </c>
      <c r="F39" s="2">
        <f t="shared" si="13"/>
        <v>396088.85377018468</v>
      </c>
      <c r="G39" s="6"/>
      <c r="H39" s="6"/>
      <c r="I39" s="6"/>
      <c r="J39" s="6"/>
    </row>
    <row r="40" spans="1:10" ht="12" customHeight="1" x14ac:dyDescent="0.2">
      <c r="A40" s="12"/>
      <c r="B40" s="2">
        <f t="shared" si="14"/>
        <v>396088.85377018468</v>
      </c>
      <c r="C40" s="2">
        <f t="shared" si="10"/>
        <v>3425.7873592999481</v>
      </c>
      <c r="D40" s="2">
        <f t="shared" si="11"/>
        <v>2640.5923584678981</v>
      </c>
      <c r="E40" s="2">
        <f t="shared" si="12"/>
        <v>6066.3797177678462</v>
      </c>
      <c r="F40" s="2">
        <f t="shared" si="13"/>
        <v>392663.06641088473</v>
      </c>
      <c r="G40" s="6"/>
      <c r="H40" s="6"/>
      <c r="I40" s="6"/>
      <c r="J40" s="6"/>
    </row>
    <row r="41" spans="1:10" ht="12" customHeight="1" x14ac:dyDescent="0.2">
      <c r="A41" s="12" t="s">
        <v>106</v>
      </c>
      <c r="B41" s="2">
        <f t="shared" si="14"/>
        <v>392663.06641088473</v>
      </c>
      <c r="C41" s="2">
        <f t="shared" si="10"/>
        <v>3448.6259416952812</v>
      </c>
      <c r="D41" s="2">
        <f t="shared" si="11"/>
        <v>2617.753776072565</v>
      </c>
      <c r="E41" s="2">
        <f t="shared" si="12"/>
        <v>6066.3797177678462</v>
      </c>
      <c r="F41" s="48">
        <f t="shared" si="13"/>
        <v>389214.44046918943</v>
      </c>
      <c r="G41" s="6"/>
      <c r="H41" s="6"/>
      <c r="I41" s="6"/>
      <c r="J41" s="6"/>
    </row>
    <row r="42" spans="1:10" ht="12" customHeight="1" x14ac:dyDescent="0.2">
      <c r="A42" s="9" t="s">
        <v>102</v>
      </c>
      <c r="B42" s="9"/>
      <c r="C42" s="48"/>
      <c r="D42" s="48">
        <f>SUM(D30:D41)</f>
        <v>32887.607597736271</v>
      </c>
      <c r="E42" s="2"/>
      <c r="F42" s="2"/>
      <c r="G42" s="6"/>
      <c r="H42" s="6"/>
      <c r="I42" s="6"/>
      <c r="J42" s="6"/>
    </row>
    <row r="43" spans="1:10" ht="12" customHeight="1" x14ac:dyDescent="0.2">
      <c r="A43" s="12"/>
      <c r="B43" s="12"/>
      <c r="C43" s="2"/>
      <c r="D43" s="2"/>
      <c r="E43" s="2"/>
      <c r="F43" s="2"/>
      <c r="G43" s="6"/>
      <c r="H43" s="6"/>
      <c r="I43" s="6"/>
      <c r="J43" s="6"/>
    </row>
    <row r="44" spans="1:10" ht="12" customHeight="1" x14ac:dyDescent="0.2">
      <c r="A44" s="12" t="s">
        <v>107</v>
      </c>
      <c r="B44" s="2">
        <f>F41</f>
        <v>389214.44046918943</v>
      </c>
      <c r="C44" s="2">
        <f t="shared" ref="C44:C55" si="15">+E44-D44</f>
        <v>3471.6167813065831</v>
      </c>
      <c r="D44" s="2">
        <f t="shared" ref="D44:D55" si="16">+B44*$J$3</f>
        <v>2594.7629364612631</v>
      </c>
      <c r="E44" s="2">
        <f t="shared" ref="E44:E55" si="17">$J$6</f>
        <v>6066.3797177678462</v>
      </c>
      <c r="F44" s="2">
        <f t="shared" ref="F44:F55" si="18">+B44-C44</f>
        <v>385742.82368788286</v>
      </c>
      <c r="G44" s="6"/>
      <c r="H44" s="6"/>
      <c r="I44" s="6"/>
      <c r="J44" s="6"/>
    </row>
    <row r="45" spans="1:10" ht="12" customHeight="1" x14ac:dyDescent="0.2">
      <c r="A45" s="12"/>
      <c r="B45" s="2">
        <f t="shared" ref="B45:B55" si="19">+F44</f>
        <v>385742.82368788286</v>
      </c>
      <c r="C45" s="2">
        <f t="shared" si="15"/>
        <v>3494.7608931819605</v>
      </c>
      <c r="D45" s="2">
        <f t="shared" si="16"/>
        <v>2571.6188245858857</v>
      </c>
      <c r="E45" s="2">
        <f t="shared" si="17"/>
        <v>6066.3797177678462</v>
      </c>
      <c r="F45" s="2">
        <f t="shared" si="18"/>
        <v>382248.06279470091</v>
      </c>
      <c r="G45" s="6"/>
      <c r="H45" s="6"/>
      <c r="I45" s="6"/>
      <c r="J45" s="6"/>
    </row>
    <row r="46" spans="1:10" ht="12" customHeight="1" x14ac:dyDescent="0.2">
      <c r="A46" s="12"/>
      <c r="B46" s="2">
        <f t="shared" si="19"/>
        <v>382248.06279470091</v>
      </c>
      <c r="C46" s="2">
        <f t="shared" si="15"/>
        <v>3518.0592991365065</v>
      </c>
      <c r="D46" s="2">
        <f t="shared" si="16"/>
        <v>2548.3204186313396</v>
      </c>
      <c r="E46" s="2">
        <f t="shared" si="17"/>
        <v>6066.3797177678462</v>
      </c>
      <c r="F46" s="2">
        <f t="shared" si="18"/>
        <v>378730.00349556439</v>
      </c>
      <c r="G46" s="6"/>
      <c r="H46" s="6"/>
      <c r="I46" s="6"/>
      <c r="J46" s="6"/>
    </row>
    <row r="47" spans="1:10" ht="12" customHeight="1" x14ac:dyDescent="0.2">
      <c r="A47" s="12"/>
      <c r="B47" s="2">
        <f t="shared" si="19"/>
        <v>378730.00349556439</v>
      </c>
      <c r="C47" s="2">
        <f t="shared" si="15"/>
        <v>3541.5130277974167</v>
      </c>
      <c r="D47" s="2">
        <f t="shared" si="16"/>
        <v>2524.8666899704294</v>
      </c>
      <c r="E47" s="2">
        <f t="shared" si="17"/>
        <v>6066.3797177678462</v>
      </c>
      <c r="F47" s="2">
        <f t="shared" si="18"/>
        <v>375188.490467767</v>
      </c>
      <c r="G47" s="6"/>
      <c r="H47" s="6"/>
      <c r="I47" s="6"/>
      <c r="J47" s="6"/>
    </row>
    <row r="48" spans="1:10" ht="12" customHeight="1" x14ac:dyDescent="0.2">
      <c r="A48" s="12"/>
      <c r="B48" s="2">
        <f t="shared" si="19"/>
        <v>375188.490467767</v>
      </c>
      <c r="C48" s="2">
        <f t="shared" si="15"/>
        <v>3565.1231146493992</v>
      </c>
      <c r="D48" s="2">
        <f t="shared" si="16"/>
        <v>2501.2566031184469</v>
      </c>
      <c r="E48" s="2">
        <f t="shared" si="17"/>
        <v>6066.3797177678462</v>
      </c>
      <c r="F48" s="2">
        <f t="shared" si="18"/>
        <v>371623.36735311762</v>
      </c>
      <c r="G48" s="6"/>
      <c r="H48" s="6"/>
      <c r="I48" s="6"/>
      <c r="J48" s="6"/>
    </row>
    <row r="49" spans="1:10" ht="12" customHeight="1" x14ac:dyDescent="0.2">
      <c r="A49" s="12"/>
      <c r="B49" s="2">
        <f t="shared" si="19"/>
        <v>371623.36735311762</v>
      </c>
      <c r="C49" s="2">
        <f t="shared" si="15"/>
        <v>3588.8906020803952</v>
      </c>
      <c r="D49" s="2">
        <f t="shared" si="16"/>
        <v>2477.489115687451</v>
      </c>
      <c r="E49" s="2">
        <f t="shared" si="17"/>
        <v>6066.3797177678462</v>
      </c>
      <c r="F49" s="2">
        <f t="shared" si="18"/>
        <v>368034.47675103723</v>
      </c>
      <c r="G49" s="6"/>
      <c r="H49" s="6"/>
      <c r="I49" s="6"/>
      <c r="J49" s="6"/>
    </row>
    <row r="50" spans="1:10" ht="12" customHeight="1" x14ac:dyDescent="0.2">
      <c r="A50" s="12"/>
      <c r="B50" s="2">
        <f t="shared" si="19"/>
        <v>368034.47675103723</v>
      </c>
      <c r="C50" s="2">
        <f t="shared" si="15"/>
        <v>3612.8165394275979</v>
      </c>
      <c r="D50" s="2">
        <f t="shared" si="16"/>
        <v>2453.5631783402482</v>
      </c>
      <c r="E50" s="2">
        <f t="shared" si="17"/>
        <v>6066.3797177678462</v>
      </c>
      <c r="F50" s="2">
        <f t="shared" si="18"/>
        <v>364421.66021160962</v>
      </c>
      <c r="G50" s="6"/>
      <c r="H50" s="6"/>
      <c r="I50" s="6"/>
      <c r="J50" s="6"/>
    </row>
    <row r="51" spans="1:10" ht="12" customHeight="1" x14ac:dyDescent="0.2">
      <c r="A51" s="12"/>
      <c r="B51" s="2">
        <f t="shared" si="19"/>
        <v>364421.66021160962</v>
      </c>
      <c r="C51" s="2">
        <f t="shared" si="15"/>
        <v>3636.9019830237817</v>
      </c>
      <c r="D51" s="2">
        <f t="shared" si="16"/>
        <v>2429.4777347440645</v>
      </c>
      <c r="E51" s="2">
        <f t="shared" si="17"/>
        <v>6066.3797177678462</v>
      </c>
      <c r="F51" s="2">
        <f t="shared" si="18"/>
        <v>360784.75822858582</v>
      </c>
      <c r="G51" s="6"/>
      <c r="H51" s="6"/>
      <c r="I51" s="6"/>
      <c r="J51" s="6"/>
    </row>
    <row r="52" spans="1:10" ht="12" customHeight="1" x14ac:dyDescent="0.2">
      <c r="A52" s="12"/>
      <c r="B52" s="2">
        <f t="shared" si="19"/>
        <v>360784.75822858582</v>
      </c>
      <c r="C52" s="2">
        <f t="shared" si="15"/>
        <v>3661.1479962439407</v>
      </c>
      <c r="D52" s="2">
        <f t="shared" si="16"/>
        <v>2405.2317215239054</v>
      </c>
      <c r="E52" s="2">
        <f t="shared" si="17"/>
        <v>6066.3797177678462</v>
      </c>
      <c r="F52" s="2">
        <f t="shared" si="18"/>
        <v>357123.61023234186</v>
      </c>
      <c r="G52" s="6"/>
      <c r="H52" s="6"/>
      <c r="I52" s="6"/>
      <c r="J52" s="6"/>
    </row>
    <row r="53" spans="1:10" ht="12" customHeight="1" x14ac:dyDescent="0.2">
      <c r="A53" s="12"/>
      <c r="B53" s="2">
        <f t="shared" si="19"/>
        <v>357123.61023234186</v>
      </c>
      <c r="C53" s="2">
        <f t="shared" si="15"/>
        <v>3685.5556495522337</v>
      </c>
      <c r="D53" s="2">
        <f t="shared" si="16"/>
        <v>2380.8240682156124</v>
      </c>
      <c r="E53" s="2">
        <f t="shared" si="17"/>
        <v>6066.3797177678462</v>
      </c>
      <c r="F53" s="2">
        <f t="shared" si="18"/>
        <v>353438.0545827896</v>
      </c>
      <c r="G53" s="6"/>
      <c r="H53" s="6"/>
      <c r="I53" s="6"/>
      <c r="J53" s="6"/>
    </row>
    <row r="54" spans="1:10" ht="12" customHeight="1" x14ac:dyDescent="0.2">
      <c r="A54" s="12"/>
      <c r="B54" s="2">
        <f t="shared" si="19"/>
        <v>353438.0545827896</v>
      </c>
      <c r="C54" s="2">
        <f t="shared" si="15"/>
        <v>3710.1260205492486</v>
      </c>
      <c r="D54" s="2">
        <f t="shared" si="16"/>
        <v>2356.2536972185976</v>
      </c>
      <c r="E54" s="2">
        <f t="shared" si="17"/>
        <v>6066.3797177678462</v>
      </c>
      <c r="F54" s="2">
        <f t="shared" si="18"/>
        <v>349727.92856224033</v>
      </c>
      <c r="G54" s="6"/>
      <c r="H54" s="6"/>
      <c r="I54" s="6"/>
      <c r="J54" s="6"/>
    </row>
    <row r="55" spans="1:10" ht="12" customHeight="1" x14ac:dyDescent="0.2">
      <c r="A55" s="12" t="s">
        <v>108</v>
      </c>
      <c r="B55" s="2">
        <f t="shared" si="19"/>
        <v>349727.92856224033</v>
      </c>
      <c r="C55" s="2">
        <f t="shared" si="15"/>
        <v>3734.8601940195772</v>
      </c>
      <c r="D55" s="2">
        <f t="shared" si="16"/>
        <v>2331.519523748269</v>
      </c>
      <c r="E55" s="2">
        <f t="shared" si="17"/>
        <v>6066.3797177678462</v>
      </c>
      <c r="F55" s="48">
        <f t="shared" si="18"/>
        <v>345993.06836822076</v>
      </c>
      <c r="G55" s="2"/>
      <c r="H55" s="6"/>
      <c r="I55" s="6"/>
      <c r="J55" s="6"/>
    </row>
    <row r="56" spans="1:10" ht="12" customHeight="1" x14ac:dyDescent="0.2">
      <c r="A56" s="9" t="s">
        <v>102</v>
      </c>
      <c r="B56" s="4"/>
      <c r="C56" s="48"/>
      <c r="D56" s="48">
        <f>SUM(D44:D55)</f>
        <v>29575.184512245516</v>
      </c>
      <c r="E56" s="6"/>
      <c r="F56" s="6"/>
      <c r="G56" s="6"/>
      <c r="H56" s="6"/>
      <c r="I56" s="6"/>
      <c r="J56" s="6"/>
    </row>
    <row r="57" spans="1:10" ht="12" customHeight="1" x14ac:dyDescent="0.2">
      <c r="A57" s="12" t="s">
        <v>109</v>
      </c>
      <c r="B57" s="2">
        <f>F55</f>
        <v>345993.06836822076</v>
      </c>
      <c r="C57" s="2">
        <f t="shared" ref="C57:C68" si="20">+E57-D57</f>
        <v>3759.7592619797074</v>
      </c>
      <c r="D57" s="2">
        <f t="shared" ref="D57:D68" si="21">+B57*$J$3</f>
        <v>2306.6204557881388</v>
      </c>
      <c r="E57" s="2">
        <f t="shared" ref="E57:E68" si="22">$J$6</f>
        <v>6066.3797177678462</v>
      </c>
      <c r="F57" s="2">
        <f t="shared" ref="F57:F68" si="23">+B57-C57</f>
        <v>342233.30910624104</v>
      </c>
      <c r="G57" s="6"/>
      <c r="H57" s="6"/>
      <c r="I57" s="6"/>
      <c r="J57" s="6"/>
    </row>
    <row r="58" spans="1:10" ht="12" customHeight="1" x14ac:dyDescent="0.2">
      <c r="A58" s="12"/>
      <c r="B58" s="2">
        <f t="shared" ref="B58:B68" si="24">+F57</f>
        <v>342233.30910624104</v>
      </c>
      <c r="C58" s="2">
        <f t="shared" si="20"/>
        <v>3784.8243237262391</v>
      </c>
      <c r="D58" s="2">
        <f t="shared" si="21"/>
        <v>2281.5553940416071</v>
      </c>
      <c r="E58" s="2">
        <f t="shared" si="22"/>
        <v>6066.3797177678462</v>
      </c>
      <c r="F58" s="2">
        <f t="shared" si="23"/>
        <v>338448.4847825148</v>
      </c>
      <c r="G58" s="6"/>
      <c r="H58" s="6"/>
      <c r="I58" s="6"/>
      <c r="J58" s="6"/>
    </row>
    <row r="59" spans="1:10" ht="12" customHeight="1" x14ac:dyDescent="0.2">
      <c r="A59" s="12"/>
      <c r="B59" s="2">
        <f t="shared" si="24"/>
        <v>338448.4847825148</v>
      </c>
      <c r="C59" s="2">
        <f t="shared" si="20"/>
        <v>3810.0564858844141</v>
      </c>
      <c r="D59" s="2">
        <f t="shared" si="21"/>
        <v>2256.3232318834321</v>
      </c>
      <c r="E59" s="2">
        <f t="shared" si="22"/>
        <v>6066.3797177678462</v>
      </c>
      <c r="F59" s="2">
        <f t="shared" si="23"/>
        <v>334638.42829663039</v>
      </c>
      <c r="G59" s="6"/>
      <c r="H59" s="6"/>
      <c r="I59" s="6"/>
      <c r="J59" s="6"/>
    </row>
    <row r="60" spans="1:10" ht="12" customHeight="1" x14ac:dyDescent="0.2">
      <c r="A60" s="12"/>
      <c r="B60" s="2">
        <f t="shared" si="24"/>
        <v>334638.42829663039</v>
      </c>
      <c r="C60" s="2">
        <f t="shared" si="20"/>
        <v>3835.456862456977</v>
      </c>
      <c r="D60" s="2">
        <f t="shared" si="21"/>
        <v>2230.9228553108692</v>
      </c>
      <c r="E60" s="2">
        <f t="shared" si="22"/>
        <v>6066.3797177678462</v>
      </c>
      <c r="F60" s="2">
        <f t="shared" si="23"/>
        <v>330802.97143417341</v>
      </c>
      <c r="G60" s="6"/>
      <c r="H60" s="6"/>
      <c r="I60" s="6"/>
      <c r="J60" s="6"/>
    </row>
    <row r="61" spans="1:10" ht="12" customHeight="1" x14ac:dyDescent="0.2">
      <c r="A61" s="12"/>
      <c r="B61" s="2">
        <f t="shared" si="24"/>
        <v>330802.97143417341</v>
      </c>
      <c r="C61" s="2">
        <f t="shared" si="20"/>
        <v>3861.0265748733568</v>
      </c>
      <c r="D61" s="2">
        <f t="shared" si="21"/>
        <v>2205.3531428944893</v>
      </c>
      <c r="E61" s="2">
        <f t="shared" si="22"/>
        <v>6066.3797177678462</v>
      </c>
      <c r="F61" s="2">
        <f t="shared" si="23"/>
        <v>326941.94485930004</v>
      </c>
      <c r="G61" s="6"/>
      <c r="H61" s="6"/>
      <c r="I61" s="6"/>
      <c r="J61" s="6"/>
    </row>
    <row r="62" spans="1:10" ht="12" customHeight="1" x14ac:dyDescent="0.2">
      <c r="A62" s="12"/>
      <c r="B62" s="2">
        <f t="shared" si="24"/>
        <v>326941.94485930004</v>
      </c>
      <c r="C62" s="2">
        <f t="shared" si="20"/>
        <v>3886.7667520391792</v>
      </c>
      <c r="D62" s="2">
        <f t="shared" si="21"/>
        <v>2179.6129657286669</v>
      </c>
      <c r="E62" s="2">
        <f t="shared" si="22"/>
        <v>6066.3797177678462</v>
      </c>
      <c r="F62" s="2">
        <f t="shared" si="23"/>
        <v>323055.17810726084</v>
      </c>
      <c r="G62" s="6"/>
      <c r="H62" s="6"/>
      <c r="I62" s="6"/>
      <c r="J62" s="6"/>
    </row>
    <row r="63" spans="1:10" ht="12" customHeight="1" x14ac:dyDescent="0.2">
      <c r="A63" s="12"/>
      <c r="B63" s="2">
        <f t="shared" si="24"/>
        <v>323055.17810726084</v>
      </c>
      <c r="C63" s="2">
        <f t="shared" si="20"/>
        <v>3912.678530386107</v>
      </c>
      <c r="D63" s="2">
        <f t="shared" si="21"/>
        <v>2153.7011873817391</v>
      </c>
      <c r="E63" s="2">
        <f t="shared" si="22"/>
        <v>6066.3797177678462</v>
      </c>
      <c r="F63" s="2">
        <f t="shared" si="23"/>
        <v>319142.49957687472</v>
      </c>
      <c r="G63" s="6"/>
      <c r="H63" s="6"/>
      <c r="I63" s="6"/>
      <c r="J63" s="6"/>
    </row>
    <row r="64" spans="1:10" ht="12" customHeight="1" x14ac:dyDescent="0.2">
      <c r="A64" s="12"/>
      <c r="B64" s="2">
        <f t="shared" si="24"/>
        <v>319142.49957687472</v>
      </c>
      <c r="C64" s="2">
        <f t="shared" si="20"/>
        <v>3938.7630539220145</v>
      </c>
      <c r="D64" s="2">
        <f t="shared" si="21"/>
        <v>2127.6166638458317</v>
      </c>
      <c r="E64" s="2">
        <f t="shared" si="22"/>
        <v>6066.3797177678462</v>
      </c>
      <c r="F64" s="2">
        <f t="shared" si="23"/>
        <v>315203.73652295268</v>
      </c>
      <c r="G64" s="6"/>
      <c r="H64" s="6"/>
      <c r="I64" s="6"/>
      <c r="J64" s="6"/>
    </row>
    <row r="65" spans="1:10" ht="12" customHeight="1" x14ac:dyDescent="0.2">
      <c r="A65" s="12"/>
      <c r="B65" s="2">
        <f t="shared" si="24"/>
        <v>315203.73652295268</v>
      </c>
      <c r="C65" s="2">
        <f t="shared" si="20"/>
        <v>3965.0214742814946</v>
      </c>
      <c r="D65" s="2">
        <f t="shared" si="21"/>
        <v>2101.3582434863515</v>
      </c>
      <c r="E65" s="2">
        <f t="shared" si="22"/>
        <v>6066.3797177678462</v>
      </c>
      <c r="F65" s="2">
        <f t="shared" si="23"/>
        <v>311238.71504867118</v>
      </c>
      <c r="G65" s="6"/>
      <c r="H65" s="6"/>
      <c r="I65" s="6"/>
      <c r="J65" s="6"/>
    </row>
    <row r="66" spans="1:10" ht="12" customHeight="1" x14ac:dyDescent="0.2">
      <c r="A66" s="12"/>
      <c r="B66" s="2">
        <f t="shared" si="24"/>
        <v>311238.71504867118</v>
      </c>
      <c r="C66" s="2">
        <f t="shared" si="20"/>
        <v>3991.4549507767047</v>
      </c>
      <c r="D66" s="2">
        <f t="shared" si="21"/>
        <v>2074.9247669911415</v>
      </c>
      <c r="E66" s="2">
        <f t="shared" si="22"/>
        <v>6066.3797177678462</v>
      </c>
      <c r="F66" s="2">
        <f t="shared" si="23"/>
        <v>307247.26009789447</v>
      </c>
      <c r="G66" s="6"/>
      <c r="H66" s="6"/>
      <c r="I66" s="6"/>
      <c r="J66" s="6"/>
    </row>
    <row r="67" spans="1:10" ht="12" customHeight="1" x14ac:dyDescent="0.2">
      <c r="A67" s="12"/>
      <c r="B67" s="2">
        <f t="shared" si="24"/>
        <v>307247.26009789447</v>
      </c>
      <c r="C67" s="2">
        <f t="shared" si="20"/>
        <v>4018.0646504485494</v>
      </c>
      <c r="D67" s="2">
        <f t="shared" si="21"/>
        <v>2048.3150673192968</v>
      </c>
      <c r="E67" s="2">
        <f t="shared" si="22"/>
        <v>6066.3797177678462</v>
      </c>
      <c r="F67" s="2">
        <f t="shared" si="23"/>
        <v>303229.19544744591</v>
      </c>
      <c r="G67" s="6"/>
      <c r="H67" s="6"/>
      <c r="I67" s="6"/>
      <c r="J67" s="6"/>
    </row>
    <row r="68" spans="1:10" ht="12" customHeight="1" x14ac:dyDescent="0.2">
      <c r="A68" s="12" t="s">
        <v>110</v>
      </c>
      <c r="B68" s="2">
        <f t="shared" si="24"/>
        <v>303229.19544744591</v>
      </c>
      <c r="C68" s="2">
        <f t="shared" si="20"/>
        <v>4044.8517481182066</v>
      </c>
      <c r="D68" s="2">
        <f t="shared" si="21"/>
        <v>2021.5279696496395</v>
      </c>
      <c r="E68" s="2">
        <f t="shared" si="22"/>
        <v>6066.3797177678462</v>
      </c>
      <c r="F68" s="48">
        <f t="shared" si="23"/>
        <v>299184.34369932767</v>
      </c>
      <c r="G68" s="6"/>
      <c r="H68" s="6"/>
      <c r="I68" s="6"/>
      <c r="J68" s="6"/>
    </row>
    <row r="69" spans="1:10" ht="12" customHeight="1" x14ac:dyDescent="0.2">
      <c r="A69" s="9" t="s">
        <v>102</v>
      </c>
      <c r="B69" s="4"/>
      <c r="C69" s="48"/>
      <c r="D69" s="48">
        <f>SUM(D57:D68)</f>
        <v>25987.831944321209</v>
      </c>
      <c r="E69" s="6"/>
      <c r="F69" s="6"/>
      <c r="G69" s="6"/>
      <c r="H69" s="6"/>
      <c r="I69" s="6"/>
      <c r="J69" s="6"/>
    </row>
    <row r="70" spans="1:10" ht="12" customHeight="1" x14ac:dyDescent="0.2">
      <c r="A70" s="12" t="s">
        <v>111</v>
      </c>
      <c r="B70" s="2">
        <f>F68</f>
        <v>299184.34369932767</v>
      </c>
      <c r="C70" s="2">
        <f t="shared" ref="C70:C81" si="25">+E70-D70</f>
        <v>4071.817426438995</v>
      </c>
      <c r="D70" s="2">
        <f t="shared" ref="D70:D81" si="26">+B70*$J$3</f>
        <v>1994.5622913288512</v>
      </c>
      <c r="E70" s="2">
        <f t="shared" ref="E70:E81" si="27">$J$6</f>
        <v>6066.3797177678462</v>
      </c>
      <c r="F70" s="2">
        <f t="shared" ref="F70:F81" si="28">+B70-C70</f>
        <v>295112.5262728887</v>
      </c>
      <c r="G70" s="6"/>
      <c r="H70" s="6"/>
      <c r="I70" s="6"/>
      <c r="J70" s="6"/>
    </row>
    <row r="71" spans="1:10" ht="12" customHeight="1" x14ac:dyDescent="0.2">
      <c r="A71" s="12"/>
      <c r="B71" s="2">
        <f t="shared" ref="B71:B81" si="29">+F70</f>
        <v>295112.5262728887</v>
      </c>
      <c r="C71" s="2">
        <f t="shared" si="25"/>
        <v>4098.9628759485877</v>
      </c>
      <c r="D71" s="2">
        <f t="shared" si="26"/>
        <v>1967.4168418192583</v>
      </c>
      <c r="E71" s="2">
        <f t="shared" si="27"/>
        <v>6066.3797177678462</v>
      </c>
      <c r="F71" s="2">
        <f t="shared" si="28"/>
        <v>291013.56339694012</v>
      </c>
      <c r="G71" s="6"/>
      <c r="H71" s="6"/>
      <c r="I71" s="6"/>
      <c r="J71" s="6"/>
    </row>
    <row r="72" spans="1:10" ht="12" customHeight="1" x14ac:dyDescent="0.2">
      <c r="A72" s="12"/>
      <c r="B72" s="2">
        <f t="shared" si="29"/>
        <v>291013.56339694012</v>
      </c>
      <c r="C72" s="2">
        <f t="shared" si="25"/>
        <v>4126.2892951215781</v>
      </c>
      <c r="D72" s="2">
        <f t="shared" si="26"/>
        <v>1940.0904226462676</v>
      </c>
      <c r="E72" s="2">
        <f t="shared" si="27"/>
        <v>6066.3797177678462</v>
      </c>
      <c r="F72" s="2">
        <f t="shared" si="28"/>
        <v>286887.27410181856</v>
      </c>
      <c r="G72" s="6"/>
      <c r="H72" s="6"/>
      <c r="I72" s="6"/>
      <c r="J72" s="6"/>
    </row>
    <row r="73" spans="1:10" ht="12" customHeight="1" x14ac:dyDescent="0.2">
      <c r="A73" s="12"/>
      <c r="B73" s="2">
        <f t="shared" si="29"/>
        <v>286887.27410181856</v>
      </c>
      <c r="C73" s="2">
        <f t="shared" si="25"/>
        <v>4153.7978904223892</v>
      </c>
      <c r="D73" s="2">
        <f t="shared" si="26"/>
        <v>1912.5818273454572</v>
      </c>
      <c r="E73" s="2">
        <f t="shared" si="27"/>
        <v>6066.3797177678462</v>
      </c>
      <c r="F73" s="2">
        <f t="shared" si="28"/>
        <v>282733.47621139616</v>
      </c>
      <c r="G73" s="6"/>
      <c r="H73" s="6"/>
      <c r="I73" s="6"/>
      <c r="J73" s="6"/>
    </row>
    <row r="74" spans="1:10" ht="12" customHeight="1" x14ac:dyDescent="0.2">
      <c r="A74" s="12"/>
      <c r="B74" s="2">
        <f t="shared" si="29"/>
        <v>282733.47621139616</v>
      </c>
      <c r="C74" s="2">
        <f t="shared" si="25"/>
        <v>4181.4898763585388</v>
      </c>
      <c r="D74" s="2">
        <f t="shared" si="26"/>
        <v>1884.8898414093078</v>
      </c>
      <c r="E74" s="2">
        <f t="shared" si="27"/>
        <v>6066.3797177678462</v>
      </c>
      <c r="F74" s="2">
        <f t="shared" si="28"/>
        <v>278551.98633503763</v>
      </c>
      <c r="G74" s="6"/>
      <c r="H74" s="6"/>
      <c r="I74" s="6"/>
      <c r="J74" s="6"/>
    </row>
    <row r="75" spans="1:10" ht="12" customHeight="1" x14ac:dyDescent="0.2">
      <c r="A75" s="12"/>
      <c r="B75" s="2">
        <f t="shared" si="29"/>
        <v>278551.98633503763</v>
      </c>
      <c r="C75" s="2">
        <f t="shared" si="25"/>
        <v>4209.3664755342616</v>
      </c>
      <c r="D75" s="2">
        <f t="shared" si="26"/>
        <v>1857.0132422335844</v>
      </c>
      <c r="E75" s="2">
        <f t="shared" si="27"/>
        <v>6066.3797177678462</v>
      </c>
      <c r="F75" s="2">
        <f t="shared" si="28"/>
        <v>274342.61985950335</v>
      </c>
      <c r="G75" s="6"/>
      <c r="H75" s="6"/>
      <c r="I75" s="6"/>
      <c r="J75" s="6"/>
    </row>
    <row r="76" spans="1:10" ht="12" customHeight="1" x14ac:dyDescent="0.2">
      <c r="A76" s="12"/>
      <c r="B76" s="2">
        <f t="shared" si="29"/>
        <v>274342.61985950335</v>
      </c>
      <c r="C76" s="2">
        <f t="shared" si="25"/>
        <v>4237.4289187044906</v>
      </c>
      <c r="D76" s="2">
        <f t="shared" si="26"/>
        <v>1828.9507990633558</v>
      </c>
      <c r="E76" s="2">
        <f t="shared" si="27"/>
        <v>6066.3797177678462</v>
      </c>
      <c r="F76" s="2">
        <f t="shared" si="28"/>
        <v>270105.19094079884</v>
      </c>
      <c r="G76" s="6"/>
      <c r="H76" s="6"/>
      <c r="I76" s="6"/>
      <c r="J76" s="6"/>
    </row>
    <row r="77" spans="1:10" ht="12" customHeight="1" x14ac:dyDescent="0.2">
      <c r="A77" s="12"/>
      <c r="B77" s="2">
        <f t="shared" si="29"/>
        <v>270105.19094079884</v>
      </c>
      <c r="C77" s="2">
        <f t="shared" si="25"/>
        <v>4265.6784448291874</v>
      </c>
      <c r="D77" s="2">
        <f t="shared" si="26"/>
        <v>1800.701272938659</v>
      </c>
      <c r="E77" s="2">
        <f t="shared" si="27"/>
        <v>6066.3797177678462</v>
      </c>
      <c r="F77" s="2">
        <f t="shared" si="28"/>
        <v>265839.51249596965</v>
      </c>
      <c r="G77" s="6"/>
      <c r="H77" s="6"/>
      <c r="I77" s="6"/>
      <c r="J77" s="6"/>
    </row>
    <row r="78" spans="1:10" ht="12" customHeight="1" x14ac:dyDescent="0.2">
      <c r="A78" s="12"/>
      <c r="B78" s="2">
        <f t="shared" si="29"/>
        <v>265839.51249596965</v>
      </c>
      <c r="C78" s="2">
        <f t="shared" si="25"/>
        <v>4294.1163011280478</v>
      </c>
      <c r="D78" s="2">
        <f t="shared" si="26"/>
        <v>1772.2634166397979</v>
      </c>
      <c r="E78" s="2">
        <f t="shared" si="27"/>
        <v>6066.3797177678462</v>
      </c>
      <c r="F78" s="2">
        <f t="shared" si="28"/>
        <v>261545.3961948416</v>
      </c>
      <c r="G78" s="6"/>
      <c r="H78" s="6"/>
      <c r="I78" s="6"/>
      <c r="J78" s="6"/>
    </row>
    <row r="79" spans="1:10" ht="12" customHeight="1" x14ac:dyDescent="0.2">
      <c r="A79" s="12"/>
      <c r="B79" s="2">
        <f t="shared" si="29"/>
        <v>261545.3961948416</v>
      </c>
      <c r="C79" s="2">
        <f t="shared" si="25"/>
        <v>4322.7437431355684</v>
      </c>
      <c r="D79" s="2">
        <f t="shared" si="26"/>
        <v>1743.6359746322773</v>
      </c>
      <c r="E79" s="2">
        <f t="shared" si="27"/>
        <v>6066.3797177678462</v>
      </c>
      <c r="F79" s="2">
        <f t="shared" si="28"/>
        <v>257222.65245170603</v>
      </c>
      <c r="G79" s="6"/>
      <c r="H79" s="6"/>
      <c r="I79" s="6"/>
      <c r="J79" s="6"/>
    </row>
    <row r="80" spans="1:10" ht="12" customHeight="1" x14ac:dyDescent="0.2">
      <c r="A80" s="12"/>
      <c r="B80" s="2">
        <f t="shared" si="29"/>
        <v>257222.65245170603</v>
      </c>
      <c r="C80" s="2">
        <f t="shared" si="25"/>
        <v>4351.5620347564727</v>
      </c>
      <c r="D80" s="2">
        <f t="shared" si="26"/>
        <v>1714.8176830113737</v>
      </c>
      <c r="E80" s="2">
        <f t="shared" si="27"/>
        <v>6066.3797177678462</v>
      </c>
      <c r="F80" s="2">
        <f t="shared" si="28"/>
        <v>252871.09041694956</v>
      </c>
      <c r="G80" s="6"/>
      <c r="H80" s="6"/>
      <c r="I80" s="6"/>
      <c r="J80" s="6"/>
    </row>
    <row r="81" spans="1:10" ht="12" customHeight="1" x14ac:dyDescent="0.2">
      <c r="A81" s="12" t="s">
        <v>112</v>
      </c>
      <c r="B81" s="2">
        <f t="shared" si="29"/>
        <v>252871.09041694956</v>
      </c>
      <c r="C81" s="2">
        <f t="shared" si="25"/>
        <v>4380.5724483215154</v>
      </c>
      <c r="D81" s="2">
        <f t="shared" si="26"/>
        <v>1685.8072694463306</v>
      </c>
      <c r="E81" s="2">
        <f t="shared" si="27"/>
        <v>6066.3797177678462</v>
      </c>
      <c r="F81" s="48">
        <f t="shared" si="28"/>
        <v>248490.51796862806</v>
      </c>
      <c r="G81" s="6"/>
      <c r="H81" s="6"/>
      <c r="I81" s="6"/>
      <c r="J81" s="6"/>
    </row>
    <row r="82" spans="1:10" ht="12" customHeight="1" x14ac:dyDescent="0.2">
      <c r="A82" s="9" t="s">
        <v>102</v>
      </c>
      <c r="B82" s="9"/>
      <c r="C82" s="48"/>
      <c r="D82" s="48">
        <f>SUM(D70:D81)</f>
        <v>22102.730882514519</v>
      </c>
      <c r="E82" s="2"/>
      <c r="F82" s="2"/>
      <c r="G82" s="6"/>
      <c r="H82" s="6"/>
      <c r="I82" s="6"/>
      <c r="J82" s="6"/>
    </row>
    <row r="83" spans="1:10" ht="12" customHeight="1" x14ac:dyDescent="0.2">
      <c r="A83" s="12"/>
      <c r="B83" s="12"/>
      <c r="C83" s="2"/>
      <c r="D83" s="2"/>
      <c r="E83" s="2"/>
      <c r="F83" s="2"/>
      <c r="G83" s="6"/>
      <c r="H83" s="6"/>
      <c r="I83" s="6"/>
      <c r="J83" s="6"/>
    </row>
    <row r="84" spans="1:10" ht="12" customHeight="1" x14ac:dyDescent="0.2">
      <c r="A84" s="12" t="s">
        <v>113</v>
      </c>
      <c r="B84" s="2">
        <f>F81</f>
        <v>248490.51796862806</v>
      </c>
      <c r="C84" s="2">
        <f t="shared" ref="C84:C95" si="30">+E84-D84</f>
        <v>4409.7762646436586</v>
      </c>
      <c r="D84" s="2">
        <f t="shared" ref="D84:D95" si="31">+B84*$J$3</f>
        <v>1656.6034531241871</v>
      </c>
      <c r="E84" s="2">
        <f t="shared" ref="E84:E95" si="32">$J$6</f>
        <v>6066.3797177678462</v>
      </c>
      <c r="F84" s="2">
        <f t="shared" ref="F84:F95" si="33">+B84-C84</f>
        <v>244080.74170398441</v>
      </c>
      <c r="G84" s="6"/>
      <c r="H84" s="6"/>
      <c r="I84" s="6"/>
      <c r="J84" s="6"/>
    </row>
    <row r="85" spans="1:10" ht="12" customHeight="1" x14ac:dyDescent="0.2">
      <c r="A85" s="12"/>
      <c r="B85" s="2">
        <f t="shared" ref="B85:B95" si="34">+F84</f>
        <v>244080.74170398441</v>
      </c>
      <c r="C85" s="2">
        <f t="shared" si="30"/>
        <v>4439.1747730746165</v>
      </c>
      <c r="D85" s="2">
        <f t="shared" si="31"/>
        <v>1627.2049446932294</v>
      </c>
      <c r="E85" s="2">
        <f t="shared" si="32"/>
        <v>6066.3797177678462</v>
      </c>
      <c r="F85" s="2">
        <f t="shared" si="33"/>
        <v>239641.56693090979</v>
      </c>
      <c r="G85" s="6"/>
      <c r="H85" s="6"/>
      <c r="I85" s="6"/>
      <c r="J85" s="6"/>
    </row>
    <row r="86" spans="1:10" ht="12" customHeight="1" x14ac:dyDescent="0.2">
      <c r="A86" s="12"/>
      <c r="B86" s="2">
        <f t="shared" si="34"/>
        <v>239641.56693090979</v>
      </c>
      <c r="C86" s="2">
        <f t="shared" si="30"/>
        <v>4468.7692715617814</v>
      </c>
      <c r="D86" s="2">
        <f t="shared" si="31"/>
        <v>1597.6104462060653</v>
      </c>
      <c r="E86" s="2">
        <f t="shared" si="32"/>
        <v>6066.3797177678462</v>
      </c>
      <c r="F86" s="2">
        <f t="shared" si="33"/>
        <v>235172.797659348</v>
      </c>
      <c r="G86" s="6"/>
      <c r="H86" s="6"/>
      <c r="I86" s="6"/>
      <c r="J86" s="6"/>
    </row>
    <row r="87" spans="1:10" ht="12" customHeight="1" x14ac:dyDescent="0.2">
      <c r="A87" s="12"/>
      <c r="B87" s="2">
        <f t="shared" si="34"/>
        <v>235172.797659348</v>
      </c>
      <c r="C87" s="2">
        <f t="shared" si="30"/>
        <v>4498.5610667055262</v>
      </c>
      <c r="D87" s="2">
        <f t="shared" si="31"/>
        <v>1567.81865106232</v>
      </c>
      <c r="E87" s="2">
        <f t="shared" si="32"/>
        <v>6066.3797177678462</v>
      </c>
      <c r="F87" s="2">
        <f t="shared" si="33"/>
        <v>230674.23659264247</v>
      </c>
      <c r="G87" s="6"/>
      <c r="H87" s="6"/>
      <c r="I87" s="6"/>
      <c r="J87" s="6"/>
    </row>
    <row r="88" spans="1:10" ht="12" customHeight="1" x14ac:dyDescent="0.2">
      <c r="A88" s="12"/>
      <c r="B88" s="2">
        <f t="shared" si="34"/>
        <v>230674.23659264247</v>
      </c>
      <c r="C88" s="2">
        <f t="shared" si="30"/>
        <v>4528.5514738168968</v>
      </c>
      <c r="D88" s="2">
        <f t="shared" si="31"/>
        <v>1537.8282439509499</v>
      </c>
      <c r="E88" s="2">
        <f t="shared" si="32"/>
        <v>6066.3797177678462</v>
      </c>
      <c r="F88" s="2">
        <f t="shared" si="33"/>
        <v>226145.68511882558</v>
      </c>
      <c r="G88" s="6"/>
      <c r="H88" s="6"/>
      <c r="I88" s="6"/>
      <c r="J88" s="6"/>
    </row>
    <row r="89" spans="1:10" ht="12" customHeight="1" x14ac:dyDescent="0.2">
      <c r="A89" s="12"/>
      <c r="B89" s="2">
        <f t="shared" si="34"/>
        <v>226145.68511882558</v>
      </c>
      <c r="C89" s="2">
        <f t="shared" si="30"/>
        <v>4558.7418169756756</v>
      </c>
      <c r="D89" s="2">
        <f t="shared" si="31"/>
        <v>1507.6379007921707</v>
      </c>
      <c r="E89" s="2">
        <f t="shared" si="32"/>
        <v>6066.3797177678462</v>
      </c>
      <c r="F89" s="2">
        <f t="shared" si="33"/>
        <v>221586.94330184991</v>
      </c>
      <c r="G89" s="6"/>
      <c r="H89" s="6"/>
      <c r="I89" s="6"/>
      <c r="J89" s="6"/>
    </row>
    <row r="90" spans="1:10" ht="12" customHeight="1" x14ac:dyDescent="0.2">
      <c r="A90" s="12"/>
      <c r="B90" s="2">
        <f t="shared" si="34"/>
        <v>221586.94330184991</v>
      </c>
      <c r="C90" s="2">
        <f t="shared" si="30"/>
        <v>4589.1334290888462</v>
      </c>
      <c r="D90" s="2">
        <f t="shared" si="31"/>
        <v>1477.2462886789995</v>
      </c>
      <c r="E90" s="2">
        <f t="shared" si="32"/>
        <v>6066.3797177678462</v>
      </c>
      <c r="F90" s="2">
        <f t="shared" si="33"/>
        <v>216997.80987276108</v>
      </c>
      <c r="G90" s="6"/>
      <c r="H90" s="6"/>
      <c r="I90" s="6"/>
      <c r="J90" s="6"/>
    </row>
    <row r="91" spans="1:10" ht="12" customHeight="1" x14ac:dyDescent="0.2">
      <c r="A91" s="12"/>
      <c r="B91" s="2">
        <f t="shared" si="34"/>
        <v>216997.80987276108</v>
      </c>
      <c r="C91" s="2">
        <f t="shared" si="30"/>
        <v>4619.727651949439</v>
      </c>
      <c r="D91" s="2">
        <f t="shared" si="31"/>
        <v>1446.6520658184072</v>
      </c>
      <c r="E91" s="2">
        <f t="shared" si="32"/>
        <v>6066.3797177678462</v>
      </c>
      <c r="F91" s="2">
        <f t="shared" si="33"/>
        <v>212378.08222081163</v>
      </c>
      <c r="G91" s="6"/>
      <c r="H91" s="6"/>
      <c r="I91" s="6"/>
      <c r="J91" s="6"/>
    </row>
    <row r="92" spans="1:10" ht="12" customHeight="1" x14ac:dyDescent="0.2">
      <c r="A92" s="12"/>
      <c r="B92" s="2">
        <f t="shared" si="34"/>
        <v>212378.08222081163</v>
      </c>
      <c r="C92" s="2">
        <f t="shared" si="30"/>
        <v>4650.5258362957684</v>
      </c>
      <c r="D92" s="2">
        <f t="shared" si="31"/>
        <v>1415.8538814720775</v>
      </c>
      <c r="E92" s="2">
        <f t="shared" si="32"/>
        <v>6066.3797177678462</v>
      </c>
      <c r="F92" s="2">
        <f t="shared" si="33"/>
        <v>207727.55638451586</v>
      </c>
      <c r="G92" s="6"/>
      <c r="H92" s="6"/>
      <c r="I92" s="6"/>
      <c r="J92" s="6"/>
    </row>
    <row r="93" spans="1:10" ht="12" customHeight="1" x14ac:dyDescent="0.2">
      <c r="A93" s="12"/>
      <c r="B93" s="2">
        <f t="shared" si="34"/>
        <v>207727.55638451586</v>
      </c>
      <c r="C93" s="2">
        <f t="shared" si="30"/>
        <v>4681.5293418710735</v>
      </c>
      <c r="D93" s="2">
        <f t="shared" si="31"/>
        <v>1384.8503758967724</v>
      </c>
      <c r="E93" s="2">
        <f t="shared" si="32"/>
        <v>6066.3797177678462</v>
      </c>
      <c r="F93" s="2">
        <f t="shared" si="33"/>
        <v>203046.0270426448</v>
      </c>
      <c r="G93" s="6"/>
      <c r="H93" s="6"/>
      <c r="I93" s="6"/>
      <c r="J93" s="6"/>
    </row>
    <row r="94" spans="1:10" ht="12" customHeight="1" x14ac:dyDescent="0.2">
      <c r="A94" s="12"/>
      <c r="B94" s="2">
        <f t="shared" si="34"/>
        <v>203046.0270426448</v>
      </c>
      <c r="C94" s="2">
        <f t="shared" si="30"/>
        <v>4712.7395374835469</v>
      </c>
      <c r="D94" s="2">
        <f t="shared" si="31"/>
        <v>1353.6401802842988</v>
      </c>
      <c r="E94" s="2">
        <f t="shared" si="32"/>
        <v>6066.3797177678462</v>
      </c>
      <c r="F94" s="2">
        <f t="shared" si="33"/>
        <v>198333.28750516125</v>
      </c>
      <c r="G94" s="6"/>
      <c r="H94" s="6"/>
      <c r="I94" s="6"/>
      <c r="J94" s="6"/>
    </row>
    <row r="95" spans="1:10" ht="12" customHeight="1" x14ac:dyDescent="0.2">
      <c r="A95" s="12" t="s">
        <v>114</v>
      </c>
      <c r="B95" s="2">
        <f t="shared" si="34"/>
        <v>198333.28750516125</v>
      </c>
      <c r="C95" s="2">
        <f t="shared" si="30"/>
        <v>4744.1578010667708</v>
      </c>
      <c r="D95" s="2">
        <f t="shared" si="31"/>
        <v>1322.2219167010751</v>
      </c>
      <c r="E95" s="2">
        <f t="shared" si="32"/>
        <v>6066.3797177678462</v>
      </c>
      <c r="F95" s="48">
        <f t="shared" si="33"/>
        <v>193589.12970409449</v>
      </c>
      <c r="G95" s="6"/>
      <c r="H95" s="6"/>
      <c r="I95" s="6"/>
      <c r="J95" s="6"/>
    </row>
    <row r="96" spans="1:10" ht="12" customHeight="1" x14ac:dyDescent="0.2">
      <c r="A96" s="9" t="s">
        <v>102</v>
      </c>
      <c r="B96" s="9"/>
      <c r="C96" s="48"/>
      <c r="D96" s="48">
        <f>SUM(D84:D95)</f>
        <v>17895.168348680552</v>
      </c>
      <c r="E96" s="2"/>
      <c r="F96" s="2"/>
      <c r="G96" s="6"/>
      <c r="H96" s="6"/>
      <c r="I96" s="6"/>
      <c r="J96" s="6"/>
    </row>
    <row r="97" spans="1:10" ht="12" customHeight="1" x14ac:dyDescent="0.2">
      <c r="A97" s="12"/>
      <c r="B97" s="12"/>
      <c r="C97" s="2"/>
      <c r="D97" s="2"/>
      <c r="E97" s="2"/>
      <c r="F97" s="2"/>
      <c r="G97" s="6"/>
      <c r="H97" s="6"/>
      <c r="I97" s="6"/>
      <c r="J97" s="6"/>
    </row>
    <row r="98" spans="1:10" ht="12" customHeight="1" x14ac:dyDescent="0.2">
      <c r="A98" s="12" t="s">
        <v>115</v>
      </c>
      <c r="B98" s="2">
        <f>F95</f>
        <v>193589.12970409449</v>
      </c>
      <c r="C98" s="2">
        <f t="shared" ref="C98:C109" si="35">+E98-D98</f>
        <v>4775.7855197405497</v>
      </c>
      <c r="D98" s="2">
        <f t="shared" ref="D98:D109" si="36">+B98*$J$3</f>
        <v>1290.5941980272967</v>
      </c>
      <c r="E98" s="2">
        <f t="shared" ref="E98:E109" si="37">$J$6</f>
        <v>6066.3797177678462</v>
      </c>
      <c r="F98" s="2">
        <f t="shared" ref="F98:F109" si="38">+B98-C98</f>
        <v>188813.34418435395</v>
      </c>
      <c r="G98" s="6"/>
      <c r="H98" s="6"/>
      <c r="I98" s="6"/>
      <c r="J98" s="6"/>
    </row>
    <row r="99" spans="1:10" ht="12" customHeight="1" x14ac:dyDescent="0.2">
      <c r="A99" s="12"/>
      <c r="B99" s="2">
        <f t="shared" ref="B99:B109" si="39">+F98</f>
        <v>188813.34418435395</v>
      </c>
      <c r="C99" s="2">
        <f t="shared" si="35"/>
        <v>4807.6240898721535</v>
      </c>
      <c r="D99" s="2">
        <f t="shared" si="36"/>
        <v>1258.7556278956931</v>
      </c>
      <c r="E99" s="2">
        <f t="shared" si="37"/>
        <v>6066.3797177678462</v>
      </c>
      <c r="F99" s="2">
        <f t="shared" si="38"/>
        <v>184005.7200944818</v>
      </c>
      <c r="G99" s="6"/>
      <c r="H99" s="6"/>
      <c r="I99" s="6"/>
      <c r="J99" s="6"/>
    </row>
    <row r="100" spans="1:10" ht="12" customHeight="1" x14ac:dyDescent="0.2">
      <c r="A100" s="12"/>
      <c r="B100" s="2">
        <f t="shared" si="39"/>
        <v>184005.7200944818</v>
      </c>
      <c r="C100" s="2">
        <f t="shared" si="35"/>
        <v>4839.674917137967</v>
      </c>
      <c r="D100" s="2">
        <f t="shared" si="36"/>
        <v>1226.7048006298787</v>
      </c>
      <c r="E100" s="2">
        <f t="shared" si="37"/>
        <v>6066.3797177678462</v>
      </c>
      <c r="F100" s="2">
        <f t="shared" si="38"/>
        <v>179166.04517734383</v>
      </c>
      <c r="G100" s="6"/>
      <c r="H100" s="6"/>
      <c r="I100" s="6"/>
      <c r="J100" s="6"/>
    </row>
    <row r="101" spans="1:10" ht="12" customHeight="1" x14ac:dyDescent="0.2">
      <c r="A101" s="12"/>
      <c r="B101" s="2">
        <f t="shared" si="39"/>
        <v>179166.04517734383</v>
      </c>
      <c r="C101" s="2">
        <f t="shared" si="35"/>
        <v>4871.9394165855538</v>
      </c>
      <c r="D101" s="2">
        <f t="shared" si="36"/>
        <v>1194.4403011822922</v>
      </c>
      <c r="E101" s="2">
        <f t="shared" si="37"/>
        <v>6066.3797177678462</v>
      </c>
      <c r="F101" s="2">
        <f t="shared" si="38"/>
        <v>174294.10576075828</v>
      </c>
      <c r="G101" s="6"/>
      <c r="H101" s="6"/>
      <c r="I101" s="6"/>
      <c r="J101" s="6"/>
    </row>
    <row r="102" spans="1:10" ht="12" customHeight="1" x14ac:dyDescent="0.2">
      <c r="A102" s="12"/>
      <c r="B102" s="2">
        <f t="shared" si="39"/>
        <v>174294.10576075828</v>
      </c>
      <c r="C102" s="2">
        <f t="shared" si="35"/>
        <v>4904.4190126961239</v>
      </c>
      <c r="D102" s="2">
        <f t="shared" si="36"/>
        <v>1161.960705071722</v>
      </c>
      <c r="E102" s="2">
        <f t="shared" si="37"/>
        <v>6066.3797177678462</v>
      </c>
      <c r="F102" s="2">
        <f t="shared" si="38"/>
        <v>169389.68674806214</v>
      </c>
      <c r="G102" s="6"/>
      <c r="H102" s="6"/>
      <c r="I102" s="6"/>
      <c r="J102" s="6"/>
    </row>
    <row r="103" spans="1:10" ht="12" customHeight="1" x14ac:dyDescent="0.2">
      <c r="A103" s="12"/>
      <c r="B103" s="2">
        <f t="shared" si="39"/>
        <v>169389.68674806214</v>
      </c>
      <c r="C103" s="2">
        <f t="shared" si="35"/>
        <v>4937.1151394474318</v>
      </c>
      <c r="D103" s="2">
        <f t="shared" si="36"/>
        <v>1129.2645783204143</v>
      </c>
      <c r="E103" s="2">
        <f t="shared" si="37"/>
        <v>6066.3797177678462</v>
      </c>
      <c r="F103" s="2">
        <f t="shared" si="38"/>
        <v>164452.5716086147</v>
      </c>
      <c r="G103" s="6"/>
      <c r="H103" s="6"/>
      <c r="I103" s="6"/>
      <c r="J103" s="6"/>
    </row>
    <row r="104" spans="1:10" ht="12" customHeight="1" x14ac:dyDescent="0.2">
      <c r="A104" s="12"/>
      <c r="B104" s="2">
        <f t="shared" si="39"/>
        <v>164452.5716086147</v>
      </c>
      <c r="C104" s="2">
        <f t="shared" si="35"/>
        <v>4970.0292403770818</v>
      </c>
      <c r="D104" s="2">
        <f t="shared" si="36"/>
        <v>1096.3504773907648</v>
      </c>
      <c r="E104" s="2">
        <f t="shared" si="37"/>
        <v>6066.3797177678462</v>
      </c>
      <c r="F104" s="2">
        <f t="shared" si="38"/>
        <v>159482.54236823763</v>
      </c>
      <c r="G104" s="6"/>
      <c r="H104" s="6"/>
      <c r="I104" s="6"/>
      <c r="J104" s="6"/>
    </row>
    <row r="105" spans="1:10" ht="12" customHeight="1" x14ac:dyDescent="0.2">
      <c r="A105" s="12"/>
      <c r="B105" s="2">
        <f t="shared" si="39"/>
        <v>159482.54236823763</v>
      </c>
      <c r="C105" s="2">
        <f t="shared" si="35"/>
        <v>5003.1627686462616</v>
      </c>
      <c r="D105" s="2">
        <f t="shared" si="36"/>
        <v>1063.2169491215843</v>
      </c>
      <c r="E105" s="2">
        <f t="shared" si="37"/>
        <v>6066.3797177678462</v>
      </c>
      <c r="F105" s="2">
        <f t="shared" si="38"/>
        <v>154479.37959959137</v>
      </c>
      <c r="G105" s="6"/>
      <c r="H105" s="6"/>
      <c r="I105" s="6"/>
      <c r="J105" s="6"/>
    </row>
    <row r="106" spans="1:10" ht="12" customHeight="1" x14ac:dyDescent="0.2">
      <c r="A106" s="12"/>
      <c r="B106" s="2">
        <f t="shared" si="39"/>
        <v>154479.37959959137</v>
      </c>
      <c r="C106" s="2">
        <f t="shared" si="35"/>
        <v>5036.5171871039038</v>
      </c>
      <c r="D106" s="2">
        <f t="shared" si="36"/>
        <v>1029.8625306639426</v>
      </c>
      <c r="E106" s="2">
        <f t="shared" si="37"/>
        <v>6066.3797177678462</v>
      </c>
      <c r="F106" s="2">
        <f t="shared" si="38"/>
        <v>149442.86241248748</v>
      </c>
      <c r="G106" s="6"/>
      <c r="H106" s="6"/>
      <c r="I106" s="6"/>
      <c r="J106" s="6"/>
    </row>
    <row r="107" spans="1:10" ht="12" customHeight="1" x14ac:dyDescent="0.2">
      <c r="A107" s="12"/>
      <c r="B107" s="2">
        <f t="shared" si="39"/>
        <v>149442.86241248748</v>
      </c>
      <c r="C107" s="2">
        <f t="shared" si="35"/>
        <v>5070.0939683512624</v>
      </c>
      <c r="D107" s="2">
        <f t="shared" si="36"/>
        <v>996.28574941658326</v>
      </c>
      <c r="E107" s="2">
        <f t="shared" si="37"/>
        <v>6066.3797177678462</v>
      </c>
      <c r="F107" s="2">
        <f t="shared" si="38"/>
        <v>144372.76844413622</v>
      </c>
      <c r="G107" s="6"/>
      <c r="H107" s="6"/>
      <c r="I107" s="6"/>
      <c r="J107" s="6"/>
    </row>
    <row r="108" spans="1:10" ht="12" customHeight="1" x14ac:dyDescent="0.2">
      <c r="A108" s="12"/>
      <c r="B108" s="2">
        <f t="shared" si="39"/>
        <v>144372.76844413622</v>
      </c>
      <c r="C108" s="2">
        <f t="shared" si="35"/>
        <v>5103.8945948069377</v>
      </c>
      <c r="D108" s="2">
        <f t="shared" si="36"/>
        <v>962.48512296090826</v>
      </c>
      <c r="E108" s="2">
        <f t="shared" si="37"/>
        <v>6066.3797177678462</v>
      </c>
      <c r="F108" s="2">
        <f t="shared" si="38"/>
        <v>139268.87384932928</v>
      </c>
      <c r="G108" s="6"/>
      <c r="H108" s="6"/>
      <c r="I108" s="6"/>
      <c r="J108" s="6"/>
    </row>
    <row r="109" spans="1:10" ht="12" customHeight="1" x14ac:dyDescent="0.2">
      <c r="A109" s="12" t="s">
        <v>116</v>
      </c>
      <c r="B109" s="2">
        <f t="shared" si="39"/>
        <v>139268.87384932928</v>
      </c>
      <c r="C109" s="2">
        <f t="shared" si="35"/>
        <v>5137.9205587723172</v>
      </c>
      <c r="D109" s="2">
        <f t="shared" si="36"/>
        <v>928.45915899552858</v>
      </c>
      <c r="E109" s="2">
        <f t="shared" si="37"/>
        <v>6066.3797177678462</v>
      </c>
      <c r="F109" s="48">
        <f t="shared" si="38"/>
        <v>134130.95329055696</v>
      </c>
      <c r="G109" s="6"/>
      <c r="H109" s="6"/>
      <c r="I109" s="6"/>
      <c r="J109" s="6"/>
    </row>
    <row r="110" spans="1:10" ht="12" customHeight="1" x14ac:dyDescent="0.2">
      <c r="A110" s="9" t="s">
        <v>102</v>
      </c>
      <c r="B110" s="9"/>
      <c r="C110" s="48"/>
      <c r="D110" s="48">
        <f>SUM(D98:D109)</f>
        <v>13338.380199676611</v>
      </c>
      <c r="E110" s="2"/>
      <c r="F110" s="2"/>
      <c r="G110" s="6"/>
      <c r="H110" s="6"/>
      <c r="I110" s="6"/>
      <c r="J110" s="6"/>
    </row>
    <row r="111" spans="1:10" ht="12" customHeight="1" x14ac:dyDescent="0.2">
      <c r="A111" s="12"/>
      <c r="B111" s="12"/>
      <c r="C111" s="2"/>
      <c r="D111" s="2"/>
      <c r="E111" s="2"/>
      <c r="F111" s="2"/>
      <c r="G111" s="6"/>
      <c r="H111" s="6"/>
      <c r="I111" s="6"/>
      <c r="J111" s="6"/>
    </row>
    <row r="112" spans="1:10" ht="12" customHeight="1" x14ac:dyDescent="0.2">
      <c r="A112" s="12" t="s">
        <v>117</v>
      </c>
      <c r="B112" s="2">
        <f>F109</f>
        <v>134130.95329055696</v>
      </c>
      <c r="C112" s="2">
        <f t="shared" ref="C112:C123" si="40">+E112-D112</f>
        <v>5172.1733624974659</v>
      </c>
      <c r="D112" s="2">
        <f t="shared" ref="D112:D123" si="41">+B112*$J$3</f>
        <v>894.20635527037985</v>
      </c>
      <c r="E112" s="2">
        <f t="shared" ref="E112:E123" si="42">$J$6</f>
        <v>6066.3797177678462</v>
      </c>
      <c r="F112" s="2">
        <f t="shared" ref="F112:F123" si="43">+B112-C112</f>
        <v>128958.77992805949</v>
      </c>
      <c r="G112" s="6"/>
      <c r="H112" s="6"/>
      <c r="I112" s="6"/>
      <c r="J112" s="6"/>
    </row>
    <row r="113" spans="1:10" ht="12" customHeight="1" x14ac:dyDescent="0.2">
      <c r="A113" s="12"/>
      <c r="B113" s="2">
        <f t="shared" ref="B113:B123" si="44">+F112</f>
        <v>128958.77992805949</v>
      </c>
      <c r="C113" s="2">
        <f t="shared" si="40"/>
        <v>5206.6545182474492</v>
      </c>
      <c r="D113" s="2">
        <f t="shared" si="41"/>
        <v>859.7251995203967</v>
      </c>
      <c r="E113" s="2">
        <f t="shared" si="42"/>
        <v>6066.3797177678462</v>
      </c>
      <c r="F113" s="2">
        <f t="shared" si="43"/>
        <v>123752.12540981204</v>
      </c>
      <c r="G113" s="6"/>
      <c r="H113" s="6"/>
      <c r="I113" s="6"/>
      <c r="J113" s="6"/>
    </row>
    <row r="114" spans="1:10" ht="12" customHeight="1" x14ac:dyDescent="0.2">
      <c r="A114" s="12"/>
      <c r="B114" s="2">
        <f t="shared" si="44"/>
        <v>123752.12540981204</v>
      </c>
      <c r="C114" s="2">
        <f t="shared" si="40"/>
        <v>5241.3655483690991</v>
      </c>
      <c r="D114" s="2">
        <f t="shared" si="41"/>
        <v>825.01416939874696</v>
      </c>
      <c r="E114" s="2">
        <f t="shared" si="42"/>
        <v>6066.3797177678462</v>
      </c>
      <c r="F114" s="2">
        <f t="shared" si="43"/>
        <v>118510.75986144294</v>
      </c>
      <c r="G114" s="6"/>
      <c r="H114" s="6"/>
      <c r="I114" s="6"/>
      <c r="J114" s="6"/>
    </row>
    <row r="115" spans="1:10" ht="12" customHeight="1" x14ac:dyDescent="0.2">
      <c r="A115" s="12"/>
      <c r="B115" s="2">
        <f t="shared" si="44"/>
        <v>118510.75986144294</v>
      </c>
      <c r="C115" s="2">
        <f t="shared" si="40"/>
        <v>5276.3079853582267</v>
      </c>
      <c r="D115" s="2">
        <f t="shared" si="41"/>
        <v>790.0717324096197</v>
      </c>
      <c r="E115" s="2">
        <f t="shared" si="42"/>
        <v>6066.3797177678462</v>
      </c>
      <c r="F115" s="2">
        <f t="shared" si="43"/>
        <v>113234.45187608471</v>
      </c>
      <c r="G115" s="6"/>
      <c r="H115" s="6"/>
      <c r="I115" s="6"/>
      <c r="J115" s="6"/>
    </row>
    <row r="116" spans="1:10" ht="12" customHeight="1" x14ac:dyDescent="0.2">
      <c r="A116" s="12"/>
      <c r="B116" s="2">
        <f t="shared" si="44"/>
        <v>113234.45187608471</v>
      </c>
      <c r="C116" s="2">
        <f t="shared" si="40"/>
        <v>5311.483371927281</v>
      </c>
      <c r="D116" s="2">
        <f t="shared" si="41"/>
        <v>754.89634584056478</v>
      </c>
      <c r="E116" s="2">
        <f t="shared" si="42"/>
        <v>6066.3797177678462</v>
      </c>
      <c r="F116" s="2">
        <f t="shared" si="43"/>
        <v>107922.96850415743</v>
      </c>
      <c r="G116" s="6"/>
      <c r="H116" s="6"/>
      <c r="I116" s="6"/>
      <c r="J116" s="6"/>
    </row>
    <row r="117" spans="1:10" ht="12" customHeight="1" x14ac:dyDescent="0.2">
      <c r="A117" s="12"/>
      <c r="B117" s="2">
        <f t="shared" si="44"/>
        <v>107922.96850415743</v>
      </c>
      <c r="C117" s="2">
        <f t="shared" si="40"/>
        <v>5346.8932610734628</v>
      </c>
      <c r="D117" s="2">
        <f t="shared" si="41"/>
        <v>719.48645669438292</v>
      </c>
      <c r="E117" s="2">
        <f t="shared" si="42"/>
        <v>6066.3797177678462</v>
      </c>
      <c r="F117" s="2">
        <f t="shared" si="43"/>
        <v>102576.07524308396</v>
      </c>
      <c r="G117" s="6"/>
      <c r="H117" s="6"/>
      <c r="I117" s="6"/>
      <c r="J117" s="6"/>
    </row>
    <row r="118" spans="1:10" ht="12" customHeight="1" x14ac:dyDescent="0.2">
      <c r="A118" s="12"/>
      <c r="B118" s="2">
        <f t="shared" si="44"/>
        <v>102576.07524308396</v>
      </c>
      <c r="C118" s="2">
        <f t="shared" si="40"/>
        <v>5382.5392161472864</v>
      </c>
      <c r="D118" s="2">
        <f t="shared" si="41"/>
        <v>683.84050162055985</v>
      </c>
      <c r="E118" s="2">
        <f t="shared" si="42"/>
        <v>6066.3797177678462</v>
      </c>
      <c r="F118" s="2">
        <f t="shared" si="43"/>
        <v>97193.536026936679</v>
      </c>
      <c r="G118" s="6"/>
      <c r="H118" s="6"/>
      <c r="I118" s="6"/>
      <c r="J118" s="6"/>
    </row>
    <row r="119" spans="1:10" ht="12" customHeight="1" x14ac:dyDescent="0.2">
      <c r="A119" s="12"/>
      <c r="B119" s="2">
        <f t="shared" si="44"/>
        <v>97193.536026936679</v>
      </c>
      <c r="C119" s="2">
        <f t="shared" si="40"/>
        <v>5418.4228109216019</v>
      </c>
      <c r="D119" s="2">
        <f t="shared" si="41"/>
        <v>647.95690684624458</v>
      </c>
      <c r="E119" s="2">
        <f t="shared" si="42"/>
        <v>6066.3797177678462</v>
      </c>
      <c r="F119" s="2">
        <f t="shared" si="43"/>
        <v>91775.113216015074</v>
      </c>
      <c r="G119" s="6"/>
      <c r="H119" s="6"/>
      <c r="I119" s="6"/>
      <c r="J119" s="6"/>
    </row>
    <row r="120" spans="1:10" ht="12" customHeight="1" x14ac:dyDescent="0.2">
      <c r="A120" s="12"/>
      <c r="B120" s="2">
        <f t="shared" si="44"/>
        <v>91775.113216015074</v>
      </c>
      <c r="C120" s="2">
        <f t="shared" si="40"/>
        <v>5454.5456296610791</v>
      </c>
      <c r="D120" s="2">
        <f t="shared" si="41"/>
        <v>611.83408810676724</v>
      </c>
      <c r="E120" s="2">
        <f t="shared" si="42"/>
        <v>6066.3797177678462</v>
      </c>
      <c r="F120" s="2">
        <f t="shared" si="43"/>
        <v>86320.567586353995</v>
      </c>
      <c r="G120" s="6"/>
      <c r="H120" s="6"/>
      <c r="I120" s="6"/>
      <c r="J120" s="6"/>
    </row>
    <row r="121" spans="1:10" ht="12" customHeight="1" x14ac:dyDescent="0.2">
      <c r="A121" s="12"/>
      <c r="B121" s="2">
        <f t="shared" si="44"/>
        <v>86320.567586353995</v>
      </c>
      <c r="C121" s="2">
        <f t="shared" si="40"/>
        <v>5490.9092671921526</v>
      </c>
      <c r="D121" s="2">
        <f t="shared" si="41"/>
        <v>575.47045057569335</v>
      </c>
      <c r="E121" s="2">
        <f t="shared" si="42"/>
        <v>6066.3797177678462</v>
      </c>
      <c r="F121" s="2">
        <f t="shared" si="43"/>
        <v>80829.658319161841</v>
      </c>
      <c r="G121" s="6"/>
      <c r="H121" s="6"/>
      <c r="I121" s="6"/>
      <c r="J121" s="6"/>
    </row>
    <row r="122" spans="1:10" ht="12" customHeight="1" x14ac:dyDescent="0.2">
      <c r="A122" s="12"/>
      <c r="B122" s="2">
        <f t="shared" si="44"/>
        <v>80829.658319161841</v>
      </c>
      <c r="C122" s="2">
        <f t="shared" si="40"/>
        <v>5527.5153289734335</v>
      </c>
      <c r="D122" s="2">
        <f t="shared" si="41"/>
        <v>538.86438879441232</v>
      </c>
      <c r="E122" s="2">
        <f t="shared" si="42"/>
        <v>6066.3797177678462</v>
      </c>
      <c r="F122" s="2">
        <f t="shared" si="43"/>
        <v>75302.142990188411</v>
      </c>
      <c r="G122" s="6"/>
      <c r="H122" s="6"/>
      <c r="I122" s="6"/>
      <c r="J122" s="6"/>
    </row>
    <row r="123" spans="1:10" ht="12" customHeight="1" x14ac:dyDescent="0.2">
      <c r="A123" s="12" t="s">
        <v>118</v>
      </c>
      <c r="B123" s="2">
        <f t="shared" si="44"/>
        <v>75302.142990188411</v>
      </c>
      <c r="C123" s="2">
        <f t="shared" si="40"/>
        <v>5564.3654311665905</v>
      </c>
      <c r="D123" s="2">
        <f t="shared" si="41"/>
        <v>502.01428660125612</v>
      </c>
      <c r="E123" s="2">
        <f t="shared" si="42"/>
        <v>6066.3797177678462</v>
      </c>
      <c r="F123" s="48">
        <f t="shared" si="43"/>
        <v>69737.777559021823</v>
      </c>
      <c r="G123" s="6"/>
      <c r="H123" s="6"/>
      <c r="I123" s="6"/>
      <c r="J123" s="6"/>
    </row>
    <row r="124" spans="1:10" ht="12" customHeight="1" x14ac:dyDescent="0.2">
      <c r="A124" s="9" t="s">
        <v>102</v>
      </c>
      <c r="B124" s="4"/>
      <c r="C124" s="48"/>
      <c r="D124" s="48">
        <f>SUM(D112:D123)</f>
        <v>8403.3808816790242</v>
      </c>
      <c r="E124" s="6"/>
      <c r="F124" s="6"/>
      <c r="G124" s="6"/>
      <c r="H124" s="6"/>
      <c r="I124" s="6"/>
      <c r="J124" s="6"/>
    </row>
    <row r="125" spans="1:10" ht="12" customHeight="1" x14ac:dyDescent="0.2">
      <c r="A125" s="12" t="s">
        <v>119</v>
      </c>
      <c r="B125" s="2">
        <f>F123</f>
        <v>69737.777559021823</v>
      </c>
      <c r="C125" s="2">
        <f t="shared" ref="C125:C136" si="45">+E125-D125</f>
        <v>5601.4612007077003</v>
      </c>
      <c r="D125" s="2">
        <f t="shared" ref="D125:D136" si="46">+B125*$J$3</f>
        <v>464.91851706014552</v>
      </c>
      <c r="E125" s="2">
        <f t="shared" ref="E125:E136" si="47">$J$6</f>
        <v>6066.3797177678462</v>
      </c>
      <c r="F125" s="2">
        <f t="shared" ref="F125:F136" si="48">+B125-C125</f>
        <v>64136.316358314121</v>
      </c>
      <c r="G125" s="6"/>
      <c r="H125" s="6"/>
      <c r="I125" s="6"/>
      <c r="J125" s="6"/>
    </row>
    <row r="126" spans="1:10" ht="12" customHeight="1" x14ac:dyDescent="0.2">
      <c r="A126" s="12"/>
      <c r="B126" s="2">
        <f t="shared" ref="B126:B136" si="49">+F125</f>
        <v>64136.316358314121</v>
      </c>
      <c r="C126" s="2">
        <f t="shared" si="45"/>
        <v>5638.8042753790851</v>
      </c>
      <c r="D126" s="2">
        <f t="shared" si="46"/>
        <v>427.57544238876085</v>
      </c>
      <c r="E126" s="2">
        <f t="shared" si="47"/>
        <v>6066.3797177678462</v>
      </c>
      <c r="F126" s="2">
        <f t="shared" si="48"/>
        <v>58497.512082935034</v>
      </c>
      <c r="G126" s="6"/>
      <c r="H126" s="6"/>
      <c r="I126" s="6"/>
      <c r="J126" s="6"/>
    </row>
    <row r="127" spans="1:10" ht="12" customHeight="1" x14ac:dyDescent="0.2">
      <c r="A127" s="12"/>
      <c r="B127" s="2">
        <f t="shared" si="49"/>
        <v>58497.512082935034</v>
      </c>
      <c r="C127" s="2">
        <f t="shared" si="45"/>
        <v>5676.3963038816128</v>
      </c>
      <c r="D127" s="2">
        <f t="shared" si="46"/>
        <v>389.98341388623356</v>
      </c>
      <c r="E127" s="2">
        <f t="shared" si="47"/>
        <v>6066.3797177678462</v>
      </c>
      <c r="F127" s="2">
        <f t="shared" si="48"/>
        <v>52821.11577905342</v>
      </c>
      <c r="G127" s="6"/>
      <c r="H127" s="6"/>
      <c r="I127" s="6"/>
      <c r="J127" s="6"/>
    </row>
    <row r="128" spans="1:10" ht="12" customHeight="1" x14ac:dyDescent="0.2">
      <c r="A128" s="12"/>
      <c r="B128" s="2">
        <f t="shared" si="49"/>
        <v>52821.11577905342</v>
      </c>
      <c r="C128" s="2">
        <f t="shared" si="45"/>
        <v>5714.2389459074902</v>
      </c>
      <c r="D128" s="2">
        <f t="shared" si="46"/>
        <v>352.14077186035615</v>
      </c>
      <c r="E128" s="2">
        <f t="shared" si="47"/>
        <v>6066.3797177678462</v>
      </c>
      <c r="F128" s="2">
        <f t="shared" si="48"/>
        <v>47106.876833145929</v>
      </c>
      <c r="G128" s="6"/>
      <c r="H128" s="6"/>
      <c r="I128" s="6"/>
      <c r="J128" s="6"/>
    </row>
    <row r="129" spans="1:10" ht="12" customHeight="1" x14ac:dyDescent="0.2">
      <c r="A129" s="12"/>
      <c r="B129" s="2">
        <f t="shared" si="49"/>
        <v>47106.876833145929</v>
      </c>
      <c r="C129" s="2">
        <f t="shared" si="45"/>
        <v>5752.3338722135395</v>
      </c>
      <c r="D129" s="2">
        <f t="shared" si="46"/>
        <v>314.0458455543062</v>
      </c>
      <c r="E129" s="2">
        <f t="shared" si="47"/>
        <v>6066.3797177678462</v>
      </c>
      <c r="F129" s="2">
        <f t="shared" si="48"/>
        <v>41354.542960932391</v>
      </c>
      <c r="G129" s="6"/>
      <c r="H129" s="6"/>
      <c r="I129" s="6"/>
      <c r="J129" s="6"/>
    </row>
    <row r="130" spans="1:10" ht="12" customHeight="1" x14ac:dyDescent="0.2">
      <c r="A130" s="12"/>
      <c r="B130" s="2">
        <f t="shared" si="49"/>
        <v>41354.542960932391</v>
      </c>
      <c r="C130" s="2">
        <f t="shared" si="45"/>
        <v>5790.6827646949632</v>
      </c>
      <c r="D130" s="2">
        <f t="shared" si="46"/>
        <v>275.69695307288265</v>
      </c>
      <c r="E130" s="2">
        <f t="shared" si="47"/>
        <v>6066.3797177678462</v>
      </c>
      <c r="F130" s="2">
        <f t="shared" si="48"/>
        <v>35563.860196237431</v>
      </c>
      <c r="G130" s="6"/>
      <c r="H130" s="6"/>
      <c r="I130" s="6"/>
      <c r="J130" s="6"/>
    </row>
    <row r="131" spans="1:10" ht="12" customHeight="1" x14ac:dyDescent="0.2">
      <c r="A131" s="12"/>
      <c r="B131" s="2">
        <f t="shared" si="49"/>
        <v>35563.860196237431</v>
      </c>
      <c r="C131" s="2">
        <f t="shared" si="45"/>
        <v>5829.2873164595967</v>
      </c>
      <c r="D131" s="2">
        <f t="shared" si="46"/>
        <v>237.09240130824955</v>
      </c>
      <c r="E131" s="2">
        <f t="shared" si="47"/>
        <v>6066.3797177678462</v>
      </c>
      <c r="F131" s="2">
        <f t="shared" si="48"/>
        <v>29734.572879777836</v>
      </c>
      <c r="G131" s="6"/>
      <c r="H131" s="6"/>
      <c r="I131" s="6"/>
      <c r="J131" s="6"/>
    </row>
    <row r="132" spans="1:10" ht="12" customHeight="1" x14ac:dyDescent="0.2">
      <c r="A132" s="12"/>
      <c r="B132" s="2">
        <f t="shared" si="49"/>
        <v>29734.572879777836</v>
      </c>
      <c r="C132" s="2">
        <f t="shared" si="45"/>
        <v>5868.1492319026602</v>
      </c>
      <c r="D132" s="2">
        <f t="shared" si="46"/>
        <v>198.23048586518559</v>
      </c>
      <c r="E132" s="2">
        <f t="shared" si="47"/>
        <v>6066.3797177678462</v>
      </c>
      <c r="F132" s="2">
        <f t="shared" si="48"/>
        <v>23866.423647875177</v>
      </c>
      <c r="G132" s="6"/>
      <c r="H132" s="6"/>
      <c r="I132" s="6"/>
      <c r="J132" s="6"/>
    </row>
    <row r="133" spans="1:10" ht="12" customHeight="1" x14ac:dyDescent="0.2">
      <c r="A133" s="12"/>
      <c r="B133" s="2">
        <f t="shared" si="49"/>
        <v>23866.423647875177</v>
      </c>
      <c r="C133" s="2">
        <f t="shared" si="45"/>
        <v>5907.2702267820114</v>
      </c>
      <c r="D133" s="2">
        <f t="shared" si="46"/>
        <v>159.10949098583453</v>
      </c>
      <c r="E133" s="2">
        <f t="shared" si="47"/>
        <v>6066.3797177678462</v>
      </c>
      <c r="F133" s="2">
        <f t="shared" si="48"/>
        <v>17959.153421093164</v>
      </c>
      <c r="G133" s="6"/>
      <c r="H133" s="6"/>
      <c r="I133" s="6"/>
      <c r="J133" s="6"/>
    </row>
    <row r="134" spans="1:10" ht="12" customHeight="1" x14ac:dyDescent="0.2">
      <c r="A134" s="12"/>
      <c r="B134" s="2">
        <f t="shared" si="49"/>
        <v>17959.153421093164</v>
      </c>
      <c r="C134" s="2">
        <f t="shared" si="45"/>
        <v>5946.6520282938918</v>
      </c>
      <c r="D134" s="2">
        <f t="shared" si="46"/>
        <v>119.72768947395444</v>
      </c>
      <c r="E134" s="2">
        <f t="shared" si="47"/>
        <v>6066.3797177678462</v>
      </c>
      <c r="F134" s="2">
        <f t="shared" si="48"/>
        <v>12012.501392799273</v>
      </c>
      <c r="G134" s="6"/>
      <c r="H134" s="6"/>
      <c r="I134" s="6"/>
      <c r="J134" s="6"/>
    </row>
    <row r="135" spans="1:10" ht="12" customHeight="1" x14ac:dyDescent="0.2">
      <c r="A135" s="12"/>
      <c r="B135" s="2">
        <f t="shared" si="49"/>
        <v>12012.501392799273</v>
      </c>
      <c r="C135" s="2">
        <f t="shared" si="45"/>
        <v>5986.2963751491843</v>
      </c>
      <c r="D135" s="2">
        <f t="shared" si="46"/>
        <v>80.083342618661831</v>
      </c>
      <c r="E135" s="2">
        <f t="shared" si="47"/>
        <v>6066.3797177678462</v>
      </c>
      <c r="F135" s="2">
        <f t="shared" si="48"/>
        <v>6026.2050176500888</v>
      </c>
      <c r="G135" s="6"/>
      <c r="H135" s="6"/>
      <c r="I135" s="6"/>
      <c r="J135" s="6"/>
    </row>
    <row r="136" spans="1:10" ht="12" customHeight="1" x14ac:dyDescent="0.2">
      <c r="A136" s="12" t="s">
        <v>120</v>
      </c>
      <c r="B136" s="2">
        <f t="shared" si="49"/>
        <v>6026.2050176500888</v>
      </c>
      <c r="C136" s="2">
        <f t="shared" si="45"/>
        <v>6026.2050176501789</v>
      </c>
      <c r="D136" s="2">
        <f t="shared" si="46"/>
        <v>40.174700117667264</v>
      </c>
      <c r="E136" s="2">
        <f t="shared" si="47"/>
        <v>6066.3797177678462</v>
      </c>
      <c r="F136" s="48">
        <f t="shared" si="48"/>
        <v>-9.0039975475519896E-11</v>
      </c>
      <c r="G136" s="6"/>
      <c r="H136" s="6"/>
      <c r="I136" s="6"/>
      <c r="J136" s="6"/>
    </row>
    <row r="137" spans="1:10" ht="12" customHeight="1" x14ac:dyDescent="0.2">
      <c r="A137" s="9" t="s">
        <v>102</v>
      </c>
      <c r="B137" s="4"/>
      <c r="C137" s="48"/>
      <c r="D137" s="48">
        <f>SUM(D125:D136)</f>
        <v>3058.7790541922377</v>
      </c>
      <c r="E137" s="6"/>
      <c r="F137" s="6"/>
      <c r="G137" s="6"/>
      <c r="H137" s="6"/>
      <c r="I137" s="6"/>
      <c r="J137" s="6"/>
    </row>
    <row r="138" spans="1:10" ht="12" customHeight="1" x14ac:dyDescent="0.2">
      <c r="A138" s="12" t="s">
        <v>121</v>
      </c>
      <c r="B138" s="2">
        <f>F136</f>
        <v>-9.0039975475519896E-11</v>
      </c>
      <c r="C138" s="2">
        <f t="shared" ref="C138:C149" si="50">+E138-D138</f>
        <v>6066.3797177678471</v>
      </c>
      <c r="D138" s="2">
        <f t="shared" ref="D138:D149" si="51">+B138*$J$3</f>
        <v>-6.0026650317013267E-13</v>
      </c>
      <c r="E138" s="2">
        <f t="shared" ref="E138:E149" si="52">$J$6</f>
        <v>6066.3797177678462</v>
      </c>
      <c r="F138" s="2">
        <f t="shared" ref="F138:F149" si="53">+B138-C138</f>
        <v>-6066.3797177679371</v>
      </c>
      <c r="G138" s="6"/>
      <c r="H138" s="6"/>
      <c r="I138" s="6"/>
      <c r="J138" s="6"/>
    </row>
    <row r="139" spans="1:10" ht="12" customHeight="1" x14ac:dyDescent="0.2">
      <c r="A139" s="12"/>
      <c r="B139" s="2">
        <f t="shared" ref="B139:B149" si="54">+F138</f>
        <v>-6066.3797177679371</v>
      </c>
      <c r="C139" s="2">
        <f t="shared" si="50"/>
        <v>6106.8222492196328</v>
      </c>
      <c r="D139" s="2">
        <f t="shared" si="51"/>
        <v>-40.442531451786252</v>
      </c>
      <c r="E139" s="2">
        <f t="shared" si="52"/>
        <v>6066.3797177678462</v>
      </c>
      <c r="F139" s="2">
        <f t="shared" si="53"/>
        <v>-12173.20196698757</v>
      </c>
      <c r="G139" s="6"/>
      <c r="H139" s="6"/>
      <c r="I139" s="6"/>
      <c r="J139" s="6"/>
    </row>
    <row r="140" spans="1:10" ht="12" customHeight="1" x14ac:dyDescent="0.2">
      <c r="A140" s="12"/>
      <c r="B140" s="2">
        <f t="shared" si="54"/>
        <v>-12173.20196698757</v>
      </c>
      <c r="C140" s="2">
        <f t="shared" si="50"/>
        <v>6147.5343975477635</v>
      </c>
      <c r="D140" s="2">
        <f t="shared" si="51"/>
        <v>-81.154679779917132</v>
      </c>
      <c r="E140" s="2">
        <f t="shared" si="52"/>
        <v>6066.3797177678462</v>
      </c>
      <c r="F140" s="2">
        <f t="shared" si="53"/>
        <v>-18320.736364535333</v>
      </c>
      <c r="G140" s="6"/>
      <c r="H140" s="6"/>
      <c r="I140" s="6"/>
      <c r="J140" s="6"/>
    </row>
    <row r="141" spans="1:10" ht="12" customHeight="1" x14ac:dyDescent="0.2">
      <c r="A141" s="12"/>
      <c r="B141" s="2">
        <f t="shared" si="54"/>
        <v>-18320.736364535333</v>
      </c>
      <c r="C141" s="2">
        <f t="shared" si="50"/>
        <v>6188.5179601980817</v>
      </c>
      <c r="D141" s="2">
        <f t="shared" si="51"/>
        <v>-122.13824243023556</v>
      </c>
      <c r="E141" s="2">
        <f t="shared" si="52"/>
        <v>6066.3797177678462</v>
      </c>
      <c r="F141" s="2">
        <f t="shared" si="53"/>
        <v>-24509.254324733414</v>
      </c>
      <c r="G141" s="6"/>
      <c r="H141" s="6"/>
      <c r="I141" s="6"/>
      <c r="J141" s="6"/>
    </row>
    <row r="142" spans="1:10" ht="12" customHeight="1" x14ac:dyDescent="0.2">
      <c r="A142" s="12"/>
      <c r="B142" s="2">
        <f t="shared" si="54"/>
        <v>-24509.254324733414</v>
      </c>
      <c r="C142" s="2">
        <f t="shared" si="50"/>
        <v>6229.7747465994025</v>
      </c>
      <c r="D142" s="2">
        <f t="shared" si="51"/>
        <v>-163.39502883155612</v>
      </c>
      <c r="E142" s="2">
        <f t="shared" si="52"/>
        <v>6066.3797177678462</v>
      </c>
      <c r="F142" s="2">
        <f t="shared" si="53"/>
        <v>-30739.029071332818</v>
      </c>
      <c r="G142" s="6"/>
      <c r="H142" s="6"/>
      <c r="I142" s="6"/>
      <c r="J142" s="6"/>
    </row>
    <row r="143" spans="1:10" ht="12" customHeight="1" x14ac:dyDescent="0.2">
      <c r="A143" s="12"/>
      <c r="B143" s="2">
        <f t="shared" si="54"/>
        <v>-30739.029071332818</v>
      </c>
      <c r="C143" s="2">
        <f t="shared" si="50"/>
        <v>6271.3065782433987</v>
      </c>
      <c r="D143" s="2">
        <f t="shared" si="51"/>
        <v>-204.92686047555213</v>
      </c>
      <c r="E143" s="2">
        <f t="shared" si="52"/>
        <v>6066.3797177678462</v>
      </c>
      <c r="F143" s="2">
        <f t="shared" si="53"/>
        <v>-37010.335649576213</v>
      </c>
      <c r="G143" s="6"/>
      <c r="H143" s="6"/>
      <c r="I143" s="6"/>
      <c r="J143" s="6"/>
    </row>
    <row r="144" spans="1:10" ht="12" customHeight="1" x14ac:dyDescent="0.2">
      <c r="A144" s="12"/>
      <c r="B144" s="2">
        <f t="shared" si="54"/>
        <v>-37010.335649576213</v>
      </c>
      <c r="C144" s="2">
        <f t="shared" si="50"/>
        <v>6313.1152887650205</v>
      </c>
      <c r="D144" s="2">
        <f t="shared" si="51"/>
        <v>-246.73557099717476</v>
      </c>
      <c r="E144" s="2">
        <f t="shared" si="52"/>
        <v>6066.3797177678462</v>
      </c>
      <c r="F144" s="2">
        <f t="shared" si="53"/>
        <v>-43323.450938341237</v>
      </c>
      <c r="G144" s="6"/>
      <c r="H144" s="6"/>
      <c r="I144" s="6"/>
      <c r="J144" s="6"/>
    </row>
    <row r="145" spans="1:10" ht="12" customHeight="1" x14ac:dyDescent="0.2">
      <c r="A145" s="12"/>
      <c r="B145" s="2">
        <f t="shared" si="54"/>
        <v>-43323.450938341237</v>
      </c>
      <c r="C145" s="2">
        <f t="shared" si="50"/>
        <v>6355.2027240234547</v>
      </c>
      <c r="D145" s="2">
        <f t="shared" si="51"/>
        <v>-288.82300625560828</v>
      </c>
      <c r="E145" s="2">
        <f t="shared" si="52"/>
        <v>6066.3797177678462</v>
      </c>
      <c r="F145" s="2">
        <f t="shared" si="53"/>
        <v>-49678.65366236469</v>
      </c>
      <c r="G145" s="6"/>
      <c r="H145" s="6"/>
      <c r="I145" s="6"/>
      <c r="J145" s="6"/>
    </row>
    <row r="146" spans="1:10" ht="12" customHeight="1" x14ac:dyDescent="0.2">
      <c r="A146" s="12"/>
      <c r="B146" s="2">
        <f t="shared" si="54"/>
        <v>-49678.65366236469</v>
      </c>
      <c r="C146" s="2">
        <f t="shared" si="50"/>
        <v>6397.5707421836105</v>
      </c>
      <c r="D146" s="2">
        <f t="shared" si="51"/>
        <v>-331.19102441576462</v>
      </c>
      <c r="E146" s="2">
        <f t="shared" si="52"/>
        <v>6066.3797177678462</v>
      </c>
      <c r="F146" s="2">
        <f t="shared" si="53"/>
        <v>-56076.224404548302</v>
      </c>
      <c r="G146" s="6"/>
      <c r="H146" s="6"/>
      <c r="I146" s="6"/>
      <c r="J146" s="6"/>
    </row>
    <row r="147" spans="1:10" ht="12" customHeight="1" x14ac:dyDescent="0.2">
      <c r="A147" s="12"/>
      <c r="B147" s="2">
        <f t="shared" si="54"/>
        <v>-56076.224404548302</v>
      </c>
      <c r="C147" s="2">
        <f t="shared" si="50"/>
        <v>6440.2212137981678</v>
      </c>
      <c r="D147" s="2">
        <f t="shared" si="51"/>
        <v>-373.84149603032205</v>
      </c>
      <c r="E147" s="2">
        <f t="shared" si="52"/>
        <v>6066.3797177678462</v>
      </c>
      <c r="F147" s="2">
        <f t="shared" si="53"/>
        <v>-62516.445618346472</v>
      </c>
      <c r="G147" s="6"/>
      <c r="H147" s="6"/>
      <c r="I147" s="6"/>
      <c r="J147" s="6"/>
    </row>
    <row r="148" spans="1:10" ht="12" customHeight="1" x14ac:dyDescent="0.2">
      <c r="A148" s="12"/>
      <c r="B148" s="2">
        <f t="shared" si="54"/>
        <v>-62516.445618346472</v>
      </c>
      <c r="C148" s="2">
        <f t="shared" si="50"/>
        <v>6483.1560218901559</v>
      </c>
      <c r="D148" s="2">
        <f t="shared" si="51"/>
        <v>-416.77630412230985</v>
      </c>
      <c r="E148" s="2">
        <f t="shared" si="52"/>
        <v>6066.3797177678462</v>
      </c>
      <c r="F148" s="2">
        <f t="shared" si="53"/>
        <v>-68999.601640236622</v>
      </c>
      <c r="G148" s="6"/>
      <c r="H148" s="6"/>
      <c r="I148" s="6"/>
      <c r="J148" s="6"/>
    </row>
    <row r="149" spans="1:10" ht="12" customHeight="1" x14ac:dyDescent="0.2">
      <c r="A149" s="12" t="s">
        <v>122</v>
      </c>
      <c r="B149" s="2">
        <f t="shared" si="54"/>
        <v>-68999.601640236622</v>
      </c>
      <c r="C149" s="2">
        <f t="shared" si="50"/>
        <v>6526.3770620360901</v>
      </c>
      <c r="D149" s="2">
        <f t="shared" si="51"/>
        <v>-459.99734426824421</v>
      </c>
      <c r="E149" s="2">
        <f t="shared" si="52"/>
        <v>6066.3797177678462</v>
      </c>
      <c r="F149" s="48">
        <f t="shared" si="53"/>
        <v>-75525.978702272711</v>
      </c>
      <c r="G149" s="6"/>
      <c r="H149" s="6"/>
      <c r="I149" s="6"/>
      <c r="J149" s="6"/>
    </row>
    <row r="150" spans="1:10" ht="12" customHeight="1" x14ac:dyDescent="0.2">
      <c r="A150" s="9" t="s">
        <v>102</v>
      </c>
      <c r="B150" s="9"/>
      <c r="C150" s="48"/>
      <c r="D150" s="48">
        <f>SUM(D138:D149)</f>
        <v>-2729.422089058472</v>
      </c>
      <c r="E150" s="2"/>
      <c r="F150" s="2"/>
      <c r="G150" s="6"/>
      <c r="H150" s="6"/>
      <c r="I150" s="6"/>
      <c r="J150" s="6"/>
    </row>
    <row r="151" spans="1:10" ht="12" customHeight="1" x14ac:dyDescent="0.2">
      <c r="A151" s="12"/>
      <c r="B151" s="12"/>
      <c r="C151" s="2"/>
      <c r="D151" s="2"/>
      <c r="E151" s="2"/>
      <c r="F151" s="2"/>
      <c r="G151" s="6"/>
      <c r="H151" s="6"/>
      <c r="I151" s="6"/>
      <c r="J151" s="6"/>
    </row>
    <row r="152" spans="1:10" ht="12" customHeight="1" x14ac:dyDescent="0.2">
      <c r="A152" s="12" t="s">
        <v>123</v>
      </c>
      <c r="B152" s="2">
        <f>F149</f>
        <v>-75525.978702272711</v>
      </c>
      <c r="C152" s="2">
        <f t="shared" ref="C152:C163" si="55">+E152-D152</f>
        <v>6569.8862424496647</v>
      </c>
      <c r="D152" s="2">
        <f t="shared" ref="D152:D163" si="56">+B152*$J$3</f>
        <v>-503.50652468181812</v>
      </c>
      <c r="E152" s="2">
        <f t="shared" ref="E152:E163" si="57">$J$6</f>
        <v>6066.3797177678462</v>
      </c>
      <c r="F152" s="2">
        <f t="shared" ref="F152:F163" si="58">+B152-C152</f>
        <v>-82095.864944722372</v>
      </c>
      <c r="G152" s="6"/>
      <c r="H152" s="6"/>
      <c r="I152" s="6"/>
      <c r="J152" s="6"/>
    </row>
    <row r="153" spans="1:10" ht="12" customHeight="1" x14ac:dyDescent="0.2">
      <c r="A153" s="12"/>
      <c r="B153" s="2">
        <f t="shared" ref="B153:B163" si="59">+F152</f>
        <v>-82095.864944722372</v>
      </c>
      <c r="C153" s="2">
        <f t="shared" si="55"/>
        <v>6613.6854840659953</v>
      </c>
      <c r="D153" s="2">
        <f t="shared" si="56"/>
        <v>-547.30576629814914</v>
      </c>
      <c r="E153" s="2">
        <f t="shared" si="57"/>
        <v>6066.3797177678462</v>
      </c>
      <c r="F153" s="2">
        <f t="shared" si="58"/>
        <v>-88709.550428788367</v>
      </c>
      <c r="G153" s="6"/>
      <c r="H153" s="6"/>
      <c r="I153" s="6"/>
      <c r="J153" s="6"/>
    </row>
    <row r="154" spans="1:10" ht="12" customHeight="1" x14ac:dyDescent="0.2">
      <c r="A154" s="12"/>
      <c r="B154" s="2">
        <f t="shared" si="59"/>
        <v>-88709.550428788367</v>
      </c>
      <c r="C154" s="2">
        <f t="shared" si="55"/>
        <v>6657.7767206264352</v>
      </c>
      <c r="D154" s="2">
        <f t="shared" si="56"/>
        <v>-591.39700285858919</v>
      </c>
      <c r="E154" s="2">
        <f t="shared" si="57"/>
        <v>6066.3797177678462</v>
      </c>
      <c r="F154" s="2">
        <f t="shared" si="58"/>
        <v>-95367.327149414807</v>
      </c>
      <c r="G154" s="6"/>
      <c r="H154" s="6"/>
      <c r="I154" s="6"/>
      <c r="J154" s="6"/>
    </row>
    <row r="155" spans="1:10" ht="12" customHeight="1" x14ac:dyDescent="0.2">
      <c r="A155" s="12"/>
      <c r="B155" s="2">
        <f t="shared" si="59"/>
        <v>-95367.327149414807</v>
      </c>
      <c r="C155" s="2">
        <f t="shared" si="55"/>
        <v>6702.1618987639449</v>
      </c>
      <c r="D155" s="2">
        <f t="shared" si="56"/>
        <v>-635.78218099609876</v>
      </c>
      <c r="E155" s="2">
        <f t="shared" si="57"/>
        <v>6066.3797177678462</v>
      </c>
      <c r="F155" s="2">
        <f t="shared" si="58"/>
        <v>-102069.48904817874</v>
      </c>
      <c r="G155" s="6"/>
      <c r="H155" s="6"/>
      <c r="I155" s="6"/>
      <c r="J155" s="6"/>
    </row>
    <row r="156" spans="1:10" ht="12" customHeight="1" x14ac:dyDescent="0.2">
      <c r="A156" s="12"/>
      <c r="B156" s="2">
        <f t="shared" si="59"/>
        <v>-102069.48904817874</v>
      </c>
      <c r="C156" s="2">
        <f t="shared" si="55"/>
        <v>6746.8429780890383</v>
      </c>
      <c r="D156" s="2">
        <f t="shared" si="56"/>
        <v>-680.46326032119168</v>
      </c>
      <c r="E156" s="2">
        <f t="shared" si="57"/>
        <v>6066.3797177678462</v>
      </c>
      <c r="F156" s="2">
        <f t="shared" si="58"/>
        <v>-108816.33202626779</v>
      </c>
      <c r="G156" s="6"/>
      <c r="H156" s="6"/>
      <c r="I156" s="6"/>
      <c r="J156" s="6"/>
    </row>
    <row r="157" spans="1:10" ht="12" customHeight="1" x14ac:dyDescent="0.2">
      <c r="A157" s="12"/>
      <c r="B157" s="2">
        <f t="shared" si="59"/>
        <v>-108816.33202626779</v>
      </c>
      <c r="C157" s="2">
        <f t="shared" si="55"/>
        <v>6791.8219312762976</v>
      </c>
      <c r="D157" s="2">
        <f t="shared" si="56"/>
        <v>-725.44221350845191</v>
      </c>
      <c r="E157" s="2">
        <f t="shared" si="57"/>
        <v>6066.3797177678462</v>
      </c>
      <c r="F157" s="2">
        <f t="shared" si="58"/>
        <v>-115608.15395754408</v>
      </c>
      <c r="G157" s="6"/>
      <c r="H157" s="6"/>
      <c r="I157" s="6"/>
      <c r="J157" s="6"/>
    </row>
    <row r="158" spans="1:10" ht="12" customHeight="1" x14ac:dyDescent="0.2">
      <c r="A158" s="12"/>
      <c r="B158" s="2">
        <f t="shared" si="59"/>
        <v>-115608.15395754408</v>
      </c>
      <c r="C158" s="2">
        <f t="shared" si="55"/>
        <v>6837.1007441514739</v>
      </c>
      <c r="D158" s="2">
        <f t="shared" si="56"/>
        <v>-770.7210263836273</v>
      </c>
      <c r="E158" s="2">
        <f t="shared" si="57"/>
        <v>6066.3797177678462</v>
      </c>
      <c r="F158" s="2">
        <f t="shared" si="58"/>
        <v>-122445.25470169555</v>
      </c>
      <c r="G158" s="6"/>
      <c r="H158" s="6"/>
      <c r="I158" s="6"/>
      <c r="J158" s="6"/>
    </row>
    <row r="159" spans="1:10" ht="12" customHeight="1" x14ac:dyDescent="0.2">
      <c r="A159" s="12"/>
      <c r="B159" s="2">
        <f t="shared" si="59"/>
        <v>-122445.25470169555</v>
      </c>
      <c r="C159" s="2">
        <f t="shared" si="55"/>
        <v>6882.6814157791496</v>
      </c>
      <c r="D159" s="2">
        <f t="shared" si="56"/>
        <v>-816.30169801130376</v>
      </c>
      <c r="E159" s="2">
        <f t="shared" si="57"/>
        <v>6066.3797177678462</v>
      </c>
      <c r="F159" s="2">
        <f t="shared" si="58"/>
        <v>-129327.9361174747</v>
      </c>
      <c r="G159" s="6"/>
      <c r="H159" s="6"/>
      <c r="I159" s="6"/>
      <c r="J159" s="6"/>
    </row>
    <row r="160" spans="1:10" ht="12" customHeight="1" x14ac:dyDescent="0.2">
      <c r="A160" s="12"/>
      <c r="B160" s="2">
        <f t="shared" si="59"/>
        <v>-129327.9361174747</v>
      </c>
      <c r="C160" s="2">
        <f t="shared" si="55"/>
        <v>6928.5659585510111</v>
      </c>
      <c r="D160" s="2">
        <f t="shared" si="56"/>
        <v>-862.18624078316475</v>
      </c>
      <c r="E160" s="2">
        <f t="shared" si="57"/>
        <v>6066.3797177678462</v>
      </c>
      <c r="F160" s="2">
        <f t="shared" si="58"/>
        <v>-136256.5020760257</v>
      </c>
      <c r="G160" s="6"/>
      <c r="H160" s="6"/>
      <c r="I160" s="6"/>
      <c r="J160" s="6"/>
    </row>
    <row r="161" spans="1:10" ht="12" customHeight="1" x14ac:dyDescent="0.2">
      <c r="A161" s="12"/>
      <c r="B161" s="2">
        <f t="shared" si="59"/>
        <v>-136256.5020760257</v>
      </c>
      <c r="C161" s="2">
        <f t="shared" si="55"/>
        <v>6974.7563982746842</v>
      </c>
      <c r="D161" s="2">
        <f t="shared" si="56"/>
        <v>-908.37668050683806</v>
      </c>
      <c r="E161" s="2">
        <f t="shared" si="57"/>
        <v>6066.3797177678462</v>
      </c>
      <c r="F161" s="2">
        <f t="shared" si="58"/>
        <v>-143231.25847430038</v>
      </c>
      <c r="G161" s="6"/>
      <c r="H161" s="6"/>
      <c r="I161" s="6"/>
      <c r="J161" s="6"/>
    </row>
    <row r="162" spans="1:10" ht="12" customHeight="1" x14ac:dyDescent="0.2">
      <c r="A162" s="12"/>
      <c r="B162" s="2">
        <f t="shared" si="59"/>
        <v>-143231.25847430038</v>
      </c>
      <c r="C162" s="2">
        <f t="shared" si="55"/>
        <v>7021.2547742631823</v>
      </c>
      <c r="D162" s="2">
        <f t="shared" si="56"/>
        <v>-954.87505649533591</v>
      </c>
      <c r="E162" s="2">
        <f t="shared" si="57"/>
        <v>6066.3797177678462</v>
      </c>
      <c r="F162" s="2">
        <f t="shared" si="58"/>
        <v>-150252.51324856357</v>
      </c>
      <c r="G162" s="6"/>
      <c r="H162" s="6"/>
      <c r="I162" s="6"/>
      <c r="J162" s="6"/>
    </row>
    <row r="163" spans="1:10" ht="12" customHeight="1" x14ac:dyDescent="0.2">
      <c r="A163" s="12" t="s">
        <v>124</v>
      </c>
      <c r="B163" s="2">
        <f t="shared" si="59"/>
        <v>-150252.51324856357</v>
      </c>
      <c r="C163" s="2">
        <f t="shared" si="55"/>
        <v>7068.0631394249367</v>
      </c>
      <c r="D163" s="2">
        <f t="shared" si="56"/>
        <v>-1001.6834216570905</v>
      </c>
      <c r="E163" s="2">
        <f t="shared" si="57"/>
        <v>6066.3797177678462</v>
      </c>
      <c r="F163" s="48">
        <f t="shared" si="58"/>
        <v>-157320.57638798852</v>
      </c>
      <c r="G163" s="6"/>
      <c r="H163" s="6"/>
      <c r="I163" s="6"/>
      <c r="J163" s="6"/>
    </row>
    <row r="164" spans="1:10" ht="12" customHeight="1" x14ac:dyDescent="0.2">
      <c r="A164" s="9" t="s">
        <v>102</v>
      </c>
      <c r="B164" s="9"/>
      <c r="C164" s="48"/>
      <c r="D164" s="48">
        <f>SUM(D152:D163)</f>
        <v>-8998.0410725016591</v>
      </c>
      <c r="E164" s="2"/>
      <c r="F164" s="2"/>
      <c r="G164" s="6"/>
      <c r="H164" s="6"/>
      <c r="I164" s="6"/>
      <c r="J164" s="6"/>
    </row>
    <row r="165" spans="1:10" ht="12" customHeight="1" x14ac:dyDescent="0.2">
      <c r="A165" s="12"/>
      <c r="B165" s="12"/>
      <c r="C165" s="2"/>
      <c r="D165" s="2"/>
      <c r="E165" s="2"/>
      <c r="F165" s="2"/>
      <c r="G165" s="6"/>
      <c r="H165" s="6"/>
      <c r="I165" s="6"/>
      <c r="J165" s="6"/>
    </row>
    <row r="166" spans="1:10" ht="12" customHeight="1" x14ac:dyDescent="0.2">
      <c r="A166" s="12" t="s">
        <v>125</v>
      </c>
      <c r="B166" s="2">
        <f>F163</f>
        <v>-157320.57638798852</v>
      </c>
      <c r="C166" s="2">
        <f t="shared" ref="C166:C177" si="60">+E166-D166</f>
        <v>7115.1835603544368</v>
      </c>
      <c r="D166" s="2">
        <f t="shared" ref="D166:D177" si="61">+B166*$J$3</f>
        <v>-1048.8038425865902</v>
      </c>
      <c r="E166" s="2">
        <f t="shared" ref="E166:E177" si="62">$J$6</f>
        <v>6066.3797177678462</v>
      </c>
      <c r="F166" s="2">
        <f t="shared" ref="F166:F177" si="63">+B166-C166</f>
        <v>-164435.75994834295</v>
      </c>
      <c r="G166" s="6"/>
      <c r="H166" s="6"/>
      <c r="I166" s="6"/>
      <c r="J166" s="6"/>
    </row>
    <row r="167" spans="1:10" ht="12" customHeight="1" x14ac:dyDescent="0.2">
      <c r="A167" s="12"/>
      <c r="B167" s="2">
        <f t="shared" ref="B167:B177" si="64">+F166</f>
        <v>-164435.75994834295</v>
      </c>
      <c r="C167" s="2">
        <f t="shared" si="60"/>
        <v>7162.6181174234662</v>
      </c>
      <c r="D167" s="2">
        <f t="shared" si="61"/>
        <v>-1096.2383996556198</v>
      </c>
      <c r="E167" s="2">
        <f t="shared" si="62"/>
        <v>6066.3797177678462</v>
      </c>
      <c r="F167" s="2">
        <f t="shared" si="63"/>
        <v>-171598.37806576642</v>
      </c>
      <c r="G167" s="6"/>
      <c r="H167" s="6"/>
      <c r="I167" s="6"/>
      <c r="J167" s="6"/>
    </row>
    <row r="168" spans="1:10" ht="12" customHeight="1" x14ac:dyDescent="0.2">
      <c r="A168" s="12"/>
      <c r="B168" s="2">
        <f t="shared" si="64"/>
        <v>-171598.37806576642</v>
      </c>
      <c r="C168" s="2">
        <f t="shared" si="60"/>
        <v>7210.3689048729557</v>
      </c>
      <c r="D168" s="2">
        <f t="shared" si="61"/>
        <v>-1143.9891871051095</v>
      </c>
      <c r="E168" s="2">
        <f t="shared" si="62"/>
        <v>6066.3797177678462</v>
      </c>
      <c r="F168" s="2">
        <f t="shared" si="63"/>
        <v>-178808.74697063936</v>
      </c>
      <c r="G168" s="6"/>
      <c r="H168" s="6"/>
      <c r="I168" s="6"/>
      <c r="J168" s="6"/>
    </row>
    <row r="169" spans="1:10" ht="12" customHeight="1" x14ac:dyDescent="0.2">
      <c r="A169" s="12"/>
      <c r="B169" s="2">
        <f t="shared" si="64"/>
        <v>-178808.74697063936</v>
      </c>
      <c r="C169" s="2">
        <f t="shared" si="60"/>
        <v>7258.4380309054422</v>
      </c>
      <c r="D169" s="2">
        <f t="shared" si="61"/>
        <v>-1192.0583131375959</v>
      </c>
      <c r="E169" s="2">
        <f t="shared" si="62"/>
        <v>6066.3797177678462</v>
      </c>
      <c r="F169" s="2">
        <f t="shared" si="63"/>
        <v>-186067.1850015448</v>
      </c>
      <c r="G169" s="6"/>
      <c r="H169" s="6"/>
      <c r="I169" s="6"/>
      <c r="J169" s="6"/>
    </row>
    <row r="170" spans="1:10" ht="12" customHeight="1" x14ac:dyDescent="0.2">
      <c r="A170" s="12"/>
      <c r="B170" s="2">
        <f t="shared" si="64"/>
        <v>-186067.1850015448</v>
      </c>
      <c r="C170" s="2">
        <f t="shared" si="60"/>
        <v>7306.8276177781445</v>
      </c>
      <c r="D170" s="2">
        <f t="shared" si="61"/>
        <v>-1240.4479000102988</v>
      </c>
      <c r="E170" s="2">
        <f t="shared" si="62"/>
        <v>6066.3797177678462</v>
      </c>
      <c r="F170" s="2">
        <f t="shared" si="63"/>
        <v>-193374.01261932295</v>
      </c>
      <c r="G170" s="6"/>
      <c r="H170" s="6"/>
      <c r="I170" s="6"/>
      <c r="J170" s="6"/>
    </row>
    <row r="171" spans="1:10" ht="12" customHeight="1" x14ac:dyDescent="0.2">
      <c r="A171" s="12"/>
      <c r="B171" s="2">
        <f t="shared" si="64"/>
        <v>-193374.01261932295</v>
      </c>
      <c r="C171" s="2">
        <f t="shared" si="60"/>
        <v>7355.5398018966662</v>
      </c>
      <c r="D171" s="2">
        <f t="shared" si="61"/>
        <v>-1289.1600841288198</v>
      </c>
      <c r="E171" s="2">
        <f t="shared" si="62"/>
        <v>6066.3797177678462</v>
      </c>
      <c r="F171" s="2">
        <f t="shared" si="63"/>
        <v>-200729.55242121962</v>
      </c>
      <c r="G171" s="6"/>
      <c r="H171" s="6"/>
      <c r="I171" s="6"/>
      <c r="J171" s="6"/>
    </row>
    <row r="172" spans="1:10" ht="12" customHeight="1" x14ac:dyDescent="0.2">
      <c r="A172" s="12"/>
      <c r="B172" s="2">
        <f t="shared" si="64"/>
        <v>-200729.55242121962</v>
      </c>
      <c r="C172" s="2">
        <f t="shared" si="60"/>
        <v>7404.5767339093109</v>
      </c>
      <c r="D172" s="2">
        <f t="shared" si="61"/>
        <v>-1338.1970161414642</v>
      </c>
      <c r="E172" s="2">
        <f t="shared" si="62"/>
        <v>6066.3797177678462</v>
      </c>
      <c r="F172" s="2">
        <f t="shared" si="63"/>
        <v>-208134.12915512893</v>
      </c>
      <c r="G172" s="6"/>
      <c r="H172" s="6"/>
      <c r="I172" s="6"/>
      <c r="J172" s="6"/>
    </row>
    <row r="173" spans="1:10" ht="12" customHeight="1" x14ac:dyDescent="0.2">
      <c r="A173" s="12"/>
      <c r="B173" s="2">
        <f t="shared" si="64"/>
        <v>-208134.12915512893</v>
      </c>
      <c r="C173" s="2">
        <f t="shared" si="60"/>
        <v>7453.9405788020395</v>
      </c>
      <c r="D173" s="2">
        <f t="shared" si="61"/>
        <v>-1387.5608610341931</v>
      </c>
      <c r="E173" s="2">
        <f t="shared" si="62"/>
        <v>6066.3797177678462</v>
      </c>
      <c r="F173" s="2">
        <f t="shared" si="63"/>
        <v>-215588.06973393098</v>
      </c>
      <c r="G173" s="6"/>
      <c r="H173" s="6"/>
      <c r="I173" s="6"/>
      <c r="J173" s="6"/>
    </row>
    <row r="174" spans="1:10" ht="12" customHeight="1" x14ac:dyDescent="0.2">
      <c r="A174" s="12"/>
      <c r="B174" s="2">
        <f t="shared" si="64"/>
        <v>-215588.06973393098</v>
      </c>
      <c r="C174" s="2">
        <f t="shared" si="60"/>
        <v>7503.6335159940527</v>
      </c>
      <c r="D174" s="2">
        <f t="shared" si="61"/>
        <v>-1437.2537982262068</v>
      </c>
      <c r="E174" s="2">
        <f t="shared" si="62"/>
        <v>6066.3797177678462</v>
      </c>
      <c r="F174" s="2">
        <f t="shared" si="63"/>
        <v>-223091.70324992505</v>
      </c>
      <c r="G174" s="6"/>
      <c r="H174" s="6"/>
      <c r="I174" s="6"/>
      <c r="J174" s="6"/>
    </row>
    <row r="175" spans="1:10" ht="12" customHeight="1" x14ac:dyDescent="0.2">
      <c r="A175" s="12"/>
      <c r="B175" s="2">
        <f t="shared" si="64"/>
        <v>-223091.70324992505</v>
      </c>
      <c r="C175" s="2">
        <f t="shared" si="60"/>
        <v>7553.6577394340129</v>
      </c>
      <c r="D175" s="2">
        <f t="shared" si="61"/>
        <v>-1487.278021666167</v>
      </c>
      <c r="E175" s="2">
        <f t="shared" si="62"/>
        <v>6066.3797177678462</v>
      </c>
      <c r="F175" s="2">
        <f t="shared" si="63"/>
        <v>-230645.36098935906</v>
      </c>
      <c r="G175" s="6"/>
      <c r="H175" s="6"/>
      <c r="I175" s="6"/>
      <c r="J175" s="6"/>
    </row>
    <row r="176" spans="1:10" ht="12" customHeight="1" x14ac:dyDescent="0.2">
      <c r="A176" s="12"/>
      <c r="B176" s="2">
        <f t="shared" si="64"/>
        <v>-230645.36098935906</v>
      </c>
      <c r="C176" s="2">
        <f t="shared" si="60"/>
        <v>7604.0154576969071</v>
      </c>
      <c r="D176" s="2">
        <f t="shared" si="61"/>
        <v>-1537.6357399290605</v>
      </c>
      <c r="E176" s="2">
        <f t="shared" si="62"/>
        <v>6066.3797177678462</v>
      </c>
      <c r="F176" s="2">
        <f t="shared" si="63"/>
        <v>-238249.37644705595</v>
      </c>
      <c r="G176" s="6"/>
      <c r="H176" s="6"/>
      <c r="I176" s="6"/>
      <c r="J176" s="6"/>
    </row>
    <row r="177" spans="1:10" ht="12" customHeight="1" x14ac:dyDescent="0.2">
      <c r="A177" s="12" t="s">
        <v>126</v>
      </c>
      <c r="B177" s="2">
        <f t="shared" si="64"/>
        <v>-238249.37644705595</v>
      </c>
      <c r="C177" s="2">
        <f t="shared" si="60"/>
        <v>7654.7088940815529</v>
      </c>
      <c r="D177" s="2">
        <f t="shared" si="61"/>
        <v>-1588.3291763137065</v>
      </c>
      <c r="E177" s="2">
        <f t="shared" si="62"/>
        <v>6066.3797177678462</v>
      </c>
      <c r="F177" s="48">
        <f t="shared" si="63"/>
        <v>-245904.08534113751</v>
      </c>
      <c r="G177" s="6"/>
      <c r="H177" s="6"/>
      <c r="I177" s="6"/>
      <c r="J177" s="6"/>
    </row>
    <row r="178" spans="1:10" ht="12" customHeight="1" x14ac:dyDescent="0.2">
      <c r="A178" s="9" t="s">
        <v>102</v>
      </c>
      <c r="B178" s="9"/>
      <c r="C178" s="48"/>
      <c r="D178" s="48">
        <f>SUM(D166:D177)</f>
        <v>-15786.952339934833</v>
      </c>
      <c r="E178" s="2"/>
      <c r="F178" s="2"/>
      <c r="G178" s="6"/>
      <c r="H178" s="6"/>
      <c r="I178" s="6"/>
      <c r="J178" s="6"/>
    </row>
    <row r="179" spans="1:10" ht="12" customHeight="1" x14ac:dyDescent="0.2">
      <c r="A179" s="12"/>
      <c r="B179" s="12"/>
      <c r="C179" s="2"/>
      <c r="D179" s="2"/>
      <c r="E179" s="2"/>
      <c r="F179" s="2"/>
      <c r="G179" s="6"/>
      <c r="H179" s="6"/>
      <c r="I179" s="6"/>
      <c r="J179" s="6"/>
    </row>
    <row r="180" spans="1:10" ht="12" customHeight="1" x14ac:dyDescent="0.2">
      <c r="A180" s="12" t="s">
        <v>127</v>
      </c>
      <c r="B180" s="2">
        <f>F177</f>
        <v>-245904.08534113751</v>
      </c>
      <c r="C180" s="2">
        <f t="shared" ref="C180:C191" si="65">+E180-D180</f>
        <v>7705.7402867087631</v>
      </c>
      <c r="D180" s="2">
        <f t="shared" ref="D180:D191" si="66">+B180*$J$3</f>
        <v>-1639.3605689409169</v>
      </c>
      <c r="E180" s="2">
        <f t="shared" ref="E180:E191" si="67">$J$6</f>
        <v>6066.3797177678462</v>
      </c>
      <c r="F180" s="2">
        <f t="shared" ref="F180:F191" si="68">+B180-C180</f>
        <v>-253609.82562784626</v>
      </c>
      <c r="G180" s="6"/>
      <c r="H180" s="6"/>
      <c r="I180" s="6"/>
      <c r="J180" s="6"/>
    </row>
    <row r="181" spans="1:10" ht="12" customHeight="1" x14ac:dyDescent="0.2">
      <c r="A181" s="12"/>
      <c r="B181" s="2">
        <f t="shared" ref="B181:B191" si="69">+F180</f>
        <v>-253609.82562784626</v>
      </c>
      <c r="C181" s="2">
        <f t="shared" si="65"/>
        <v>7757.1118886201548</v>
      </c>
      <c r="D181" s="2">
        <f t="shared" si="66"/>
        <v>-1690.7321708523086</v>
      </c>
      <c r="E181" s="2">
        <f t="shared" si="67"/>
        <v>6066.3797177678462</v>
      </c>
      <c r="F181" s="2">
        <f t="shared" si="68"/>
        <v>-261366.93751646642</v>
      </c>
      <c r="G181" s="6"/>
      <c r="H181" s="6"/>
      <c r="I181" s="6"/>
      <c r="J181" s="6"/>
    </row>
    <row r="182" spans="1:10" ht="12" customHeight="1" x14ac:dyDescent="0.2">
      <c r="A182" s="12"/>
      <c r="B182" s="2">
        <f t="shared" si="69"/>
        <v>-261366.93751646642</v>
      </c>
      <c r="C182" s="2">
        <f t="shared" si="65"/>
        <v>7808.8259678776221</v>
      </c>
      <c r="D182" s="2">
        <f t="shared" si="66"/>
        <v>-1742.4462501097762</v>
      </c>
      <c r="E182" s="2">
        <f t="shared" si="67"/>
        <v>6066.3797177678462</v>
      </c>
      <c r="F182" s="2">
        <f t="shared" si="68"/>
        <v>-269175.76348434406</v>
      </c>
      <c r="G182" s="6"/>
      <c r="H182" s="6"/>
      <c r="I182" s="6"/>
      <c r="J182" s="6"/>
    </row>
    <row r="183" spans="1:10" ht="12" customHeight="1" x14ac:dyDescent="0.2">
      <c r="A183" s="12"/>
      <c r="B183" s="2">
        <f t="shared" si="69"/>
        <v>-269175.76348434406</v>
      </c>
      <c r="C183" s="2">
        <f t="shared" si="65"/>
        <v>7860.8848076634731</v>
      </c>
      <c r="D183" s="2">
        <f t="shared" si="66"/>
        <v>-1794.5050898956272</v>
      </c>
      <c r="E183" s="2">
        <f t="shared" si="67"/>
        <v>6066.3797177678462</v>
      </c>
      <c r="F183" s="2">
        <f t="shared" si="68"/>
        <v>-277036.64829200751</v>
      </c>
      <c r="G183" s="6"/>
      <c r="H183" s="6"/>
      <c r="I183" s="6"/>
      <c r="J183" s="6"/>
    </row>
    <row r="184" spans="1:10" ht="12" customHeight="1" x14ac:dyDescent="0.2">
      <c r="A184" s="12"/>
      <c r="B184" s="2">
        <f t="shared" si="69"/>
        <v>-277036.64829200751</v>
      </c>
      <c r="C184" s="2">
        <f t="shared" si="65"/>
        <v>7913.2907063812299</v>
      </c>
      <c r="D184" s="2">
        <f t="shared" si="66"/>
        <v>-1846.9109886133836</v>
      </c>
      <c r="E184" s="2">
        <f t="shared" si="67"/>
        <v>6066.3797177678462</v>
      </c>
      <c r="F184" s="2">
        <f t="shared" si="68"/>
        <v>-284949.93899838871</v>
      </c>
      <c r="G184" s="6"/>
      <c r="H184" s="6"/>
      <c r="I184" s="6"/>
      <c r="J184" s="6"/>
    </row>
    <row r="185" spans="1:10" ht="12" customHeight="1" x14ac:dyDescent="0.2">
      <c r="A185" s="12"/>
      <c r="B185" s="2">
        <f t="shared" si="69"/>
        <v>-284949.93899838871</v>
      </c>
      <c r="C185" s="2">
        <f t="shared" si="65"/>
        <v>7966.0459777571041</v>
      </c>
      <c r="D185" s="2">
        <f t="shared" si="66"/>
        <v>-1899.6662599892582</v>
      </c>
      <c r="E185" s="2">
        <f t="shared" si="67"/>
        <v>6066.3797177678462</v>
      </c>
      <c r="F185" s="2">
        <f t="shared" si="68"/>
        <v>-292915.98497614579</v>
      </c>
      <c r="G185" s="6"/>
      <c r="H185" s="6"/>
      <c r="I185" s="6"/>
      <c r="J185" s="6"/>
    </row>
    <row r="186" spans="1:10" ht="12" customHeight="1" x14ac:dyDescent="0.2">
      <c r="A186" s="12"/>
      <c r="B186" s="2">
        <f t="shared" si="69"/>
        <v>-292915.98497614579</v>
      </c>
      <c r="C186" s="2">
        <f t="shared" si="65"/>
        <v>8019.1529509421516</v>
      </c>
      <c r="D186" s="2">
        <f t="shared" si="66"/>
        <v>-1952.7732331743055</v>
      </c>
      <c r="E186" s="2">
        <f t="shared" si="67"/>
        <v>6066.3797177678462</v>
      </c>
      <c r="F186" s="2">
        <f t="shared" si="68"/>
        <v>-300935.13792708796</v>
      </c>
      <c r="G186" s="6"/>
      <c r="H186" s="6"/>
      <c r="I186" s="6"/>
      <c r="J186" s="6"/>
    </row>
    <row r="187" spans="1:10" ht="12" customHeight="1" x14ac:dyDescent="0.2">
      <c r="A187" s="12"/>
      <c r="B187" s="2">
        <f t="shared" si="69"/>
        <v>-300935.13792708796</v>
      </c>
      <c r="C187" s="2">
        <f t="shared" si="65"/>
        <v>8072.6139706150989</v>
      </c>
      <c r="D187" s="2">
        <f t="shared" si="66"/>
        <v>-2006.2342528472532</v>
      </c>
      <c r="E187" s="2">
        <f t="shared" si="67"/>
        <v>6066.3797177678462</v>
      </c>
      <c r="F187" s="2">
        <f t="shared" si="68"/>
        <v>-309007.75189770304</v>
      </c>
      <c r="G187" s="6"/>
      <c r="H187" s="6"/>
      <c r="I187" s="6"/>
      <c r="J187" s="6"/>
    </row>
    <row r="188" spans="1:10" ht="12" customHeight="1" x14ac:dyDescent="0.2">
      <c r="A188" s="12"/>
      <c r="B188" s="2">
        <f t="shared" si="69"/>
        <v>-309007.75189770304</v>
      </c>
      <c r="C188" s="2">
        <f t="shared" si="65"/>
        <v>8126.4313970858666</v>
      </c>
      <c r="D188" s="2">
        <f t="shared" si="66"/>
        <v>-2060.0516793180204</v>
      </c>
      <c r="E188" s="2">
        <f t="shared" si="67"/>
        <v>6066.3797177678462</v>
      </c>
      <c r="F188" s="2">
        <f t="shared" si="68"/>
        <v>-317134.18329478893</v>
      </c>
      <c r="G188" s="6"/>
      <c r="H188" s="6"/>
      <c r="I188" s="6"/>
      <c r="J188" s="6"/>
    </row>
    <row r="189" spans="1:10" ht="12" customHeight="1" x14ac:dyDescent="0.2">
      <c r="A189" s="12"/>
      <c r="B189" s="2">
        <f t="shared" si="69"/>
        <v>-317134.18329478893</v>
      </c>
      <c r="C189" s="2">
        <f t="shared" si="65"/>
        <v>8180.6076063997725</v>
      </c>
      <c r="D189" s="2">
        <f t="shared" si="66"/>
        <v>-2114.2278886319264</v>
      </c>
      <c r="E189" s="2">
        <f t="shared" si="67"/>
        <v>6066.3797177678462</v>
      </c>
      <c r="F189" s="2">
        <f t="shared" si="68"/>
        <v>-325314.79090118868</v>
      </c>
      <c r="G189" s="6"/>
      <c r="H189" s="6"/>
      <c r="I189" s="6"/>
      <c r="J189" s="6"/>
    </row>
    <row r="190" spans="1:10" ht="12" customHeight="1" x14ac:dyDescent="0.2">
      <c r="A190" s="12"/>
      <c r="B190" s="2">
        <f t="shared" si="69"/>
        <v>-325314.79090118868</v>
      </c>
      <c r="C190" s="2">
        <f t="shared" si="65"/>
        <v>8235.1449904424371</v>
      </c>
      <c r="D190" s="2">
        <f t="shared" si="66"/>
        <v>-2168.7652726745914</v>
      </c>
      <c r="E190" s="2">
        <f t="shared" si="67"/>
        <v>6066.3797177678462</v>
      </c>
      <c r="F190" s="2">
        <f t="shared" si="68"/>
        <v>-333549.93589163112</v>
      </c>
      <c r="G190" s="6"/>
      <c r="H190" s="6"/>
      <c r="I190" s="6"/>
      <c r="J190" s="6"/>
    </row>
    <row r="191" spans="1:10" ht="12" customHeight="1" x14ac:dyDescent="0.2">
      <c r="A191" s="12" t="s">
        <v>128</v>
      </c>
      <c r="B191" s="2">
        <f t="shared" si="69"/>
        <v>-333549.93589163112</v>
      </c>
      <c r="C191" s="2">
        <f t="shared" si="65"/>
        <v>8290.0459570453877</v>
      </c>
      <c r="D191" s="2">
        <f t="shared" si="66"/>
        <v>-2223.6662392775411</v>
      </c>
      <c r="E191" s="2">
        <f t="shared" si="67"/>
        <v>6066.3797177678462</v>
      </c>
      <c r="F191" s="48">
        <f t="shared" si="68"/>
        <v>-341839.98184867651</v>
      </c>
      <c r="G191" s="6"/>
      <c r="H191" s="6"/>
      <c r="I191" s="6"/>
      <c r="J191" s="6"/>
    </row>
    <row r="192" spans="1:10" ht="12" customHeight="1" x14ac:dyDescent="0.2">
      <c r="A192" s="9" t="s">
        <v>102</v>
      </c>
      <c r="B192" s="4"/>
      <c r="C192" s="48"/>
      <c r="D192" s="48">
        <f>SUM(D180:D191)</f>
        <v>-23139.339894324905</v>
      </c>
      <c r="E192" s="6"/>
      <c r="F192" s="6"/>
      <c r="G192" s="6"/>
      <c r="H192" s="6"/>
      <c r="I192" s="6"/>
      <c r="J192" s="6"/>
    </row>
    <row r="193" spans="1:10" ht="12" customHeight="1" x14ac:dyDescent="0.2">
      <c r="A193" s="12"/>
      <c r="B193" s="12"/>
      <c r="C193" s="2"/>
      <c r="D193" s="2"/>
      <c r="E193" s="12"/>
      <c r="F193" s="12"/>
      <c r="G193" s="6"/>
      <c r="H193" s="6"/>
      <c r="I193" s="6"/>
      <c r="J193" s="6"/>
    </row>
    <row r="194" spans="1:10" ht="12" customHeight="1" x14ac:dyDescent="0.2">
      <c r="A194" s="12" t="s">
        <v>127</v>
      </c>
      <c r="B194" s="2">
        <f>F191</f>
        <v>-341839.98184867651</v>
      </c>
      <c r="C194" s="2">
        <f t="shared" ref="C194:C205" si="70">+E194-D194</f>
        <v>8345.3129300923574</v>
      </c>
      <c r="D194" s="2">
        <f t="shared" ref="D194:D205" si="71">+B194*$J$3</f>
        <v>-2278.9332123245104</v>
      </c>
      <c r="E194" s="2">
        <f t="shared" ref="E194:E205" si="72">$J$6</f>
        <v>6066.3797177678462</v>
      </c>
      <c r="F194" s="2">
        <f t="shared" ref="F194:F205" si="73">+B194-C194</f>
        <v>-350185.29477876885</v>
      </c>
      <c r="G194" s="6"/>
      <c r="H194" s="6"/>
      <c r="I194" s="6"/>
      <c r="J194" s="6"/>
    </row>
    <row r="195" spans="1:10" ht="12" customHeight="1" x14ac:dyDescent="0.2">
      <c r="A195" s="12"/>
      <c r="B195" s="2">
        <f t="shared" ref="B195:B205" si="74">+F194</f>
        <v>-350185.29477876885</v>
      </c>
      <c r="C195" s="2">
        <f t="shared" si="70"/>
        <v>8400.9483496263056</v>
      </c>
      <c r="D195" s="2">
        <f t="shared" si="71"/>
        <v>-2334.568631858459</v>
      </c>
      <c r="E195" s="2">
        <f t="shared" si="72"/>
        <v>6066.3797177678462</v>
      </c>
      <c r="F195" s="2">
        <f t="shared" si="73"/>
        <v>-358586.24312839517</v>
      </c>
      <c r="G195" s="6"/>
      <c r="H195" s="6"/>
      <c r="I195" s="6"/>
      <c r="J195" s="6"/>
    </row>
    <row r="196" spans="1:10" ht="12" customHeight="1" x14ac:dyDescent="0.2">
      <c r="A196" s="12"/>
      <c r="B196" s="2">
        <f t="shared" si="74"/>
        <v>-358586.24312839517</v>
      </c>
      <c r="C196" s="2">
        <f t="shared" si="70"/>
        <v>8456.9546719571481</v>
      </c>
      <c r="D196" s="2">
        <f t="shared" si="71"/>
        <v>-2390.5749541893015</v>
      </c>
      <c r="E196" s="2">
        <f t="shared" si="72"/>
        <v>6066.3797177678462</v>
      </c>
      <c r="F196" s="2">
        <f t="shared" si="73"/>
        <v>-367043.1978003523</v>
      </c>
      <c r="G196" s="6"/>
      <c r="H196" s="6"/>
      <c r="I196" s="6"/>
      <c r="J196" s="6"/>
    </row>
    <row r="197" spans="1:10" ht="12" customHeight="1" x14ac:dyDescent="0.2">
      <c r="A197" s="12"/>
      <c r="B197" s="2">
        <f t="shared" si="74"/>
        <v>-367043.1978003523</v>
      </c>
      <c r="C197" s="2">
        <f t="shared" si="70"/>
        <v>8513.3343697701948</v>
      </c>
      <c r="D197" s="2">
        <f t="shared" si="71"/>
        <v>-2446.9546520023487</v>
      </c>
      <c r="E197" s="2">
        <f t="shared" si="72"/>
        <v>6066.3797177678462</v>
      </c>
      <c r="F197" s="2">
        <f t="shared" si="73"/>
        <v>-375556.53217012249</v>
      </c>
      <c r="G197" s="6"/>
      <c r="H197" s="6"/>
      <c r="I197" s="6"/>
      <c r="J197" s="6"/>
    </row>
    <row r="198" spans="1:10" ht="12" customHeight="1" x14ac:dyDescent="0.2">
      <c r="A198" s="12"/>
      <c r="B198" s="2">
        <f t="shared" si="74"/>
        <v>-375556.53217012249</v>
      </c>
      <c r="C198" s="2">
        <f t="shared" si="70"/>
        <v>8570.0899322353289</v>
      </c>
      <c r="D198" s="2">
        <f t="shared" si="71"/>
        <v>-2503.7102144674836</v>
      </c>
      <c r="E198" s="2">
        <f t="shared" si="72"/>
        <v>6066.3797177678462</v>
      </c>
      <c r="F198" s="2">
        <f t="shared" si="73"/>
        <v>-384126.6221023578</v>
      </c>
      <c r="G198" s="6"/>
      <c r="H198" s="6"/>
      <c r="I198" s="6"/>
      <c r="J198" s="6"/>
    </row>
    <row r="199" spans="1:10" ht="12" customHeight="1" x14ac:dyDescent="0.2">
      <c r="A199" s="12"/>
      <c r="B199" s="2">
        <f t="shared" si="74"/>
        <v>-384126.6221023578</v>
      </c>
      <c r="C199" s="2">
        <f t="shared" si="70"/>
        <v>8627.2238651168991</v>
      </c>
      <c r="D199" s="2">
        <f t="shared" si="71"/>
        <v>-2560.844147349052</v>
      </c>
      <c r="E199" s="2">
        <f t="shared" si="72"/>
        <v>6066.3797177678462</v>
      </c>
      <c r="F199" s="2">
        <f t="shared" si="73"/>
        <v>-392753.84596747468</v>
      </c>
      <c r="G199" s="6"/>
      <c r="H199" s="6"/>
      <c r="I199" s="6"/>
      <c r="J199" s="6"/>
    </row>
    <row r="200" spans="1:10" ht="12" customHeight="1" x14ac:dyDescent="0.2">
      <c r="A200" s="12"/>
      <c r="B200" s="2">
        <f t="shared" si="74"/>
        <v>-392753.84596747468</v>
      </c>
      <c r="C200" s="2">
        <f t="shared" si="70"/>
        <v>8684.7386908843437</v>
      </c>
      <c r="D200" s="2">
        <f t="shared" si="71"/>
        <v>-2618.358973116498</v>
      </c>
      <c r="E200" s="2">
        <f t="shared" si="72"/>
        <v>6066.3797177678462</v>
      </c>
      <c r="F200" s="2">
        <f t="shared" si="73"/>
        <v>-401438.584658359</v>
      </c>
      <c r="G200" s="6"/>
      <c r="H200" s="6"/>
      <c r="I200" s="6"/>
      <c r="J200" s="6"/>
    </row>
    <row r="201" spans="1:10" ht="12" customHeight="1" x14ac:dyDescent="0.2">
      <c r="A201" s="12"/>
      <c r="B201" s="2">
        <f t="shared" si="74"/>
        <v>-401438.584658359</v>
      </c>
      <c r="C201" s="2">
        <f t="shared" si="70"/>
        <v>8742.6369488235723</v>
      </c>
      <c r="D201" s="2">
        <f t="shared" si="71"/>
        <v>-2676.2572310557271</v>
      </c>
      <c r="E201" s="2">
        <f t="shared" si="72"/>
        <v>6066.3797177678462</v>
      </c>
      <c r="F201" s="2">
        <f t="shared" si="73"/>
        <v>-410181.22160718258</v>
      </c>
      <c r="G201" s="6"/>
      <c r="H201" s="6"/>
      <c r="I201" s="6"/>
      <c r="J201" s="6"/>
    </row>
    <row r="202" spans="1:10" ht="12" customHeight="1" x14ac:dyDescent="0.2">
      <c r="A202" s="12"/>
      <c r="B202" s="2">
        <f t="shared" si="74"/>
        <v>-410181.22160718258</v>
      </c>
      <c r="C202" s="2">
        <f t="shared" si="70"/>
        <v>8800.9211951490634</v>
      </c>
      <c r="D202" s="2">
        <f t="shared" si="71"/>
        <v>-2734.5414773812172</v>
      </c>
      <c r="E202" s="2">
        <f t="shared" si="72"/>
        <v>6066.3797177678462</v>
      </c>
      <c r="F202" s="2">
        <f t="shared" si="73"/>
        <v>-418982.14280233165</v>
      </c>
      <c r="G202" s="6"/>
      <c r="H202" s="6"/>
      <c r="I202" s="6"/>
      <c r="J202" s="6"/>
    </row>
    <row r="203" spans="1:10" ht="12" customHeight="1" x14ac:dyDescent="0.2">
      <c r="A203" s="12"/>
      <c r="B203" s="2">
        <f t="shared" si="74"/>
        <v>-418982.14280233165</v>
      </c>
      <c r="C203" s="2">
        <f t="shared" si="70"/>
        <v>8859.5940031167247</v>
      </c>
      <c r="D203" s="2">
        <f t="shared" si="71"/>
        <v>-2793.2142853488781</v>
      </c>
      <c r="E203" s="2">
        <f t="shared" si="72"/>
        <v>6066.3797177678462</v>
      </c>
      <c r="F203" s="2">
        <f t="shared" si="73"/>
        <v>-427841.73680544837</v>
      </c>
      <c r="G203" s="6"/>
      <c r="H203" s="6"/>
      <c r="I203" s="6"/>
      <c r="J203" s="6"/>
    </row>
    <row r="204" spans="1:10" ht="12" customHeight="1" x14ac:dyDescent="0.2">
      <c r="A204" s="12"/>
      <c r="B204" s="2">
        <f t="shared" si="74"/>
        <v>-427841.73680544837</v>
      </c>
      <c r="C204" s="2">
        <f t="shared" si="70"/>
        <v>8918.6579631375025</v>
      </c>
      <c r="D204" s="2">
        <f t="shared" si="71"/>
        <v>-2852.2782453696559</v>
      </c>
      <c r="E204" s="2">
        <f t="shared" si="72"/>
        <v>6066.3797177678462</v>
      </c>
      <c r="F204" s="2">
        <f t="shared" si="73"/>
        <v>-436760.39476858586</v>
      </c>
      <c r="G204" s="6"/>
      <c r="H204" s="6"/>
      <c r="I204" s="6"/>
      <c r="J204" s="6"/>
    </row>
    <row r="205" spans="1:10" ht="12" customHeight="1" x14ac:dyDescent="0.2">
      <c r="A205" s="12" t="s">
        <v>128</v>
      </c>
      <c r="B205" s="2">
        <f t="shared" si="74"/>
        <v>-436760.39476858586</v>
      </c>
      <c r="C205" s="2">
        <f t="shared" si="70"/>
        <v>8978.1156828917519</v>
      </c>
      <c r="D205" s="2">
        <f t="shared" si="71"/>
        <v>-2911.7359651239058</v>
      </c>
      <c r="E205" s="2">
        <f t="shared" si="72"/>
        <v>6066.3797177678462</v>
      </c>
      <c r="F205" s="48">
        <f t="shared" si="73"/>
        <v>-445738.5104514776</v>
      </c>
      <c r="G205" s="6"/>
      <c r="H205" s="6"/>
      <c r="I205" s="6"/>
      <c r="J205" s="6"/>
    </row>
    <row r="206" spans="1:10" ht="12" customHeight="1" x14ac:dyDescent="0.2">
      <c r="A206" s="9" t="s">
        <v>102</v>
      </c>
      <c r="B206" s="4"/>
      <c r="C206" s="48"/>
      <c r="D206" s="48">
        <f>SUM(D194:D205)</f>
        <v>-31101.971989587033</v>
      </c>
      <c r="E206" s="6"/>
      <c r="F206" s="6"/>
      <c r="G206" s="6"/>
      <c r="H206" s="6"/>
      <c r="I206" s="6"/>
      <c r="J206" s="6"/>
    </row>
    <row r="207" spans="1:10" ht="12" customHeight="1" x14ac:dyDescent="0.2">
      <c r="A207" s="12"/>
      <c r="B207" s="2"/>
      <c r="C207" s="2"/>
      <c r="D207" s="2"/>
      <c r="E207" s="2"/>
      <c r="F207" s="2"/>
      <c r="G207" s="6"/>
      <c r="H207" s="6"/>
      <c r="I207" s="6"/>
      <c r="J207" s="6"/>
    </row>
    <row r="208" spans="1:10" ht="12" customHeight="1" x14ac:dyDescent="0.2">
      <c r="A208" s="12"/>
      <c r="B208" s="2"/>
      <c r="C208" s="2"/>
      <c r="D208" s="2"/>
      <c r="E208" s="2"/>
      <c r="F208" s="2"/>
      <c r="G208" s="6"/>
      <c r="H208" s="6"/>
      <c r="I208" s="6"/>
      <c r="J208" s="6"/>
    </row>
    <row r="209" spans="1:10" ht="12" customHeight="1" x14ac:dyDescent="0.2">
      <c r="A209" s="12"/>
      <c r="B209" s="2"/>
      <c r="C209" s="2"/>
      <c r="D209" s="2"/>
      <c r="E209" s="2"/>
      <c r="F209" s="2"/>
      <c r="G209" s="6"/>
      <c r="H209" s="6"/>
      <c r="I209" s="6"/>
      <c r="J209" s="6"/>
    </row>
    <row r="210" spans="1:10" ht="12" customHeight="1" x14ac:dyDescent="0.2">
      <c r="A210" s="12"/>
      <c r="B210" s="2"/>
      <c r="C210" s="2"/>
      <c r="D210" s="2"/>
      <c r="E210" s="2"/>
      <c r="F210" s="2"/>
      <c r="G210" s="6"/>
      <c r="H210" s="6"/>
      <c r="I210" s="6"/>
      <c r="J210" s="6"/>
    </row>
    <row r="211" spans="1:10" ht="12" customHeight="1" x14ac:dyDescent="0.2">
      <c r="A211" s="12"/>
      <c r="B211" s="2"/>
      <c r="C211" s="2"/>
      <c r="D211" s="2"/>
      <c r="E211" s="2"/>
      <c r="F211" s="2"/>
      <c r="G211" s="6"/>
      <c r="H211" s="6"/>
      <c r="I211" s="6"/>
      <c r="J211" s="6"/>
    </row>
    <row r="212" spans="1:10" ht="12" customHeight="1" x14ac:dyDescent="0.2">
      <c r="A212" s="9"/>
      <c r="B212" s="4"/>
      <c r="C212" s="48"/>
      <c r="D212" s="48"/>
      <c r="E212" s="6"/>
      <c r="F212" s="6"/>
      <c r="G212" s="6"/>
      <c r="H212" s="6"/>
      <c r="I212" s="6"/>
      <c r="J212" s="6"/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workbookViewId="0"/>
  </sheetViews>
  <sheetFormatPr defaultColWidth="17.140625" defaultRowHeight="12.75" customHeight="1" x14ac:dyDescent="0.2"/>
  <cols>
    <col min="1" max="1" width="32.140625" customWidth="1"/>
  </cols>
  <sheetData>
    <row r="2" spans="1:13" ht="12.75" customHeight="1" x14ac:dyDescent="0.2">
      <c r="A2" t="s">
        <v>129</v>
      </c>
    </row>
    <row r="3" spans="1:13" ht="12.75" customHeight="1" x14ac:dyDescent="0.2">
      <c r="C3">
        <v>0</v>
      </c>
      <c r="D3">
        <v>1</v>
      </c>
      <c r="E3">
        <v>2</v>
      </c>
      <c r="F3">
        <v>3</v>
      </c>
      <c r="G3">
        <v>4</v>
      </c>
      <c r="H3">
        <v>5</v>
      </c>
      <c r="I3">
        <v>6</v>
      </c>
      <c r="J3">
        <v>7</v>
      </c>
      <c r="K3">
        <v>8</v>
      </c>
      <c r="L3">
        <v>9</v>
      </c>
      <c r="M3">
        <v>10</v>
      </c>
    </row>
    <row r="4" spans="1:13" ht="15" x14ac:dyDescent="0.25">
      <c r="A4" s="41" t="s">
        <v>85</v>
      </c>
      <c r="B4" s="18"/>
      <c r="C4" s="29">
        <v>-400000</v>
      </c>
      <c r="D4" s="29">
        <v>921.91780821918098</v>
      </c>
      <c r="E4" s="29">
        <v>73470.633114155193</v>
      </c>
      <c r="F4" s="29">
        <v>81651.8293060914</v>
      </c>
      <c r="G4" s="29">
        <v>91476.248904167602</v>
      </c>
      <c r="H4" s="29">
        <v>102497.797476336</v>
      </c>
      <c r="I4" s="29">
        <v>114861.321387805</v>
      </c>
      <c r="J4" s="29">
        <v>128729.14670181699</v>
      </c>
      <c r="K4" s="29">
        <v>144283.18757137499</v>
      </c>
      <c r="L4" s="29">
        <v>161727.30907686599</v>
      </c>
      <c r="M4" s="29">
        <v>942865.46221507306</v>
      </c>
    </row>
    <row r="5" spans="1:13" ht="15" x14ac:dyDescent="0.25">
      <c r="A5" s="41" t="s">
        <v>86</v>
      </c>
      <c r="B5" s="18"/>
      <c r="C5" s="29">
        <f t="shared" ref="C5:M5" si="0">-PV($C$7,C3,,C4)</f>
        <v>-400000</v>
      </c>
      <c r="D5" s="29">
        <f t="shared" si="0"/>
        <v>853.62760020294525</v>
      </c>
      <c r="E5" s="29">
        <f t="shared" si="0"/>
        <v>62989.225920914942</v>
      </c>
      <c r="F5" s="29">
        <f t="shared" si="0"/>
        <v>64817.854641450896</v>
      </c>
      <c r="G5" s="29">
        <f t="shared" si="0"/>
        <v>67237.773766402024</v>
      </c>
      <c r="H5" s="29">
        <f t="shared" si="0"/>
        <v>69758.278695362897</v>
      </c>
      <c r="I5" s="29">
        <f t="shared" si="0"/>
        <v>72382.11604225343</v>
      </c>
      <c r="J5" s="29">
        <f t="shared" si="0"/>
        <v>75112.220690800415</v>
      </c>
      <c r="K5" s="29">
        <f t="shared" si="0"/>
        <v>77951.716801576098</v>
      </c>
      <c r="L5" s="29">
        <f t="shared" si="0"/>
        <v>80903.919322652451</v>
      </c>
      <c r="M5" s="29">
        <f t="shared" si="0"/>
        <v>436729.14223797777</v>
      </c>
    </row>
    <row r="6" spans="1:13" ht="15" x14ac:dyDescent="0.25">
      <c r="A6" s="18"/>
      <c r="B6" s="18"/>
      <c r="C6" s="18">
        <v>0</v>
      </c>
      <c r="D6" s="18">
        <v>1</v>
      </c>
      <c r="E6" s="18">
        <v>2</v>
      </c>
      <c r="F6" s="18">
        <v>3</v>
      </c>
      <c r="G6" s="18">
        <v>4</v>
      </c>
      <c r="H6" s="18">
        <v>5</v>
      </c>
      <c r="I6" s="18">
        <v>6</v>
      </c>
      <c r="J6" s="18">
        <v>7</v>
      </c>
      <c r="K6" s="18">
        <v>8</v>
      </c>
      <c r="L6" s="18">
        <v>9</v>
      </c>
      <c r="M6" s="18">
        <v>10</v>
      </c>
    </row>
    <row r="7" spans="1:13" ht="15" x14ac:dyDescent="0.25">
      <c r="A7" s="18" t="s">
        <v>87</v>
      </c>
      <c r="B7" s="18"/>
      <c r="C7" s="39">
        <v>0.08</v>
      </c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3" ht="15" x14ac:dyDescent="0.25">
      <c r="A8" s="41" t="s">
        <v>88</v>
      </c>
      <c r="B8" s="17"/>
      <c r="C8" s="21">
        <v>608735.87571959302</v>
      </c>
      <c r="D8" s="45">
        <v>0.8</v>
      </c>
      <c r="E8" s="18"/>
      <c r="F8" s="18"/>
      <c r="G8" s="18"/>
      <c r="H8" s="18"/>
      <c r="I8" s="18"/>
      <c r="J8" s="18"/>
      <c r="K8" s="18"/>
      <c r="L8" s="18"/>
      <c r="M8" s="18"/>
    </row>
    <row r="9" spans="1:13" ht="15" x14ac:dyDescent="0.25">
      <c r="A9" s="41" t="s">
        <v>89</v>
      </c>
      <c r="B9" s="17"/>
      <c r="C9" s="46">
        <v>0.23215672157280201</v>
      </c>
      <c r="D9" s="7"/>
      <c r="E9" s="18"/>
      <c r="F9" s="18"/>
      <c r="G9" s="18"/>
      <c r="H9" s="18"/>
      <c r="I9" s="18"/>
      <c r="J9" s="18"/>
      <c r="K9" s="18"/>
      <c r="L9" s="18"/>
      <c r="M9" s="18"/>
    </row>
    <row r="10" spans="1:13" ht="12.75" customHeight="1" x14ac:dyDescent="0.2">
      <c r="C10" s="30"/>
    </row>
    <row r="11" spans="1:13" ht="12.75" customHeight="1" x14ac:dyDescent="0.2">
      <c r="A11" t="s">
        <v>142</v>
      </c>
    </row>
    <row r="12" spans="1:13" ht="12.75" customHeight="1" x14ac:dyDescent="0.2">
      <c r="C12">
        <v>0</v>
      </c>
      <c r="D12">
        <v>1</v>
      </c>
      <c r="E12">
        <v>2</v>
      </c>
      <c r="F12">
        <v>3</v>
      </c>
      <c r="G12">
        <v>4</v>
      </c>
      <c r="H12">
        <v>5</v>
      </c>
      <c r="I12">
        <v>6</v>
      </c>
      <c r="J12">
        <v>7</v>
      </c>
      <c r="K12">
        <v>8</v>
      </c>
      <c r="L12">
        <v>9</v>
      </c>
      <c r="M12">
        <v>10</v>
      </c>
    </row>
    <row r="13" spans="1:13" ht="15" x14ac:dyDescent="0.25">
      <c r="A13" s="41" t="s">
        <v>85</v>
      </c>
      <c r="B13" s="18"/>
      <c r="C13" s="29">
        <v>-400000</v>
      </c>
      <c r="D13" s="29">
        <v>-39419.1780821918</v>
      </c>
      <c r="E13" s="29">
        <v>31597.8749771689</v>
      </c>
      <c r="F13" s="29">
        <v>28170.396925953199</v>
      </c>
      <c r="G13" s="29">
        <v>25595.9283914921</v>
      </c>
      <c r="H13" s="29">
        <v>23334.2059842907</v>
      </c>
      <c r="I13" s="29">
        <v>21344.436665113499</v>
      </c>
      <c r="J13" s="29">
        <v>19591.288639978899</v>
      </c>
      <c r="K13" s="29">
        <v>18044.150530323801</v>
      </c>
      <c r="L13" s="29">
        <v>16676.491922641198</v>
      </c>
      <c r="M13" s="29">
        <v>747304.12744627194</v>
      </c>
    </row>
    <row r="14" spans="1:13" ht="15" x14ac:dyDescent="0.25">
      <c r="A14" s="41" t="s">
        <v>86</v>
      </c>
      <c r="B14" s="18"/>
      <c r="C14" s="29">
        <f t="shared" ref="C14:M14" si="1">-PV($C$16,C12,,C13)</f>
        <v>-400000</v>
      </c>
      <c r="D14" s="29">
        <f t="shared" si="1"/>
        <v>-36499.238964992408</v>
      </c>
      <c r="E14" s="29">
        <f t="shared" si="1"/>
        <v>27090.084856969221</v>
      </c>
      <c r="F14" s="29">
        <f t="shared" si="1"/>
        <v>22362.569322157124</v>
      </c>
      <c r="G14" s="29">
        <f t="shared" si="1"/>
        <v>18813.771477786995</v>
      </c>
      <c r="H14" s="29">
        <f t="shared" si="1"/>
        <v>15880.868509032696</v>
      </c>
      <c r="I14" s="29">
        <f t="shared" si="1"/>
        <v>13450.61568928463</v>
      </c>
      <c r="J14" s="29">
        <f t="shared" si="1"/>
        <v>11431.328752235841</v>
      </c>
      <c r="K14" s="29">
        <f t="shared" si="1"/>
        <v>9748.6930788037753</v>
      </c>
      <c r="L14" s="29">
        <f t="shared" si="1"/>
        <v>8342.3978596773777</v>
      </c>
      <c r="M14" s="29">
        <f t="shared" si="1"/>
        <v>346146.40545192012</v>
      </c>
    </row>
    <row r="15" spans="1:13" ht="15" x14ac:dyDescent="0.25">
      <c r="A15" s="18"/>
      <c r="B15" s="18"/>
      <c r="C15" s="18">
        <v>0</v>
      </c>
      <c r="D15" s="18">
        <v>1</v>
      </c>
      <c r="E15" s="18">
        <v>2</v>
      </c>
      <c r="F15" s="18">
        <v>3</v>
      </c>
      <c r="G15" s="18">
        <v>4</v>
      </c>
      <c r="H15" s="18">
        <v>5</v>
      </c>
      <c r="I15" s="18">
        <v>6</v>
      </c>
      <c r="J15" s="18">
        <v>7</v>
      </c>
      <c r="K15" s="18">
        <v>8</v>
      </c>
      <c r="L15" s="18">
        <v>9</v>
      </c>
      <c r="M15" s="18">
        <v>10</v>
      </c>
    </row>
    <row r="16" spans="1:13" ht="15" x14ac:dyDescent="0.25">
      <c r="A16" s="18" t="s">
        <v>87</v>
      </c>
      <c r="B16" s="18"/>
      <c r="C16" s="39">
        <v>0.08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1:13" ht="15" x14ac:dyDescent="0.25">
      <c r="A17" s="41" t="s">
        <v>88</v>
      </c>
      <c r="B17" s="17"/>
      <c r="C17" s="21">
        <v>36767.496032875701</v>
      </c>
      <c r="D17" s="7">
        <v>0.2</v>
      </c>
      <c r="E17" s="18"/>
      <c r="F17" s="18"/>
      <c r="G17" s="18"/>
      <c r="H17" s="18"/>
      <c r="I17" s="18"/>
      <c r="J17" s="18"/>
      <c r="K17" s="18"/>
      <c r="L17" s="18"/>
      <c r="M17" s="18"/>
    </row>
    <row r="18" spans="1:13" ht="15" x14ac:dyDescent="0.25">
      <c r="A18" s="41" t="s">
        <v>89</v>
      </c>
      <c r="B18" s="17"/>
      <c r="C18" s="46">
        <v>9.0394527558430998E-2</v>
      </c>
      <c r="D18" s="7"/>
      <c r="E18" s="18"/>
      <c r="F18" s="18"/>
      <c r="G18" s="18"/>
      <c r="H18" s="18"/>
      <c r="I18" s="18"/>
      <c r="J18" s="18"/>
      <c r="K18" s="18"/>
      <c r="L18" s="18"/>
      <c r="M18" s="18"/>
    </row>
    <row r="19" spans="1:13" ht="12.75" customHeight="1" x14ac:dyDescent="0.2">
      <c r="C19" s="30"/>
    </row>
    <row r="20" spans="1:13" ht="12.75" customHeight="1" x14ac:dyDescent="0.2">
      <c r="B20" t="s">
        <v>143</v>
      </c>
      <c r="C20" s="36">
        <f>(C8*D8)+(C17*D17)</f>
        <v>494342.19978224958</v>
      </c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Answer</vt:lpstr>
      <vt:lpstr>Mortgage</vt:lpstr>
      <vt:lpstr>Good Market</vt:lpstr>
      <vt:lpstr>Good Mortgage</vt:lpstr>
      <vt:lpstr>Bad Market</vt:lpstr>
      <vt:lpstr>Bad Market Chapter 7 Bankruptcy</vt:lpstr>
      <vt:lpstr>Bad Mortgage</vt:lpstr>
      <vt:lpstr>Expected Value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2013-12-20T19:28:44Z</dcterms:created>
  <dcterms:modified xsi:type="dcterms:W3CDTF">2019-08-14T22:00:28Z</dcterms:modified>
</cp:coreProperties>
</file>