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11700" yWindow="0" windowWidth="13140" windowHeight="9240"/>
  </bookViews>
  <sheets>
    <sheet name="Kitt(IRR=WACC)" sheetId="2" r:id="rId1"/>
    <sheet name="ML(IRR=WACC)" sheetId="3" r:id="rId2"/>
    <sheet name="Option for Kitt's Kornbread" sheetId="1" r:id="rId3"/>
    <sheet name="Kitts(Bankruptcy)" sheetId="4" r:id="rId4"/>
    <sheet name="ML Interest (Bankruptcy)" sheetId="5" r:id="rId5"/>
  </sheets>
  <externalReferences>
    <externalReference r:id="rId6"/>
    <externalReference r:id="rId7"/>
  </externalReferences>
  <definedNames>
    <definedName name="_xlnm.Print_Area" localSheetId="0">'Kitt(IRR=WACC)'!$A$1:$Q$142</definedName>
    <definedName name="_xlnm.Print_Area" localSheetId="3">'Kitts(Bankruptcy)'!$A$1:$P$126</definedName>
    <definedName name="_xlnm.Print_Area" localSheetId="4">'ML Interest (Bankruptcy)'!$A$1:$G$153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4" i="2" l="1"/>
  <c r="F62" i="3" l="1"/>
  <c r="D54" i="4" l="1"/>
  <c r="J45" i="4"/>
  <c r="J59" i="4" s="1"/>
  <c r="I59" i="4"/>
  <c r="J48" i="4"/>
  <c r="J47" i="4"/>
  <c r="J58" i="4"/>
  <c r="D120" i="4" l="1"/>
  <c r="D37" i="4"/>
  <c r="D119" i="4" s="1"/>
  <c r="F37" i="4"/>
  <c r="F119" i="4" s="1"/>
  <c r="F120" i="4"/>
  <c r="C118" i="4"/>
  <c r="C122" i="4" s="1"/>
  <c r="G37" i="4"/>
  <c r="G119" i="4" s="1"/>
  <c r="E37" i="4"/>
  <c r="E119" i="4" s="1"/>
  <c r="E120" i="4"/>
  <c r="B13" i="5"/>
  <c r="D13" i="5" s="1"/>
  <c r="B3" i="5"/>
  <c r="B5" i="5"/>
  <c r="C80" i="4"/>
  <c r="C81" i="4"/>
  <c r="C98" i="4" s="1"/>
  <c r="P77" i="4"/>
  <c r="P78" i="4" s="1"/>
  <c r="P81" i="4"/>
  <c r="P82" i="4" s="1"/>
  <c r="G35" i="4"/>
  <c r="G73" i="4" s="1"/>
  <c r="F35" i="4"/>
  <c r="F73" i="4"/>
  <c r="E35" i="4"/>
  <c r="E73" i="4" s="1"/>
  <c r="E64" i="4"/>
  <c r="F64" i="4"/>
  <c r="G64" i="4" s="1"/>
  <c r="P57" i="4"/>
  <c r="K59" i="4"/>
  <c r="D52" i="4"/>
  <c r="E51" i="4"/>
  <c r="F51" i="4" s="1"/>
  <c r="G51" i="4" s="1"/>
  <c r="E50" i="4"/>
  <c r="F50" i="4"/>
  <c r="G50" i="4" s="1"/>
  <c r="D35" i="4"/>
  <c r="D73" i="4"/>
  <c r="E33" i="4"/>
  <c r="F33" i="4" s="1"/>
  <c r="G33" i="4" s="1"/>
  <c r="D32" i="4"/>
  <c r="D72" i="4" s="1"/>
  <c r="G31" i="4"/>
  <c r="F31" i="4"/>
  <c r="E31" i="4"/>
  <c r="D31" i="4"/>
  <c r="D25" i="4"/>
  <c r="O31" i="4"/>
  <c r="D7" i="4"/>
  <c r="D28" i="4"/>
  <c r="D58" i="4"/>
  <c r="D47" i="4"/>
  <c r="M20" i="4"/>
  <c r="L20" i="4"/>
  <c r="K20" i="4"/>
  <c r="J20" i="4"/>
  <c r="I20" i="4"/>
  <c r="H20" i="4"/>
  <c r="G20" i="4"/>
  <c r="F20" i="4"/>
  <c r="E20" i="4"/>
  <c r="O19" i="4"/>
  <c r="M17" i="4"/>
  <c r="L17" i="4"/>
  <c r="K17" i="4"/>
  <c r="J17" i="4"/>
  <c r="I17" i="4"/>
  <c r="H17" i="4"/>
  <c r="G17" i="4"/>
  <c r="F17" i="4"/>
  <c r="E17" i="4"/>
  <c r="D17" i="4"/>
  <c r="E8" i="4"/>
  <c r="E16" i="4" s="1"/>
  <c r="D16" i="4"/>
  <c r="E15" i="4"/>
  <c r="F15" i="4" s="1"/>
  <c r="G15" i="4" s="1"/>
  <c r="H15" i="4"/>
  <c r="I15" i="4"/>
  <c r="J15" i="4" s="1"/>
  <c r="K15" i="4" s="1"/>
  <c r="L15" i="4" s="1"/>
  <c r="M15" i="4" s="1"/>
  <c r="F8" i="4"/>
  <c r="E3" i="4"/>
  <c r="E7" i="4"/>
  <c r="E5" i="4"/>
  <c r="E2" i="4"/>
  <c r="E25" i="4"/>
  <c r="F2" i="4"/>
  <c r="B13" i="3"/>
  <c r="D13" i="3" s="1"/>
  <c r="B3" i="3"/>
  <c r="B5" i="3"/>
  <c r="B6" i="3" s="1"/>
  <c r="E31" i="3" s="1"/>
  <c r="B130" i="2"/>
  <c r="D64" i="2"/>
  <c r="E64" i="2"/>
  <c r="F64" i="2"/>
  <c r="G64" i="2"/>
  <c r="B132" i="2" s="1"/>
  <c r="H64" i="2"/>
  <c r="I64" i="2"/>
  <c r="J64" i="2"/>
  <c r="K64" i="2"/>
  <c r="L64" i="2"/>
  <c r="M64" i="2"/>
  <c r="D25" i="2"/>
  <c r="D7" i="2"/>
  <c r="D28" i="2"/>
  <c r="D31" i="2"/>
  <c r="D32" i="2"/>
  <c r="E32" i="2" s="1"/>
  <c r="F32" i="2" s="1"/>
  <c r="G32" i="2" s="1"/>
  <c r="H32" i="2" s="1"/>
  <c r="I32" i="2" s="1"/>
  <c r="J32" i="2" s="1"/>
  <c r="K32" i="2" s="1"/>
  <c r="L32" i="2" s="1"/>
  <c r="M32" i="2" s="1"/>
  <c r="D35" i="2"/>
  <c r="D37" i="2"/>
  <c r="E2" i="2"/>
  <c r="E3" i="2"/>
  <c r="E7" i="2" s="1"/>
  <c r="E25" i="2"/>
  <c r="E5" i="2"/>
  <c r="E31" i="2"/>
  <c r="E33" i="2"/>
  <c r="E35" i="2"/>
  <c r="E37" i="2"/>
  <c r="F2" i="2"/>
  <c r="F3" i="2"/>
  <c r="F7" i="2" s="1"/>
  <c r="F31" i="2"/>
  <c r="F33" i="2"/>
  <c r="F35" i="2"/>
  <c r="F37" i="2"/>
  <c r="G2" i="2"/>
  <c r="G31" i="2"/>
  <c r="G33" i="2"/>
  <c r="H33" i="2" s="1"/>
  <c r="I33" i="2" s="1"/>
  <c r="J33" i="2" s="1"/>
  <c r="G35" i="2"/>
  <c r="G37" i="2"/>
  <c r="H31" i="2"/>
  <c r="H35" i="2"/>
  <c r="H37" i="2"/>
  <c r="I31" i="2"/>
  <c r="I35" i="2"/>
  <c r="I37" i="2"/>
  <c r="J31" i="2"/>
  <c r="J35" i="2"/>
  <c r="J37" i="2"/>
  <c r="K31" i="2"/>
  <c r="K33" i="2"/>
  <c r="L33" i="2" s="1"/>
  <c r="M33" i="2" s="1"/>
  <c r="K35" i="2"/>
  <c r="K37" i="2"/>
  <c r="L31" i="2"/>
  <c r="L35" i="2"/>
  <c r="L37" i="2"/>
  <c r="M31" i="2"/>
  <c r="M35" i="2"/>
  <c r="M73" i="2" s="1"/>
  <c r="M37" i="2"/>
  <c r="E129" i="2"/>
  <c r="E130" i="2"/>
  <c r="C137" i="2"/>
  <c r="C138" i="2"/>
  <c r="C113" i="2"/>
  <c r="M109" i="2"/>
  <c r="L109" i="2"/>
  <c r="K109" i="2"/>
  <c r="J109" i="2"/>
  <c r="I109" i="2"/>
  <c r="H109" i="2"/>
  <c r="G109" i="2"/>
  <c r="F109" i="2"/>
  <c r="E109" i="2"/>
  <c r="D109" i="2"/>
  <c r="C109" i="2"/>
  <c r="C112" i="2" s="1"/>
  <c r="C99" i="2"/>
  <c r="D58" i="2"/>
  <c r="D89" i="2"/>
  <c r="C80" i="2"/>
  <c r="M83" i="2" s="1"/>
  <c r="C81" i="2"/>
  <c r="L73" i="2"/>
  <c r="I73" i="2"/>
  <c r="H73" i="2"/>
  <c r="F73" i="2"/>
  <c r="E73" i="2"/>
  <c r="D73" i="2"/>
  <c r="P57" i="2"/>
  <c r="D52" i="2"/>
  <c r="E52" i="2" s="1"/>
  <c r="F52" i="2" s="1"/>
  <c r="G52" i="2" s="1"/>
  <c r="H52" i="2" s="1"/>
  <c r="D48" i="2"/>
  <c r="K73" i="2"/>
  <c r="J73" i="2"/>
  <c r="G73" i="2"/>
  <c r="M20" i="2"/>
  <c r="L20" i="2"/>
  <c r="K20" i="2"/>
  <c r="J20" i="2"/>
  <c r="I20" i="2"/>
  <c r="H20" i="2"/>
  <c r="G20" i="2"/>
  <c r="F20" i="2"/>
  <c r="E20" i="2"/>
  <c r="O19" i="2"/>
  <c r="M17" i="2"/>
  <c r="L17" i="2"/>
  <c r="K17" i="2"/>
  <c r="J17" i="2"/>
  <c r="I17" i="2"/>
  <c r="H17" i="2"/>
  <c r="G17" i="2"/>
  <c r="F17" i="2"/>
  <c r="E17" i="2"/>
  <c r="D17" i="2"/>
  <c r="D16" i="2"/>
  <c r="E15" i="2"/>
  <c r="F15" i="2" s="1"/>
  <c r="G15" i="2"/>
  <c r="H15" i="2" s="1"/>
  <c r="I15" i="2" s="1"/>
  <c r="J15" i="2" s="1"/>
  <c r="K15" i="2" s="1"/>
  <c r="L15" i="2" s="1"/>
  <c r="M15" i="2" s="1"/>
  <c r="E8" i="2"/>
  <c r="D87" i="4"/>
  <c r="G8" i="4"/>
  <c r="F16" i="4"/>
  <c r="E47" i="4"/>
  <c r="D89" i="4"/>
  <c r="C99" i="4"/>
  <c r="G2" i="4"/>
  <c r="F3" i="4"/>
  <c r="D48" i="4"/>
  <c r="D88" i="4" s="1"/>
  <c r="D47" i="2"/>
  <c r="E47" i="2"/>
  <c r="E87" i="2" s="1"/>
  <c r="E16" i="2"/>
  <c r="F8" i="2"/>
  <c r="O31" i="2"/>
  <c r="G3" i="4"/>
  <c r="F7" i="4"/>
  <c r="G16" i="4"/>
  <c r="H8" i="4"/>
  <c r="H2" i="4"/>
  <c r="I2" i="4" s="1"/>
  <c r="J2" i="4" s="1"/>
  <c r="K2" i="4"/>
  <c r="L2" i="4" s="1"/>
  <c r="M2" i="4" s="1"/>
  <c r="F25" i="4"/>
  <c r="F16" i="2"/>
  <c r="G8" i="2"/>
  <c r="D87" i="2"/>
  <c r="G16" i="2"/>
  <c r="H8" i="2"/>
  <c r="H16" i="2" s="1"/>
  <c r="I8" i="2"/>
  <c r="B6" i="5" l="1"/>
  <c r="E156" i="3"/>
  <c r="E163" i="3"/>
  <c r="E157" i="3"/>
  <c r="E149" i="3"/>
  <c r="E144" i="3"/>
  <c r="E136" i="3"/>
  <c r="E131" i="3"/>
  <c r="E126" i="3"/>
  <c r="E118" i="3"/>
  <c r="E106" i="3"/>
  <c r="E98" i="3"/>
  <c r="E88" i="3"/>
  <c r="E79" i="3"/>
  <c r="E60" i="3"/>
  <c r="E52" i="3"/>
  <c r="E34" i="3"/>
  <c r="E23" i="3"/>
  <c r="E158" i="3"/>
  <c r="E165" i="3"/>
  <c r="E151" i="3"/>
  <c r="E145" i="3"/>
  <c r="E140" i="3"/>
  <c r="E132" i="3"/>
  <c r="E127" i="3"/>
  <c r="E119" i="3"/>
  <c r="E109" i="3"/>
  <c r="E101" i="3"/>
  <c r="E89" i="3"/>
  <c r="E80" i="3"/>
  <c r="E61" i="3"/>
  <c r="E56" i="3"/>
  <c r="E35" i="3"/>
  <c r="E30" i="3"/>
  <c r="E160" i="3"/>
  <c r="E154" i="3"/>
  <c r="E161" i="3"/>
  <c r="E162" i="3"/>
  <c r="E148" i="3"/>
  <c r="E143" i="3"/>
  <c r="E135" i="3"/>
  <c r="E130" i="3"/>
  <c r="E123" i="3"/>
  <c r="E115" i="3"/>
  <c r="E105" i="3"/>
  <c r="E93" i="3"/>
  <c r="E85" i="3"/>
  <c r="E76" i="3"/>
  <c r="E59" i="3"/>
  <c r="E51" i="3"/>
  <c r="E33" i="3"/>
  <c r="E15" i="3"/>
  <c r="E164" i="3"/>
  <c r="E159" i="3"/>
  <c r="E155" i="3"/>
  <c r="E147" i="3"/>
  <c r="E141" i="3"/>
  <c r="E134" i="3"/>
  <c r="E128" i="3"/>
  <c r="E122" i="3"/>
  <c r="E114" i="3"/>
  <c r="E102" i="3"/>
  <c r="E92" i="3"/>
  <c r="E84" i="3"/>
  <c r="E75" i="3"/>
  <c r="E57" i="3"/>
  <c r="E50" i="3"/>
  <c r="D72" i="2"/>
  <c r="D74" i="2"/>
  <c r="D75" i="2" s="1"/>
  <c r="D90" i="2" s="1"/>
  <c r="D122" i="4"/>
  <c r="F122" i="4"/>
  <c r="D77" i="2"/>
  <c r="H3" i="4"/>
  <c r="G25" i="4"/>
  <c r="G7" i="4"/>
  <c r="D74" i="4"/>
  <c r="D75" i="4" s="1"/>
  <c r="D90" i="4" s="1"/>
  <c r="H2" i="2"/>
  <c r="J8" i="2"/>
  <c r="I16" i="2"/>
  <c r="H16" i="4"/>
  <c r="I8" i="4"/>
  <c r="E87" i="4"/>
  <c r="D88" i="2"/>
  <c r="D54" i="2"/>
  <c r="E32" i="4"/>
  <c r="F47" i="4"/>
  <c r="E72" i="2"/>
  <c r="M52" i="2"/>
  <c r="P81" i="2" s="1"/>
  <c r="M82" i="2" s="1"/>
  <c r="I52" i="2"/>
  <c r="J52" i="2" s="1"/>
  <c r="K52" i="2" s="1"/>
  <c r="L52" i="2" s="1"/>
  <c r="P75" i="2"/>
  <c r="P76" i="2" s="1"/>
  <c r="F25" i="2"/>
  <c r="F5" i="2"/>
  <c r="E28" i="2"/>
  <c r="C6" i="1"/>
  <c r="G3" i="2"/>
  <c r="G25" i="2" s="1"/>
  <c r="E13" i="3"/>
  <c r="C13" i="3" s="1"/>
  <c r="F13" i="3" s="1"/>
  <c r="B14" i="3" s="1"/>
  <c r="E17" i="3"/>
  <c r="E21" i="3"/>
  <c r="E14" i="3"/>
  <c r="E18" i="3"/>
  <c r="E22" i="3"/>
  <c r="E28" i="3"/>
  <c r="E19" i="3"/>
  <c r="E32" i="3"/>
  <c r="E36" i="3"/>
  <c r="E45" i="3"/>
  <c r="E49" i="3"/>
  <c r="E53" i="3"/>
  <c r="E58" i="3"/>
  <c r="E62" i="3"/>
  <c r="E66" i="3"/>
  <c r="E71" i="3"/>
  <c r="E121" i="3"/>
  <c r="E117" i="3"/>
  <c r="E113" i="3"/>
  <c r="E108" i="3"/>
  <c r="E104" i="3"/>
  <c r="E100" i="3"/>
  <c r="E95" i="3"/>
  <c r="E91" i="3"/>
  <c r="E87" i="3"/>
  <c r="E78" i="3"/>
  <c r="E74" i="3"/>
  <c r="E70" i="3"/>
  <c r="E65" i="3"/>
  <c r="E64" i="3"/>
  <c r="E63" i="3"/>
  <c r="E44" i="3"/>
  <c r="E43" i="3"/>
  <c r="E42" i="3"/>
  <c r="E39" i="3"/>
  <c r="E38" i="3"/>
  <c r="E37" i="3"/>
  <c r="E20" i="3"/>
  <c r="E16" i="3"/>
  <c r="E150" i="3"/>
  <c r="E146" i="3"/>
  <c r="E142" i="3"/>
  <c r="E137" i="3"/>
  <c r="E133" i="3"/>
  <c r="E129" i="3"/>
  <c r="E120" i="3"/>
  <c r="E116" i="3"/>
  <c r="E112" i="3"/>
  <c r="E107" i="3"/>
  <c r="E103" i="3"/>
  <c r="E99" i="3"/>
  <c r="E94" i="3"/>
  <c r="E90" i="3"/>
  <c r="E86" i="3"/>
  <c r="E81" i="3"/>
  <c r="E77" i="3"/>
  <c r="E73" i="3"/>
  <c r="E72" i="3"/>
  <c r="E67" i="3"/>
  <c r="E48" i="3"/>
  <c r="E47" i="3"/>
  <c r="E46" i="3"/>
  <c r="E29" i="3"/>
  <c r="E24" i="3"/>
  <c r="E52" i="4"/>
  <c r="F52" i="4" s="1"/>
  <c r="G52" i="4" s="1"/>
  <c r="E28" i="4"/>
  <c r="F5" i="4"/>
  <c r="E57" i="5"/>
  <c r="E56" i="5"/>
  <c r="E52" i="5"/>
  <c r="E51" i="5"/>
  <c r="E50" i="5"/>
  <c r="E34" i="5"/>
  <c r="E33" i="5"/>
  <c r="E32" i="5"/>
  <c r="E15" i="5"/>
  <c r="E14" i="5"/>
  <c r="E13" i="5"/>
  <c r="C13" i="5" s="1"/>
  <c r="F13" i="5" s="1"/>
  <c r="B14" i="5" s="1"/>
  <c r="E122" i="4"/>
  <c r="E67" i="5"/>
  <c r="E61" i="5"/>
  <c r="E60" i="5"/>
  <c r="E59" i="5"/>
  <c r="E38" i="5"/>
  <c r="E37" i="5"/>
  <c r="E36" i="5"/>
  <c r="E19" i="5"/>
  <c r="E18" i="5"/>
  <c r="E16" i="5"/>
  <c r="E20" i="5"/>
  <c r="E24" i="5"/>
  <c r="E31" i="5"/>
  <c r="E35" i="5"/>
  <c r="E39" i="5"/>
  <c r="E45" i="5"/>
  <c r="E49" i="5"/>
  <c r="E53" i="5"/>
  <c r="E58" i="5"/>
  <c r="E62" i="5"/>
  <c r="E66" i="5"/>
  <c r="E17" i="5" l="1"/>
  <c r="E21" i="5"/>
  <c r="E29" i="5"/>
  <c r="E44" i="5"/>
  <c r="E63" i="5"/>
  <c r="E142" i="5"/>
  <c r="E120" i="5"/>
  <c r="E103" i="5"/>
  <c r="E86" i="5"/>
  <c r="E144" i="5"/>
  <c r="E127" i="5"/>
  <c r="E109" i="5"/>
  <c r="E88" i="5"/>
  <c r="E71" i="5"/>
  <c r="E143" i="5"/>
  <c r="E91" i="5"/>
  <c r="E128" i="5"/>
  <c r="E89" i="5"/>
  <c r="E113" i="5"/>
  <c r="E132" i="5"/>
  <c r="E98" i="5"/>
  <c r="E126" i="5"/>
  <c r="E22" i="5"/>
  <c r="E30" i="5"/>
  <c r="E46" i="5"/>
  <c r="E64" i="5"/>
  <c r="E137" i="5"/>
  <c r="E116" i="5"/>
  <c r="E99" i="5"/>
  <c r="E81" i="5"/>
  <c r="E140" i="5"/>
  <c r="E105" i="5"/>
  <c r="E84" i="5"/>
  <c r="E130" i="5"/>
  <c r="E78" i="5"/>
  <c r="E149" i="5"/>
  <c r="E76" i="5"/>
  <c r="E108" i="5"/>
  <c r="E93" i="5"/>
  <c r="E106" i="5"/>
  <c r="E23" i="5"/>
  <c r="E42" i="5"/>
  <c r="E47" i="5"/>
  <c r="E150" i="5"/>
  <c r="E112" i="5"/>
  <c r="E77" i="5"/>
  <c r="E118" i="5"/>
  <c r="E79" i="5"/>
  <c r="E117" i="5"/>
  <c r="E141" i="5"/>
  <c r="E115" i="5"/>
  <c r="E87" i="5"/>
  <c r="E72" i="5"/>
  <c r="E95" i="5"/>
  <c r="E28" i="5"/>
  <c r="E43" i="5"/>
  <c r="E48" i="5"/>
  <c r="E146" i="5"/>
  <c r="E129" i="5"/>
  <c r="E107" i="5"/>
  <c r="E90" i="5"/>
  <c r="E73" i="5"/>
  <c r="E148" i="5"/>
  <c r="E131" i="5"/>
  <c r="E114" i="5"/>
  <c r="E92" i="5"/>
  <c r="E75" i="5"/>
  <c r="E151" i="5"/>
  <c r="E104" i="5"/>
  <c r="E136" i="5"/>
  <c r="E102" i="5"/>
  <c r="E134" i="5"/>
  <c r="E121" i="5"/>
  <c r="E119" i="5"/>
  <c r="E147" i="5"/>
  <c r="E74" i="5"/>
  <c r="E122" i="5"/>
  <c r="E123" i="5"/>
  <c r="E80" i="5"/>
  <c r="E100" i="5"/>
  <c r="E65" i="5"/>
  <c r="E133" i="5"/>
  <c r="E94" i="5"/>
  <c r="E135" i="5"/>
  <c r="E101" i="5"/>
  <c r="E70" i="5"/>
  <c r="E145" i="5"/>
  <c r="E85" i="5"/>
  <c r="G47" i="2"/>
  <c r="G5" i="2"/>
  <c r="F28" i="2"/>
  <c r="E74" i="2"/>
  <c r="E75" i="2" s="1"/>
  <c r="E90" i="2" s="1"/>
  <c r="I2" i="2"/>
  <c r="G47" i="4"/>
  <c r="F28" i="4"/>
  <c r="G5" i="4"/>
  <c r="F47" i="2"/>
  <c r="F72" i="2"/>
  <c r="I3" i="4"/>
  <c r="H7" i="4"/>
  <c r="D7" i="1"/>
  <c r="D98" i="2"/>
  <c r="M8" i="1"/>
  <c r="P82" i="2"/>
  <c r="F32" i="4"/>
  <c r="E72" i="4"/>
  <c r="J16" i="2"/>
  <c r="K8" i="2"/>
  <c r="E58" i="4"/>
  <c r="E48" i="4"/>
  <c r="D14" i="3"/>
  <c r="H3" i="2"/>
  <c r="H25" i="2" s="1"/>
  <c r="G7" i="2"/>
  <c r="F87" i="4"/>
  <c r="D77" i="4"/>
  <c r="D98" i="4" s="1"/>
  <c r="D14" i="5"/>
  <c r="C14" i="5" s="1"/>
  <c r="F14" i="5" s="1"/>
  <c r="B15" i="5" s="1"/>
  <c r="E48" i="2"/>
  <c r="E58" i="2"/>
  <c r="J8" i="4"/>
  <c r="I16" i="4"/>
  <c r="E77" i="2" l="1"/>
  <c r="H47" i="2"/>
  <c r="D15" i="5"/>
  <c r="C15" i="5" s="1"/>
  <c r="F15" i="5" s="1"/>
  <c r="B16" i="5" s="1"/>
  <c r="E7" i="1"/>
  <c r="G87" i="2"/>
  <c r="J16" i="4"/>
  <c r="K8" i="4"/>
  <c r="C14" i="3"/>
  <c r="F14" i="3" s="1"/>
  <c r="B15" i="3" s="1"/>
  <c r="E88" i="4"/>
  <c r="E54" i="4"/>
  <c r="E74" i="4"/>
  <c r="E75" i="4" s="1"/>
  <c r="E90" i="4" s="1"/>
  <c r="G87" i="4"/>
  <c r="E88" i="2"/>
  <c r="E98" i="2" s="1"/>
  <c r="E54" i="2"/>
  <c r="F87" i="2"/>
  <c r="E89" i="4"/>
  <c r="G32" i="4"/>
  <c r="F72" i="4"/>
  <c r="J3" i="4"/>
  <c r="I7" i="4"/>
  <c r="H5" i="4"/>
  <c r="I5" i="4" s="1"/>
  <c r="J5" i="4" s="1"/>
  <c r="K5" i="4" s="1"/>
  <c r="L5" i="4" s="1"/>
  <c r="M5" i="4" s="1"/>
  <c r="G28" i="4"/>
  <c r="F48" i="2"/>
  <c r="F88" i="2" s="1"/>
  <c r="F58" i="2"/>
  <c r="E89" i="2"/>
  <c r="D99" i="4"/>
  <c r="I3" i="2"/>
  <c r="H7" i="2"/>
  <c r="K16" i="2"/>
  <c r="L8" i="2"/>
  <c r="D99" i="2"/>
  <c r="F77" i="2"/>
  <c r="F74" i="2"/>
  <c r="F75" i="2" s="1"/>
  <c r="F90" i="2" s="1"/>
  <c r="F58" i="4"/>
  <c r="F48" i="4"/>
  <c r="I25" i="2"/>
  <c r="J2" i="2"/>
  <c r="G28" i="2"/>
  <c r="H5" i="2"/>
  <c r="E99" i="2" l="1"/>
  <c r="D16" i="5"/>
  <c r="G48" i="2"/>
  <c r="G58" i="2"/>
  <c r="G72" i="2"/>
  <c r="K2" i="2"/>
  <c r="F89" i="4"/>
  <c r="I7" i="2"/>
  <c r="J3" i="2"/>
  <c r="G58" i="4"/>
  <c r="G48" i="4"/>
  <c r="F74" i="4"/>
  <c r="F75" i="4" s="1"/>
  <c r="F90" i="4" s="1"/>
  <c r="F54" i="2"/>
  <c r="H87" i="2"/>
  <c r="F88" i="4"/>
  <c r="F54" i="4"/>
  <c r="L8" i="4"/>
  <c r="K16" i="4"/>
  <c r="I47" i="2"/>
  <c r="L16" i="2"/>
  <c r="M8" i="2"/>
  <c r="M16" i="2" s="1"/>
  <c r="G72" i="4"/>
  <c r="J7" i="4"/>
  <c r="K3" i="4"/>
  <c r="H28" i="2"/>
  <c r="I5" i="2"/>
  <c r="F7" i="1"/>
  <c r="F98" i="2"/>
  <c r="F99" i="2" s="1"/>
  <c r="F89" i="2"/>
  <c r="E77" i="4"/>
  <c r="E98" i="4" s="1"/>
  <c r="D15" i="3"/>
  <c r="G89" i="4" l="1"/>
  <c r="C15" i="3"/>
  <c r="F15" i="3" s="1"/>
  <c r="B16" i="3" s="1"/>
  <c r="M8" i="4"/>
  <c r="M16" i="4" s="1"/>
  <c r="L16" i="4"/>
  <c r="F77" i="4"/>
  <c r="F98" i="4" s="1"/>
  <c r="F99" i="4" s="1"/>
  <c r="K3" i="2"/>
  <c r="J7" i="2"/>
  <c r="G74" i="2"/>
  <c r="G75" i="2" s="1"/>
  <c r="G90" i="2" s="1"/>
  <c r="C16" i="5"/>
  <c r="F16" i="5" s="1"/>
  <c r="B17" i="5" s="1"/>
  <c r="K7" i="4"/>
  <c r="L3" i="4"/>
  <c r="J5" i="2"/>
  <c r="I28" i="2"/>
  <c r="G74" i="4"/>
  <c r="G75" i="4" s="1"/>
  <c r="G90" i="4" s="1"/>
  <c r="G77" i="4"/>
  <c r="G98" i="4" s="1"/>
  <c r="G99" i="4" s="1"/>
  <c r="I87" i="2"/>
  <c r="J25" i="2"/>
  <c r="G89" i="2"/>
  <c r="E99" i="4"/>
  <c r="H58" i="2"/>
  <c r="H48" i="2"/>
  <c r="H72" i="2"/>
  <c r="G88" i="4"/>
  <c r="G54" i="4"/>
  <c r="K25" i="2"/>
  <c r="L2" i="2"/>
  <c r="G88" i="2"/>
  <c r="G54" i="2"/>
  <c r="C102" i="4" l="1"/>
  <c r="G77" i="2"/>
  <c r="D16" i="3"/>
  <c r="H88" i="2"/>
  <c r="H54" i="2"/>
  <c r="G7" i="1"/>
  <c r="G98" i="2"/>
  <c r="I48" i="2"/>
  <c r="I58" i="2"/>
  <c r="I72" i="2"/>
  <c r="J47" i="2"/>
  <c r="M3" i="4"/>
  <c r="M7" i="4" s="1"/>
  <c r="L7" i="4"/>
  <c r="M2" i="2"/>
  <c r="H89" i="2"/>
  <c r="K47" i="2"/>
  <c r="H74" i="2"/>
  <c r="H75" i="2" s="1"/>
  <c r="H90" i="2" s="1"/>
  <c r="C103" i="4"/>
  <c r="K5" i="2"/>
  <c r="J28" i="2"/>
  <c r="J72" i="2" s="1"/>
  <c r="D17" i="5"/>
  <c r="C17" i="5" s="1"/>
  <c r="F17" i="5" s="1"/>
  <c r="B18" i="5" s="1"/>
  <c r="L3" i="2"/>
  <c r="K7" i="2"/>
  <c r="D18" i="5" l="1"/>
  <c r="C18" i="5" s="1"/>
  <c r="F18" i="5" s="1"/>
  <c r="B19" i="5" s="1"/>
  <c r="J74" i="2"/>
  <c r="J75" i="2" s="1"/>
  <c r="J77" i="2"/>
  <c r="L7" i="2"/>
  <c r="M3" i="2"/>
  <c r="M7" i="2" s="1"/>
  <c r="L25" i="2"/>
  <c r="J87" i="2"/>
  <c r="K28" i="2"/>
  <c r="L5" i="2"/>
  <c r="G99" i="2"/>
  <c r="H77" i="2"/>
  <c r="M25" i="2"/>
  <c r="I89" i="2"/>
  <c r="C16" i="3"/>
  <c r="F16" i="3" s="1"/>
  <c r="B17" i="3" s="1"/>
  <c r="K87" i="2"/>
  <c r="I74" i="2"/>
  <c r="I75" i="2" s="1"/>
  <c r="I90" i="2" s="1"/>
  <c r="J48" i="2"/>
  <c r="J88" i="2" s="1"/>
  <c r="J58" i="2"/>
  <c r="I88" i="2"/>
  <c r="I54" i="2"/>
  <c r="D19" i="5" l="1"/>
  <c r="C19" i="5" s="1"/>
  <c r="F19" i="5" s="1"/>
  <c r="B20" i="5" s="1"/>
  <c r="J54" i="2"/>
  <c r="M47" i="2"/>
  <c r="M5" i="2"/>
  <c r="M28" i="2" s="1"/>
  <c r="L28" i="2"/>
  <c r="L47" i="2"/>
  <c r="L72" i="2"/>
  <c r="J90" i="2"/>
  <c r="J98" i="2" s="1"/>
  <c r="J99" i="2" s="1"/>
  <c r="J7" i="1"/>
  <c r="J16" i="1" s="1"/>
  <c r="I77" i="2"/>
  <c r="D17" i="3"/>
  <c r="H7" i="1"/>
  <c r="H98" i="2"/>
  <c r="K58" i="2"/>
  <c r="K48" i="2"/>
  <c r="K72" i="2"/>
  <c r="J89" i="2"/>
  <c r="D20" i="5" l="1"/>
  <c r="C20" i="5" s="1"/>
  <c r="F20" i="5" s="1"/>
  <c r="B21" i="5" s="1"/>
  <c r="M48" i="2"/>
  <c r="M58" i="2"/>
  <c r="L87" i="2"/>
  <c r="K74" i="2"/>
  <c r="K75" i="2" s="1"/>
  <c r="K90" i="2" s="1"/>
  <c r="L74" i="2"/>
  <c r="L75" i="2" s="1"/>
  <c r="L90" i="2" s="1"/>
  <c r="L77" i="2"/>
  <c r="K88" i="2"/>
  <c r="K54" i="2"/>
  <c r="K89" i="2"/>
  <c r="C17" i="3"/>
  <c r="F17" i="3" s="1"/>
  <c r="B18" i="3" s="1"/>
  <c r="M87" i="2"/>
  <c r="M93" i="2"/>
  <c r="H99" i="2"/>
  <c r="I7" i="1"/>
  <c r="I16" i="1" s="1"/>
  <c r="I98" i="2"/>
  <c r="I99" i="2" s="1"/>
  <c r="L58" i="2"/>
  <c r="L48" i="2"/>
  <c r="L88" i="2" s="1"/>
  <c r="M72" i="2"/>
  <c r="K77" i="2" l="1"/>
  <c r="D21" i="5"/>
  <c r="C21" i="5" s="1"/>
  <c r="F21" i="5" s="1"/>
  <c r="B22" i="5" s="1"/>
  <c r="M88" i="2"/>
  <c r="M94" i="2"/>
  <c r="L89" i="2"/>
  <c r="D18" i="3"/>
  <c r="C18" i="3" s="1"/>
  <c r="F18" i="3" s="1"/>
  <c r="B19" i="3" s="1"/>
  <c r="L54" i="2"/>
  <c r="L7" i="1"/>
  <c r="L16" i="1" s="1"/>
  <c r="L98" i="2"/>
  <c r="L99" i="2" s="1"/>
  <c r="M74" i="2"/>
  <c r="M75" i="2" s="1"/>
  <c r="M77" i="2" s="1"/>
  <c r="M54" i="2"/>
  <c r="K7" i="1"/>
  <c r="K16" i="1" s="1"/>
  <c r="K98" i="2"/>
  <c r="K99" i="2" s="1"/>
  <c r="M89" i="2"/>
  <c r="M95" i="2"/>
  <c r="M7" i="1" l="1"/>
  <c r="M16" i="1" s="1"/>
  <c r="D19" i="3"/>
  <c r="C19" i="3" s="1"/>
  <c r="F19" i="3" s="1"/>
  <c r="B20" i="3" s="1"/>
  <c r="M90" i="2"/>
  <c r="M96" i="2"/>
  <c r="D22" i="5"/>
  <c r="C22" i="5" s="1"/>
  <c r="F22" i="5" s="1"/>
  <c r="B23" i="5" s="1"/>
  <c r="M98" i="2" l="1"/>
  <c r="M99" i="2"/>
  <c r="C102" i="2" s="1"/>
  <c r="C103" i="2"/>
  <c r="D23" i="5"/>
  <c r="C23" i="5" s="1"/>
  <c r="F23" i="5" s="1"/>
  <c r="B24" i="5" s="1"/>
  <c r="D20" i="3"/>
  <c r="C20" i="3" s="1"/>
  <c r="F20" i="3"/>
  <c r="B21" i="3" s="1"/>
  <c r="D21" i="3" l="1"/>
  <c r="C21" i="3" s="1"/>
  <c r="F21" i="3" s="1"/>
  <c r="B22" i="3" s="1"/>
  <c r="D24" i="5"/>
  <c r="D22" i="3" l="1"/>
  <c r="C22" i="3" s="1"/>
  <c r="F22" i="3" s="1"/>
  <c r="B23" i="3" s="1"/>
  <c r="C24" i="5"/>
  <c r="F24" i="5" s="1"/>
  <c r="D25" i="5"/>
  <c r="D36" i="4" s="1"/>
  <c r="D110" i="4" l="1"/>
  <c r="D39" i="4"/>
  <c r="D23" i="3"/>
  <c r="C23" i="3" s="1"/>
  <c r="F23" i="3" s="1"/>
  <c r="B24" i="3" s="1"/>
  <c r="B28" i="5"/>
  <c r="D61" i="4"/>
  <c r="D24" i="3" l="1"/>
  <c r="D28" i="5"/>
  <c r="C109" i="4"/>
  <c r="C113" i="4" s="1"/>
  <c r="D40" i="4"/>
  <c r="D59" i="4" s="1"/>
  <c r="C24" i="3" l="1"/>
  <c r="F24" i="3" s="1"/>
  <c r="D25" i="3"/>
  <c r="D36" i="2" s="1"/>
  <c r="D39" i="2" s="1"/>
  <c r="C28" i="5"/>
  <c r="F28" i="5" s="1"/>
  <c r="B29" i="5" s="1"/>
  <c r="D41" i="4"/>
  <c r="D65" i="4" s="1"/>
  <c r="D67" i="4" s="1"/>
  <c r="D56" i="4" s="1"/>
  <c r="D40" i="2" l="1"/>
  <c r="D59" i="2" s="1"/>
  <c r="B28" i="3"/>
  <c r="D61" i="2"/>
  <c r="D29" i="5"/>
  <c r="C29" i="5" l="1"/>
  <c r="F29" i="5" s="1"/>
  <c r="B30" i="5" s="1"/>
  <c r="D28" i="3"/>
  <c r="D41" i="2"/>
  <c r="D65" i="2" s="1"/>
  <c r="D67" i="2" s="1"/>
  <c r="D56" i="2" s="1"/>
  <c r="C28" i="3" l="1"/>
  <c r="F28" i="3" s="1"/>
  <c r="B29" i="3" s="1"/>
  <c r="D30" i="5"/>
  <c r="D29" i="3" l="1"/>
  <c r="C30" i="5"/>
  <c r="F30" i="5" s="1"/>
  <c r="B31" i="5" s="1"/>
  <c r="D31" i="5" l="1"/>
  <c r="C29" i="3"/>
  <c r="F29" i="3" s="1"/>
  <c r="B30" i="3" s="1"/>
  <c r="D30" i="3" l="1"/>
  <c r="C31" i="5"/>
  <c r="F31" i="5" s="1"/>
  <c r="B32" i="5" s="1"/>
  <c r="C30" i="3" l="1"/>
  <c r="F30" i="3" s="1"/>
  <c r="B31" i="3" s="1"/>
  <c r="D32" i="5"/>
  <c r="D31" i="3" l="1"/>
  <c r="C32" i="5"/>
  <c r="F32" i="5" s="1"/>
  <c r="B33" i="5" s="1"/>
  <c r="D33" i="5" l="1"/>
  <c r="C33" i="5" s="1"/>
  <c r="F33" i="5" s="1"/>
  <c r="B34" i="5" s="1"/>
  <c r="C31" i="3"/>
  <c r="F31" i="3" s="1"/>
  <c r="B32" i="3" s="1"/>
  <c r="D32" i="3" l="1"/>
  <c r="D34" i="5"/>
  <c r="C34" i="5" s="1"/>
  <c r="F34" i="5"/>
  <c r="B35" i="5" s="1"/>
  <c r="D35" i="5" l="1"/>
  <c r="C35" i="5" s="1"/>
  <c r="F35" i="5" s="1"/>
  <c r="B36" i="5" s="1"/>
  <c r="C32" i="3"/>
  <c r="F32" i="3" s="1"/>
  <c r="B33" i="3" s="1"/>
  <c r="D36" i="5" l="1"/>
  <c r="C36" i="5" s="1"/>
  <c r="F36" i="5" s="1"/>
  <c r="B37" i="5" s="1"/>
  <c r="D33" i="3"/>
  <c r="C33" i="3" s="1"/>
  <c r="F33" i="3" s="1"/>
  <c r="B34" i="3" s="1"/>
  <c r="D34" i="3" l="1"/>
  <c r="C34" i="3" s="1"/>
  <c r="F34" i="3" s="1"/>
  <c r="B35" i="3" s="1"/>
  <c r="D37" i="5"/>
  <c r="C37" i="5" s="1"/>
  <c r="F37" i="5" s="1"/>
  <c r="B38" i="5" s="1"/>
  <c r="D38" i="5" l="1"/>
  <c r="C38" i="5" s="1"/>
  <c r="F38" i="5" s="1"/>
  <c r="B39" i="5" s="1"/>
  <c r="D35" i="3"/>
  <c r="C35" i="3" s="1"/>
  <c r="F35" i="3" s="1"/>
  <c r="B36" i="3" s="1"/>
  <c r="D39" i="5" l="1"/>
  <c r="D36" i="3"/>
  <c r="C36" i="3" s="1"/>
  <c r="F36" i="3" s="1"/>
  <c r="B37" i="3" s="1"/>
  <c r="D37" i="3" l="1"/>
  <c r="C37" i="3" s="1"/>
  <c r="F37" i="3" s="1"/>
  <c r="B38" i="3" s="1"/>
  <c r="C39" i="5"/>
  <c r="F39" i="5" s="1"/>
  <c r="D40" i="5"/>
  <c r="E36" i="4" s="1"/>
  <c r="D38" i="3" l="1"/>
  <c r="C38" i="3" s="1"/>
  <c r="F38" i="3" s="1"/>
  <c r="B39" i="3" s="1"/>
  <c r="E110" i="4"/>
  <c r="E39" i="4"/>
  <c r="B42" i="5"/>
  <c r="E61" i="4"/>
  <c r="D39" i="3" l="1"/>
  <c r="D42" i="5"/>
  <c r="E40" i="4"/>
  <c r="E59" i="4" s="1"/>
  <c r="D111" i="4"/>
  <c r="D113" i="4" s="1"/>
  <c r="E41" i="4" l="1"/>
  <c r="E65" i="4" s="1"/>
  <c r="E67" i="4" s="1"/>
  <c r="E56" i="4" s="1"/>
  <c r="C42" i="5"/>
  <c r="F42" i="5" s="1"/>
  <c r="B43" i="5" s="1"/>
  <c r="C39" i="3"/>
  <c r="F39" i="3" s="1"/>
  <c r="D40" i="3"/>
  <c r="E36" i="2" s="1"/>
  <c r="E39" i="2" s="1"/>
  <c r="E40" i="2" l="1"/>
  <c r="E59" i="2" s="1"/>
  <c r="B42" i="3"/>
  <c r="E61" i="2"/>
  <c r="D43" i="5"/>
  <c r="C43" i="5" l="1"/>
  <c r="F43" i="5" s="1"/>
  <c r="B44" i="5" s="1"/>
  <c r="D42" i="3"/>
  <c r="E41" i="2"/>
  <c r="E65" i="2" s="1"/>
  <c r="E67" i="2" s="1"/>
  <c r="E56" i="2" s="1"/>
  <c r="C42" i="3" l="1"/>
  <c r="F42" i="3" s="1"/>
  <c r="B43" i="3" s="1"/>
  <c r="D44" i="5"/>
  <c r="C44" i="5" l="1"/>
  <c r="F44" i="5" s="1"/>
  <c r="B45" i="5" s="1"/>
  <c r="D43" i="3"/>
  <c r="C43" i="3" l="1"/>
  <c r="F43" i="3" s="1"/>
  <c r="B44" i="3" s="1"/>
  <c r="D45" i="5"/>
  <c r="D44" i="3" l="1"/>
  <c r="C45" i="5"/>
  <c r="F45" i="5" s="1"/>
  <c r="B46" i="5" s="1"/>
  <c r="D46" i="5" l="1"/>
  <c r="C44" i="3"/>
  <c r="F44" i="3" s="1"/>
  <c r="B45" i="3" s="1"/>
  <c r="D45" i="3" l="1"/>
  <c r="C46" i="5"/>
  <c r="F46" i="5" s="1"/>
  <c r="B47" i="5" s="1"/>
  <c r="D47" i="5" l="1"/>
  <c r="C47" i="5" s="1"/>
  <c r="F47" i="5" s="1"/>
  <c r="B48" i="5" s="1"/>
  <c r="C45" i="3"/>
  <c r="F45" i="3" s="1"/>
  <c r="B46" i="3" s="1"/>
  <c r="D48" i="5" l="1"/>
  <c r="C48" i="5" s="1"/>
  <c r="F48" i="5" s="1"/>
  <c r="B49" i="5" s="1"/>
  <c r="D46" i="3"/>
  <c r="D49" i="5" l="1"/>
  <c r="C49" i="5" s="1"/>
  <c r="F49" i="5" s="1"/>
  <c r="B50" i="5" s="1"/>
  <c r="C46" i="3"/>
  <c r="F46" i="3" s="1"/>
  <c r="B47" i="3" s="1"/>
  <c r="D50" i="5" l="1"/>
  <c r="C50" i="5" s="1"/>
  <c r="F50" i="5" s="1"/>
  <c r="B51" i="5" s="1"/>
  <c r="D47" i="3"/>
  <c r="C47" i="3" s="1"/>
  <c r="F47" i="3"/>
  <c r="B48" i="3" s="1"/>
  <c r="D51" i="5" l="1"/>
  <c r="C51" i="5" s="1"/>
  <c r="F51" i="5"/>
  <c r="B52" i="5" s="1"/>
  <c r="D48" i="3"/>
  <c r="C48" i="3" s="1"/>
  <c r="F48" i="3"/>
  <c r="B49" i="3" s="1"/>
  <c r="D49" i="3" l="1"/>
  <c r="C49" i="3" s="1"/>
  <c r="F49" i="3" s="1"/>
  <c r="B50" i="3" s="1"/>
  <c r="D52" i="5"/>
  <c r="C52" i="5" s="1"/>
  <c r="F52" i="5"/>
  <c r="B53" i="5" s="1"/>
  <c r="D50" i="3" l="1"/>
  <c r="C50" i="3" s="1"/>
  <c r="F50" i="3" s="1"/>
  <c r="B51" i="3" s="1"/>
  <c r="D53" i="5"/>
  <c r="D51" i="3" l="1"/>
  <c r="C51" i="3" s="1"/>
  <c r="F51" i="3" s="1"/>
  <c r="B52" i="3" s="1"/>
  <c r="C53" i="5"/>
  <c r="F53" i="5" s="1"/>
  <c r="D54" i="5"/>
  <c r="F36" i="4" s="1"/>
  <c r="F110" i="4" l="1"/>
  <c r="F39" i="4"/>
  <c r="B56" i="5"/>
  <c r="F61" i="4"/>
  <c r="D52" i="3"/>
  <c r="C52" i="3" s="1"/>
  <c r="F52" i="3"/>
  <c r="B53" i="3" s="1"/>
  <c r="F40" i="4" l="1"/>
  <c r="F59" i="4" s="1"/>
  <c r="E111" i="4"/>
  <c r="E113" i="4" s="1"/>
  <c r="D56" i="5"/>
  <c r="D53" i="3"/>
  <c r="F41" i="4" l="1"/>
  <c r="F65" i="4" s="1"/>
  <c r="F67" i="4" s="1"/>
  <c r="F56" i="4" s="1"/>
  <c r="C53" i="3"/>
  <c r="F53" i="3" s="1"/>
  <c r="D54" i="3"/>
  <c r="F36" i="2" s="1"/>
  <c r="F39" i="2" s="1"/>
  <c r="C56" i="5"/>
  <c r="F56" i="5" s="1"/>
  <c r="B57" i="5" s="1"/>
  <c r="F61" i="2" l="1"/>
  <c r="B56" i="3"/>
  <c r="D57" i="5"/>
  <c r="F40" i="2"/>
  <c r="F59" i="2" s="1"/>
  <c r="D56" i="3" l="1"/>
  <c r="F41" i="2"/>
  <c r="F65" i="2" s="1"/>
  <c r="C57" i="5"/>
  <c r="F57" i="5" s="1"/>
  <c r="B58" i="5" s="1"/>
  <c r="C56" i="3" l="1"/>
  <c r="F56" i="3" s="1"/>
  <c r="B57" i="3" s="1"/>
  <c r="D58" i="5"/>
  <c r="F67" i="2"/>
  <c r="F56" i="2" s="1"/>
  <c r="D57" i="3" l="1"/>
  <c r="C58" i="5"/>
  <c r="F58" i="5" s="1"/>
  <c r="B59" i="5" s="1"/>
  <c r="D59" i="5" l="1"/>
  <c r="C57" i="3"/>
  <c r="F57" i="3" s="1"/>
  <c r="B58" i="3" s="1"/>
  <c r="D58" i="3" l="1"/>
  <c r="C59" i="5"/>
  <c r="F59" i="5" s="1"/>
  <c r="B60" i="5" s="1"/>
  <c r="D60" i="5" l="1"/>
  <c r="C58" i="3"/>
  <c r="F58" i="3" s="1"/>
  <c r="B59" i="3" s="1"/>
  <c r="D59" i="3" l="1"/>
  <c r="C60" i="5"/>
  <c r="F60" i="5" s="1"/>
  <c r="B61" i="5" s="1"/>
  <c r="D61" i="5" l="1"/>
  <c r="C61" i="5" s="1"/>
  <c r="F61" i="5" s="1"/>
  <c r="B62" i="5" s="1"/>
  <c r="C59" i="3"/>
  <c r="F59" i="3" s="1"/>
  <c r="B60" i="3" s="1"/>
  <c r="D62" i="5" l="1"/>
  <c r="C62" i="5" s="1"/>
  <c r="F62" i="5" s="1"/>
  <c r="B63" i="5" s="1"/>
  <c r="D60" i="3"/>
  <c r="D63" i="5" l="1"/>
  <c r="C63" i="5" s="1"/>
  <c r="F63" i="5"/>
  <c r="B64" i="5" s="1"/>
  <c r="C60" i="3"/>
  <c r="F60" i="3" s="1"/>
  <c r="B61" i="3" s="1"/>
  <c r="D61" i="3" l="1"/>
  <c r="C61" i="3" s="1"/>
  <c r="F61" i="3"/>
  <c r="B62" i="3" s="1"/>
  <c r="D64" i="5"/>
  <c r="C64" i="5" s="1"/>
  <c r="F64" i="5" s="1"/>
  <c r="B65" i="5" s="1"/>
  <c r="D65" i="5" l="1"/>
  <c r="C65" i="5" s="1"/>
  <c r="F65" i="5" s="1"/>
  <c r="B66" i="5" s="1"/>
  <c r="D62" i="3"/>
  <c r="C62" i="3" s="1"/>
  <c r="B63" i="3" s="1"/>
  <c r="D63" i="3" l="1"/>
  <c r="C63" i="3" s="1"/>
  <c r="D66" i="5"/>
  <c r="C66" i="5" s="1"/>
  <c r="F66" i="5" s="1"/>
  <c r="B67" i="5" s="1"/>
  <c r="F63" i="3" l="1"/>
  <c r="B64" i="3" s="1"/>
  <c r="D64" i="3" s="1"/>
  <c r="C64" i="3" s="1"/>
  <c r="F64" i="3" s="1"/>
  <c r="B65" i="3" s="1"/>
  <c r="D67" i="5"/>
  <c r="D65" i="3" l="1"/>
  <c r="C65" i="3" s="1"/>
  <c r="F65" i="3" s="1"/>
  <c r="B66" i="3" s="1"/>
  <c r="C67" i="5"/>
  <c r="F67" i="5" s="1"/>
  <c r="D68" i="5"/>
  <c r="G36" i="4" s="1"/>
  <c r="G110" i="4" l="1"/>
  <c r="G39" i="4"/>
  <c r="G61" i="4"/>
  <c r="B70" i="5"/>
  <c r="D66" i="3"/>
  <c r="C66" i="3" s="1"/>
  <c r="F66" i="3"/>
  <c r="B67" i="3" s="1"/>
  <c r="G40" i="4" l="1"/>
  <c r="G59" i="4" s="1"/>
  <c r="D70" i="5"/>
  <c r="M61" i="4"/>
  <c r="G112" i="4" s="1"/>
  <c r="I61" i="4"/>
  <c r="J60" i="4" s="1"/>
  <c r="J62" i="4" s="1"/>
  <c r="M62" i="4" s="1"/>
  <c r="F111" i="4"/>
  <c r="F113" i="4" s="1"/>
  <c r="D67" i="3"/>
  <c r="G41" i="4" l="1"/>
  <c r="G65" i="4" s="1"/>
  <c r="G67" i="4" s="1"/>
  <c r="G56" i="4" s="1"/>
  <c r="C70" i="5"/>
  <c r="F70" i="5" s="1"/>
  <c r="B71" i="5" s="1"/>
  <c r="C67" i="3"/>
  <c r="F67" i="3" s="1"/>
  <c r="D68" i="3"/>
  <c r="G36" i="2" s="1"/>
  <c r="G39" i="2" s="1"/>
  <c r="G113" i="4"/>
  <c r="C114" i="4" s="1"/>
  <c r="O61" i="4"/>
  <c r="G40" i="2" l="1"/>
  <c r="G59" i="2" s="1"/>
  <c r="D71" i="5"/>
  <c r="B70" i="3"/>
  <c r="G61" i="2"/>
  <c r="G41" i="2" l="1"/>
  <c r="G65" i="2" s="1"/>
  <c r="G121" i="4"/>
  <c r="G122" i="4" s="1"/>
  <c r="C123" i="4" s="1"/>
  <c r="C71" i="5"/>
  <c r="F71" i="5" s="1"/>
  <c r="B72" i="5" s="1"/>
  <c r="D70" i="3"/>
  <c r="G67" i="2"/>
  <c r="G56" i="2" s="1"/>
  <c r="O62" i="4" l="1"/>
  <c r="C70" i="3"/>
  <c r="F70" i="3" s="1"/>
  <c r="B71" i="3" s="1"/>
  <c r="D72" i="5"/>
  <c r="C72" i="5" l="1"/>
  <c r="F72" i="5" s="1"/>
  <c r="B73" i="5" s="1"/>
  <c r="D71" i="3"/>
  <c r="C71" i="3" l="1"/>
  <c r="F71" i="3" s="1"/>
  <c r="B72" i="3" s="1"/>
  <c r="D73" i="5"/>
  <c r="C73" i="5" l="1"/>
  <c r="F73" i="5" s="1"/>
  <c r="B74" i="5" s="1"/>
  <c r="D72" i="3"/>
  <c r="C72" i="3" l="1"/>
  <c r="F72" i="3" s="1"/>
  <c r="B73" i="3" s="1"/>
  <c r="D74" i="5"/>
  <c r="C74" i="5" l="1"/>
  <c r="F74" i="5" s="1"/>
  <c r="B75" i="5" s="1"/>
  <c r="D73" i="3"/>
  <c r="C73" i="3" l="1"/>
  <c r="F73" i="3" s="1"/>
  <c r="B74" i="3" s="1"/>
  <c r="D75" i="5"/>
  <c r="C75" i="5" s="1"/>
  <c r="F75" i="5" s="1"/>
  <c r="B76" i="5" s="1"/>
  <c r="D76" i="5" l="1"/>
  <c r="C76" i="5" s="1"/>
  <c r="F76" i="5" s="1"/>
  <c r="B77" i="5" s="1"/>
  <c r="D74" i="3"/>
  <c r="D77" i="5" l="1"/>
  <c r="C77" i="5" s="1"/>
  <c r="F77" i="5" s="1"/>
  <c r="B78" i="5" s="1"/>
  <c r="C74" i="3"/>
  <c r="F74" i="3" s="1"/>
  <c r="B75" i="3" s="1"/>
  <c r="D78" i="5" l="1"/>
  <c r="C78" i="5" s="1"/>
  <c r="F78" i="5" s="1"/>
  <c r="B79" i="5" s="1"/>
  <c r="D75" i="3"/>
  <c r="C75" i="3" s="1"/>
  <c r="F75" i="3" s="1"/>
  <c r="B76" i="3" s="1"/>
  <c r="D76" i="3" l="1"/>
  <c r="C76" i="3" s="1"/>
  <c r="F76" i="3" s="1"/>
  <c r="B77" i="3" s="1"/>
  <c r="D79" i="5"/>
  <c r="C79" i="5" s="1"/>
  <c r="F79" i="5" s="1"/>
  <c r="B80" i="5" s="1"/>
  <c r="D80" i="5" l="1"/>
  <c r="C80" i="5" s="1"/>
  <c r="F80" i="5" s="1"/>
  <c r="B81" i="5" s="1"/>
  <c r="D77" i="3"/>
  <c r="C77" i="3" s="1"/>
  <c r="F77" i="3" s="1"/>
  <c r="B78" i="3" s="1"/>
  <c r="D81" i="5" l="1"/>
  <c r="D78" i="3"/>
  <c r="C78" i="3" s="1"/>
  <c r="F78" i="3" s="1"/>
  <c r="B79" i="3" s="1"/>
  <c r="D79" i="3" l="1"/>
  <c r="C79" i="3" s="1"/>
  <c r="F79" i="3" s="1"/>
  <c r="B80" i="3" s="1"/>
  <c r="C81" i="5"/>
  <c r="F81" i="5" s="1"/>
  <c r="B84" i="5" s="1"/>
  <c r="D82" i="5"/>
  <c r="D80" i="3" l="1"/>
  <c r="C80" i="3" s="1"/>
  <c r="F80" i="3" s="1"/>
  <c r="B81" i="3" s="1"/>
  <c r="D84" i="5"/>
  <c r="C84" i="5" l="1"/>
  <c r="F84" i="5" s="1"/>
  <c r="B85" i="5" s="1"/>
  <c r="D81" i="3"/>
  <c r="C81" i="3" l="1"/>
  <c r="F81" i="3" s="1"/>
  <c r="D82" i="3"/>
  <c r="H36" i="2" s="1"/>
  <c r="H39" i="2" s="1"/>
  <c r="D85" i="5"/>
  <c r="C85" i="5" l="1"/>
  <c r="F85" i="5" s="1"/>
  <c r="B86" i="5" s="1"/>
  <c r="H40" i="2"/>
  <c r="H59" i="2" s="1"/>
  <c r="H61" i="2"/>
  <c r="B84" i="3"/>
  <c r="H41" i="2" l="1"/>
  <c r="H65" i="2" s="1"/>
  <c r="D84" i="3"/>
  <c r="D86" i="5"/>
  <c r="C84" i="3" l="1"/>
  <c r="F84" i="3" s="1"/>
  <c r="B85" i="3" s="1"/>
  <c r="C86" i="5"/>
  <c r="F86" i="5" s="1"/>
  <c r="B87" i="5" s="1"/>
  <c r="H67" i="2"/>
  <c r="H56" i="2" s="1"/>
  <c r="D85" i="3" l="1"/>
  <c r="D87" i="5"/>
  <c r="C87" i="5" l="1"/>
  <c r="F87" i="5" s="1"/>
  <c r="B88" i="5" s="1"/>
  <c r="C85" i="3"/>
  <c r="F85" i="3" s="1"/>
  <c r="B86" i="3" s="1"/>
  <c r="D86" i="3" l="1"/>
  <c r="D88" i="5"/>
  <c r="C88" i="5" l="1"/>
  <c r="F88" i="5" s="1"/>
  <c r="B89" i="5" s="1"/>
  <c r="C86" i="3"/>
  <c r="F86" i="3" s="1"/>
  <c r="B87" i="3" s="1"/>
  <c r="D87" i="3" l="1"/>
  <c r="D89" i="5"/>
  <c r="C89" i="5" s="1"/>
  <c r="F89" i="5" s="1"/>
  <c r="B90" i="5" s="1"/>
  <c r="D90" i="5" l="1"/>
  <c r="C90" i="5" s="1"/>
  <c r="F90" i="5"/>
  <c r="B91" i="5" s="1"/>
  <c r="C87" i="3"/>
  <c r="F87" i="3" s="1"/>
  <c r="B88" i="3" s="1"/>
  <c r="D88" i="3" l="1"/>
  <c r="D91" i="5"/>
  <c r="C91" i="5" s="1"/>
  <c r="F91" i="5"/>
  <c r="B92" i="5" s="1"/>
  <c r="D92" i="5" l="1"/>
  <c r="C92" i="5" s="1"/>
  <c r="F92" i="5" s="1"/>
  <c r="B93" i="5" s="1"/>
  <c r="C88" i="3"/>
  <c r="F88" i="3" s="1"/>
  <c r="B89" i="3" s="1"/>
  <c r="D89" i="3" l="1"/>
  <c r="C89" i="3" s="1"/>
  <c r="F89" i="3" s="1"/>
  <c r="B90" i="3" s="1"/>
  <c r="D93" i="5"/>
  <c r="C93" i="5" s="1"/>
  <c r="F93" i="5"/>
  <c r="B94" i="5" s="1"/>
  <c r="D94" i="5" l="1"/>
  <c r="C94" i="5" s="1"/>
  <c r="F94" i="5" s="1"/>
  <c r="B95" i="5" s="1"/>
  <c r="D90" i="3"/>
  <c r="C90" i="3" s="1"/>
  <c r="F90" i="3"/>
  <c r="B91" i="3" s="1"/>
  <c r="D95" i="5" l="1"/>
  <c r="D91" i="3"/>
  <c r="C91" i="3" s="1"/>
  <c r="F91" i="3" s="1"/>
  <c r="B92" i="3" s="1"/>
  <c r="D92" i="3" l="1"/>
  <c r="C92" i="3" s="1"/>
  <c r="F92" i="3" s="1"/>
  <c r="B93" i="3" s="1"/>
  <c r="C95" i="5"/>
  <c r="F95" i="5" s="1"/>
  <c r="B98" i="5" s="1"/>
  <c r="D96" i="5"/>
  <c r="D93" i="3" l="1"/>
  <c r="C93" i="3" s="1"/>
  <c r="F93" i="3" s="1"/>
  <c r="B94" i="3" s="1"/>
  <c r="D98" i="5"/>
  <c r="C98" i="5" l="1"/>
  <c r="F98" i="5" s="1"/>
  <c r="B99" i="5" s="1"/>
  <c r="D94" i="3"/>
  <c r="C94" i="3" s="1"/>
  <c r="F94" i="3"/>
  <c r="B95" i="3" s="1"/>
  <c r="D95" i="3" l="1"/>
  <c r="D99" i="5"/>
  <c r="C99" i="5" l="1"/>
  <c r="F99" i="5" s="1"/>
  <c r="B100" i="5" s="1"/>
  <c r="C95" i="3"/>
  <c r="F95" i="3" s="1"/>
  <c r="D96" i="3"/>
  <c r="I36" i="2" s="1"/>
  <c r="I39" i="2" s="1"/>
  <c r="I40" i="2" l="1"/>
  <c r="I59" i="2" s="1"/>
  <c r="I61" i="2"/>
  <c r="B98" i="3"/>
  <c r="D100" i="5"/>
  <c r="I41" i="2" l="1"/>
  <c r="I65" i="2" s="1"/>
  <c r="I67" i="2" s="1"/>
  <c r="I56" i="2" s="1"/>
  <c r="D98" i="3"/>
  <c r="C100" i="5"/>
  <c r="F100" i="5" s="1"/>
  <c r="B101" i="5" s="1"/>
  <c r="D101" i="5" l="1"/>
  <c r="C98" i="3"/>
  <c r="F98" i="3" s="1"/>
  <c r="B99" i="3" s="1"/>
  <c r="D99" i="3" l="1"/>
  <c r="C101" i="5"/>
  <c r="F101" i="5" s="1"/>
  <c r="B102" i="5" s="1"/>
  <c r="D102" i="5" l="1"/>
  <c r="C99" i="3"/>
  <c r="F99" i="3" s="1"/>
  <c r="B100" i="3" s="1"/>
  <c r="D100" i="3" l="1"/>
  <c r="C102" i="5"/>
  <c r="F102" i="5" s="1"/>
  <c r="B103" i="5" s="1"/>
  <c r="D103" i="5" l="1"/>
  <c r="C103" i="5" s="1"/>
  <c r="F103" i="5" s="1"/>
  <c r="B104" i="5" s="1"/>
  <c r="C100" i="3"/>
  <c r="F100" i="3" s="1"/>
  <c r="B101" i="3" s="1"/>
  <c r="D101" i="3" l="1"/>
  <c r="D104" i="5"/>
  <c r="C104" i="5" s="1"/>
  <c r="F104" i="5"/>
  <c r="B105" i="5" s="1"/>
  <c r="D105" i="5" l="1"/>
  <c r="C105" i="5" s="1"/>
  <c r="F105" i="5" s="1"/>
  <c r="B106" i="5" s="1"/>
  <c r="C101" i="3"/>
  <c r="F101" i="3" s="1"/>
  <c r="B102" i="3" s="1"/>
  <c r="D102" i="3" l="1"/>
  <c r="D106" i="5"/>
  <c r="C106" i="5" s="1"/>
  <c r="F106" i="5" s="1"/>
  <c r="B107" i="5" s="1"/>
  <c r="D107" i="5" l="1"/>
  <c r="C107" i="5" s="1"/>
  <c r="F107" i="5" s="1"/>
  <c r="B108" i="5" s="1"/>
  <c r="C102" i="3"/>
  <c r="F102" i="3" s="1"/>
  <c r="B103" i="3" s="1"/>
  <c r="D103" i="3" l="1"/>
  <c r="C103" i="3" s="1"/>
  <c r="F103" i="3" s="1"/>
  <c r="B104" i="3" s="1"/>
  <c r="D108" i="5"/>
  <c r="C108" i="5" s="1"/>
  <c r="F108" i="5"/>
  <c r="B109" i="5" s="1"/>
  <c r="D109" i="5" l="1"/>
  <c r="D104" i="3"/>
  <c r="C104" i="3" s="1"/>
  <c r="F104" i="3" s="1"/>
  <c r="B105" i="3" s="1"/>
  <c r="D105" i="3" l="1"/>
  <c r="C105" i="3" s="1"/>
  <c r="F105" i="3" s="1"/>
  <c r="B106" i="3" s="1"/>
  <c r="C109" i="5"/>
  <c r="F109" i="5" s="1"/>
  <c r="B112" i="5" s="1"/>
  <c r="D110" i="5"/>
  <c r="D106" i="3" l="1"/>
  <c r="C106" i="3" s="1"/>
  <c r="F106" i="3" s="1"/>
  <c r="B107" i="3" s="1"/>
  <c r="D112" i="5"/>
  <c r="C112" i="5" l="1"/>
  <c r="F112" i="5" s="1"/>
  <c r="B113" i="5" s="1"/>
  <c r="D107" i="3"/>
  <c r="C107" i="3" s="1"/>
  <c r="F107" i="3"/>
  <c r="B108" i="3" s="1"/>
  <c r="D108" i="3" l="1"/>
  <c r="C108" i="3" s="1"/>
  <c r="F108" i="3" s="1"/>
  <c r="B109" i="3" s="1"/>
  <c r="D113" i="5"/>
  <c r="D109" i="3" l="1"/>
  <c r="C113" i="5"/>
  <c r="F113" i="5" s="1"/>
  <c r="B114" i="5" s="1"/>
  <c r="D114" i="5" l="1"/>
  <c r="C109" i="3"/>
  <c r="F109" i="3" s="1"/>
  <c r="D110" i="3"/>
  <c r="J36" i="2" s="1"/>
  <c r="J39" i="2" s="1"/>
  <c r="J40" i="2" l="1"/>
  <c r="J59" i="2" s="1"/>
  <c r="J61" i="2"/>
  <c r="B112" i="3"/>
  <c r="C114" i="5"/>
  <c r="F114" i="5" s="1"/>
  <c r="B115" i="5" s="1"/>
  <c r="D112" i="3" l="1"/>
  <c r="D115" i="5"/>
  <c r="J41" i="2"/>
  <c r="J65" i="2" s="1"/>
  <c r="C112" i="3" l="1"/>
  <c r="F112" i="3" s="1"/>
  <c r="B113" i="3" s="1"/>
  <c r="C115" i="5"/>
  <c r="F115" i="5" s="1"/>
  <c r="B116" i="5" s="1"/>
  <c r="J67" i="2"/>
  <c r="J56" i="2" s="1"/>
  <c r="D116" i="5" l="1"/>
  <c r="D113" i="3"/>
  <c r="C113" i="3" l="1"/>
  <c r="F113" i="3" s="1"/>
  <c r="B114" i="3" s="1"/>
  <c r="C116" i="5"/>
  <c r="F116" i="5" s="1"/>
  <c r="B117" i="5" s="1"/>
  <c r="D117" i="5" l="1"/>
  <c r="C117" i="5" s="1"/>
  <c r="F117" i="5" s="1"/>
  <c r="B118" i="5" s="1"/>
  <c r="D114" i="3"/>
  <c r="D118" i="5" l="1"/>
  <c r="C118" i="5" s="1"/>
  <c r="F118" i="5"/>
  <c r="B119" i="5" s="1"/>
  <c r="C114" i="3"/>
  <c r="F114" i="3" s="1"/>
  <c r="B115" i="3" s="1"/>
  <c r="D115" i="3" l="1"/>
  <c r="D119" i="5"/>
  <c r="C119" i="5" s="1"/>
  <c r="F119" i="5"/>
  <c r="B120" i="5" s="1"/>
  <c r="D120" i="5" l="1"/>
  <c r="C120" i="5" s="1"/>
  <c r="F120" i="5" s="1"/>
  <c r="B121" i="5" s="1"/>
  <c r="C115" i="3"/>
  <c r="F115" i="3" s="1"/>
  <c r="B116" i="3" s="1"/>
  <c r="D116" i="3" l="1"/>
  <c r="D121" i="5"/>
  <c r="C121" i="5" s="1"/>
  <c r="F121" i="5"/>
  <c r="B122" i="5" s="1"/>
  <c r="D122" i="5" l="1"/>
  <c r="C122" i="5" s="1"/>
  <c r="F122" i="5" s="1"/>
  <c r="B123" i="5" s="1"/>
  <c r="C116" i="3"/>
  <c r="F116" i="3" s="1"/>
  <c r="B117" i="3" s="1"/>
  <c r="D117" i="3" l="1"/>
  <c r="C117" i="3" s="1"/>
  <c r="F117" i="3" s="1"/>
  <c r="B118" i="3" s="1"/>
  <c r="D123" i="5"/>
  <c r="D118" i="3" l="1"/>
  <c r="C118" i="3" s="1"/>
  <c r="F118" i="3" s="1"/>
  <c r="B119" i="3" s="1"/>
  <c r="C123" i="5"/>
  <c r="F123" i="5" s="1"/>
  <c r="B126" i="5" s="1"/>
  <c r="D124" i="5"/>
  <c r="D119" i="3" l="1"/>
  <c r="C119" i="3" s="1"/>
  <c r="F119" i="3" s="1"/>
  <c r="B120" i="3" s="1"/>
  <c r="D126" i="5"/>
  <c r="C126" i="5" l="1"/>
  <c r="F126" i="5" s="1"/>
  <c r="B127" i="5" s="1"/>
  <c r="D120" i="3"/>
  <c r="C120" i="3" s="1"/>
  <c r="F120" i="3" s="1"/>
  <c r="B121" i="3" s="1"/>
  <c r="D121" i="3" l="1"/>
  <c r="C121" i="3" s="1"/>
  <c r="F121" i="3" s="1"/>
  <c r="B122" i="3" s="1"/>
  <c r="D127" i="5"/>
  <c r="D122" i="3" l="1"/>
  <c r="C122" i="3" s="1"/>
  <c r="F122" i="3" s="1"/>
  <c r="B123" i="3" s="1"/>
  <c r="C127" i="5"/>
  <c r="F127" i="5" s="1"/>
  <c r="B128" i="5" s="1"/>
  <c r="D123" i="3" l="1"/>
  <c r="D128" i="5"/>
  <c r="C123" i="3" l="1"/>
  <c r="F123" i="3" s="1"/>
  <c r="D124" i="3"/>
  <c r="K36" i="2" s="1"/>
  <c r="K39" i="2" s="1"/>
  <c r="C128" i="5"/>
  <c r="F128" i="5" s="1"/>
  <c r="B129" i="5" s="1"/>
  <c r="B126" i="3" l="1"/>
  <c r="K61" i="2"/>
  <c r="D129" i="5"/>
  <c r="K40" i="2"/>
  <c r="K59" i="2" s="1"/>
  <c r="D126" i="3" l="1"/>
  <c r="C129" i="5"/>
  <c r="F129" i="5" s="1"/>
  <c r="B130" i="5" s="1"/>
  <c r="K41" i="2"/>
  <c r="K65" i="2" s="1"/>
  <c r="K67" i="2" s="1"/>
  <c r="K56" i="2" s="1"/>
  <c r="D130" i="5" l="1"/>
  <c r="C126" i="3"/>
  <c r="F126" i="3" s="1"/>
  <c r="B127" i="3" s="1"/>
  <c r="D127" i="3" l="1"/>
  <c r="C130" i="5"/>
  <c r="F130" i="5" s="1"/>
  <c r="B131" i="5" s="1"/>
  <c r="D131" i="5" l="1"/>
  <c r="C131" i="5" s="1"/>
  <c r="F131" i="5" s="1"/>
  <c r="B132" i="5" s="1"/>
  <c r="C127" i="3"/>
  <c r="F127" i="3" s="1"/>
  <c r="B128" i="3" s="1"/>
  <c r="D132" i="5" l="1"/>
  <c r="C132" i="5" s="1"/>
  <c r="F132" i="5" s="1"/>
  <c r="B133" i="5" s="1"/>
  <c r="D128" i="3"/>
  <c r="D133" i="5" l="1"/>
  <c r="C133" i="5" s="1"/>
  <c r="F133" i="5" s="1"/>
  <c r="B134" i="5" s="1"/>
  <c r="C128" i="3"/>
  <c r="F128" i="3" s="1"/>
  <c r="B129" i="3" s="1"/>
  <c r="D134" i="5" l="1"/>
  <c r="C134" i="5" s="1"/>
  <c r="F134" i="5" s="1"/>
  <c r="B135" i="5" s="1"/>
  <c r="D129" i="3"/>
  <c r="D135" i="5" l="1"/>
  <c r="C135" i="5" s="1"/>
  <c r="F135" i="5" s="1"/>
  <c r="B136" i="5" s="1"/>
  <c r="C129" i="3"/>
  <c r="F129" i="3" s="1"/>
  <c r="B130" i="3" s="1"/>
  <c r="D136" i="5" l="1"/>
  <c r="C136" i="5" s="1"/>
  <c r="F136" i="5" s="1"/>
  <c r="B137" i="5" s="1"/>
  <c r="D130" i="3"/>
  <c r="D137" i="5" l="1"/>
  <c r="C130" i="3"/>
  <c r="F130" i="3" s="1"/>
  <c r="B131" i="3" s="1"/>
  <c r="C137" i="5" l="1"/>
  <c r="F137" i="5" s="1"/>
  <c r="B140" i="5" s="1"/>
  <c r="D138" i="5"/>
  <c r="D131" i="3"/>
  <c r="C131" i="3" s="1"/>
  <c r="F131" i="3" s="1"/>
  <c r="B132" i="3" s="1"/>
  <c r="D132" i="3" l="1"/>
  <c r="C132" i="3" s="1"/>
  <c r="F132" i="3" s="1"/>
  <c r="B133" i="3" s="1"/>
  <c r="D140" i="5"/>
  <c r="D133" i="3" l="1"/>
  <c r="C133" i="3" s="1"/>
  <c r="F133" i="3" s="1"/>
  <c r="B134" i="3" s="1"/>
  <c r="C140" i="5"/>
  <c r="F140" i="5" s="1"/>
  <c r="B141" i="5" s="1"/>
  <c r="D134" i="3" l="1"/>
  <c r="C134" i="3" s="1"/>
  <c r="F134" i="3" s="1"/>
  <c r="B135" i="3" s="1"/>
  <c r="D141" i="5"/>
  <c r="D135" i="3" l="1"/>
  <c r="C135" i="3" s="1"/>
  <c r="F135" i="3" s="1"/>
  <c r="B136" i="3" s="1"/>
  <c r="C141" i="5"/>
  <c r="F141" i="5" s="1"/>
  <c r="B142" i="5" s="1"/>
  <c r="D136" i="3" l="1"/>
  <c r="C136" i="3" s="1"/>
  <c r="F136" i="3" s="1"/>
  <c r="B137" i="3" s="1"/>
  <c r="D142" i="5"/>
  <c r="C142" i="5" l="1"/>
  <c r="F142" i="5" s="1"/>
  <c r="B143" i="5" s="1"/>
  <c r="D137" i="3"/>
  <c r="C137" i="3" l="1"/>
  <c r="F137" i="3" s="1"/>
  <c r="D138" i="3"/>
  <c r="L36" i="2" s="1"/>
  <c r="L39" i="2" s="1"/>
  <c r="D143" i="5"/>
  <c r="C143" i="5" l="1"/>
  <c r="F143" i="5" s="1"/>
  <c r="B144" i="5" s="1"/>
  <c r="L40" i="2"/>
  <c r="L59" i="2" s="1"/>
  <c r="L61" i="2"/>
  <c r="B140" i="3"/>
  <c r="L41" i="2" l="1"/>
  <c r="L65" i="2" s="1"/>
  <c r="D140" i="3"/>
  <c r="D144" i="5"/>
  <c r="C140" i="3" l="1"/>
  <c r="F140" i="3" s="1"/>
  <c r="B141" i="3" s="1"/>
  <c r="C144" i="5"/>
  <c r="F144" i="5" s="1"/>
  <c r="B145" i="5" s="1"/>
  <c r="L67" i="2"/>
  <c r="L56" i="2" s="1"/>
  <c r="D145" i="5" l="1"/>
  <c r="C145" i="5" s="1"/>
  <c r="F145" i="5" s="1"/>
  <c r="B146" i="5" s="1"/>
  <c r="D141" i="3"/>
  <c r="D146" i="5" l="1"/>
  <c r="C146" i="5" s="1"/>
  <c r="F146" i="5" s="1"/>
  <c r="B147" i="5" s="1"/>
  <c r="C141" i="3"/>
  <c r="F141" i="3" s="1"/>
  <c r="B142" i="3" s="1"/>
  <c r="D147" i="5" l="1"/>
  <c r="C147" i="5" s="1"/>
  <c r="F147" i="5"/>
  <c r="B148" i="5" s="1"/>
  <c r="D142" i="3"/>
  <c r="C142" i="3" l="1"/>
  <c r="F142" i="3" s="1"/>
  <c r="B143" i="3" s="1"/>
  <c r="D148" i="5"/>
  <c r="C148" i="5" s="1"/>
  <c r="F148" i="5"/>
  <c r="B149" i="5" s="1"/>
  <c r="D149" i="5" l="1"/>
  <c r="C149" i="5" s="1"/>
  <c r="F149" i="5"/>
  <c r="B150" i="5" s="1"/>
  <c r="D143" i="3"/>
  <c r="C143" i="3" l="1"/>
  <c r="F143" i="3" s="1"/>
  <c r="B144" i="3" s="1"/>
  <c r="D150" i="5"/>
  <c r="C150" i="5" s="1"/>
  <c r="F150" i="5"/>
  <c r="B151" i="5" s="1"/>
  <c r="D151" i="5" l="1"/>
  <c r="D144" i="3"/>
  <c r="C144" i="3" l="1"/>
  <c r="F144" i="3" s="1"/>
  <c r="B145" i="3" s="1"/>
  <c r="C151" i="5"/>
  <c r="F151" i="5" s="1"/>
  <c r="D152" i="5"/>
  <c r="D145" i="3" l="1"/>
  <c r="C145" i="3" s="1"/>
  <c r="F145" i="3" s="1"/>
  <c r="B146" i="3" s="1"/>
  <c r="D146" i="3" l="1"/>
  <c r="C146" i="3" s="1"/>
  <c r="F146" i="3" s="1"/>
  <c r="B147" i="3" s="1"/>
  <c r="D147" i="3" l="1"/>
  <c r="C147" i="3" s="1"/>
  <c r="F147" i="3" s="1"/>
  <c r="B148" i="3" s="1"/>
  <c r="D148" i="3" l="1"/>
  <c r="C148" i="3" s="1"/>
  <c r="F148" i="3" s="1"/>
  <c r="B149" i="3" s="1"/>
  <c r="D149" i="3" l="1"/>
  <c r="C149" i="3" s="1"/>
  <c r="F149" i="3" s="1"/>
  <c r="B150" i="3" s="1"/>
  <c r="D150" i="3" l="1"/>
  <c r="C150" i="3" s="1"/>
  <c r="F150" i="3"/>
  <c r="B151" i="3" s="1"/>
  <c r="D151" i="3" l="1"/>
  <c r="C151" i="3" l="1"/>
  <c r="F151" i="3" s="1"/>
  <c r="D152" i="3"/>
  <c r="M36" i="2" s="1"/>
  <c r="M39" i="2" s="1"/>
  <c r="M40" i="2" l="1"/>
  <c r="M59" i="2" s="1"/>
  <c r="M61" i="2"/>
  <c r="B129" i="2" s="1"/>
  <c r="B154" i="3"/>
  <c r="M41" i="2" l="1"/>
  <c r="M65" i="2" s="1"/>
  <c r="B133" i="2" s="1"/>
  <c r="B134" i="2" s="1"/>
  <c r="D154" i="3"/>
  <c r="C130" i="2" l="1"/>
  <c r="F130" i="2" s="1"/>
  <c r="C129" i="2"/>
  <c r="M67" i="2"/>
  <c r="M56" i="2" s="1"/>
  <c r="C132" i="2"/>
  <c r="C154" i="3"/>
  <c r="F154" i="3" s="1"/>
  <c r="B155" i="3" s="1"/>
  <c r="F129" i="2"/>
  <c r="C139" i="2" l="1"/>
  <c r="C122" i="2" s="1"/>
  <c r="C126" i="2" s="1"/>
  <c r="D132" i="2" s="1"/>
  <c r="E132" i="2" s="1"/>
  <c r="F132" i="2" s="1"/>
  <c r="F134" i="2" s="1"/>
  <c r="B3" i="1" s="1"/>
  <c r="D155" i="3"/>
  <c r="M18" i="1" l="1"/>
  <c r="I18" i="1"/>
  <c r="E9" i="1"/>
  <c r="I9" i="1"/>
  <c r="D9" i="1"/>
  <c r="K18" i="1"/>
  <c r="G9" i="1"/>
  <c r="K9" i="1"/>
  <c r="F9" i="1"/>
  <c r="C9" i="1"/>
  <c r="H9" i="1"/>
  <c r="J18" i="1"/>
  <c r="J9" i="1"/>
  <c r="M9" i="1"/>
  <c r="L9" i="1"/>
  <c r="L18" i="1"/>
  <c r="C155" i="3"/>
  <c r="F155" i="3" s="1"/>
  <c r="B156" i="3" s="1"/>
  <c r="I19" i="1" l="1"/>
  <c r="C10" i="1"/>
  <c r="D156" i="3"/>
  <c r="C156" i="3" l="1"/>
  <c r="F156" i="3" s="1"/>
  <c r="B157" i="3" s="1"/>
  <c r="D157" i="3" l="1"/>
  <c r="C157" i="3" l="1"/>
  <c r="F157" i="3" s="1"/>
  <c r="B158" i="3" s="1"/>
  <c r="D158" i="3" l="1"/>
  <c r="C158" i="3" l="1"/>
  <c r="F158" i="3" s="1"/>
  <c r="B159" i="3" s="1"/>
  <c r="D159" i="3" l="1"/>
  <c r="C159" i="3" s="1"/>
  <c r="F159" i="3" s="1"/>
  <c r="B160" i="3" s="1"/>
  <c r="D160" i="3" l="1"/>
  <c r="C160" i="3" s="1"/>
  <c r="F160" i="3" s="1"/>
  <c r="B161" i="3" s="1"/>
  <c r="D161" i="3" l="1"/>
  <c r="C161" i="3" s="1"/>
  <c r="F161" i="3" s="1"/>
  <c r="B162" i="3" s="1"/>
  <c r="D162" i="3" l="1"/>
  <c r="C162" i="3" s="1"/>
  <c r="F162" i="3" s="1"/>
  <c r="B163" i="3" s="1"/>
  <c r="D163" i="3" l="1"/>
  <c r="C163" i="3" s="1"/>
  <c r="F163" i="3" s="1"/>
  <c r="B164" i="3" s="1"/>
  <c r="D164" i="3" l="1"/>
  <c r="C164" i="3" s="1"/>
  <c r="F164" i="3" s="1"/>
  <c r="B165" i="3" s="1"/>
  <c r="D165" i="3" l="1"/>
  <c r="C165" i="3" l="1"/>
  <c r="F165" i="3" s="1"/>
  <c r="D166" i="3"/>
</calcChain>
</file>

<file path=xl/sharedStrings.xml><?xml version="1.0" encoding="utf-8"?>
<sst xmlns="http://schemas.openxmlformats.org/spreadsheetml/2006/main" count="295" uniqueCount="139">
  <si>
    <t>Outside Numbers</t>
  </si>
  <si>
    <t>Average Price Per Meals</t>
  </si>
  <si>
    <t>Increase</t>
  </si>
  <si>
    <t>Average Amount of Customers Per year</t>
  </si>
  <si>
    <t>Cost of Meal</t>
  </si>
  <si>
    <t>increase</t>
  </si>
  <si>
    <t>Sale of Meals</t>
  </si>
  <si>
    <t>Inventory Days for Food</t>
  </si>
  <si>
    <t>Decrease</t>
  </si>
  <si>
    <t>Extra Bank Loan</t>
  </si>
  <si>
    <t>Interest</t>
  </si>
  <si>
    <t>Mortgage Loan</t>
  </si>
  <si>
    <t>Initial Funding</t>
  </si>
  <si>
    <t>Accounts Receivable Percentage</t>
  </si>
  <si>
    <t>Inventory Ratio</t>
  </si>
  <si>
    <t>Accounts Payable Percentage of Rev</t>
  </si>
  <si>
    <t xml:space="preserve">Days of Accounts Rec </t>
  </si>
  <si>
    <t>Yearly change</t>
  </si>
  <si>
    <t>Days of Accounts Payable</t>
  </si>
  <si>
    <t>INCOME STATEMENT</t>
  </si>
  <si>
    <t>Revenue</t>
  </si>
  <si>
    <t>Sales Revenue</t>
  </si>
  <si>
    <t>Cost of Goods Sold</t>
  </si>
  <si>
    <t>Operating Expenses</t>
  </si>
  <si>
    <t>Wage Labor</t>
  </si>
  <si>
    <t>Facility Expense</t>
  </si>
  <si>
    <t>of Building Cost</t>
  </si>
  <si>
    <t>Other Expense</t>
  </si>
  <si>
    <t>Depreciation</t>
  </si>
  <si>
    <t>Year Life</t>
  </si>
  <si>
    <t>Mortgage Loan Interest</t>
  </si>
  <si>
    <t>Year Loan Life</t>
  </si>
  <si>
    <t>Extra Bank Loan Interest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</si>
  <si>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</si>
  <si>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</si>
  <si>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</si>
  <si>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</si>
  <si>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</si>
  <si>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</si>
  <si>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 Above Minimum</t>
  </si>
  <si>
    <t>Accounts Receivable</t>
  </si>
  <si>
    <t>Inventory</t>
  </si>
  <si>
    <t>Land</t>
  </si>
  <si>
    <t>Buildings</t>
  </si>
  <si>
    <t>Accumulated Depreciation</t>
  </si>
  <si>
    <t>year life</t>
  </si>
  <si>
    <t>Total Assets</t>
  </si>
  <si>
    <t>DFN</t>
  </si>
  <si>
    <t>Liabilities and Owners Equity</t>
  </si>
  <si>
    <t>Accounts Payable</t>
  </si>
  <si>
    <t>Income Tax Payable</t>
  </si>
  <si>
    <t>Common Stock</t>
  </si>
  <si>
    <t>Retained Earnings</t>
  </si>
  <si>
    <t>Total Liabilities and Owners Equity</t>
  </si>
  <si>
    <t>FCF, NPV, IRR</t>
  </si>
  <si>
    <t>Cash from Operations</t>
  </si>
  <si>
    <t>Operating Income</t>
  </si>
  <si>
    <t>Less: Depreciation Deduction</t>
  </si>
  <si>
    <t>Taxable Operations Income</t>
  </si>
  <si>
    <t>Taxes on Operations Only</t>
  </si>
  <si>
    <t>Total Cash from Operations</t>
  </si>
  <si>
    <t>Cash in/out from Capital Expenditures</t>
  </si>
  <si>
    <t>Buy Land</t>
  </si>
  <si>
    <t>Buy Building</t>
  </si>
  <si>
    <t>BuildingBook value</t>
  </si>
  <si>
    <t>Land Book Value</t>
  </si>
  <si>
    <t>Sell Building</t>
  </si>
  <si>
    <t>gain</t>
  </si>
  <si>
    <t>Gain</t>
  </si>
  <si>
    <t>Sell Land</t>
  </si>
  <si>
    <t>Taxes on Sale of Building</t>
  </si>
  <si>
    <t>Cash in/out from Changes in Working Capital</t>
  </si>
  <si>
    <t>-</t>
  </si>
  <si>
    <t>+</t>
  </si>
  <si>
    <t>Income Tax Payable (Operations Only)</t>
  </si>
  <si>
    <t>Cash in/out from Liquidation of Working Capital</t>
  </si>
  <si>
    <t>Total Free Cash Flows</t>
  </si>
  <si>
    <t>Present Value of Total Free Cash Flows</t>
  </si>
  <si>
    <t>Cost of Capital</t>
  </si>
  <si>
    <t>NPV of Total Free Cash Flows</t>
  </si>
  <si>
    <t>IRR</t>
  </si>
  <si>
    <t>Practice of computing the IRR and WACC making them equal</t>
  </si>
  <si>
    <t>WACC</t>
  </si>
  <si>
    <r>
      <rPr>
        <b/>
        <sz val="11"/>
        <color indexed="8"/>
        <rFont val="Calibri"/>
        <family val="2"/>
        <charset val="1"/>
      </rPr>
      <t>CAPM</t>
    </r>
    <r>
      <rPr>
        <sz val="11"/>
        <color indexed="8"/>
        <rFont val="Calibri"/>
        <family val="2"/>
        <charset val="1"/>
      </rPr>
      <t xml:space="preserve"> for the return equity holders want</t>
    </r>
  </si>
  <si>
    <t>Relevered</t>
  </si>
  <si>
    <t>Unlevered</t>
  </si>
  <si>
    <t>Beta</t>
  </si>
  <si>
    <t>T-Bill rate</t>
  </si>
  <si>
    <t>S&amp;P 500 rate</t>
  </si>
  <si>
    <t>Return equity holders want</t>
  </si>
  <si>
    <t>Average</t>
  </si>
  <si>
    <t>Pro-rate</t>
  </si>
  <si>
    <t>Rate</t>
  </si>
  <si>
    <t>After-tax</t>
  </si>
  <si>
    <t>Weighted</t>
  </si>
  <si>
    <t>Total</t>
  </si>
  <si>
    <t>Unlevered Beta</t>
  </si>
  <si>
    <t>Tax Rate</t>
  </si>
  <si>
    <t>Re-Levered Beta</t>
  </si>
  <si>
    <t>Year 4</t>
  </si>
  <si>
    <t>Year 3</t>
  </si>
  <si>
    <t>Year 2</t>
  </si>
  <si>
    <t>Totals</t>
  </si>
  <si>
    <t>End Balance</t>
  </si>
  <si>
    <t>Payment</t>
  </si>
  <si>
    <t xml:space="preserve">Interest </t>
  </si>
  <si>
    <t>Principal</t>
  </si>
  <si>
    <t>Beg Balance</t>
  </si>
  <si>
    <t>Year 1</t>
  </si>
  <si>
    <t>PMT</t>
  </si>
  <si>
    <t>Months</t>
  </si>
  <si>
    <t>Number of years</t>
  </si>
  <si>
    <t xml:space="preserve">Monthly </t>
  </si>
  <si>
    <t xml:space="preserve">Annual Interest </t>
  </si>
  <si>
    <t>House Price</t>
  </si>
  <si>
    <t>Chapter 7 Bankruptcy</t>
  </si>
  <si>
    <t>Sell the secured Assets</t>
  </si>
  <si>
    <t>Sell the unsecured Assets</t>
  </si>
  <si>
    <t>Mortgage</t>
  </si>
  <si>
    <t>Cash to buy and build</t>
  </si>
  <si>
    <t>Cash from Sale at end</t>
  </si>
  <si>
    <t>PV</t>
  </si>
  <si>
    <t>NPV</t>
  </si>
  <si>
    <t xml:space="preserve">Cost of option to expand </t>
  </si>
  <si>
    <t>Kitt's Kornbread Shop</t>
  </si>
  <si>
    <t>Building Expansion Option</t>
  </si>
  <si>
    <t>Initial Loan</t>
  </si>
  <si>
    <t>Interest Paid</t>
  </si>
  <si>
    <t>Principal Paid</t>
  </si>
  <si>
    <t>Final Pay Off</t>
  </si>
  <si>
    <t xml:space="preserve">Total </t>
  </si>
  <si>
    <t>Sold For</t>
  </si>
  <si>
    <t>Exta:</t>
  </si>
  <si>
    <t>Year 5</t>
  </si>
  <si>
    <t>Year 6</t>
  </si>
  <si>
    <t>Year 7</t>
  </si>
  <si>
    <t>Year 8</t>
  </si>
  <si>
    <t>Year 9</t>
  </si>
  <si>
    <t>Year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</si>
</sst>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\-??_);_(@_)"/>
    <numFmt numFmtId="165" formatCode="0.0%"/>
    <numFmt numFmtId="166" formatCode="_(\$* #,##0_);_(\$* \(#,##0\);_(\$* \-??_);_(@_)"/>
    <numFmt numFmtId="167" formatCode="_(* #,##0_);_(* \(#,##0\);_(* &quot;-&quot;??_);_(@_)"/>
    <numFmt numFmtId="168" formatCode="_(\$* #,##0.00_);_(\$* \(#,##0.00\);_(\$* \-??_);_(@_)"/>
    <numFmt numFmtId="169" formatCode="_(&quot;$&quot;* #,##0_);_(&quot;$&quot;* \(#,##0\);_(&quot;$&quot;* &quot;-&quot;??_);_(@_)"/>
    <numFmt numFmtId="170" formatCode="[$$-409]#,##0.00;[Red]\-[$$-409]#,##0.00"/>
    <numFmt numFmtId="171" formatCode="[$$-409]#,##0.00;[Red][$$-409]#,##0.00"/>
    <numFmt numFmtId="172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u/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rgb="FF000000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2"/>
      <color indexed="8"/>
      <name val="Calibri"/>
      <family val="2"/>
      <charset val="1"/>
    </font>
    <font>
      <u/>
      <sz val="12"/>
      <color indexed="8"/>
      <name val="Calibri"/>
      <family val="2"/>
      <charset val="1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BDD7EE"/>
        <bgColor rgb="FFC0C0C0"/>
      </patternFill>
    </fill>
    <fill>
      <patternFill patternType="solid">
        <fgColor rgb="FFBDD7EE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34">
    <xf numFmtId="0" fontId="0" fillId="0" borderId="0" xfId="0"/>
    <xf numFmtId="0" fontId="2" fillId="0" borderId="0" xfId="4"/>
    <xf numFmtId="0" fontId="3" fillId="0" borderId="0" xfId="4" applyFont="1"/>
    <xf numFmtId="0" fontId="2" fillId="2" borderId="1" xfId="4" applyFont="1" applyFill="1" applyBorder="1"/>
    <xf numFmtId="0" fontId="2" fillId="2" borderId="0" xfId="4" applyFont="1" applyFill="1" applyBorder="1"/>
    <xf numFmtId="44" fontId="1" fillId="0" borderId="0" xfId="2"/>
    <xf numFmtId="0" fontId="0" fillId="3" borderId="0" xfId="0" applyFill="1"/>
    <xf numFmtId="9" fontId="2" fillId="0" borderId="0" xfId="3" applyFont="1"/>
    <xf numFmtId="164" fontId="1" fillId="0" borderId="0" xfId="1" applyNumberFormat="1"/>
    <xf numFmtId="9" fontId="1" fillId="0" borderId="0" xfId="3"/>
    <xf numFmtId="9" fontId="2" fillId="0" borderId="0" xfId="4" applyNumberFormat="1"/>
    <xf numFmtId="164" fontId="2" fillId="0" borderId="0" xfId="4" applyNumberFormat="1"/>
    <xf numFmtId="2" fontId="2" fillId="0" borderId="0" xfId="4" applyNumberFormat="1"/>
    <xf numFmtId="165" fontId="1" fillId="0" borderId="0" xfId="3" applyNumberFormat="1"/>
    <xf numFmtId="166" fontId="1" fillId="0" borderId="0" xfId="2" applyNumberFormat="1"/>
    <xf numFmtId="10" fontId="1" fillId="0" borderId="0" xfId="3" applyNumberFormat="1"/>
    <xf numFmtId="0" fontId="2" fillId="4" borderId="0" xfId="4" applyFont="1" applyFill="1"/>
    <xf numFmtId="0" fontId="2" fillId="2" borderId="0" xfId="4" applyFont="1" applyFill="1"/>
    <xf numFmtId="0" fontId="2" fillId="0" borderId="0" xfId="4" applyFont="1"/>
    <xf numFmtId="0" fontId="0" fillId="5" borderId="0" xfId="0" applyFill="1"/>
    <xf numFmtId="0" fontId="2" fillId="5" borderId="0" xfId="4" applyFont="1" applyFill="1"/>
    <xf numFmtId="166" fontId="2" fillId="4" borderId="0" xfId="2" applyNumberFormat="1" applyFont="1" applyFill="1"/>
    <xf numFmtId="165" fontId="4" fillId="0" borderId="0" xfId="3" applyNumberFormat="1" applyFont="1" applyFill="1" applyBorder="1" applyAlignment="1" applyProtection="1"/>
    <xf numFmtId="9" fontId="0" fillId="0" borderId="0" xfId="0" applyNumberFormat="1"/>
    <xf numFmtId="166" fontId="0" fillId="5" borderId="0" xfId="0" applyNumberFormat="1" applyFill="1"/>
    <xf numFmtId="166" fontId="2" fillId="5" borderId="0" xfId="4" applyNumberFormat="1" applyFont="1" applyFill="1"/>
    <xf numFmtId="166" fontId="1" fillId="5" borderId="0" xfId="2" applyNumberFormat="1" applyFill="1"/>
    <xf numFmtId="43" fontId="2" fillId="4" borderId="0" xfId="2" applyNumberFormat="1" applyFont="1" applyFill="1"/>
    <xf numFmtId="9" fontId="2" fillId="0" borderId="0" xfId="4" applyNumberFormat="1" applyFont="1"/>
    <xf numFmtId="165" fontId="2" fillId="0" borderId="0" xfId="4" applyNumberFormat="1" applyFont="1"/>
    <xf numFmtId="0" fontId="2" fillId="4" borderId="0" xfId="4" applyFont="1" applyFill="1" applyAlignment="1">
      <alignment horizontal="left" indent="1"/>
    </xf>
    <xf numFmtId="44" fontId="2" fillId="4" borderId="0" xfId="2" applyFont="1" applyFill="1"/>
    <xf numFmtId="44" fontId="4" fillId="4" borderId="0" xfId="2" applyFont="1" applyFill="1"/>
    <xf numFmtId="44" fontId="0" fillId="5" borderId="0" xfId="2" applyFont="1" applyFill="1"/>
    <xf numFmtId="44" fontId="2" fillId="5" borderId="0" xfId="2" applyFont="1" applyFill="1"/>
    <xf numFmtId="44" fontId="0" fillId="3" borderId="0" xfId="2" applyFont="1" applyFill="1"/>
    <xf numFmtId="44" fontId="1" fillId="5" borderId="0" xfId="2" applyFill="1"/>
    <xf numFmtId="167" fontId="2" fillId="4" borderId="0" xfId="2" applyNumberFormat="1" applyFont="1" applyFill="1"/>
    <xf numFmtId="0" fontId="2" fillId="5" borderId="0" xfId="4" applyFill="1"/>
    <xf numFmtId="0" fontId="5" fillId="4" borderId="0" xfId="4" applyFont="1" applyFill="1"/>
    <xf numFmtId="0" fontId="2" fillId="4" borderId="0" xfId="4" applyFill="1"/>
    <xf numFmtId="166" fontId="2" fillId="4" borderId="0" xfId="4" applyNumberFormat="1" applyFill="1"/>
    <xf numFmtId="168" fontId="2" fillId="4" borderId="0" xfId="4" applyNumberFormat="1" applyFill="1"/>
    <xf numFmtId="43" fontId="2" fillId="4" borderId="0" xfId="4" applyNumberFormat="1" applyFill="1"/>
    <xf numFmtId="0" fontId="2" fillId="4" borderId="0" xfId="4" applyFill="1" applyBorder="1"/>
    <xf numFmtId="166" fontId="2" fillId="0" borderId="0" xfId="4" applyNumberFormat="1"/>
    <xf numFmtId="166" fontId="0" fillId="0" borderId="0" xfId="0" applyNumberFormat="1"/>
    <xf numFmtId="9" fontId="0" fillId="0" borderId="0" xfId="3" applyNumberFormat="1" applyFont="1"/>
    <xf numFmtId="0" fontId="2" fillId="4" borderId="0" xfId="4" quotePrefix="1" applyFill="1"/>
    <xf numFmtId="8" fontId="2" fillId="4" borderId="0" xfId="4" applyNumberFormat="1" applyFill="1"/>
    <xf numFmtId="9" fontId="1" fillId="5" borderId="0" xfId="3" applyFill="1"/>
    <xf numFmtId="8" fontId="2" fillId="4" borderId="2" xfId="4" applyNumberFormat="1" applyFill="1" applyBorder="1"/>
    <xf numFmtId="10" fontId="2" fillId="4" borderId="2" xfId="4" applyNumberFormat="1" applyFill="1" applyBorder="1"/>
    <xf numFmtId="10" fontId="2" fillId="4" borderId="0" xfId="4" applyNumberFormat="1" applyFill="1" applyBorder="1"/>
    <xf numFmtId="0" fontId="5" fillId="6" borderId="3" xfId="4" applyFont="1" applyFill="1" applyBorder="1"/>
    <xf numFmtId="0" fontId="2" fillId="6" borderId="4" xfId="4" applyFill="1" applyBorder="1"/>
    <xf numFmtId="10" fontId="2" fillId="6" borderId="4" xfId="4" applyNumberFormat="1" applyFill="1" applyBorder="1"/>
    <xf numFmtId="0" fontId="2" fillId="4" borderId="4" xfId="4" applyFill="1" applyBorder="1"/>
    <xf numFmtId="0" fontId="0" fillId="5" borderId="4" xfId="0" applyFill="1" applyBorder="1"/>
    <xf numFmtId="0" fontId="2" fillId="5" borderId="4" xfId="4" applyFill="1" applyBorder="1"/>
    <xf numFmtId="0" fontId="0" fillId="5" borderId="5" xfId="0" applyFill="1" applyBorder="1"/>
    <xf numFmtId="0" fontId="6" fillId="7" borderId="6" xfId="0" applyFont="1" applyFill="1" applyBorder="1"/>
    <xf numFmtId="0" fontId="6" fillId="7" borderId="0" xfId="0" applyFont="1" applyFill="1" applyBorder="1"/>
    <xf numFmtId="44" fontId="7" fillId="8" borderId="0" xfId="0" applyNumberFormat="1" applyFont="1" applyFill="1" applyBorder="1"/>
    <xf numFmtId="44" fontId="7" fillId="8" borderId="7" xfId="0" applyNumberFormat="1" applyFont="1" applyFill="1" applyBorder="1"/>
    <xf numFmtId="0" fontId="5" fillId="4" borderId="6" xfId="4" applyFont="1" applyFill="1" applyBorder="1"/>
    <xf numFmtId="44" fontId="1" fillId="5" borderId="0" xfId="2" applyFill="1" applyBorder="1"/>
    <xf numFmtId="44" fontId="1" fillId="5" borderId="7" xfId="2" applyFill="1" applyBorder="1"/>
    <xf numFmtId="8" fontId="2" fillId="4" borderId="0" xfId="4" applyNumberFormat="1" applyFill="1" applyBorder="1"/>
    <xf numFmtId="8" fontId="2" fillId="4" borderId="7" xfId="4" applyNumberFormat="1" applyFill="1" applyBorder="1"/>
    <xf numFmtId="0" fontId="2" fillId="4" borderId="6" xfId="4" applyFill="1" applyBorder="1"/>
    <xf numFmtId="0" fontId="0" fillId="5" borderId="0" xfId="0" applyFill="1" applyBorder="1"/>
    <xf numFmtId="0" fontId="2" fillId="5" borderId="0" xfId="4" applyFill="1" applyBorder="1"/>
    <xf numFmtId="0" fontId="0" fillId="5" borderId="7" xfId="0" applyFill="1" applyBorder="1"/>
    <xf numFmtId="9" fontId="1" fillId="5" borderId="0" xfId="3" applyFill="1" applyBorder="1"/>
    <xf numFmtId="165" fontId="2" fillId="4" borderId="2" xfId="4" applyNumberFormat="1" applyFill="1" applyBorder="1"/>
    <xf numFmtId="0" fontId="5" fillId="4" borderId="8" xfId="4" applyFont="1" applyFill="1" applyBorder="1"/>
    <xf numFmtId="0" fontId="2" fillId="4" borderId="9" xfId="4" applyFill="1" applyBorder="1"/>
    <xf numFmtId="10" fontId="2" fillId="4" borderId="9" xfId="4" applyNumberFormat="1" applyFill="1" applyBorder="1"/>
    <xf numFmtId="0" fontId="0" fillId="5" borderId="9" xfId="0" applyFill="1" applyBorder="1"/>
    <xf numFmtId="0" fontId="2" fillId="5" borderId="9" xfId="4" applyFill="1" applyBorder="1"/>
    <xf numFmtId="0" fontId="0" fillId="5" borderId="10" xfId="0" applyFill="1" applyBorder="1"/>
    <xf numFmtId="0" fontId="5" fillId="0" borderId="0" xfId="4" applyFont="1"/>
    <xf numFmtId="43" fontId="2" fillId="0" borderId="0" xfId="4" applyNumberFormat="1"/>
    <xf numFmtId="165" fontId="2" fillId="0" borderId="0" xfId="3" applyNumberFormat="1" applyFont="1" applyFill="1" applyBorder="1" applyAlignment="1" applyProtection="1"/>
    <xf numFmtId="166" fontId="2" fillId="0" borderId="0" xfId="4" applyNumberFormat="1" applyFont="1"/>
    <xf numFmtId="10" fontId="2" fillId="0" borderId="0" xfId="3" applyNumberFormat="1" applyFont="1" applyFill="1" applyBorder="1" applyAlignment="1" applyProtection="1"/>
    <xf numFmtId="165" fontId="2" fillId="0" borderId="0" xfId="4" applyNumberFormat="1"/>
    <xf numFmtId="165" fontId="5" fillId="0" borderId="0" xfId="4" applyNumberFormat="1" applyFont="1"/>
    <xf numFmtId="0" fontId="2" fillId="0" borderId="1" xfId="4" applyBorder="1"/>
    <xf numFmtId="165" fontId="2" fillId="0" borderId="1" xfId="3" applyNumberFormat="1" applyFont="1" applyFill="1" applyBorder="1" applyAlignment="1" applyProtection="1"/>
    <xf numFmtId="0" fontId="2" fillId="9" borderId="3" xfId="4" applyFill="1" applyBorder="1"/>
    <xf numFmtId="43" fontId="2" fillId="0" borderId="5" xfId="1" applyFont="1" applyFill="1" applyBorder="1" applyAlignment="1" applyProtection="1"/>
    <xf numFmtId="0" fontId="2" fillId="9" borderId="6" xfId="4" applyFill="1" applyBorder="1"/>
    <xf numFmtId="165" fontId="2" fillId="0" borderId="7" xfId="3" applyNumberFormat="1" applyFont="1" applyFill="1" applyBorder="1" applyAlignment="1" applyProtection="1"/>
    <xf numFmtId="0" fontId="2" fillId="9" borderId="8" xfId="4" applyFill="1" applyBorder="1"/>
    <xf numFmtId="43" fontId="2" fillId="0" borderId="10" xfId="1" applyFont="1" applyFill="1" applyBorder="1" applyAlignment="1" applyProtection="1"/>
    <xf numFmtId="166" fontId="2" fillId="0" borderId="0" xfId="2" applyNumberFormat="1" applyFont="1" applyFill="1" applyBorder="1" applyAlignment="1" applyProtection="1"/>
    <xf numFmtId="43" fontId="2" fillId="0" borderId="0" xfId="1" applyFont="1" applyFill="1" applyBorder="1" applyAlignment="1" applyProtection="1"/>
    <xf numFmtId="167" fontId="2" fillId="0" borderId="0" xfId="1" applyNumberFormat="1" applyFont="1" applyFill="1" applyBorder="1" applyAlignment="1" applyProtection="1"/>
    <xf numFmtId="0" fontId="10" fillId="0" borderId="0" xfId="5"/>
    <xf numFmtId="170" fontId="11" fillId="0" borderId="0" xfId="5" applyNumberFormat="1" applyFont="1" applyAlignment="1">
      <alignment wrapText="1"/>
    </xf>
    <xf numFmtId="170" fontId="12" fillId="0" borderId="0" xfId="5" applyNumberFormat="1" applyFont="1" applyAlignment="1">
      <alignment wrapText="1"/>
    </xf>
    <xf numFmtId="170" fontId="10" fillId="0" borderId="0" xfId="5" applyNumberFormat="1" applyFont="1" applyAlignment="1">
      <alignment wrapText="1"/>
    </xf>
    <xf numFmtId="0" fontId="10" fillId="0" borderId="0" xfId="5" applyNumberFormat="1"/>
    <xf numFmtId="0" fontId="13" fillId="0" borderId="0" xfId="5" applyNumberFormat="1" applyFont="1"/>
    <xf numFmtId="0" fontId="13" fillId="0" borderId="0" xfId="5" applyFont="1" applyAlignment="1">
      <alignment wrapText="1"/>
    </xf>
    <xf numFmtId="0" fontId="10" fillId="0" borderId="0" xfId="5" applyNumberFormat="1" applyFont="1" applyAlignment="1">
      <alignment wrapText="1"/>
    </xf>
    <xf numFmtId="0" fontId="10" fillId="0" borderId="0" xfId="5" applyFont="1" applyAlignment="1">
      <alignment wrapText="1"/>
    </xf>
    <xf numFmtId="171" fontId="11" fillId="0" borderId="0" xfId="5" applyNumberFormat="1" applyFont="1"/>
    <xf numFmtId="16" fontId="10" fillId="0" borderId="0" xfId="5" applyNumberFormat="1" applyFont="1" applyAlignment="1">
      <alignment wrapText="1"/>
    </xf>
    <xf numFmtId="171" fontId="10" fillId="0" borderId="0" xfId="5" applyNumberFormat="1"/>
    <xf numFmtId="0" fontId="13" fillId="0" borderId="0" xfId="5" applyNumberFormat="1" applyFont="1" applyAlignment="1">
      <alignment wrapText="1"/>
    </xf>
    <xf numFmtId="16" fontId="1" fillId="0" borderId="0" xfId="1" applyNumberForma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1" fillId="0" borderId="0" xfId="1"/>
    <xf numFmtId="167" fontId="2" fillId="0" borderId="0" xfId="1" applyNumberFormat="1" applyFont="1" applyFill="1" applyBorder="1"/>
    <xf numFmtId="0" fontId="5" fillId="0" borderId="0" xfId="4" applyFont="1" applyFill="1" applyBorder="1"/>
    <xf numFmtId="0" fontId="2" fillId="0" borderId="0" xfId="4" applyFill="1" applyBorder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169" fontId="9" fillId="0" borderId="0" xfId="2" applyNumberFormat="1" applyFont="1" applyFill="1" applyBorder="1"/>
    <xf numFmtId="169" fontId="8" fillId="0" borderId="0" xfId="2" applyNumberFormat="1" applyFont="1" applyFill="1" applyBorder="1" applyAlignment="1">
      <alignment vertical="center"/>
    </xf>
    <xf numFmtId="0" fontId="9" fillId="0" borderId="0" xfId="0" applyFont="1" applyFill="1" applyBorder="1"/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44" fontId="9" fillId="0" borderId="0" xfId="2" applyFont="1" applyFill="1" applyBorder="1"/>
    <xf numFmtId="8" fontId="2" fillId="0" borderId="0" xfId="4" applyNumberFormat="1" applyFill="1" applyBorder="1"/>
    <xf numFmtId="9" fontId="1" fillId="0" borderId="0" xfId="3" applyFill="1" applyBorder="1"/>
    <xf numFmtId="10" fontId="2" fillId="0" borderId="0" xfId="4" applyNumberFormat="1" applyFill="1" applyBorder="1"/>
    <xf numFmtId="44" fontId="1" fillId="0" borderId="0" xfId="2" applyFill="1" applyBorder="1"/>
    <xf numFmtId="0" fontId="14" fillId="0" borderId="0" xfId="4" applyFont="1"/>
    <xf numFmtId="0" fontId="15" fillId="0" borderId="0" xfId="4" applyFont="1"/>
    <xf numFmtId="0" fontId="14" fillId="2" borderId="1" xfId="4" applyFont="1" applyFill="1" applyBorder="1"/>
    <xf numFmtId="0" fontId="14" fillId="2" borderId="0" xfId="4" applyFont="1" applyFill="1" applyBorder="1"/>
    <xf numFmtId="0" fontId="16" fillId="0" borderId="0" xfId="0" applyFont="1"/>
    <xf numFmtId="44" fontId="16" fillId="0" borderId="0" xfId="2" applyFont="1"/>
    <xf numFmtId="0" fontId="16" fillId="3" borderId="0" xfId="0" applyFont="1" applyFill="1"/>
    <xf numFmtId="9" fontId="14" fillId="0" borderId="0" xfId="3" applyFont="1"/>
    <xf numFmtId="164" fontId="16" fillId="0" borderId="0" xfId="1" applyNumberFormat="1" applyFont="1"/>
    <xf numFmtId="9" fontId="16" fillId="0" borderId="0" xfId="3" applyFont="1"/>
    <xf numFmtId="9" fontId="14" fillId="0" borderId="0" xfId="4" applyNumberFormat="1" applyFont="1"/>
    <xf numFmtId="164" fontId="14" fillId="0" borderId="0" xfId="4" applyNumberFormat="1" applyFont="1"/>
    <xf numFmtId="2" fontId="14" fillId="0" borderId="0" xfId="4" applyNumberFormat="1" applyFont="1"/>
    <xf numFmtId="165" fontId="16" fillId="0" borderId="0" xfId="3" applyNumberFormat="1" applyFont="1"/>
    <xf numFmtId="166" fontId="16" fillId="0" borderId="0" xfId="2" applyNumberFormat="1" applyFont="1"/>
    <xf numFmtId="10" fontId="16" fillId="0" borderId="0" xfId="3" applyNumberFormat="1" applyFont="1"/>
    <xf numFmtId="0" fontId="14" fillId="4" borderId="0" xfId="4" applyFont="1" applyFill="1"/>
    <xf numFmtId="0" fontId="14" fillId="2" borderId="0" xfId="4" applyFont="1" applyFill="1"/>
    <xf numFmtId="0" fontId="16" fillId="5" borderId="0" xfId="0" applyFont="1" applyFill="1"/>
    <xf numFmtId="0" fontId="14" fillId="5" borderId="0" xfId="4" applyFont="1" applyFill="1"/>
    <xf numFmtId="166" fontId="14" fillId="4" borderId="0" xfId="2" applyNumberFormat="1" applyFont="1" applyFill="1"/>
    <xf numFmtId="165" fontId="17" fillId="0" borderId="0" xfId="3" applyNumberFormat="1" applyFont="1" applyFill="1" applyBorder="1" applyAlignment="1" applyProtection="1"/>
    <xf numFmtId="9" fontId="16" fillId="0" borderId="0" xfId="0" applyNumberFormat="1" applyFont="1"/>
    <xf numFmtId="166" fontId="16" fillId="5" borderId="0" xfId="0" applyNumberFormat="1" applyFont="1" applyFill="1"/>
    <xf numFmtId="166" fontId="14" fillId="5" borderId="0" xfId="4" applyNumberFormat="1" applyFont="1" applyFill="1"/>
    <xf numFmtId="166" fontId="16" fillId="5" borderId="0" xfId="2" applyNumberFormat="1" applyFont="1" applyFill="1"/>
    <xf numFmtId="44" fontId="14" fillId="4" borderId="0" xfId="2" applyFont="1" applyFill="1"/>
    <xf numFmtId="165" fontId="14" fillId="0" borderId="0" xfId="4" applyNumberFormat="1" applyFont="1"/>
    <xf numFmtId="0" fontId="14" fillId="4" borderId="0" xfId="4" applyFont="1" applyFill="1" applyAlignment="1">
      <alignment horizontal="left" indent="1"/>
    </xf>
    <xf numFmtId="44" fontId="17" fillId="4" borderId="0" xfId="2" applyFont="1" applyFill="1"/>
    <xf numFmtId="44" fontId="16" fillId="5" borderId="0" xfId="2" applyFont="1" applyFill="1"/>
    <xf numFmtId="44" fontId="14" fillId="5" borderId="0" xfId="2" applyFont="1" applyFill="1"/>
    <xf numFmtId="44" fontId="16" fillId="3" borderId="0" xfId="2" applyFont="1" applyFill="1"/>
    <xf numFmtId="43" fontId="14" fillId="4" borderId="0" xfId="2" applyNumberFormat="1" applyFont="1" applyFill="1"/>
    <xf numFmtId="167" fontId="14" fillId="4" borderId="0" xfId="2" applyNumberFormat="1" applyFont="1" applyFill="1"/>
    <xf numFmtId="0" fontId="18" fillId="4" borderId="0" xfId="4" applyFont="1" applyFill="1"/>
    <xf numFmtId="166" fontId="14" fillId="4" borderId="0" xfId="4" applyNumberFormat="1" applyFont="1" applyFill="1"/>
    <xf numFmtId="168" fontId="14" fillId="4" borderId="0" xfId="4" applyNumberFormat="1" applyFont="1" applyFill="1"/>
    <xf numFmtId="43" fontId="14" fillId="4" borderId="0" xfId="4" applyNumberFormat="1" applyFont="1" applyFill="1"/>
    <xf numFmtId="0" fontId="14" fillId="4" borderId="0" xfId="4" applyFont="1" applyFill="1" applyBorder="1"/>
    <xf numFmtId="166" fontId="14" fillId="0" borderId="0" xfId="4" applyNumberFormat="1" applyFont="1"/>
    <xf numFmtId="166" fontId="16" fillId="0" borderId="0" xfId="0" applyNumberFormat="1" applyFont="1"/>
    <xf numFmtId="9" fontId="16" fillId="0" borderId="0" xfId="3" applyNumberFormat="1" applyFont="1"/>
    <xf numFmtId="0" fontId="14" fillId="4" borderId="0" xfId="4" quotePrefix="1" applyFont="1" applyFill="1"/>
    <xf numFmtId="8" fontId="14" fillId="4" borderId="0" xfId="4" applyNumberFormat="1" applyFont="1" applyFill="1"/>
    <xf numFmtId="9" fontId="16" fillId="5" borderId="0" xfId="3" applyFont="1" applyFill="1"/>
    <xf numFmtId="8" fontId="14" fillId="4" borderId="2" xfId="4" applyNumberFormat="1" applyFont="1" applyFill="1" applyBorder="1"/>
    <xf numFmtId="10" fontId="14" fillId="4" borderId="2" xfId="4" applyNumberFormat="1" applyFont="1" applyFill="1" applyBorder="1"/>
    <xf numFmtId="165" fontId="14" fillId="0" borderId="0" xfId="3" applyNumberFormat="1" applyFont="1" applyFill="1" applyBorder="1" applyAlignment="1" applyProtection="1"/>
    <xf numFmtId="0" fontId="18" fillId="0" borderId="0" xfId="4" applyFont="1"/>
    <xf numFmtId="166" fontId="14" fillId="0" borderId="0" xfId="2" applyNumberFormat="1" applyFont="1" applyFill="1" applyBorder="1" applyAlignment="1" applyProtection="1"/>
    <xf numFmtId="10" fontId="14" fillId="0" borderId="0" xfId="3" applyNumberFormat="1" applyFont="1" applyFill="1" applyBorder="1" applyAlignment="1" applyProtection="1"/>
    <xf numFmtId="166" fontId="14" fillId="4" borderId="12" xfId="2" applyNumberFormat="1" applyFont="1" applyFill="1" applyBorder="1"/>
    <xf numFmtId="166" fontId="16" fillId="5" borderId="11" xfId="0" applyNumberFormat="1" applyFont="1" applyFill="1" applyBorder="1"/>
    <xf numFmtId="44" fontId="16" fillId="5" borderId="11" xfId="2" applyFont="1" applyFill="1" applyBorder="1"/>
    <xf numFmtId="43" fontId="16" fillId="5" borderId="11" xfId="0" applyNumberFormat="1" applyFont="1" applyFill="1" applyBorder="1"/>
    <xf numFmtId="9" fontId="16" fillId="5" borderId="11" xfId="3" applyNumberFormat="1" applyFont="1" applyFill="1" applyBorder="1"/>
    <xf numFmtId="44" fontId="14" fillId="5" borderId="11" xfId="3" applyNumberFormat="1" applyFont="1" applyFill="1" applyBorder="1"/>
    <xf numFmtId="0" fontId="16" fillId="3" borderId="11" xfId="0" applyFont="1" applyFill="1" applyBorder="1"/>
    <xf numFmtId="44" fontId="14" fillId="0" borderId="13" xfId="2" applyFont="1" applyBorder="1"/>
    <xf numFmtId="166" fontId="14" fillId="4" borderId="14" xfId="2" applyNumberFormat="1" applyFont="1" applyFill="1" applyBorder="1"/>
    <xf numFmtId="166" fontId="14" fillId="4" borderId="0" xfId="2" applyNumberFormat="1" applyFont="1" applyFill="1" applyBorder="1"/>
    <xf numFmtId="43" fontId="14" fillId="4" borderId="0" xfId="1" applyFont="1" applyFill="1" applyBorder="1"/>
    <xf numFmtId="9" fontId="14" fillId="4" borderId="0" xfId="3" applyNumberFormat="1" applyFont="1" applyFill="1" applyBorder="1"/>
    <xf numFmtId="43" fontId="14" fillId="4" borderId="0" xfId="2" applyNumberFormat="1" applyFont="1" applyFill="1" applyBorder="1"/>
    <xf numFmtId="0" fontId="16" fillId="3" borderId="0" xfId="0" applyFont="1" applyFill="1" applyBorder="1"/>
    <xf numFmtId="44" fontId="14" fillId="0" borderId="15" xfId="2" applyFont="1" applyBorder="1"/>
    <xf numFmtId="166" fontId="14" fillId="4" borderId="16" xfId="2" applyNumberFormat="1" applyFont="1" applyFill="1" applyBorder="1"/>
    <xf numFmtId="166" fontId="16" fillId="5" borderId="1" xfId="0" applyNumberFormat="1" applyFont="1" applyFill="1" applyBorder="1"/>
    <xf numFmtId="0" fontId="16" fillId="3" borderId="1" xfId="0" applyFont="1" applyFill="1" applyBorder="1"/>
    <xf numFmtId="0" fontId="14" fillId="0" borderId="17" xfId="4" applyFont="1" applyBorder="1"/>
    <xf numFmtId="0" fontId="14" fillId="0" borderId="0" xfId="4" applyFont="1" applyFill="1" applyBorder="1"/>
    <xf numFmtId="166" fontId="14" fillId="0" borderId="0" xfId="4" applyNumberFormat="1" applyFont="1" applyFill="1" applyBorder="1"/>
    <xf numFmtId="10" fontId="16" fillId="0" borderId="0" xfId="3" applyNumberFormat="1" applyFont="1" applyFill="1" applyBorder="1"/>
    <xf numFmtId="9" fontId="14" fillId="0" borderId="0" xfId="4" applyNumberFormat="1" applyFont="1" applyFill="1" applyBorder="1"/>
    <xf numFmtId="165" fontId="16" fillId="0" borderId="0" xfId="3" applyNumberFormat="1" applyFont="1" applyFill="1" applyBorder="1"/>
    <xf numFmtId="165" fontId="14" fillId="0" borderId="0" xfId="4" applyNumberFormat="1" applyFont="1" applyFill="1" applyBorder="1"/>
    <xf numFmtId="10" fontId="14" fillId="0" borderId="0" xfId="4" applyNumberFormat="1" applyFont="1" applyFill="1" applyBorder="1"/>
    <xf numFmtId="165" fontId="19" fillId="0" borderId="0" xfId="4" applyNumberFormat="1" applyFont="1" applyFill="1" applyBorder="1"/>
    <xf numFmtId="0" fontId="18" fillId="0" borderId="0" xfId="4" applyFont="1" applyFill="1" applyBorder="1"/>
    <xf numFmtId="44" fontId="0" fillId="0" borderId="0" xfId="2" applyFont="1"/>
    <xf numFmtId="0" fontId="22" fillId="0" borderId="0" xfId="0" applyFont="1"/>
    <xf numFmtId="169" fontId="0" fillId="0" borderId="0" xfId="2" applyNumberFormat="1" applyFont="1" applyBorder="1"/>
    <xf numFmtId="169" fontId="0" fillId="0" borderId="0" xfId="2" applyNumberFormat="1" applyFont="1"/>
    <xf numFmtId="165" fontId="0" fillId="0" borderId="0" xfId="3" applyNumberFormat="1" applyFont="1"/>
    <xf numFmtId="172" fontId="0" fillId="0" borderId="0" xfId="0" applyNumberFormat="1"/>
    <xf numFmtId="169" fontId="0" fillId="0" borderId="0" xfId="0" applyNumberFormat="1"/>
    <xf numFmtId="10" fontId="0" fillId="0" borderId="0" xfId="3" applyNumberFormat="1" applyFont="1"/>
    <xf numFmtId="8" fontId="0" fillId="0" borderId="0" xfId="0" applyNumberFormat="1"/>
    <xf numFmtId="44" fontId="0" fillId="0" borderId="0" xfId="2" applyNumberFormat="1" applyFont="1"/>
    <xf numFmtId="44" fontId="14" fillId="0" borderId="0" xfId="2" applyFont="1" applyFill="1" applyBorder="1" applyAlignment="1" applyProtection="1"/>
    <xf numFmtId="0" fontId="14" fillId="0" borderId="0" xfId="1" applyNumberFormat="1" applyFont="1" applyFill="1" applyBorder="1" applyAlignment="1" applyProtection="1"/>
    <xf numFmtId="0" fontId="14" fillId="0" borderId="0" xfId="4" applyNumberFormat="1" applyFont="1" applyFill="1" applyBorder="1"/>
    <xf numFmtId="44" fontId="14" fillId="0" borderId="0" xfId="4" applyNumberFormat="1" applyFont="1"/>
    <xf numFmtId="9" fontId="14" fillId="0" borderId="0" xfId="3" applyFont="1" applyFill="1" applyBorder="1" applyAlignment="1" applyProtection="1"/>
    <xf numFmtId="9" fontId="14" fillId="4" borderId="0" xfId="3" applyFont="1" applyFill="1"/>
    <xf numFmtId="43" fontId="14" fillId="5" borderId="0" xfId="4" applyNumberFormat="1" applyFont="1" applyFill="1"/>
    <xf numFmtId="166" fontId="14" fillId="5" borderId="1" xfId="4" applyNumberFormat="1" applyFont="1" applyFill="1" applyBorder="1"/>
    <xf numFmtId="0" fontId="16" fillId="5" borderId="0" xfId="0" applyFont="1" applyFill="1" applyAlignment="1">
      <alignment horizontal="right"/>
    </xf>
    <xf numFmtId="0" fontId="4" fillId="0" borderId="0" xfId="4" applyFont="1"/>
    <xf numFmtId="0" fontId="17" fillId="0" borderId="0" xfId="4" applyFont="1"/>
    <xf numFmtId="0" fontId="17" fillId="4" borderId="0" xfId="4" applyFont="1" applyFill="1"/>
  </cellXfs>
  <cellStyles count="10">
    <cellStyle name="Comma" xfId="1" builtinId="3"/>
    <cellStyle name="Currency" xfId="2" builtinId="4"/>
    <cellStyle name="Excel Built-in Normal 1" xfId="4"/>
    <cellStyle name="Excel Built-in Normal 2" xfId="5"/>
    <cellStyle name="Followed Hyperlink" xfId="7" builtinId="9" hidden="1"/>
    <cellStyle name="Followed Hyperlink" xfId="9" builtinId="9" hidden="1"/>
    <cellStyle name="Hyperlink" xfId="6" builtinId="8" hidden="1"/>
    <cellStyle name="Hyperlink" xfId="8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yleeglines/Downloads/Kitts%20Restaurant%20with%20IRR=WAC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yleeglines/Downloads/Kitts%20Restaurant%20with%20FAIL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t"/>
      <sheetName val="Sheet1"/>
      <sheetName val="Requirements"/>
      <sheetName val="Quiz"/>
    </sheetNames>
    <sheetDataSet>
      <sheetData sheetId="0"/>
      <sheetData sheetId="1">
        <row r="5">
          <cell r="G5">
            <v>322608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t"/>
      <sheetName val="Failure Ch7"/>
      <sheetName val="Failure Ch11"/>
      <sheetName val="Compromise"/>
      <sheetName val="Mortgage Loan Interest"/>
      <sheetName val="Mortgage Loan Interest Comp"/>
      <sheetName val="Sheet1"/>
      <sheetName val="Requirement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322608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P179"/>
  <sheetViews>
    <sheetView tabSelected="1" zoomScale="77" zoomScaleNormal="77" zoomScalePageLayoutView="77" workbookViewId="0">
      <selection activeCell="M85" sqref="M85"/>
    </sheetView>
  </sheetViews>
  <sheetFormatPr defaultColWidth="8.85546875" defaultRowHeight="15" x14ac:dyDescent="0.25"/>
  <cols>
    <col min="2" max="2" width="39.42578125" bestFit="1" customWidth="1"/>
    <col min="3" max="3" width="15" bestFit="1" customWidth="1"/>
    <col min="4" max="4" width="12.7109375" bestFit="1" customWidth="1"/>
    <col min="5" max="6" width="13.42578125" bestFit="1" customWidth="1"/>
    <col min="7" max="7" width="14.42578125" bestFit="1" customWidth="1"/>
    <col min="8" max="8" width="13.85546875" bestFit="1" customWidth="1"/>
    <col min="9" max="9" width="14.42578125" bestFit="1" customWidth="1"/>
    <col min="10" max="10" width="14" customWidth="1"/>
    <col min="11" max="13" width="15.7109375" bestFit="1" customWidth="1"/>
    <col min="14" max="14" width="2.7109375" style="6" customWidth="1"/>
    <col min="15" max="15" width="18.28515625" bestFit="1" customWidth="1"/>
    <col min="16" max="16" width="13.28515625" bestFit="1" customWidth="1"/>
    <col min="18" max="18" width="15.7109375" bestFit="1" customWidth="1"/>
    <col min="19" max="19" width="10.7109375" bestFit="1" customWidth="1"/>
  </cols>
  <sheetData>
    <row r="1" spans="1:16" x14ac:dyDescent="0.25">
      <c r="A1" s="1"/>
      <c r="B1" s="2" t="s">
        <v>0</v>
      </c>
      <c r="C1" s="1"/>
      <c r="D1" s="3">
        <v>2014</v>
      </c>
      <c r="E1" s="3">
        <v>2015</v>
      </c>
      <c r="F1" s="3">
        <v>2016</v>
      </c>
      <c r="G1" s="3">
        <v>2017</v>
      </c>
      <c r="H1" s="3">
        <v>2018</v>
      </c>
      <c r="I1" s="3">
        <v>2019</v>
      </c>
      <c r="J1" s="3">
        <v>2020</v>
      </c>
      <c r="K1" s="3">
        <v>2021</v>
      </c>
      <c r="L1" s="3">
        <v>2022</v>
      </c>
      <c r="M1" s="3">
        <v>2023</v>
      </c>
      <c r="N1" s="4"/>
      <c r="O1" s="1"/>
      <c r="P1" s="1"/>
    </row>
    <row r="2" spans="1:16" x14ac:dyDescent="0.25">
      <c r="A2" s="1"/>
      <c r="B2" s="231" t="s">
        <v>1</v>
      </c>
      <c r="C2" s="5"/>
      <c r="D2" s="5">
        <v>12</v>
      </c>
      <c r="E2" s="5">
        <f>(D2*$O$2)</f>
        <v>12.24</v>
      </c>
      <c r="F2" s="5">
        <f t="shared" ref="F2:M2" si="0">(E2*$O$2)</f>
        <v>12.4848</v>
      </c>
      <c r="G2" s="5">
        <f t="shared" si="0"/>
        <v>12.734496</v>
      </c>
      <c r="H2" s="5">
        <f t="shared" si="0"/>
        <v>12.989185920000001</v>
      </c>
      <c r="I2" s="5">
        <f t="shared" si="0"/>
        <v>13.2489696384</v>
      </c>
      <c r="J2" s="5">
        <f t="shared" si="0"/>
        <v>13.513949031168</v>
      </c>
      <c r="K2" s="5">
        <f t="shared" si="0"/>
        <v>13.78422801179136</v>
      </c>
      <c r="L2" s="5">
        <f t="shared" si="0"/>
        <v>14.059912572027187</v>
      </c>
      <c r="M2" s="5">
        <f t="shared" si="0"/>
        <v>14.341110823467732</v>
      </c>
      <c r="O2" s="7">
        <v>1.02</v>
      </c>
      <c r="P2" s="1" t="s">
        <v>2</v>
      </c>
    </row>
    <row r="3" spans="1:16" x14ac:dyDescent="0.25">
      <c r="A3" s="1"/>
      <c r="B3" s="231" t="s">
        <v>3</v>
      </c>
      <c r="C3" s="5"/>
      <c r="D3" s="8">
        <v>60000</v>
      </c>
      <c r="E3" s="8">
        <f>D3*$O$3</f>
        <v>60600</v>
      </c>
      <c r="F3" s="8">
        <f t="shared" ref="F3:M3" si="1">E3*$O$3</f>
        <v>61206</v>
      </c>
      <c r="G3" s="8">
        <f t="shared" si="1"/>
        <v>61818.06</v>
      </c>
      <c r="H3" s="8">
        <f t="shared" si="1"/>
        <v>62436.240599999997</v>
      </c>
      <c r="I3" s="8">
        <f t="shared" si="1"/>
        <v>63060.603005999998</v>
      </c>
      <c r="J3" s="8">
        <f t="shared" si="1"/>
        <v>63691.209036059998</v>
      </c>
      <c r="K3" s="8">
        <f t="shared" si="1"/>
        <v>64328.121126420599</v>
      </c>
      <c r="L3" s="8">
        <f t="shared" si="1"/>
        <v>64971.402337684805</v>
      </c>
      <c r="M3" s="8">
        <f t="shared" si="1"/>
        <v>65621.11636106165</v>
      </c>
      <c r="O3" s="9">
        <v>1.01</v>
      </c>
      <c r="P3" s="1" t="s">
        <v>2</v>
      </c>
    </row>
    <row r="4" spans="1:16" x14ac:dyDescent="0.25">
      <c r="A4" s="1"/>
      <c r="B4" s="231"/>
      <c r="C4" s="5"/>
      <c r="D4" s="8"/>
      <c r="E4" s="8"/>
      <c r="F4" s="8"/>
      <c r="G4" s="8"/>
      <c r="J4" s="1"/>
      <c r="O4" s="9"/>
      <c r="P4" s="1"/>
    </row>
    <row r="5" spans="1:16" x14ac:dyDescent="0.25">
      <c r="A5" s="1"/>
      <c r="B5" s="231" t="s">
        <v>4</v>
      </c>
      <c r="C5" s="5"/>
      <c r="D5" s="5">
        <v>5.5</v>
      </c>
      <c r="E5" s="5">
        <f>D5+(D5*$O$5)</f>
        <v>5.61</v>
      </c>
      <c r="F5" s="5">
        <f t="shared" ref="F5:M5" si="2">E5+(E5*$O$5)</f>
        <v>5.7222</v>
      </c>
      <c r="G5" s="5">
        <f t="shared" si="2"/>
        <v>5.8366439999999997</v>
      </c>
      <c r="H5" s="5">
        <f t="shared" si="2"/>
        <v>5.9533768799999995</v>
      </c>
      <c r="I5" s="5">
        <f t="shared" si="2"/>
        <v>6.0724444175999999</v>
      </c>
      <c r="J5" s="5">
        <f t="shared" si="2"/>
        <v>6.1938933059519998</v>
      </c>
      <c r="K5" s="5">
        <f t="shared" si="2"/>
        <v>6.3177711720710397</v>
      </c>
      <c r="L5" s="5">
        <f t="shared" si="2"/>
        <v>6.4441265955124605</v>
      </c>
      <c r="M5" s="5">
        <f t="shared" si="2"/>
        <v>6.5730091274227096</v>
      </c>
      <c r="O5" s="10">
        <v>0.02</v>
      </c>
      <c r="P5" s="1" t="s">
        <v>5</v>
      </c>
    </row>
    <row r="6" spans="1:16" x14ac:dyDescent="0.25">
      <c r="A6" s="1"/>
      <c r="B6" s="231"/>
      <c r="C6" s="5"/>
      <c r="D6" s="5"/>
      <c r="E6" s="5"/>
      <c r="F6" s="5"/>
      <c r="G6" s="5"/>
      <c r="J6" s="1"/>
      <c r="O6" s="1"/>
      <c r="P6" s="1"/>
    </row>
    <row r="7" spans="1:16" x14ac:dyDescent="0.25">
      <c r="A7" s="1"/>
      <c r="B7" s="231" t="s">
        <v>6</v>
      </c>
      <c r="C7" s="5"/>
      <c r="D7" s="11">
        <f>D3</f>
        <v>60000</v>
      </c>
      <c r="E7" s="11">
        <f>E3</f>
        <v>60600</v>
      </c>
      <c r="F7" s="11">
        <f t="shared" ref="F7:M7" si="3">F3</f>
        <v>61206</v>
      </c>
      <c r="G7" s="11">
        <f t="shared" si="3"/>
        <v>61818.06</v>
      </c>
      <c r="H7" s="11">
        <f t="shared" si="3"/>
        <v>62436.240599999997</v>
      </c>
      <c r="I7" s="11">
        <f t="shared" si="3"/>
        <v>63060.603005999998</v>
      </c>
      <c r="J7" s="11">
        <f t="shared" si="3"/>
        <v>63691.209036059998</v>
      </c>
      <c r="K7" s="11">
        <f t="shared" si="3"/>
        <v>64328.121126420599</v>
      </c>
      <c r="L7" s="11">
        <f t="shared" si="3"/>
        <v>64971.402337684805</v>
      </c>
      <c r="M7" s="11">
        <f t="shared" si="3"/>
        <v>65621.11636106165</v>
      </c>
      <c r="O7" s="9">
        <v>0.2</v>
      </c>
      <c r="P7" s="1" t="s">
        <v>2</v>
      </c>
    </row>
    <row r="8" spans="1:16" x14ac:dyDescent="0.25">
      <c r="A8" s="1"/>
      <c r="B8" s="231" t="s">
        <v>7</v>
      </c>
      <c r="C8" s="5"/>
      <c r="D8" s="1">
        <v>3</v>
      </c>
      <c r="E8" s="12">
        <f>D8-(D8*$O$8)</f>
        <v>2.94</v>
      </c>
      <c r="F8" s="12">
        <f>E8-(E8*$O$8)</f>
        <v>2.8811999999999998</v>
      </c>
      <c r="G8" s="12">
        <f>F8-(F8*$O$8)</f>
        <v>2.8235759999999996</v>
      </c>
      <c r="H8" s="12">
        <f t="shared" ref="H8:M8" si="4">G8-(G8*$O$8)</f>
        <v>2.7671044799999995</v>
      </c>
      <c r="I8" s="12">
        <f t="shared" si="4"/>
        <v>2.7117623903999997</v>
      </c>
      <c r="J8" s="12">
        <f t="shared" si="4"/>
        <v>2.6575271425919995</v>
      </c>
      <c r="K8" s="12">
        <f t="shared" si="4"/>
        <v>2.6043765997401596</v>
      </c>
      <c r="L8" s="12">
        <f t="shared" si="4"/>
        <v>2.5522890677453565</v>
      </c>
      <c r="M8" s="12">
        <f t="shared" si="4"/>
        <v>2.5012432863904492</v>
      </c>
      <c r="O8" s="13">
        <v>0.02</v>
      </c>
      <c r="P8" s="1" t="s">
        <v>8</v>
      </c>
    </row>
    <row r="9" spans="1:16" x14ac:dyDescent="0.25">
      <c r="A9" s="1"/>
      <c r="B9" s="231"/>
      <c r="C9" s="5"/>
      <c r="D9" s="1"/>
      <c r="E9" s="12"/>
      <c r="F9" s="12"/>
      <c r="G9" s="12"/>
      <c r="J9" s="1"/>
      <c r="O9" s="13"/>
      <c r="P9" s="1"/>
    </row>
    <row r="10" spans="1:16" x14ac:dyDescent="0.25">
      <c r="A10" s="1"/>
      <c r="B10" s="231" t="s">
        <v>9</v>
      </c>
      <c r="C10" s="5"/>
      <c r="D10" s="1"/>
      <c r="E10" s="1"/>
      <c r="F10" s="1"/>
      <c r="G10" s="1"/>
      <c r="J10" s="1"/>
      <c r="O10" s="1"/>
      <c r="P10" s="1"/>
    </row>
    <row r="11" spans="1:16" x14ac:dyDescent="0.25">
      <c r="A11" s="1"/>
      <c r="B11" s="231" t="s">
        <v>10</v>
      </c>
      <c r="C11" s="1"/>
      <c r="D11" s="9"/>
      <c r="E11" s="9"/>
      <c r="F11" s="9"/>
      <c r="G11" s="9"/>
      <c r="J11" s="1"/>
      <c r="O11" s="1"/>
      <c r="P11" s="1"/>
    </row>
    <row r="12" spans="1:16" x14ac:dyDescent="0.25">
      <c r="A12" s="1"/>
      <c r="B12" s="231"/>
      <c r="C12" s="1"/>
      <c r="D12" s="9"/>
      <c r="E12" s="9"/>
      <c r="F12" s="9"/>
      <c r="G12" s="9"/>
      <c r="J12" s="1"/>
      <c r="O12" s="1"/>
      <c r="P12" s="1"/>
    </row>
    <row r="13" spans="1:16" x14ac:dyDescent="0.25">
      <c r="A13" s="1"/>
      <c r="B13" s="231" t="s">
        <v>11</v>
      </c>
      <c r="C13" s="1"/>
      <c r="D13" s="14">
        <v>200000</v>
      </c>
      <c r="E13" s="1"/>
      <c r="F13" s="1"/>
      <c r="G13" s="1"/>
      <c r="J13" s="1"/>
      <c r="O13" s="1"/>
      <c r="P13" s="1"/>
    </row>
    <row r="14" spans="1:16" x14ac:dyDescent="0.25">
      <c r="A14" s="1"/>
      <c r="B14" s="231" t="s">
        <v>12</v>
      </c>
      <c r="C14" s="1"/>
      <c r="D14" s="5">
        <v>500</v>
      </c>
      <c r="E14" s="1"/>
      <c r="F14" s="1"/>
      <c r="G14" s="1"/>
      <c r="J14" s="1"/>
      <c r="O14" s="1"/>
      <c r="P14" s="1"/>
    </row>
    <row r="15" spans="1:16" x14ac:dyDescent="0.25">
      <c r="A15" s="1"/>
      <c r="B15" s="231" t="s">
        <v>13</v>
      </c>
      <c r="C15" s="1"/>
      <c r="D15" s="15">
        <v>0.03</v>
      </c>
      <c r="E15" s="15">
        <f>D15+0.01</f>
        <v>0.04</v>
      </c>
      <c r="F15" s="15">
        <f t="shared" ref="F15:M15" si="5">E15+0.01</f>
        <v>0.05</v>
      </c>
      <c r="G15" s="15">
        <f t="shared" si="5"/>
        <v>6.0000000000000005E-2</v>
      </c>
      <c r="H15" s="15">
        <f t="shared" si="5"/>
        <v>7.0000000000000007E-2</v>
      </c>
      <c r="I15" s="15">
        <f t="shared" si="5"/>
        <v>0.08</v>
      </c>
      <c r="J15" s="15">
        <f t="shared" si="5"/>
        <v>0.09</v>
      </c>
      <c r="K15" s="15">
        <f t="shared" si="5"/>
        <v>9.9999999999999992E-2</v>
      </c>
      <c r="L15" s="15">
        <f t="shared" si="5"/>
        <v>0.10999999999999999</v>
      </c>
      <c r="M15" s="15">
        <f t="shared" si="5"/>
        <v>0.11999999999999998</v>
      </c>
      <c r="O15" s="1"/>
      <c r="P15" s="1"/>
    </row>
    <row r="16" spans="1:16" x14ac:dyDescent="0.25">
      <c r="A16" s="1"/>
      <c r="B16" s="231" t="s">
        <v>14</v>
      </c>
      <c r="C16" s="1"/>
      <c r="D16" s="15">
        <f>D8/360</f>
        <v>8.3333333333333332E-3</v>
      </c>
      <c r="E16" s="15">
        <f>E8/360</f>
        <v>8.1666666666666658E-3</v>
      </c>
      <c r="F16" s="15">
        <f>F8/360</f>
        <v>8.0033333333333328E-3</v>
      </c>
      <c r="G16" s="15">
        <f>G8/360</f>
        <v>7.8432666666666661E-3</v>
      </c>
      <c r="H16" s="15">
        <f t="shared" ref="H16:M16" si="6">H8/360</f>
        <v>7.6864013333333321E-3</v>
      </c>
      <c r="I16" s="15">
        <f t="shared" si="6"/>
        <v>7.5326733066666662E-3</v>
      </c>
      <c r="J16" s="15">
        <f t="shared" si="6"/>
        <v>7.3820198405333323E-3</v>
      </c>
      <c r="K16" s="15">
        <f t="shared" si="6"/>
        <v>7.2343794437226654E-3</v>
      </c>
      <c r="L16" s="15">
        <f t="shared" si="6"/>
        <v>7.0896918548482126E-3</v>
      </c>
      <c r="M16" s="15">
        <f t="shared" si="6"/>
        <v>6.9478980177512476E-3</v>
      </c>
      <c r="O16" s="1"/>
      <c r="P16" s="1"/>
    </row>
    <row r="17" spans="1:16" x14ac:dyDescent="0.25">
      <c r="A17" s="1"/>
      <c r="B17" s="231" t="s">
        <v>15</v>
      </c>
      <c r="C17" s="1"/>
      <c r="D17" s="15">
        <f>30/360</f>
        <v>8.3333333333333329E-2</v>
      </c>
      <c r="E17" s="15">
        <f t="shared" ref="E17:M17" si="7">30/360</f>
        <v>8.3333333333333329E-2</v>
      </c>
      <c r="F17" s="15">
        <f t="shared" si="7"/>
        <v>8.3333333333333329E-2</v>
      </c>
      <c r="G17" s="15">
        <f t="shared" si="7"/>
        <v>8.3333333333333329E-2</v>
      </c>
      <c r="H17" s="15">
        <f>30/360</f>
        <v>8.3333333333333329E-2</v>
      </c>
      <c r="I17" s="15">
        <f t="shared" si="7"/>
        <v>8.3333333333333329E-2</v>
      </c>
      <c r="J17" s="15">
        <f t="shared" si="7"/>
        <v>8.3333333333333329E-2</v>
      </c>
      <c r="K17" s="15">
        <f t="shared" si="7"/>
        <v>8.3333333333333329E-2</v>
      </c>
      <c r="L17" s="15">
        <f t="shared" si="7"/>
        <v>8.3333333333333329E-2</v>
      </c>
      <c r="M17" s="15">
        <f t="shared" si="7"/>
        <v>8.3333333333333329E-2</v>
      </c>
      <c r="O17" s="1"/>
      <c r="P17" s="1"/>
    </row>
    <row r="18" spans="1:16" x14ac:dyDescent="0.25">
      <c r="A18" s="1"/>
      <c r="B18" s="231"/>
      <c r="C18" s="1"/>
      <c r="D18" s="15"/>
      <c r="E18" s="15"/>
      <c r="F18" s="15"/>
      <c r="G18" s="15"/>
      <c r="J18" s="1"/>
      <c r="O18" s="1"/>
      <c r="P18" s="1"/>
    </row>
    <row r="19" spans="1:16" x14ac:dyDescent="0.25">
      <c r="A19" s="1"/>
      <c r="B19" s="231" t="s">
        <v>16</v>
      </c>
      <c r="C19" s="1"/>
      <c r="D19" s="8">
        <v>3</v>
      </c>
      <c r="E19" s="8">
        <v>3</v>
      </c>
      <c r="F19" s="8">
        <v>3</v>
      </c>
      <c r="G19" s="8">
        <v>3</v>
      </c>
      <c r="H19" s="8">
        <v>3</v>
      </c>
      <c r="I19" s="8">
        <v>3</v>
      </c>
      <c r="J19" s="8">
        <v>3</v>
      </c>
      <c r="K19" s="8">
        <v>3</v>
      </c>
      <c r="L19" s="8">
        <v>3</v>
      </c>
      <c r="M19" s="8">
        <v>3</v>
      </c>
      <c r="O19" s="9">
        <f>0.05</f>
        <v>0.05</v>
      </c>
      <c r="P19" s="1" t="s">
        <v>17</v>
      </c>
    </row>
    <row r="20" spans="1:16" x14ac:dyDescent="0.25">
      <c r="A20" s="1"/>
      <c r="B20" s="231" t="s">
        <v>18</v>
      </c>
      <c r="C20" s="1"/>
      <c r="D20" s="8">
        <v>15</v>
      </c>
      <c r="E20" s="8">
        <f>$D$20</f>
        <v>15</v>
      </c>
      <c r="F20" s="8">
        <f t="shared" ref="F20:M20" si="8">$D$20</f>
        <v>15</v>
      </c>
      <c r="G20" s="8">
        <f t="shared" si="8"/>
        <v>15</v>
      </c>
      <c r="H20" s="8">
        <f t="shared" si="8"/>
        <v>15</v>
      </c>
      <c r="I20" s="8">
        <f t="shared" si="8"/>
        <v>15</v>
      </c>
      <c r="J20" s="8">
        <f t="shared" si="8"/>
        <v>15</v>
      </c>
      <c r="K20" s="8">
        <f t="shared" si="8"/>
        <v>15</v>
      </c>
      <c r="L20" s="8">
        <f t="shared" si="8"/>
        <v>15</v>
      </c>
      <c r="M20" s="8">
        <f t="shared" si="8"/>
        <v>15</v>
      </c>
      <c r="O20" s="9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J21" s="1"/>
      <c r="O21" s="1"/>
      <c r="P21" s="1"/>
    </row>
    <row r="22" spans="1:16" x14ac:dyDescent="0.25">
      <c r="A22" s="16"/>
      <c r="B22" s="16"/>
      <c r="C22" s="16"/>
      <c r="D22" s="16">
        <v>2014</v>
      </c>
      <c r="E22" s="16">
        <v>2015</v>
      </c>
      <c r="F22" s="16">
        <v>2016</v>
      </c>
      <c r="G22" s="16">
        <v>2017</v>
      </c>
      <c r="H22" s="16">
        <v>2018</v>
      </c>
      <c r="I22" s="16">
        <v>2019</v>
      </c>
      <c r="J22" s="16">
        <v>2020</v>
      </c>
      <c r="K22" s="16">
        <v>2021</v>
      </c>
      <c r="L22" s="16">
        <v>2022</v>
      </c>
      <c r="M22" s="16">
        <v>2023</v>
      </c>
      <c r="O22" s="17"/>
      <c r="P22" s="18"/>
    </row>
    <row r="23" spans="1:16" x14ac:dyDescent="0.25">
      <c r="A23" s="16" t="s">
        <v>19</v>
      </c>
      <c r="B23" s="16"/>
      <c r="C23" s="16"/>
      <c r="D23" s="16"/>
      <c r="E23" s="16"/>
      <c r="F23" s="16"/>
      <c r="G23" s="16"/>
      <c r="H23" s="19"/>
      <c r="I23" s="19"/>
      <c r="J23" s="20"/>
      <c r="K23" s="19"/>
      <c r="L23" s="19"/>
      <c r="M23" s="19"/>
      <c r="N23" s="17"/>
      <c r="O23" s="18"/>
      <c r="P23" s="18"/>
    </row>
    <row r="24" spans="1:16" x14ac:dyDescent="0.25">
      <c r="A24" s="16" t="s">
        <v>20</v>
      </c>
      <c r="B24" s="16"/>
      <c r="C24" s="16"/>
      <c r="D24" s="16"/>
      <c r="E24" s="16"/>
      <c r="F24" s="16"/>
      <c r="G24" s="16"/>
      <c r="H24" s="19"/>
      <c r="I24" s="19"/>
      <c r="J24" s="20"/>
      <c r="K24" s="19"/>
      <c r="L24" s="19"/>
      <c r="M24" s="19"/>
      <c r="O24" s="18"/>
      <c r="P24" s="18"/>
    </row>
    <row r="25" spans="1:16" x14ac:dyDescent="0.25">
      <c r="A25" s="16"/>
      <c r="B25" s="16" t="s">
        <v>21</v>
      </c>
      <c r="C25" s="21"/>
      <c r="D25" s="21">
        <f t="shared" ref="D25:M25" si="9">D2*D3</f>
        <v>720000</v>
      </c>
      <c r="E25" s="21">
        <f t="shared" si="9"/>
        <v>741744</v>
      </c>
      <c r="F25" s="21">
        <f t="shared" si="9"/>
        <v>764144.66879999998</v>
      </c>
      <c r="G25" s="21">
        <f t="shared" si="9"/>
        <v>787221.83779775992</v>
      </c>
      <c r="H25" s="21">
        <f t="shared" si="9"/>
        <v>810995.93729925237</v>
      </c>
      <c r="I25" s="21">
        <f t="shared" si="9"/>
        <v>835488.01460568979</v>
      </c>
      <c r="J25" s="21">
        <f t="shared" si="9"/>
        <v>860719.75264678162</v>
      </c>
      <c r="K25" s="21">
        <f t="shared" si="9"/>
        <v>886713.48917671433</v>
      </c>
      <c r="L25" s="21">
        <f t="shared" si="9"/>
        <v>913492.23654985114</v>
      </c>
      <c r="M25" s="21">
        <f t="shared" si="9"/>
        <v>941079.70209365664</v>
      </c>
      <c r="O25" s="18"/>
      <c r="P25" s="18"/>
    </row>
    <row r="26" spans="1:16" x14ac:dyDescent="0.25">
      <c r="A26" s="16"/>
      <c r="B26" s="16"/>
      <c r="C26" s="21"/>
      <c r="D26" s="21"/>
      <c r="E26" s="21"/>
      <c r="F26" s="21"/>
      <c r="G26" s="21"/>
      <c r="H26" s="19"/>
      <c r="I26" s="19"/>
      <c r="J26" s="20"/>
      <c r="K26" s="19"/>
      <c r="L26" s="19"/>
      <c r="M26" s="19"/>
      <c r="O26" s="18"/>
      <c r="P26" s="18"/>
    </row>
    <row r="27" spans="1:16" x14ac:dyDescent="0.25">
      <c r="A27" s="16"/>
      <c r="B27" s="16"/>
      <c r="C27" s="21"/>
      <c r="D27" s="21"/>
      <c r="E27" s="21"/>
      <c r="F27" s="21"/>
      <c r="G27" s="21"/>
      <c r="H27" s="19"/>
      <c r="I27" s="19"/>
      <c r="J27" s="20"/>
      <c r="K27" s="19"/>
      <c r="L27" s="19"/>
      <c r="M27" s="19"/>
      <c r="O27" s="18"/>
      <c r="P27" s="18"/>
    </row>
    <row r="28" spans="1:16" x14ac:dyDescent="0.25">
      <c r="A28" s="16" t="s">
        <v>22</v>
      </c>
      <c r="B28" s="16"/>
      <c r="C28" s="21"/>
      <c r="D28" s="21">
        <f t="shared" ref="D28:M28" si="10">D5*D7</f>
        <v>330000</v>
      </c>
      <c r="E28" s="21">
        <f t="shared" si="10"/>
        <v>339966</v>
      </c>
      <c r="F28" s="21">
        <f t="shared" si="10"/>
        <v>350232.97320000001</v>
      </c>
      <c r="G28" s="21">
        <f t="shared" si="10"/>
        <v>360810.00899064</v>
      </c>
      <c r="H28" s="21">
        <f t="shared" si="10"/>
        <v>371706.47126215725</v>
      </c>
      <c r="I28" s="21">
        <f t="shared" si="10"/>
        <v>382932.00669427443</v>
      </c>
      <c r="J28" s="21">
        <f t="shared" si="10"/>
        <v>394496.55329644156</v>
      </c>
      <c r="K28" s="21">
        <f t="shared" si="10"/>
        <v>406410.34920599411</v>
      </c>
      <c r="L28" s="21">
        <f t="shared" si="10"/>
        <v>418683.94175201509</v>
      </c>
      <c r="M28" s="21">
        <f t="shared" si="10"/>
        <v>431328.19679292594</v>
      </c>
      <c r="O28" s="18"/>
      <c r="P28" s="18"/>
    </row>
    <row r="29" spans="1:16" x14ac:dyDescent="0.25">
      <c r="A29" s="16"/>
      <c r="B29" s="16"/>
      <c r="C29" s="21"/>
      <c r="D29" s="21"/>
      <c r="E29" s="21"/>
      <c r="F29" s="21"/>
      <c r="G29" s="21"/>
      <c r="H29" s="19"/>
      <c r="I29" s="19"/>
      <c r="J29" s="20"/>
      <c r="K29" s="19"/>
      <c r="L29" s="19"/>
      <c r="M29" s="19"/>
      <c r="O29" s="23">
        <v>0.04</v>
      </c>
      <c r="P29" t="s">
        <v>26</v>
      </c>
    </row>
    <row r="30" spans="1:16" x14ac:dyDescent="0.25">
      <c r="A30" s="16" t="s">
        <v>23</v>
      </c>
      <c r="B30" s="16"/>
      <c r="C30" s="21"/>
      <c r="D30" s="21"/>
      <c r="E30" s="21"/>
      <c r="F30" s="21"/>
      <c r="G30" s="21"/>
      <c r="H30" s="19"/>
      <c r="I30" s="19"/>
      <c r="J30" s="20"/>
      <c r="K30" s="19"/>
      <c r="L30" s="19"/>
      <c r="M30" s="19"/>
      <c r="O30" s="18"/>
      <c r="P30" s="18"/>
    </row>
    <row r="31" spans="1:16" x14ac:dyDescent="0.25">
      <c r="A31" s="16"/>
      <c r="B31" s="16" t="s">
        <v>24</v>
      </c>
      <c r="C31" s="21"/>
      <c r="D31" s="21">
        <f>[1]Sheet1!$G$5</f>
        <v>322608</v>
      </c>
      <c r="E31" s="21">
        <f>[1]Sheet1!$G$5</f>
        <v>322608</v>
      </c>
      <c r="F31" s="21">
        <f>[1]Sheet1!$G$5</f>
        <v>322608</v>
      </c>
      <c r="G31" s="21">
        <f>[1]Sheet1!$G$5</f>
        <v>322608</v>
      </c>
      <c r="H31" s="21">
        <f>[1]Sheet1!$G$5</f>
        <v>322608</v>
      </c>
      <c r="I31" s="21">
        <f>[1]Sheet1!$G$5</f>
        <v>322608</v>
      </c>
      <c r="J31" s="21">
        <f>[1]Sheet1!$G$5</f>
        <v>322608</v>
      </c>
      <c r="K31" s="21">
        <f>[1]Sheet1!$G$5</f>
        <v>322608</v>
      </c>
      <c r="L31" s="21">
        <f>[1]Sheet1!$G$5</f>
        <v>322608</v>
      </c>
      <c r="M31" s="21">
        <f>[1]Sheet1!$G$5</f>
        <v>322608</v>
      </c>
      <c r="O31" s="9">
        <f>D31/D25</f>
        <v>0.44806666666666667</v>
      </c>
      <c r="P31" s="22"/>
    </row>
    <row r="32" spans="1:16" x14ac:dyDescent="0.25">
      <c r="A32" s="16"/>
      <c r="B32" s="16" t="s">
        <v>25</v>
      </c>
      <c r="C32" s="21"/>
      <c r="D32" s="21">
        <f>D51*$O$29</f>
        <v>10000</v>
      </c>
      <c r="E32" s="21">
        <f>D32*$O$32</f>
        <v>10200</v>
      </c>
      <c r="F32" s="21">
        <f t="shared" ref="F32:M32" si="11">E32*$O$32</f>
        <v>10404</v>
      </c>
      <c r="G32" s="21">
        <f t="shared" si="11"/>
        <v>10612.08</v>
      </c>
      <c r="H32" s="21">
        <f t="shared" si="11"/>
        <v>10824.321599999999</v>
      </c>
      <c r="I32" s="21">
        <f t="shared" si="11"/>
        <v>11040.808031999999</v>
      </c>
      <c r="J32" s="21">
        <f t="shared" si="11"/>
        <v>11261.62419264</v>
      </c>
      <c r="K32" s="21">
        <f t="shared" si="11"/>
        <v>11486.8566764928</v>
      </c>
      <c r="L32" s="21">
        <f t="shared" si="11"/>
        <v>11716.593810022656</v>
      </c>
      <c r="M32" s="21">
        <f t="shared" si="11"/>
        <v>11950.925686223109</v>
      </c>
      <c r="O32" s="9">
        <v>1.02</v>
      </c>
      <c r="P32" s="22"/>
    </row>
    <row r="33" spans="1:16" x14ac:dyDescent="0.25">
      <c r="A33" s="16"/>
      <c r="B33" s="16" t="s">
        <v>27</v>
      </c>
      <c r="C33" s="21"/>
      <c r="D33" s="21">
        <v>4000</v>
      </c>
      <c r="E33" s="21">
        <f>D33+(D33*$O$33)</f>
        <v>4080</v>
      </c>
      <c r="F33" s="21">
        <f t="shared" ref="F33:M33" si="12">E33+(E33*$O$33)</f>
        <v>4161.6000000000004</v>
      </c>
      <c r="G33" s="21">
        <f t="shared" si="12"/>
        <v>4244.8320000000003</v>
      </c>
      <c r="H33" s="21">
        <f t="shared" si="12"/>
        <v>4329.7286400000003</v>
      </c>
      <c r="I33" s="21">
        <f t="shared" si="12"/>
        <v>4416.3232128</v>
      </c>
      <c r="J33" s="21">
        <f t="shared" si="12"/>
        <v>4504.6496770559997</v>
      </c>
      <c r="K33" s="21">
        <f t="shared" si="12"/>
        <v>4594.7426705971193</v>
      </c>
      <c r="L33" s="21">
        <f t="shared" si="12"/>
        <v>4686.637524009062</v>
      </c>
      <c r="M33" s="21">
        <f t="shared" si="12"/>
        <v>4780.3702744892435</v>
      </c>
      <c r="O33" s="9">
        <v>0.02</v>
      </c>
      <c r="P33" s="22"/>
    </row>
    <row r="34" spans="1:16" x14ac:dyDescent="0.25">
      <c r="A34" s="16"/>
      <c r="B34" s="16"/>
      <c r="C34" s="21"/>
      <c r="D34" s="21"/>
      <c r="E34" s="21"/>
      <c r="F34" s="21"/>
      <c r="G34" s="21"/>
      <c r="H34" s="24"/>
      <c r="I34" s="24"/>
      <c r="J34" s="25"/>
      <c r="K34" s="24"/>
      <c r="L34" s="24"/>
      <c r="M34" s="24"/>
      <c r="O34" s="18"/>
      <c r="P34" s="18"/>
    </row>
    <row r="35" spans="1:16" x14ac:dyDescent="0.25">
      <c r="A35" s="16" t="s">
        <v>28</v>
      </c>
      <c r="B35" s="16"/>
      <c r="C35" s="21"/>
      <c r="D35" s="26">
        <f>$D$51/$O$35</f>
        <v>8333.3333333333339</v>
      </c>
      <c r="E35" s="26">
        <f>$D$51/$O$35</f>
        <v>8333.3333333333339</v>
      </c>
      <c r="F35" s="26">
        <f>$D$51/$O$35</f>
        <v>8333.3333333333339</v>
      </c>
      <c r="G35" s="26">
        <f>$D$51/$O$35</f>
        <v>8333.3333333333339</v>
      </c>
      <c r="H35" s="26">
        <f t="shared" ref="H35:M35" si="13">$D$51/$O$35</f>
        <v>8333.3333333333339</v>
      </c>
      <c r="I35" s="26">
        <f t="shared" si="13"/>
        <v>8333.3333333333339</v>
      </c>
      <c r="J35" s="26">
        <f t="shared" si="13"/>
        <v>8333.3333333333339</v>
      </c>
      <c r="K35" s="26">
        <f t="shared" si="13"/>
        <v>8333.3333333333339</v>
      </c>
      <c r="L35" s="26">
        <f t="shared" si="13"/>
        <v>8333.3333333333339</v>
      </c>
      <c r="M35" s="26">
        <f t="shared" si="13"/>
        <v>8333.3333333333339</v>
      </c>
      <c r="O35" s="18">
        <v>30</v>
      </c>
      <c r="P35" s="18" t="s">
        <v>29</v>
      </c>
    </row>
    <row r="36" spans="1:16" x14ac:dyDescent="0.25">
      <c r="A36" s="16" t="s">
        <v>30</v>
      </c>
      <c r="B36" s="16"/>
      <c r="C36" s="21"/>
      <c r="D36" s="21">
        <f>'ML(IRR=WACC)'!D25</f>
        <v>15939.621811163728</v>
      </c>
      <c r="E36" s="21">
        <f>'ML(IRR=WACC)'!D40</f>
        <v>15800.952214313078</v>
      </c>
      <c r="F36" s="21">
        <f>'ML(IRR=WACC)'!D54</f>
        <v>15650.77310931463</v>
      </c>
      <c r="G36" s="21">
        <f>'ML(IRR=WACC)'!D68</f>
        <v>15488.129212668524</v>
      </c>
      <c r="H36" s="24">
        <f>'ML(IRR=WACC)'!D82</f>
        <v>15311.98595281553</v>
      </c>
      <c r="I36" s="24">
        <f>'ML(IRR=WACC)'!D96</f>
        <v>15121.222889267272</v>
      </c>
      <c r="J36" s="25">
        <f>'ML(IRR=WACC)'!D110</f>
        <v>14914.626585527423</v>
      </c>
      <c r="K36" s="24">
        <f>'ML(IRR=WACC)'!D124</f>
        <v>14690.882890468916</v>
      </c>
      <c r="L36" s="24">
        <f>'ML(IRR=WACC)'!D138</f>
        <v>14448.568579069257</v>
      </c>
      <c r="M36" s="24">
        <f>'ML(IRR=WACC)'!D152</f>
        <v>14186.142299331023</v>
      </c>
      <c r="O36" s="18">
        <v>30</v>
      </c>
      <c r="P36" s="18" t="s">
        <v>31</v>
      </c>
    </row>
    <row r="37" spans="1:16" x14ac:dyDescent="0.25">
      <c r="A37" s="16" t="s">
        <v>32</v>
      </c>
      <c r="B37" s="16"/>
      <c r="C37" s="21"/>
      <c r="D37" s="27">
        <f>$O$37*D62</f>
        <v>13894.525153984509</v>
      </c>
      <c r="E37" s="27">
        <f t="shared" ref="E37:M37" si="14">$O$37*E62</f>
        <v>11238.399115453291</v>
      </c>
      <c r="F37" s="27">
        <f t="shared" si="14"/>
        <v>7569.0529662178369</v>
      </c>
      <c r="G37" s="27">
        <f t="shared" si="14"/>
        <v>2790.8906879602919</v>
      </c>
      <c r="H37" s="27">
        <f t="shared" si="14"/>
        <v>0</v>
      </c>
      <c r="I37" s="27">
        <f t="shared" si="14"/>
        <v>0</v>
      </c>
      <c r="J37" s="27">
        <f t="shared" si="14"/>
        <v>0</v>
      </c>
      <c r="K37" s="27">
        <f t="shared" si="14"/>
        <v>0</v>
      </c>
      <c r="L37" s="27">
        <f t="shared" si="14"/>
        <v>0</v>
      </c>
      <c r="M37" s="27">
        <f t="shared" si="14"/>
        <v>0</v>
      </c>
      <c r="O37" s="28">
        <v>0.08</v>
      </c>
      <c r="P37" s="22"/>
    </row>
    <row r="38" spans="1:16" x14ac:dyDescent="0.25">
      <c r="A38" s="16"/>
      <c r="B38" s="16"/>
      <c r="C38" s="21"/>
      <c r="D38" s="21"/>
      <c r="E38" s="21"/>
      <c r="F38" s="21"/>
      <c r="G38" s="21"/>
      <c r="H38" s="24"/>
      <c r="I38" s="24"/>
      <c r="J38" s="25"/>
      <c r="K38" s="24"/>
      <c r="L38" s="24"/>
      <c r="M38" s="24"/>
      <c r="O38" s="18"/>
      <c r="P38" s="29"/>
    </row>
    <row r="39" spans="1:16" x14ac:dyDescent="0.25">
      <c r="A39" s="16" t="s">
        <v>33</v>
      </c>
      <c r="B39" s="16"/>
      <c r="C39" s="21"/>
      <c r="D39" s="21">
        <f>D25-D28-D31-D32-D33-D35-D36-D37</f>
        <v>15224.519701518428</v>
      </c>
      <c r="E39" s="21">
        <f>E25-E28-E31-E32-E33-E35-E36-E37</f>
        <v>29517.31533690029</v>
      </c>
      <c r="F39" s="21">
        <f>F25-F28-F31-F32-F33-F35-F36-F37</f>
        <v>45184.936191134177</v>
      </c>
      <c r="G39" s="21">
        <f t="shared" ref="G39:M39" si="15">G25-G28-G31-G32-G33-G35-G36-G37</f>
        <v>62334.563573157779</v>
      </c>
      <c r="H39" s="21">
        <f t="shared" si="15"/>
        <v>77882.096510946256</v>
      </c>
      <c r="I39" s="21">
        <f t="shared" si="15"/>
        <v>91036.320444014767</v>
      </c>
      <c r="J39" s="21">
        <f t="shared" si="15"/>
        <v>104600.96556178329</v>
      </c>
      <c r="K39" s="21">
        <f t="shared" si="15"/>
        <v>118589.32439982802</v>
      </c>
      <c r="L39" s="21">
        <f t="shared" si="15"/>
        <v>133015.16155140172</v>
      </c>
      <c r="M39" s="21">
        <f t="shared" si="15"/>
        <v>147892.73370735397</v>
      </c>
      <c r="O39" s="18"/>
      <c r="P39" s="29"/>
    </row>
    <row r="40" spans="1:16" x14ac:dyDescent="0.25">
      <c r="A40" s="16" t="s">
        <v>34</v>
      </c>
      <c r="B40" s="16"/>
      <c r="C40" s="21"/>
      <c r="D40" s="21">
        <f>IF(D39&lt;0,0,D39*$O$40)</f>
        <v>3044.9039403036859</v>
      </c>
      <c r="E40" s="21">
        <f>IF(E39&lt;0,0,E39*$O$40)</f>
        <v>5903.4630673800584</v>
      </c>
      <c r="F40" s="21">
        <f>IF(F39&lt;0,0,F39*$O$40)</f>
        <v>9036.987238226835</v>
      </c>
      <c r="G40" s="21">
        <f>IF(G39&lt;0,0,G39*$O$40)</f>
        <v>12466.912714631557</v>
      </c>
      <c r="H40" s="21">
        <f t="shared" ref="H40:M40" si="16">IF(H39&lt;0,0,H39*$O$40)</f>
        <v>15576.419302189252</v>
      </c>
      <c r="I40" s="21">
        <f t="shared" si="16"/>
        <v>18207.264088802953</v>
      </c>
      <c r="J40" s="21">
        <f t="shared" si="16"/>
        <v>20920.193112356661</v>
      </c>
      <c r="K40" s="21">
        <f t="shared" si="16"/>
        <v>23717.864879965608</v>
      </c>
      <c r="L40" s="21">
        <f t="shared" si="16"/>
        <v>26603.032310280345</v>
      </c>
      <c r="M40" s="21">
        <f t="shared" si="16"/>
        <v>29578.546741470796</v>
      </c>
      <c r="O40" s="9">
        <v>0.2</v>
      </c>
      <c r="P40" s="22"/>
    </row>
    <row r="41" spans="1:16" x14ac:dyDescent="0.25">
      <c r="A41" s="16" t="s">
        <v>35</v>
      </c>
      <c r="B41" s="16"/>
      <c r="C41" s="21"/>
      <c r="D41" s="21">
        <f>D39-D40</f>
        <v>12179.615761214742</v>
      </c>
      <c r="E41" s="21">
        <f>E39-E40</f>
        <v>23613.852269520234</v>
      </c>
      <c r="F41" s="21">
        <f>F39-F40</f>
        <v>36147.94895290734</v>
      </c>
      <c r="G41" s="21">
        <f>G39-G40</f>
        <v>49867.65085852622</v>
      </c>
      <c r="H41" s="21">
        <f t="shared" ref="H41:M41" si="17">H39-H40</f>
        <v>62305.677208757006</v>
      </c>
      <c r="I41" s="21">
        <f t="shared" si="17"/>
        <v>72829.056355211811</v>
      </c>
      <c r="J41" s="21">
        <f t="shared" si="17"/>
        <v>83680.772449426629</v>
      </c>
      <c r="K41" s="21">
        <f t="shared" si="17"/>
        <v>94871.459519862416</v>
      </c>
      <c r="L41" s="21">
        <f t="shared" si="17"/>
        <v>106412.12924112138</v>
      </c>
      <c r="M41" s="21">
        <f t="shared" si="17"/>
        <v>118314.18696588317</v>
      </c>
      <c r="O41" s="18"/>
      <c r="P41" s="18"/>
    </row>
    <row r="42" spans="1:16" x14ac:dyDescent="0.25">
      <c r="A42" s="16"/>
      <c r="B42" s="16"/>
      <c r="C42" s="21"/>
      <c r="D42" s="21"/>
      <c r="E42" s="21"/>
      <c r="F42" s="21"/>
      <c r="G42" s="21"/>
      <c r="H42" s="19"/>
      <c r="I42" s="19"/>
      <c r="J42" s="20"/>
      <c r="K42" s="19"/>
      <c r="L42" s="19"/>
      <c r="M42" s="19"/>
      <c r="O42" s="18"/>
      <c r="P42" s="18"/>
    </row>
    <row r="43" spans="1:16" x14ac:dyDescent="0.25">
      <c r="A43" s="16" t="s">
        <v>36</v>
      </c>
      <c r="B43" s="16"/>
      <c r="C43" s="21"/>
      <c r="D43" s="21"/>
      <c r="E43" s="21"/>
      <c r="F43" s="21"/>
      <c r="G43" s="21"/>
      <c r="H43" s="19"/>
      <c r="I43" s="19"/>
      <c r="J43" s="20"/>
      <c r="K43" s="19"/>
      <c r="L43" s="19"/>
      <c r="M43" s="19"/>
      <c r="O43" s="18"/>
      <c r="P43" s="18"/>
    </row>
    <row r="44" spans="1:16" x14ac:dyDescent="0.25">
      <c r="A44" s="16" t="s">
        <v>37</v>
      </c>
      <c r="B44" s="16"/>
      <c r="C44" s="21"/>
      <c r="D44" s="21"/>
      <c r="E44" s="21"/>
      <c r="F44" s="21"/>
      <c r="G44" s="21"/>
      <c r="H44" s="19"/>
      <c r="I44" s="19"/>
      <c r="J44" s="20"/>
      <c r="K44" s="19"/>
      <c r="L44" s="19"/>
      <c r="M44" s="19"/>
      <c r="O44" s="18"/>
      <c r="P44" s="18"/>
    </row>
    <row r="45" spans="1:16" x14ac:dyDescent="0.25">
      <c r="A45" s="30" t="s">
        <v>38</v>
      </c>
      <c r="B45" s="16"/>
      <c r="C45" s="21"/>
      <c r="D45" s="21">
        <v>1000</v>
      </c>
      <c r="E45" s="21">
        <v>1000</v>
      </c>
      <c r="F45" s="21">
        <v>1000</v>
      </c>
      <c r="G45" s="21">
        <v>1000</v>
      </c>
      <c r="H45" s="21">
        <v>1000</v>
      </c>
      <c r="I45" s="21">
        <v>1000</v>
      </c>
      <c r="J45" s="21">
        <v>1000</v>
      </c>
      <c r="K45" s="21">
        <v>1000</v>
      </c>
      <c r="L45" s="21">
        <v>1000</v>
      </c>
      <c r="M45" s="21">
        <v>1000</v>
      </c>
      <c r="O45" s="18"/>
      <c r="P45" s="18"/>
    </row>
    <row r="46" spans="1:16" x14ac:dyDescent="0.25">
      <c r="A46" s="30" t="s">
        <v>39</v>
      </c>
      <c r="B46" s="16"/>
      <c r="C46" s="21"/>
      <c r="D46" s="31"/>
      <c r="E46" s="31"/>
      <c r="F46" s="31"/>
      <c r="G46" s="32"/>
      <c r="H46" s="33">
        <v>36788.999670030316</v>
      </c>
      <c r="I46" s="33">
        <v>118326.98723931232</v>
      </c>
      <c r="J46" s="34">
        <v>210598.63591967677</v>
      </c>
      <c r="K46" s="33">
        <v>313929.75962311996</v>
      </c>
      <c r="L46" s="33">
        <v>428655.16669308557</v>
      </c>
      <c r="M46" s="33">
        <v>555118.65973678499</v>
      </c>
      <c r="N46" s="35"/>
      <c r="O46" s="18"/>
      <c r="P46" s="18"/>
    </row>
    <row r="47" spans="1:16" x14ac:dyDescent="0.25">
      <c r="A47" s="30" t="s">
        <v>40</v>
      </c>
      <c r="B47" s="16"/>
      <c r="C47" s="21"/>
      <c r="D47" s="21">
        <f t="shared" ref="D47:M47" si="18">D25/365*D19</f>
        <v>5917.8082191780823</v>
      </c>
      <c r="E47" s="21">
        <f t="shared" si="18"/>
        <v>6096.5260273972599</v>
      </c>
      <c r="F47" s="21">
        <f t="shared" si="18"/>
        <v>6280.6411134246573</v>
      </c>
      <c r="G47" s="21">
        <f t="shared" si="18"/>
        <v>6470.316475050081</v>
      </c>
      <c r="H47" s="21">
        <f t="shared" si="18"/>
        <v>6665.720032596595</v>
      </c>
      <c r="I47" s="21">
        <f t="shared" si="18"/>
        <v>6867.0247775810121</v>
      </c>
      <c r="J47" s="21">
        <f t="shared" si="18"/>
        <v>7074.4089258639588</v>
      </c>
      <c r="K47" s="21">
        <f t="shared" si="18"/>
        <v>7288.0560754250491</v>
      </c>
      <c r="L47" s="21">
        <f t="shared" si="18"/>
        <v>7508.155368902886</v>
      </c>
      <c r="M47" s="21">
        <f t="shared" si="18"/>
        <v>7734.9016610437538</v>
      </c>
      <c r="O47" s="9"/>
      <c r="P47" s="18"/>
    </row>
    <row r="48" spans="1:16" x14ac:dyDescent="0.25">
      <c r="A48" s="30" t="s">
        <v>41</v>
      </c>
      <c r="B48" s="16"/>
      <c r="C48" s="21"/>
      <c r="D48" s="27">
        <f t="shared" ref="D48:M48" si="19">D28/365*D8</f>
        <v>2712.3287671232874</v>
      </c>
      <c r="E48" s="27">
        <f t="shared" si="19"/>
        <v>2738.3562739726026</v>
      </c>
      <c r="F48" s="27">
        <f t="shared" si="19"/>
        <v>2764.6335407776437</v>
      </c>
      <c r="G48" s="27">
        <f t="shared" si="19"/>
        <v>2791.1629642349458</v>
      </c>
      <c r="H48" s="27">
        <f t="shared" si="19"/>
        <v>2817.9469640397438</v>
      </c>
      <c r="I48" s="27">
        <f t="shared" si="19"/>
        <v>2844.9879831066692</v>
      </c>
      <c r="J48" s="27">
        <f t="shared" si="19"/>
        <v>2872.2884877925612</v>
      </c>
      <c r="K48" s="27">
        <f t="shared" si="19"/>
        <v>2899.8509681214186</v>
      </c>
      <c r="L48" s="27">
        <f t="shared" si="19"/>
        <v>2927.6779380115113</v>
      </c>
      <c r="M48" s="27">
        <f t="shared" si="19"/>
        <v>2955.7719355046697</v>
      </c>
      <c r="O48" s="18"/>
      <c r="P48" s="18"/>
    </row>
    <row r="49" spans="1:16" x14ac:dyDescent="0.25">
      <c r="A49" s="30"/>
      <c r="B49" s="16"/>
      <c r="C49" s="21"/>
      <c r="D49" s="21"/>
      <c r="E49" s="21"/>
      <c r="F49" s="21"/>
      <c r="G49" s="21"/>
      <c r="H49" s="19"/>
      <c r="I49" s="19"/>
      <c r="J49" s="20"/>
      <c r="K49" s="19"/>
      <c r="L49" s="19"/>
      <c r="M49" s="19"/>
      <c r="O49" s="18"/>
      <c r="P49" s="18"/>
    </row>
    <row r="50" spans="1:16" x14ac:dyDescent="0.25">
      <c r="A50" s="30" t="s">
        <v>42</v>
      </c>
      <c r="B50" s="16"/>
      <c r="C50" s="21"/>
      <c r="D50" s="21">
        <v>150000</v>
      </c>
      <c r="E50" s="21">
        <v>150000</v>
      </c>
      <c r="F50" s="21">
        <v>150000</v>
      </c>
      <c r="G50" s="21">
        <v>150000</v>
      </c>
      <c r="H50" s="21">
        <v>150000</v>
      </c>
      <c r="I50" s="21">
        <v>150000</v>
      </c>
      <c r="J50" s="21">
        <v>150000</v>
      </c>
      <c r="K50" s="21">
        <v>150000</v>
      </c>
      <c r="L50" s="21">
        <v>150000</v>
      </c>
      <c r="M50" s="21">
        <v>150000</v>
      </c>
      <c r="O50" s="18"/>
      <c r="P50" s="18"/>
    </row>
    <row r="51" spans="1:16" x14ac:dyDescent="0.25">
      <c r="A51" s="30" t="s">
        <v>43</v>
      </c>
      <c r="B51" s="16"/>
      <c r="C51" s="21"/>
      <c r="D51" s="21">
        <v>250000</v>
      </c>
      <c r="E51" s="21">
        <v>250000</v>
      </c>
      <c r="F51" s="21">
        <v>250000</v>
      </c>
      <c r="G51" s="21">
        <v>250000</v>
      </c>
      <c r="H51" s="21">
        <v>250000</v>
      </c>
      <c r="I51" s="21">
        <v>250000</v>
      </c>
      <c r="J51" s="21">
        <v>250000</v>
      </c>
      <c r="K51" s="21">
        <v>250000</v>
      </c>
      <c r="L51" s="21">
        <v>250000</v>
      </c>
      <c r="M51" s="21">
        <v>250000</v>
      </c>
      <c r="O51" s="18"/>
      <c r="P51" s="18"/>
    </row>
    <row r="52" spans="1:16" x14ac:dyDescent="0.25">
      <c r="A52" s="30" t="s">
        <v>44</v>
      </c>
      <c r="B52" s="16"/>
      <c r="C52" s="21"/>
      <c r="D52" s="36">
        <f>D51/O52</f>
        <v>8333.3333333333339</v>
      </c>
      <c r="E52" s="21">
        <f>$D$52+D52</f>
        <v>16666.666666666668</v>
      </c>
      <c r="F52" s="21">
        <f>$D$52+E52</f>
        <v>25000</v>
      </c>
      <c r="G52" s="21">
        <f>$D$52+F52</f>
        <v>33333.333333333336</v>
      </c>
      <c r="H52" s="21">
        <f t="shared" ref="H52:M52" si="20">$D$52+G52</f>
        <v>41666.666666666672</v>
      </c>
      <c r="I52" s="21">
        <f t="shared" si="20"/>
        <v>50000.000000000007</v>
      </c>
      <c r="J52" s="21">
        <f t="shared" si="20"/>
        <v>58333.333333333343</v>
      </c>
      <c r="K52" s="21">
        <f t="shared" si="20"/>
        <v>66666.666666666672</v>
      </c>
      <c r="L52" s="21">
        <f t="shared" si="20"/>
        <v>75000</v>
      </c>
      <c r="M52" s="21">
        <f t="shared" si="20"/>
        <v>83333.333333333328</v>
      </c>
      <c r="O52" s="18">
        <v>30</v>
      </c>
      <c r="P52" s="18" t="s">
        <v>45</v>
      </c>
    </row>
    <row r="53" spans="1:16" x14ac:dyDescent="0.25">
      <c r="A53" s="16"/>
      <c r="B53" s="16"/>
      <c r="C53" s="21"/>
      <c r="D53" s="21"/>
      <c r="E53" s="21"/>
      <c r="F53" s="21"/>
      <c r="G53" s="21"/>
      <c r="H53" s="19"/>
      <c r="I53" s="19"/>
      <c r="J53" s="20"/>
      <c r="K53" s="19"/>
      <c r="L53" s="19"/>
      <c r="M53" s="19"/>
      <c r="O53" s="18"/>
      <c r="P53" s="18"/>
    </row>
    <row r="54" spans="1:16" x14ac:dyDescent="0.25">
      <c r="A54" s="16" t="s">
        <v>46</v>
      </c>
      <c r="B54" s="16"/>
      <c r="C54" s="21"/>
      <c r="D54" s="37">
        <f>D45+D46+D47+D48+D51+D50-D52</f>
        <v>401296.80365296808</v>
      </c>
      <c r="E54" s="37">
        <f t="shared" ref="E54:M54" si="21">E45+E46+E47+E48+E51+E50-E52</f>
        <v>393168.21563470317</v>
      </c>
      <c r="F54" s="37">
        <f t="shared" si="21"/>
        <v>385045.27465420228</v>
      </c>
      <c r="G54" s="37">
        <f t="shared" si="21"/>
        <v>376928.14610595169</v>
      </c>
      <c r="H54" s="37">
        <f t="shared" si="21"/>
        <v>405605.99999999994</v>
      </c>
      <c r="I54" s="37">
        <f t="shared" si="21"/>
        <v>479039</v>
      </c>
      <c r="J54" s="37">
        <f t="shared" si="21"/>
        <v>563211.99999999988</v>
      </c>
      <c r="K54" s="37">
        <f t="shared" si="21"/>
        <v>658450.99999999988</v>
      </c>
      <c r="L54" s="37">
        <f t="shared" si="21"/>
        <v>765091</v>
      </c>
      <c r="M54" s="37">
        <f t="shared" si="21"/>
        <v>883476</v>
      </c>
      <c r="O54" s="18"/>
      <c r="P54" s="18"/>
    </row>
    <row r="55" spans="1:16" ht="20.25" customHeight="1" x14ac:dyDescent="0.25">
      <c r="A55" s="16"/>
      <c r="B55" s="16"/>
      <c r="C55" s="21"/>
      <c r="D55" s="21"/>
      <c r="E55" s="21"/>
      <c r="F55" s="21"/>
      <c r="G55" s="21"/>
      <c r="H55" s="19"/>
      <c r="I55" s="19"/>
      <c r="J55" s="20"/>
      <c r="K55" s="19"/>
      <c r="L55" s="19"/>
      <c r="M55" s="19"/>
      <c r="O55" s="18"/>
      <c r="P55" s="18"/>
    </row>
    <row r="56" spans="1:16" ht="15" customHeight="1" x14ac:dyDescent="0.25">
      <c r="A56" s="16" t="s">
        <v>47</v>
      </c>
      <c r="B56" s="16"/>
      <c r="C56" s="21"/>
      <c r="D56" s="21">
        <f>D54-D67</f>
        <v>-0.19634703180054203</v>
      </c>
      <c r="E56" s="21">
        <f t="shared" ref="E56:M56" si="22">E54-E67</f>
        <v>0.21563470322871581</v>
      </c>
      <c r="F56" s="21">
        <f t="shared" si="22"/>
        <v>0.27465420233784243</v>
      </c>
      <c r="G56" s="21">
        <f t="shared" si="22"/>
        <v>0.14610595168778673</v>
      </c>
      <c r="H56" s="21">
        <f t="shared" si="22"/>
        <v>-0.48619589902227744</v>
      </c>
      <c r="I56" s="21">
        <f t="shared" si="22"/>
        <v>0.41617219074396417</v>
      </c>
      <c r="J56" s="21">
        <f t="shared" si="22"/>
        <v>0.1825469727627933</v>
      </c>
      <c r="K56" s="21">
        <f t="shared" si="22"/>
        <v>-8.9908940135501325E-2</v>
      </c>
      <c r="L56" s="21">
        <f t="shared" si="22"/>
        <v>3.9943971205502748E-4</v>
      </c>
      <c r="M56" s="21">
        <f t="shared" si="22"/>
        <v>-0.1204433492384851</v>
      </c>
      <c r="O56" s="18"/>
      <c r="P56" s="18"/>
    </row>
    <row r="57" spans="1:16" x14ac:dyDescent="0.25">
      <c r="A57" s="16" t="s">
        <v>48</v>
      </c>
      <c r="B57" s="16"/>
      <c r="C57" s="21"/>
      <c r="D57" s="21"/>
      <c r="E57" s="19"/>
      <c r="F57" s="21"/>
      <c r="G57" s="21"/>
      <c r="H57" s="19"/>
      <c r="I57" s="19"/>
      <c r="J57" s="20"/>
      <c r="K57" s="19"/>
      <c r="L57" s="19"/>
      <c r="M57" s="19"/>
      <c r="O57" s="18"/>
      <c r="P57" s="18">
        <f>15043+136752</f>
        <v>151795</v>
      </c>
    </row>
    <row r="58" spans="1:16" x14ac:dyDescent="0.25">
      <c r="A58" s="30" t="s">
        <v>49</v>
      </c>
      <c r="B58" s="16"/>
      <c r="C58" s="21"/>
      <c r="D58" s="21">
        <f t="shared" ref="D58:M58" si="23">D28/365*D20</f>
        <v>13561.643835616438</v>
      </c>
      <c r="E58" s="21">
        <f t="shared" si="23"/>
        <v>13971.205479452055</v>
      </c>
      <c r="F58" s="21">
        <f t="shared" si="23"/>
        <v>14393.135884931507</v>
      </c>
      <c r="G58" s="21">
        <f t="shared" si="23"/>
        <v>14827.808588656439</v>
      </c>
      <c r="H58" s="21">
        <f t="shared" si="23"/>
        <v>15275.608408033861</v>
      </c>
      <c r="I58" s="21">
        <f t="shared" si="23"/>
        <v>15736.931781956484</v>
      </c>
      <c r="J58" s="21">
        <f t="shared" si="23"/>
        <v>16212.187121771571</v>
      </c>
      <c r="K58" s="21">
        <f t="shared" si="23"/>
        <v>16701.795172849073</v>
      </c>
      <c r="L58" s="21">
        <f t="shared" si="23"/>
        <v>17206.189387069113</v>
      </c>
      <c r="M58" s="21">
        <f t="shared" si="23"/>
        <v>17725.816306558601</v>
      </c>
      <c r="O58" s="18"/>
      <c r="P58" s="18"/>
    </row>
    <row r="59" spans="1:16" x14ac:dyDescent="0.25">
      <c r="A59" s="30" t="s">
        <v>50</v>
      </c>
      <c r="B59" s="16"/>
      <c r="C59" s="21"/>
      <c r="D59" s="21">
        <f>D40</f>
        <v>3044.9039403036859</v>
      </c>
      <c r="E59" s="21">
        <f>E40</f>
        <v>5903.4630673800584</v>
      </c>
      <c r="F59" s="21">
        <f>F40</f>
        <v>9036.987238226835</v>
      </c>
      <c r="G59" s="21">
        <f>G40</f>
        <v>12466.912714631557</v>
      </c>
      <c r="H59" s="21">
        <f t="shared" ref="H59:M59" si="24">H40</f>
        <v>15576.419302189252</v>
      </c>
      <c r="I59" s="21">
        <f t="shared" si="24"/>
        <v>18207.264088802953</v>
      </c>
      <c r="J59" s="21">
        <f t="shared" si="24"/>
        <v>20920.193112356661</v>
      </c>
      <c r="K59" s="21">
        <f t="shared" si="24"/>
        <v>23717.864879965608</v>
      </c>
      <c r="L59" s="21">
        <f t="shared" si="24"/>
        <v>26603.032310280345</v>
      </c>
      <c r="M59" s="21">
        <f t="shared" si="24"/>
        <v>29578.546741470796</v>
      </c>
      <c r="O59" s="18"/>
      <c r="P59" s="18"/>
    </row>
    <row r="60" spans="1:16" x14ac:dyDescent="0.25">
      <c r="A60" s="30"/>
      <c r="B60" s="16"/>
      <c r="C60" s="21"/>
      <c r="D60" s="21"/>
      <c r="E60" s="21"/>
      <c r="F60" s="21"/>
      <c r="G60" s="21"/>
      <c r="H60" s="19"/>
      <c r="I60" s="19"/>
      <c r="J60" s="20"/>
      <c r="K60" s="19"/>
      <c r="L60" s="19"/>
      <c r="M60" s="19"/>
      <c r="O60" s="18"/>
      <c r="P60" s="18"/>
    </row>
    <row r="61" spans="1:16" x14ac:dyDescent="0.25">
      <c r="A61" s="30" t="s">
        <v>11</v>
      </c>
      <c r="B61" s="16"/>
      <c r="C61" s="21"/>
      <c r="D61" s="21">
        <f>'ML(IRR=WACC)'!F24</f>
        <v>198329.27203805867</v>
      </c>
      <c r="E61" s="21">
        <f>'ML(IRR=WACC)'!F39</f>
        <v>196519.8744792667</v>
      </c>
      <c r="F61" s="21">
        <f>'ML(IRR=WACC)'!F53</f>
        <v>194560.29781547631</v>
      </c>
      <c r="G61" s="21">
        <f>'ML(IRR=WACC)'!F67</f>
        <v>192438.0772550398</v>
      </c>
      <c r="H61" s="24">
        <f>'ML(IRR=WACC)'!F81</f>
        <v>190139.71343475027</v>
      </c>
      <c r="I61" s="24">
        <f>'ML(IRR=WACC)'!F95</f>
        <v>187650.58655091247</v>
      </c>
      <c r="J61" s="25">
        <f>'ML(IRR=WACC)'!F109</f>
        <v>184954.86336333491</v>
      </c>
      <c r="K61" s="24">
        <f>'ML(IRR=WACC)'!F123</f>
        <v>182035.39648069884</v>
      </c>
      <c r="L61" s="24">
        <f>'ML(IRR=WACC)'!F137</f>
        <v>178873.61528666306</v>
      </c>
      <c r="M61" s="24">
        <f>'ML(IRR=WACC)'!F151</f>
        <v>175449.407812889</v>
      </c>
      <c r="O61" s="18"/>
      <c r="P61" s="18"/>
    </row>
    <row r="62" spans="1:16" x14ac:dyDescent="0.25">
      <c r="A62" s="30" t="s">
        <v>9</v>
      </c>
      <c r="B62" s="16"/>
      <c r="C62" s="21"/>
      <c r="D62" s="21">
        <v>173681.56442480636</v>
      </c>
      <c r="E62" s="21">
        <v>140479.98894316613</v>
      </c>
      <c r="F62" s="21">
        <v>94613.162077722955</v>
      </c>
      <c r="G62" s="21">
        <v>34886.13359950365</v>
      </c>
      <c r="H62" s="21"/>
      <c r="I62" s="21"/>
      <c r="J62" s="21"/>
      <c r="K62" s="21"/>
      <c r="L62" s="21"/>
      <c r="M62" s="21"/>
      <c r="O62" s="18"/>
      <c r="P62" s="18"/>
    </row>
    <row r="63" spans="1:16" x14ac:dyDescent="0.25">
      <c r="A63" s="30"/>
      <c r="B63" s="16"/>
      <c r="C63" s="21"/>
      <c r="D63" s="21"/>
      <c r="E63" s="21"/>
      <c r="F63" s="21"/>
      <c r="G63" s="21"/>
      <c r="H63" s="24"/>
      <c r="I63" s="24"/>
      <c r="J63" s="25"/>
      <c r="K63" s="24"/>
      <c r="L63" s="24"/>
      <c r="M63" s="24"/>
      <c r="O63" s="18"/>
      <c r="P63" s="18"/>
    </row>
    <row r="64" spans="1:16" x14ac:dyDescent="0.25">
      <c r="A64" s="30" t="s">
        <v>51</v>
      </c>
      <c r="B64" s="16"/>
      <c r="C64" s="21"/>
      <c r="D64" s="21">
        <f>$D$14</f>
        <v>500</v>
      </c>
      <c r="E64" s="21">
        <f>$D$14</f>
        <v>500</v>
      </c>
      <c r="F64" s="21">
        <f>$D$14</f>
        <v>500</v>
      </c>
      <c r="G64" s="21">
        <f>$D$14</f>
        <v>500</v>
      </c>
      <c r="H64" s="21">
        <f t="shared" ref="H64:M64" si="25">$D$14</f>
        <v>500</v>
      </c>
      <c r="I64" s="21">
        <f t="shared" si="25"/>
        <v>500</v>
      </c>
      <c r="J64" s="21">
        <f t="shared" si="25"/>
        <v>500</v>
      </c>
      <c r="K64" s="21">
        <f t="shared" si="25"/>
        <v>500</v>
      </c>
      <c r="L64" s="21">
        <f t="shared" si="25"/>
        <v>500</v>
      </c>
      <c r="M64" s="21">
        <f t="shared" si="25"/>
        <v>500</v>
      </c>
      <c r="O64" s="18"/>
      <c r="P64" s="18"/>
    </row>
    <row r="65" spans="1:16" x14ac:dyDescent="0.25">
      <c r="A65" s="30" t="s">
        <v>52</v>
      </c>
      <c r="B65" s="16"/>
      <c r="C65" s="21"/>
      <c r="D65" s="21">
        <f>C65+D41</f>
        <v>12179.615761214742</v>
      </c>
      <c r="E65" s="21">
        <f>D65+E41</f>
        <v>35793.468030734977</v>
      </c>
      <c r="F65" s="21">
        <f>E65+F41</f>
        <v>71941.416983642324</v>
      </c>
      <c r="G65" s="21">
        <f>F65+G41</f>
        <v>121809.06784216854</v>
      </c>
      <c r="H65" s="21">
        <f t="shared" ref="H65:M65" si="26">G65+H41</f>
        <v>184114.74505092556</v>
      </c>
      <c r="I65" s="21">
        <f t="shared" si="26"/>
        <v>256943.80140613735</v>
      </c>
      <c r="J65" s="21">
        <f t="shared" si="26"/>
        <v>340624.573855564</v>
      </c>
      <c r="K65" s="21">
        <f t="shared" si="26"/>
        <v>435496.03337542643</v>
      </c>
      <c r="L65" s="21">
        <f t="shared" si="26"/>
        <v>541908.16261654778</v>
      </c>
      <c r="M65" s="21">
        <f t="shared" si="26"/>
        <v>660222.34958243091</v>
      </c>
      <c r="O65" s="18"/>
      <c r="P65" s="18"/>
    </row>
    <row r="66" spans="1:16" ht="9" customHeight="1" x14ac:dyDescent="0.25">
      <c r="A66" s="16"/>
      <c r="B66" s="16"/>
      <c r="C66" s="16"/>
      <c r="D66" s="21"/>
      <c r="E66" s="21"/>
      <c r="F66" s="21"/>
      <c r="G66" s="21"/>
      <c r="H66" s="24"/>
      <c r="I66" s="24"/>
      <c r="J66" s="25"/>
      <c r="K66" s="24"/>
      <c r="L66" s="24"/>
      <c r="M66" s="24"/>
      <c r="O66" s="18"/>
      <c r="P66" s="18"/>
    </row>
    <row r="67" spans="1:16" x14ac:dyDescent="0.25">
      <c r="A67" s="16" t="s">
        <v>53</v>
      </c>
      <c r="B67" s="16"/>
      <c r="C67" s="16"/>
      <c r="D67" s="21">
        <f>SUM(D58:D65)</f>
        <v>401296.99999999988</v>
      </c>
      <c r="E67" s="21">
        <f>SUM(E58:E65)</f>
        <v>393167.99999999994</v>
      </c>
      <c r="F67" s="21">
        <f>SUM(F58:F65)</f>
        <v>385044.99999999994</v>
      </c>
      <c r="G67" s="21">
        <f>SUM(G58:G65)</f>
        <v>376928</v>
      </c>
      <c r="H67" s="21">
        <f t="shared" ref="H67:M67" si="27">SUM(H58:H65)</f>
        <v>405606.48619589896</v>
      </c>
      <c r="I67" s="21">
        <f t="shared" si="27"/>
        <v>479038.58382780926</v>
      </c>
      <c r="J67" s="21">
        <f t="shared" si="27"/>
        <v>563211.81745302712</v>
      </c>
      <c r="K67" s="21">
        <f t="shared" si="27"/>
        <v>658451.08990894002</v>
      </c>
      <c r="L67" s="21">
        <f t="shared" si="27"/>
        <v>765090.99960056029</v>
      </c>
      <c r="M67" s="21">
        <f t="shared" si="27"/>
        <v>883476.12044334924</v>
      </c>
      <c r="O67" s="18"/>
      <c r="P67" s="18"/>
    </row>
    <row r="68" spans="1:16" x14ac:dyDescent="0.25">
      <c r="A68" s="38"/>
      <c r="B68" s="38"/>
      <c r="C68" s="38"/>
      <c r="D68" s="38"/>
      <c r="E68" s="38"/>
      <c r="F68" s="38"/>
      <c r="G68" s="38"/>
      <c r="H68" s="19"/>
      <c r="I68" s="19"/>
      <c r="J68" s="38"/>
      <c r="K68" s="19"/>
      <c r="L68" s="19"/>
      <c r="M68" s="19"/>
      <c r="O68" s="1"/>
      <c r="P68" s="1"/>
    </row>
    <row r="69" spans="1:16" x14ac:dyDescent="0.25">
      <c r="A69" s="39" t="s">
        <v>54</v>
      </c>
      <c r="B69" s="40"/>
      <c r="C69" s="40"/>
      <c r="D69" s="40"/>
      <c r="E69" s="40"/>
      <c r="F69" s="40"/>
      <c r="G69" s="40"/>
      <c r="H69" s="19"/>
      <c r="I69" s="19"/>
      <c r="J69" s="38"/>
      <c r="K69" s="19"/>
      <c r="L69" s="19"/>
      <c r="M69" s="19"/>
      <c r="O69" s="1"/>
      <c r="P69" s="1"/>
    </row>
    <row r="70" spans="1:16" x14ac:dyDescent="0.25">
      <c r="A70" s="40"/>
      <c r="B70" s="40"/>
      <c r="C70" s="40"/>
      <c r="D70" s="40"/>
      <c r="E70" s="40"/>
      <c r="F70" s="40"/>
      <c r="G70" s="40"/>
      <c r="H70" s="19"/>
      <c r="I70" s="19"/>
      <c r="J70" s="38"/>
      <c r="K70" s="19"/>
      <c r="L70" s="19"/>
      <c r="M70" s="19"/>
      <c r="O70" s="1"/>
      <c r="P70" s="1"/>
    </row>
    <row r="71" spans="1:16" x14ac:dyDescent="0.25">
      <c r="A71" s="39" t="s">
        <v>55</v>
      </c>
      <c r="B71" s="40"/>
      <c r="C71" s="40"/>
      <c r="D71" s="40"/>
      <c r="E71" s="40"/>
      <c r="F71" s="40"/>
      <c r="G71" s="40"/>
      <c r="H71" s="19"/>
      <c r="I71" s="19"/>
      <c r="J71" s="38"/>
      <c r="K71" s="19"/>
      <c r="L71" s="19"/>
      <c r="M71" s="19"/>
      <c r="O71" s="1"/>
      <c r="P71" s="1"/>
    </row>
    <row r="72" spans="1:16" x14ac:dyDescent="0.25">
      <c r="A72" s="40"/>
      <c r="B72" s="40" t="s">
        <v>56</v>
      </c>
      <c r="C72" s="40"/>
      <c r="D72" s="41">
        <f>D25+D26-D31-D32-D33-D28</f>
        <v>53392</v>
      </c>
      <c r="E72" s="41">
        <f>E25+E26-E31-E32-E33-E28</f>
        <v>64890</v>
      </c>
      <c r="F72" s="41">
        <f>F25+F26-F31-F32-F33-F28</f>
        <v>76738.095600000001</v>
      </c>
      <c r="G72" s="41">
        <f>G25+G26-G31-G32-G33-G28</f>
        <v>88946.916807119909</v>
      </c>
      <c r="H72" s="41">
        <f t="shared" ref="H72:M72" si="28">H25+H26-H31-H32-H33-H28</f>
        <v>101527.41579709511</v>
      </c>
      <c r="I72" s="41">
        <f t="shared" si="28"/>
        <v>114490.87666661537</v>
      </c>
      <c r="J72" s="41">
        <f t="shared" si="28"/>
        <v>127848.9254806441</v>
      </c>
      <c r="K72" s="41">
        <f t="shared" si="28"/>
        <v>141613.54062363022</v>
      </c>
      <c r="L72" s="41">
        <f t="shared" si="28"/>
        <v>155797.06346380425</v>
      </c>
      <c r="M72" s="41">
        <f t="shared" si="28"/>
        <v>170412.20934001834</v>
      </c>
      <c r="O72" s="1"/>
      <c r="P72" s="1"/>
    </row>
    <row r="73" spans="1:16" x14ac:dyDescent="0.25">
      <c r="A73" s="40"/>
      <c r="B73" s="40" t="s">
        <v>57</v>
      </c>
      <c r="C73" s="40"/>
      <c r="D73" s="42">
        <f>D35</f>
        <v>8333.3333333333339</v>
      </c>
      <c r="E73" s="42">
        <f>E35</f>
        <v>8333.3333333333339</v>
      </c>
      <c r="F73" s="42">
        <f>F35</f>
        <v>8333.3333333333339</v>
      </c>
      <c r="G73" s="42">
        <f>G35</f>
        <v>8333.3333333333339</v>
      </c>
      <c r="H73" s="42">
        <f t="shared" ref="H73:M73" si="29">H35</f>
        <v>8333.3333333333339</v>
      </c>
      <c r="I73" s="42">
        <f t="shared" si="29"/>
        <v>8333.3333333333339</v>
      </c>
      <c r="J73" s="42">
        <f t="shared" si="29"/>
        <v>8333.3333333333339</v>
      </c>
      <c r="K73" s="42">
        <f t="shared" si="29"/>
        <v>8333.3333333333339</v>
      </c>
      <c r="L73" s="42">
        <f t="shared" si="29"/>
        <v>8333.3333333333339</v>
      </c>
      <c r="M73" s="42">
        <f t="shared" si="29"/>
        <v>8333.3333333333339</v>
      </c>
      <c r="O73" s="1"/>
      <c r="P73" s="1"/>
    </row>
    <row r="74" spans="1:16" x14ac:dyDescent="0.25">
      <c r="A74" s="40"/>
      <c r="B74" s="40" t="s">
        <v>58</v>
      </c>
      <c r="C74" s="40"/>
      <c r="D74" s="43">
        <f>D72-D73</f>
        <v>45058.666666666664</v>
      </c>
      <c r="E74" s="43">
        <f>E72-E73</f>
        <v>56556.666666666664</v>
      </c>
      <c r="F74" s="43">
        <f>F72-F73</f>
        <v>68404.762266666672</v>
      </c>
      <c r="G74" s="43">
        <f>G72-G73</f>
        <v>80613.583473786581</v>
      </c>
      <c r="H74" s="43">
        <f t="shared" ref="H74:M74" si="30">H72-H73</f>
        <v>93194.082463761777</v>
      </c>
      <c r="I74" s="43">
        <f t="shared" si="30"/>
        <v>106157.54333328204</v>
      </c>
      <c r="J74" s="43">
        <f t="shared" si="30"/>
        <v>119515.59214731077</v>
      </c>
      <c r="K74" s="43">
        <f t="shared" si="30"/>
        <v>133280.20729029688</v>
      </c>
      <c r="L74" s="43">
        <f t="shared" si="30"/>
        <v>147463.73013047091</v>
      </c>
      <c r="M74" s="43">
        <f t="shared" si="30"/>
        <v>162078.87600668499</v>
      </c>
      <c r="O74" s="1"/>
      <c r="P74" s="1"/>
    </row>
    <row r="75" spans="1:16" x14ac:dyDescent="0.25">
      <c r="A75" s="40"/>
      <c r="B75" s="40" t="s">
        <v>59</v>
      </c>
      <c r="C75" s="40"/>
      <c r="D75" s="43">
        <f>D74*$O$40</f>
        <v>9011.7333333333336</v>
      </c>
      <c r="E75" s="43">
        <f>E74*$O$40</f>
        <v>11311.333333333334</v>
      </c>
      <c r="F75" s="43">
        <f>F74*$O$40</f>
        <v>13680.952453333335</v>
      </c>
      <c r="G75" s="43">
        <f>G74*$O$40</f>
        <v>16122.716694757317</v>
      </c>
      <c r="H75" s="43">
        <f t="shared" ref="H75:M75" si="31">H74*$O$40</f>
        <v>18638.816492752358</v>
      </c>
      <c r="I75" s="43">
        <f t="shared" si="31"/>
        <v>21231.508666656409</v>
      </c>
      <c r="J75" s="43">
        <f t="shared" si="31"/>
        <v>23903.118429462156</v>
      </c>
      <c r="K75" s="43">
        <f t="shared" si="31"/>
        <v>26656.041458059379</v>
      </c>
      <c r="L75" s="43">
        <f t="shared" si="31"/>
        <v>29492.746026094184</v>
      </c>
      <c r="M75" s="43">
        <f t="shared" si="31"/>
        <v>32415.775201337001</v>
      </c>
      <c r="O75" t="s">
        <v>65</v>
      </c>
      <c r="P75" s="46">
        <f>-C80</f>
        <v>150000</v>
      </c>
    </row>
    <row r="76" spans="1:16" x14ac:dyDescent="0.25">
      <c r="A76" s="40"/>
      <c r="B76" s="40"/>
      <c r="C76" s="40"/>
      <c r="D76" s="43"/>
      <c r="E76" s="43"/>
      <c r="F76" s="43"/>
      <c r="G76" s="43"/>
      <c r="H76" s="19"/>
      <c r="I76" s="19"/>
      <c r="J76" s="38"/>
      <c r="K76" s="19"/>
      <c r="L76" s="19"/>
      <c r="M76" s="19"/>
      <c r="O76" t="s">
        <v>68</v>
      </c>
      <c r="P76" s="46">
        <f>M83-P75</f>
        <v>37500</v>
      </c>
    </row>
    <row r="77" spans="1:16" x14ac:dyDescent="0.25">
      <c r="A77" s="40"/>
      <c r="B77" s="39" t="s">
        <v>60</v>
      </c>
      <c r="C77" s="44"/>
      <c r="D77" s="43">
        <f>D72-D75</f>
        <v>44380.266666666663</v>
      </c>
      <c r="E77" s="43">
        <f>E72-E75</f>
        <v>53578.666666666664</v>
      </c>
      <c r="F77" s="43">
        <f>F72-F75</f>
        <v>63057.143146666669</v>
      </c>
      <c r="G77" s="43">
        <f>G72-G75</f>
        <v>72824.200112362596</v>
      </c>
      <c r="H77" s="43">
        <f t="shared" ref="H77:M77" si="32">H72-H75</f>
        <v>82888.599304342744</v>
      </c>
      <c r="I77" s="43">
        <f t="shared" si="32"/>
        <v>93259.367999958951</v>
      </c>
      <c r="J77" s="43">
        <f t="shared" si="32"/>
        <v>103945.80705118194</v>
      </c>
      <c r="K77" s="43">
        <f t="shared" si="32"/>
        <v>114957.49916557084</v>
      </c>
      <c r="L77" s="43">
        <f t="shared" si="32"/>
        <v>126304.31743771007</v>
      </c>
      <c r="M77" s="43">
        <f t="shared" si="32"/>
        <v>137996.43413868133</v>
      </c>
      <c r="O77" s="1"/>
      <c r="P77" s="1"/>
    </row>
    <row r="78" spans="1:16" x14ac:dyDescent="0.25">
      <c r="A78" s="40"/>
      <c r="B78" s="40"/>
      <c r="C78" s="40"/>
      <c r="D78" s="40"/>
      <c r="E78" s="40"/>
      <c r="F78" s="40"/>
      <c r="G78" s="40"/>
      <c r="H78" s="19"/>
      <c r="I78" s="19"/>
      <c r="J78" s="38"/>
      <c r="K78" s="19"/>
      <c r="L78" s="19"/>
      <c r="M78" s="19"/>
      <c r="O78" s="1"/>
      <c r="P78" s="1"/>
    </row>
    <row r="79" spans="1:16" x14ac:dyDescent="0.25">
      <c r="A79" s="39" t="s">
        <v>61</v>
      </c>
      <c r="B79" s="40"/>
      <c r="C79" s="40"/>
      <c r="D79" s="40"/>
      <c r="E79" s="40"/>
      <c r="F79" s="40"/>
      <c r="G79" s="40"/>
      <c r="H79" s="19"/>
      <c r="I79" s="19"/>
      <c r="J79" s="38"/>
      <c r="K79" s="19"/>
      <c r="L79" s="19"/>
      <c r="M79" s="19"/>
      <c r="O79" s="1"/>
      <c r="P79" s="1"/>
    </row>
    <row r="80" spans="1:16" x14ac:dyDescent="0.25">
      <c r="A80" s="39"/>
      <c r="B80" s="40" t="s">
        <v>62</v>
      </c>
      <c r="C80" s="41">
        <f>-D50</f>
        <v>-150000</v>
      </c>
      <c r="D80" s="40"/>
      <c r="E80" s="40"/>
      <c r="F80" s="40"/>
      <c r="G80" s="40"/>
      <c r="H80" s="19"/>
      <c r="I80" s="19"/>
      <c r="J80" s="38"/>
      <c r="K80" s="19"/>
      <c r="L80" s="19"/>
      <c r="M80" s="19"/>
      <c r="O80" s="1"/>
      <c r="P80" s="1"/>
    </row>
    <row r="81" spans="1:16" x14ac:dyDescent="0.25">
      <c r="A81" s="40"/>
      <c r="B81" s="40" t="s">
        <v>63</v>
      </c>
      <c r="C81" s="26">
        <f>-D51</f>
        <v>-250000</v>
      </c>
      <c r="D81" s="40"/>
      <c r="E81" s="40"/>
      <c r="F81" s="40"/>
      <c r="G81" s="40"/>
      <c r="H81" s="19"/>
      <c r="I81" s="19"/>
      <c r="J81" s="38"/>
      <c r="K81" s="19"/>
      <c r="L81" s="19"/>
      <c r="M81" s="19"/>
      <c r="O81" s="1" t="s">
        <v>64</v>
      </c>
      <c r="P81" s="45">
        <f>M51-M52</f>
        <v>166666.66666666669</v>
      </c>
    </row>
    <row r="82" spans="1:16" x14ac:dyDescent="0.25">
      <c r="A82" s="40"/>
      <c r="B82" s="40" t="s">
        <v>66</v>
      </c>
      <c r="C82" s="26"/>
      <c r="D82" s="40"/>
      <c r="E82" s="40"/>
      <c r="F82" s="40"/>
      <c r="G82" s="19"/>
      <c r="H82" s="19"/>
      <c r="I82" s="19"/>
      <c r="J82" s="38"/>
      <c r="K82" s="19"/>
      <c r="L82" s="19"/>
      <c r="M82" s="26">
        <f>P81*O85</f>
        <v>250000.00000000003</v>
      </c>
      <c r="O82" s="47" t="s">
        <v>67</v>
      </c>
      <c r="P82" s="45">
        <f>M82-P81</f>
        <v>83333.333333333343</v>
      </c>
    </row>
    <row r="83" spans="1:16" x14ac:dyDescent="0.25">
      <c r="A83" s="40"/>
      <c r="B83" s="40" t="s">
        <v>69</v>
      </c>
      <c r="C83" s="26"/>
      <c r="D83" s="40"/>
      <c r="E83" s="40"/>
      <c r="F83" s="40"/>
      <c r="G83" s="19"/>
      <c r="H83" s="19"/>
      <c r="I83" s="19"/>
      <c r="J83" s="38"/>
      <c r="K83" s="19"/>
      <c r="L83" s="19"/>
      <c r="M83" s="26">
        <f>-C80*O86</f>
        <v>187500</v>
      </c>
      <c r="O83" s="47"/>
      <c r="P83" s="45"/>
    </row>
    <row r="84" spans="1:16" x14ac:dyDescent="0.25">
      <c r="A84" s="40"/>
      <c r="B84" s="40" t="s">
        <v>70</v>
      </c>
      <c r="C84" s="26"/>
      <c r="D84" s="40"/>
      <c r="E84" s="40"/>
      <c r="F84" s="40"/>
      <c r="G84" s="19"/>
      <c r="H84" s="19"/>
      <c r="I84" s="19"/>
      <c r="J84" s="38"/>
      <c r="K84" s="19"/>
      <c r="L84" s="19"/>
      <c r="M84" s="43">
        <f>-(P82*O84)+(P76*O84)</f>
        <v>-9166.6666666666679</v>
      </c>
      <c r="O84" s="9">
        <v>0.2</v>
      </c>
      <c r="P84" s="1"/>
    </row>
    <row r="85" spans="1:16" x14ac:dyDescent="0.25">
      <c r="A85" s="40"/>
      <c r="B85" s="40"/>
      <c r="C85" s="40"/>
      <c r="D85" s="40"/>
      <c r="E85" s="40"/>
      <c r="F85" s="40"/>
      <c r="G85" s="40"/>
      <c r="H85" s="19"/>
      <c r="I85" s="19"/>
      <c r="J85" s="38"/>
      <c r="K85" s="19"/>
      <c r="L85" s="19"/>
      <c r="M85" s="19"/>
      <c r="O85" s="9">
        <v>1.5</v>
      </c>
      <c r="P85" s="1"/>
    </row>
    <row r="86" spans="1:16" x14ac:dyDescent="0.25">
      <c r="A86" s="39" t="s">
        <v>71</v>
      </c>
      <c r="B86" s="40"/>
      <c r="C86" s="40"/>
      <c r="D86" s="40"/>
      <c r="E86" s="40"/>
      <c r="F86" s="40"/>
      <c r="G86" s="40"/>
      <c r="H86" s="19"/>
      <c r="I86" s="19"/>
      <c r="J86" s="38"/>
      <c r="K86" s="19"/>
      <c r="L86" s="19"/>
      <c r="M86" s="19"/>
      <c r="O86" s="10">
        <v>1.25</v>
      </c>
      <c r="P86" s="1" t="s">
        <v>2</v>
      </c>
    </row>
    <row r="87" spans="1:16" x14ac:dyDescent="0.25">
      <c r="A87" s="48" t="s">
        <v>72</v>
      </c>
      <c r="B87" s="40" t="s">
        <v>40</v>
      </c>
      <c r="C87" s="40"/>
      <c r="D87" s="41">
        <f t="shared" ref="D87:M88" si="33">-(D47-C47)</f>
        <v>-5917.8082191780823</v>
      </c>
      <c r="E87" s="41">
        <f t="shared" si="33"/>
        <v>-178.71780821917764</v>
      </c>
      <c r="F87" s="41">
        <f t="shared" si="33"/>
        <v>-184.11508602739741</v>
      </c>
      <c r="G87" s="41">
        <f t="shared" si="33"/>
        <v>-189.67536162542365</v>
      </c>
      <c r="H87" s="41">
        <f t="shared" si="33"/>
        <v>-195.40355754651409</v>
      </c>
      <c r="I87" s="41">
        <f t="shared" si="33"/>
        <v>-201.30474498441708</v>
      </c>
      <c r="J87" s="41">
        <f t="shared" si="33"/>
        <v>-207.38414828294663</v>
      </c>
      <c r="K87" s="41">
        <f t="shared" si="33"/>
        <v>-213.64714956109037</v>
      </c>
      <c r="L87" s="41">
        <f t="shared" si="33"/>
        <v>-220.09929347783691</v>
      </c>
      <c r="M87" s="41">
        <f t="shared" si="33"/>
        <v>-226.74629214086781</v>
      </c>
      <c r="O87" s="1"/>
      <c r="P87" s="1"/>
    </row>
    <row r="88" spans="1:16" x14ac:dyDescent="0.25">
      <c r="A88" s="48" t="s">
        <v>72</v>
      </c>
      <c r="B88" s="40" t="s">
        <v>41</v>
      </c>
      <c r="C88" s="40"/>
      <c r="D88" s="41">
        <f>-(D48-C48)</f>
        <v>-2712.3287671232874</v>
      </c>
      <c r="E88" s="41">
        <f t="shared" si="33"/>
        <v>-26.027506849315159</v>
      </c>
      <c r="F88" s="41">
        <f t="shared" si="33"/>
        <v>-26.277266805041108</v>
      </c>
      <c r="G88" s="41">
        <f t="shared" si="33"/>
        <v>-26.529423457302073</v>
      </c>
      <c r="H88" s="41">
        <f t="shared" si="33"/>
        <v>-26.783999804797986</v>
      </c>
      <c r="I88" s="41">
        <f t="shared" si="33"/>
        <v>-27.041019066925401</v>
      </c>
      <c r="J88" s="41">
        <f t="shared" si="33"/>
        <v>-27.300504685892065</v>
      </c>
      <c r="K88" s="41">
        <f t="shared" si="33"/>
        <v>-27.562480328857418</v>
      </c>
      <c r="L88" s="41">
        <f t="shared" si="33"/>
        <v>-27.826969890092641</v>
      </c>
      <c r="M88" s="41">
        <f t="shared" si="33"/>
        <v>-28.09399749315844</v>
      </c>
      <c r="O88" s="1"/>
      <c r="P88" s="1"/>
    </row>
    <row r="89" spans="1:16" x14ac:dyDescent="0.25">
      <c r="A89" s="48" t="s">
        <v>73</v>
      </c>
      <c r="B89" s="40" t="s">
        <v>49</v>
      </c>
      <c r="C89" s="40"/>
      <c r="D89" s="41">
        <f>(D58-C58)</f>
        <v>13561.643835616438</v>
      </c>
      <c r="E89" s="41">
        <f>(E58-D58)</f>
        <v>409.56164383561736</v>
      </c>
      <c r="F89" s="41">
        <f>(F58-E58)</f>
        <v>421.93040547945202</v>
      </c>
      <c r="G89" s="41">
        <f>(G58-F58)</f>
        <v>434.67270372493113</v>
      </c>
      <c r="H89" s="41">
        <f t="shared" ref="H89:M89" si="34">(H58-G58)</f>
        <v>447.79981937742195</v>
      </c>
      <c r="I89" s="41">
        <f t="shared" si="34"/>
        <v>461.32337392262343</v>
      </c>
      <c r="J89" s="41">
        <f t="shared" si="34"/>
        <v>475.2553398150867</v>
      </c>
      <c r="K89" s="41">
        <f t="shared" si="34"/>
        <v>489.60805107750275</v>
      </c>
      <c r="L89" s="41">
        <f t="shared" si="34"/>
        <v>504.39421422003943</v>
      </c>
      <c r="M89" s="41">
        <f t="shared" si="34"/>
        <v>519.6269194894885</v>
      </c>
      <c r="O89" s="1"/>
      <c r="P89" s="1"/>
    </row>
    <row r="90" spans="1:16" x14ac:dyDescent="0.25">
      <c r="A90" s="48" t="s">
        <v>73</v>
      </c>
      <c r="B90" s="40" t="s">
        <v>74</v>
      </c>
      <c r="C90" s="40"/>
      <c r="D90" s="41">
        <f>(D75-C75)</f>
        <v>9011.7333333333336</v>
      </c>
      <c r="E90" s="41">
        <f>(E75-D75)</f>
        <v>2299.6000000000004</v>
      </c>
      <c r="F90" s="41">
        <f>(F75-E75)</f>
        <v>2369.6191200000012</v>
      </c>
      <c r="G90" s="41">
        <f>(G75-F75)</f>
        <v>2441.7642414239817</v>
      </c>
      <c r="H90" s="41">
        <f t="shared" ref="H90:M90" si="35">(H75-G75)</f>
        <v>2516.0997979950407</v>
      </c>
      <c r="I90" s="41">
        <f t="shared" si="35"/>
        <v>2592.6921739040517</v>
      </c>
      <c r="J90" s="41">
        <f t="shared" si="35"/>
        <v>2671.6097628057469</v>
      </c>
      <c r="K90" s="41">
        <f t="shared" si="35"/>
        <v>2752.9230285972226</v>
      </c>
      <c r="L90" s="41">
        <f t="shared" si="35"/>
        <v>2836.7045680348056</v>
      </c>
      <c r="M90" s="41">
        <f t="shared" si="35"/>
        <v>2923.0291752428166</v>
      </c>
      <c r="O90" s="1"/>
      <c r="P90" s="1"/>
    </row>
    <row r="91" spans="1:16" x14ac:dyDescent="0.25">
      <c r="A91" s="40"/>
      <c r="B91" s="40"/>
      <c r="C91" s="40"/>
      <c r="D91" s="40"/>
      <c r="E91" s="40"/>
      <c r="F91" s="40"/>
      <c r="G91" s="40"/>
      <c r="H91" s="19"/>
      <c r="I91" s="19"/>
      <c r="J91" s="38"/>
      <c r="K91" s="19"/>
      <c r="L91" s="19"/>
      <c r="M91" s="19"/>
      <c r="O91" s="1"/>
      <c r="P91" s="1"/>
    </row>
    <row r="92" spans="1:16" x14ac:dyDescent="0.25">
      <c r="A92" s="39" t="s">
        <v>75</v>
      </c>
      <c r="B92" s="40"/>
      <c r="C92" s="40"/>
      <c r="D92" s="40"/>
      <c r="E92" s="40"/>
      <c r="F92" s="40"/>
      <c r="G92" s="40"/>
      <c r="H92" s="19"/>
      <c r="I92" s="19"/>
      <c r="J92" s="38"/>
      <c r="K92" s="19"/>
      <c r="L92" s="19"/>
      <c r="M92" s="19"/>
      <c r="O92" s="1"/>
      <c r="P92" s="1"/>
    </row>
    <row r="93" spans="1:16" x14ac:dyDescent="0.25">
      <c r="A93" s="48" t="s">
        <v>73</v>
      </c>
      <c r="B93" s="40" t="s">
        <v>40</v>
      </c>
      <c r="C93" s="40"/>
      <c r="D93" s="40"/>
      <c r="E93" s="40"/>
      <c r="F93" s="40"/>
      <c r="G93" s="41"/>
      <c r="H93" s="41"/>
      <c r="I93" s="41"/>
      <c r="J93" s="41"/>
      <c r="K93" s="41"/>
      <c r="L93" s="41"/>
      <c r="M93" s="41">
        <f t="shared" ref="M93:M94" si="36">M47</f>
        <v>7734.9016610437538</v>
      </c>
      <c r="O93" s="1"/>
      <c r="P93" s="1"/>
    </row>
    <row r="94" spans="1:16" x14ac:dyDescent="0.25">
      <c r="A94" s="48" t="s">
        <v>73</v>
      </c>
      <c r="B94" s="40" t="s">
        <v>41</v>
      </c>
      <c r="C94" s="40"/>
      <c r="D94" s="40"/>
      <c r="E94" s="40"/>
      <c r="F94" s="40"/>
      <c r="G94" s="41"/>
      <c r="H94" s="41"/>
      <c r="I94" s="41"/>
      <c r="J94" s="41"/>
      <c r="K94" s="41"/>
      <c r="L94" s="41"/>
      <c r="M94" s="41">
        <f t="shared" si="36"/>
        <v>2955.7719355046697</v>
      </c>
      <c r="O94" s="1"/>
      <c r="P94" s="1"/>
    </row>
    <row r="95" spans="1:16" x14ac:dyDescent="0.25">
      <c r="A95" s="48" t="s">
        <v>72</v>
      </c>
      <c r="B95" s="40" t="s">
        <v>49</v>
      </c>
      <c r="C95" s="40"/>
      <c r="D95" s="40"/>
      <c r="E95" s="40"/>
      <c r="F95" s="40"/>
      <c r="G95" s="41"/>
      <c r="H95" s="41"/>
      <c r="I95" s="41"/>
      <c r="J95" s="41"/>
      <c r="K95" s="41"/>
      <c r="L95" s="41"/>
      <c r="M95" s="41">
        <f t="shared" ref="M95" si="37">-M58</f>
        <v>-17725.816306558601</v>
      </c>
      <c r="O95" s="1"/>
      <c r="P95" s="1"/>
    </row>
    <row r="96" spans="1:16" x14ac:dyDescent="0.25">
      <c r="A96" s="48" t="s">
        <v>72</v>
      </c>
      <c r="B96" s="40" t="s">
        <v>50</v>
      </c>
      <c r="C96" s="40"/>
      <c r="D96" s="40"/>
      <c r="E96" s="40"/>
      <c r="F96" s="40"/>
      <c r="G96" s="41"/>
      <c r="H96" s="41"/>
      <c r="I96" s="41"/>
      <c r="J96" s="41"/>
      <c r="K96" s="41"/>
      <c r="L96" s="41"/>
      <c r="M96" s="41">
        <f t="shared" ref="M96" si="38">-M75</f>
        <v>-32415.775201337001</v>
      </c>
      <c r="O96" s="1"/>
      <c r="P96" s="1"/>
    </row>
    <row r="97" spans="1:16" ht="7.5" customHeight="1" x14ac:dyDescent="0.25">
      <c r="A97" s="40"/>
      <c r="B97" s="40"/>
      <c r="C97" s="40"/>
      <c r="D97" s="40"/>
      <c r="E97" s="40"/>
      <c r="F97" s="40"/>
      <c r="G97" s="40"/>
      <c r="H97" s="19"/>
      <c r="I97" s="19"/>
      <c r="J97" s="38"/>
      <c r="K97" s="19"/>
      <c r="L97" s="19"/>
      <c r="M97" s="19"/>
      <c r="O97" s="1"/>
      <c r="P97" s="1"/>
    </row>
    <row r="98" spans="1:16" x14ac:dyDescent="0.25">
      <c r="A98" s="39" t="s">
        <v>76</v>
      </c>
      <c r="B98" s="40"/>
      <c r="C98" s="36">
        <v>-668953.54284267104</v>
      </c>
      <c r="D98" s="36">
        <f>SUM(D77:D96)</f>
        <v>58323.506849315061</v>
      </c>
      <c r="E98" s="36">
        <f>SUM(E77:E96)</f>
        <v>56083.08299543379</v>
      </c>
      <c r="F98" s="36">
        <f>SUM(F77:F96)</f>
        <v>65638.300319313683</v>
      </c>
      <c r="G98" s="36">
        <f>SUM(G77:G96)</f>
        <v>75484.432272428778</v>
      </c>
      <c r="H98" s="36">
        <f>SUM(H77:H96)</f>
        <v>85630.311364363908</v>
      </c>
      <c r="I98" s="36">
        <f t="shared" ref="I98:M98" si="39">SUM(I77:I96)</f>
        <v>96085.037783734297</v>
      </c>
      <c r="J98" s="36">
        <f t="shared" si="39"/>
        <v>106857.98750083394</v>
      </c>
      <c r="K98" s="36">
        <f t="shared" si="39"/>
        <v>117958.82061535562</v>
      </c>
      <c r="L98" s="36">
        <f t="shared" si="39"/>
        <v>129397.48995659698</v>
      </c>
      <c r="M98" s="36">
        <f t="shared" si="39"/>
        <v>530066.66536576592</v>
      </c>
      <c r="O98" s="1"/>
      <c r="P98" s="1"/>
    </row>
    <row r="99" spans="1:16" x14ac:dyDescent="0.25">
      <c r="A99" s="39" t="s">
        <v>77</v>
      </c>
      <c r="B99" s="40"/>
      <c r="C99" s="49">
        <f>-PV($C$101,C100,,C98)</f>
        <v>-668953.54284267104</v>
      </c>
      <c r="D99" s="49">
        <f>-PV($C$101,D100,,D98)</f>
        <v>53507.804448912895</v>
      </c>
      <c r="E99" s="49">
        <f>-PV($C$101,E100,,E98)</f>
        <v>47204.008917964631</v>
      </c>
      <c r="F99" s="49">
        <f>-PV($C$101,F100,,F98)</f>
        <v>50684.811165860898</v>
      </c>
      <c r="G99" s="49">
        <f>-PV($C$101,G100,,G98)</f>
        <v>53475.074864731883</v>
      </c>
      <c r="H99" s="49">
        <f t="shared" ref="H99:L99" si="40">-PV($C$101,H100,,H98)</f>
        <v>55653.826974199983</v>
      </c>
      <c r="I99" s="49">
        <f t="shared" si="40"/>
        <v>57292.368632395701</v>
      </c>
      <c r="J99" s="49">
        <f t="shared" si="40"/>
        <v>58454.978497995333</v>
      </c>
      <c r="K99" s="49">
        <f t="shared" si="40"/>
        <v>59199.554456815953</v>
      </c>
      <c r="L99" s="49">
        <f t="shared" si="40"/>
        <v>59578.198975698804</v>
      </c>
      <c r="M99" s="49">
        <f>-PV($C$101,M100,,M98)</f>
        <v>223905.88782566029</v>
      </c>
      <c r="O99" s="1"/>
      <c r="P99" s="1"/>
    </row>
    <row r="100" spans="1:16" x14ac:dyDescent="0.25">
      <c r="A100" s="40"/>
      <c r="B100" s="40"/>
      <c r="C100" s="40">
        <v>0</v>
      </c>
      <c r="D100" s="40">
        <v>1</v>
      </c>
      <c r="E100" s="40">
        <v>2</v>
      </c>
      <c r="F100" s="40">
        <v>3</v>
      </c>
      <c r="G100" s="40">
        <v>4</v>
      </c>
      <c r="H100" s="19">
        <v>5</v>
      </c>
      <c r="I100" s="19">
        <v>6</v>
      </c>
      <c r="J100" s="38">
        <v>7</v>
      </c>
      <c r="K100" s="19">
        <v>8</v>
      </c>
      <c r="L100" s="19">
        <v>9</v>
      </c>
      <c r="M100" s="19">
        <v>10</v>
      </c>
      <c r="O100" s="1"/>
      <c r="P100" s="1"/>
    </row>
    <row r="101" spans="1:16" x14ac:dyDescent="0.25">
      <c r="A101" s="40" t="s">
        <v>78</v>
      </c>
      <c r="B101" s="40"/>
      <c r="C101" s="50">
        <v>0.09</v>
      </c>
      <c r="D101" s="40"/>
      <c r="E101" s="40"/>
      <c r="F101" s="40"/>
      <c r="G101" s="40"/>
      <c r="H101" s="19"/>
      <c r="I101" s="19"/>
      <c r="J101" s="38"/>
      <c r="K101" s="19"/>
      <c r="L101" s="19"/>
      <c r="M101" s="19"/>
      <c r="O101" s="1"/>
      <c r="P101" s="1"/>
    </row>
    <row r="102" spans="1:16" x14ac:dyDescent="0.25">
      <c r="A102" s="39" t="s">
        <v>79</v>
      </c>
      <c r="B102" s="40"/>
      <c r="C102" s="51">
        <f>SUM(C99:M99)</f>
        <v>50002.971917565272</v>
      </c>
      <c r="D102" s="40"/>
      <c r="E102" s="40"/>
      <c r="F102" s="40"/>
      <c r="G102" s="40"/>
      <c r="H102" s="19"/>
      <c r="I102" s="19"/>
      <c r="J102" s="38"/>
      <c r="K102" s="19"/>
      <c r="L102" s="19"/>
      <c r="M102" s="19"/>
      <c r="O102" s="1"/>
      <c r="P102" s="1"/>
    </row>
    <row r="103" spans="1:16" x14ac:dyDescent="0.25">
      <c r="A103" s="39" t="s">
        <v>80</v>
      </c>
      <c r="B103" s="40"/>
      <c r="C103" s="52">
        <f>IRR(C98:M98)</f>
        <v>0.10194259930530336</v>
      </c>
      <c r="D103" s="40"/>
      <c r="E103" s="40"/>
      <c r="F103" s="40"/>
      <c r="G103" s="40"/>
      <c r="H103" s="19"/>
      <c r="I103" s="19"/>
      <c r="J103" s="38"/>
      <c r="K103" s="19"/>
      <c r="L103" s="19"/>
      <c r="M103" s="19"/>
      <c r="O103" s="1"/>
      <c r="P103" s="1"/>
    </row>
    <row r="104" spans="1:16" x14ac:dyDescent="0.25">
      <c r="A104" s="39"/>
      <c r="B104" s="40"/>
      <c r="C104" s="53"/>
      <c r="D104" s="40"/>
      <c r="E104" s="40"/>
      <c r="F104" s="40"/>
      <c r="G104" s="40"/>
      <c r="H104" s="19"/>
      <c r="I104" s="19"/>
      <c r="J104" s="38"/>
      <c r="K104" s="19"/>
      <c r="L104" s="19"/>
      <c r="M104" s="19"/>
      <c r="O104" s="1"/>
      <c r="P104" s="1"/>
    </row>
    <row r="105" spans="1:16" x14ac:dyDescent="0.25">
      <c r="A105" s="39"/>
      <c r="B105" s="40"/>
      <c r="C105" s="53"/>
      <c r="D105" s="40"/>
      <c r="E105" s="40"/>
      <c r="F105" s="40"/>
      <c r="G105" s="40"/>
      <c r="H105" s="19"/>
      <c r="I105" s="19"/>
      <c r="J105" s="38"/>
      <c r="K105" s="19"/>
      <c r="L105" s="19"/>
      <c r="M105" s="19"/>
      <c r="O105" s="1"/>
      <c r="P105" s="1"/>
    </row>
    <row r="106" spans="1:16" hidden="1" x14ac:dyDescent="0.25">
      <c r="A106" s="54" t="s">
        <v>81</v>
      </c>
      <c r="B106" s="55"/>
      <c r="C106" s="56"/>
      <c r="D106" s="57"/>
      <c r="E106" s="57"/>
      <c r="F106" s="57"/>
      <c r="G106" s="57"/>
      <c r="H106" s="58"/>
      <c r="I106" s="58"/>
      <c r="J106" s="59"/>
      <c r="K106" s="58"/>
      <c r="L106" s="58"/>
      <c r="M106" s="60"/>
      <c r="O106" s="1"/>
      <c r="P106" s="1"/>
    </row>
    <row r="107" spans="1:16" hidden="1" x14ac:dyDescent="0.25">
      <c r="A107" s="61"/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4"/>
      <c r="O107" s="1"/>
      <c r="P107" s="1"/>
    </row>
    <row r="108" spans="1:16" hidden="1" x14ac:dyDescent="0.25">
      <c r="A108" s="65" t="s">
        <v>76</v>
      </c>
      <c r="B108" s="44"/>
      <c r="C108" s="66">
        <v>-700000</v>
      </c>
      <c r="D108" s="66">
        <v>58323.51</v>
      </c>
      <c r="E108" s="66">
        <v>56083.08</v>
      </c>
      <c r="F108" s="66">
        <v>65638.3</v>
      </c>
      <c r="G108" s="66">
        <v>75484.429999999993</v>
      </c>
      <c r="H108" s="66">
        <v>85630.31</v>
      </c>
      <c r="I108" s="66">
        <v>96085.04</v>
      </c>
      <c r="J108" s="66">
        <v>106857.99</v>
      </c>
      <c r="K108" s="66">
        <v>117958.82</v>
      </c>
      <c r="L108" s="66">
        <v>129397.49</v>
      </c>
      <c r="M108" s="67">
        <v>650000</v>
      </c>
      <c r="O108" s="1"/>
      <c r="P108" s="1"/>
    </row>
    <row r="109" spans="1:16" hidden="1" x14ac:dyDescent="0.25">
      <c r="A109" s="65" t="s">
        <v>77</v>
      </c>
      <c r="B109" s="44"/>
      <c r="C109" s="68">
        <f>-PV($C$101,C110,,C108)</f>
        <v>-700000</v>
      </c>
      <c r="D109" s="68">
        <f>-PV($C$101,D110,,D108)</f>
        <v>53507.807339449537</v>
      </c>
      <c r="E109" s="68">
        <f t="shared" ref="E109:M109" si="41">-PV($C$101,E110,,E108)</f>
        <v>47204.006396767945</v>
      </c>
      <c r="F109" s="68">
        <f t="shared" si="41"/>
        <v>50684.810919292147</v>
      </c>
      <c r="G109" s="68">
        <f t="shared" si="41"/>
        <v>53475.07325488604</v>
      </c>
      <c r="H109" s="68">
        <f t="shared" si="41"/>
        <v>55653.826087457055</v>
      </c>
      <c r="I109" s="68">
        <f t="shared" si="41"/>
        <v>57292.369953882524</v>
      </c>
      <c r="J109" s="68">
        <f t="shared" si="41"/>
        <v>58454.979865124755</v>
      </c>
      <c r="K109" s="68">
        <f t="shared" si="41"/>
        <v>59199.554147989715</v>
      </c>
      <c r="L109" s="68">
        <f t="shared" si="41"/>
        <v>59578.19899568276</v>
      </c>
      <c r="M109" s="69">
        <f t="shared" si="41"/>
        <v>274567.02448219783</v>
      </c>
      <c r="O109" s="1"/>
      <c r="P109" s="1"/>
    </row>
    <row r="110" spans="1:16" hidden="1" x14ac:dyDescent="0.25">
      <c r="A110" s="70"/>
      <c r="B110" s="44"/>
      <c r="C110" s="44">
        <v>0</v>
      </c>
      <c r="D110" s="44">
        <v>1</v>
      </c>
      <c r="E110" s="44">
        <v>2</v>
      </c>
      <c r="F110" s="44">
        <v>3</v>
      </c>
      <c r="G110" s="44">
        <v>4</v>
      </c>
      <c r="H110" s="71">
        <v>5</v>
      </c>
      <c r="I110" s="71">
        <v>6</v>
      </c>
      <c r="J110" s="72">
        <v>7</v>
      </c>
      <c r="K110" s="71">
        <v>8</v>
      </c>
      <c r="L110" s="71">
        <v>9</v>
      </c>
      <c r="M110" s="73">
        <v>10</v>
      </c>
      <c r="O110" s="1"/>
      <c r="P110" s="1"/>
    </row>
    <row r="111" spans="1:16" hidden="1" x14ac:dyDescent="0.25">
      <c r="A111" s="70" t="s">
        <v>78</v>
      </c>
      <c r="B111" s="44"/>
      <c r="C111" s="74">
        <v>0.09</v>
      </c>
      <c r="D111" s="44"/>
      <c r="E111" s="44"/>
      <c r="F111" s="44"/>
      <c r="G111" s="44"/>
      <c r="H111" s="71"/>
      <c r="I111" s="71"/>
      <c r="J111" s="72"/>
      <c r="K111" s="71"/>
      <c r="L111" s="71"/>
      <c r="M111" s="73"/>
      <c r="O111" s="1"/>
      <c r="P111" s="1"/>
    </row>
    <row r="112" spans="1:16" hidden="1" x14ac:dyDescent="0.25">
      <c r="A112" s="65" t="s">
        <v>79</v>
      </c>
      <c r="B112" s="44"/>
      <c r="C112" s="51">
        <f>SUM(C109:M109)</f>
        <v>69617.651442730275</v>
      </c>
      <c r="D112" s="44"/>
      <c r="E112" s="44"/>
      <c r="F112" s="44"/>
      <c r="G112" s="44"/>
      <c r="H112" s="71"/>
      <c r="I112" s="71"/>
      <c r="J112" s="72"/>
      <c r="K112" s="71"/>
      <c r="L112" s="71"/>
      <c r="M112" s="73"/>
      <c r="O112" s="1"/>
      <c r="P112" s="1"/>
    </row>
    <row r="113" spans="1:16" hidden="1" x14ac:dyDescent="0.25">
      <c r="A113" s="65" t="s">
        <v>80</v>
      </c>
      <c r="B113" s="44"/>
      <c r="C113" s="75">
        <f>IRR(C108:M108)</f>
        <v>0.10526026005363476</v>
      </c>
      <c r="D113" s="44"/>
      <c r="E113" s="44"/>
      <c r="F113" s="44"/>
      <c r="G113" s="44"/>
      <c r="H113" s="71"/>
      <c r="I113" s="71"/>
      <c r="J113" s="72"/>
      <c r="K113" s="71"/>
      <c r="L113" s="71"/>
      <c r="M113" s="73"/>
      <c r="O113" s="1"/>
      <c r="P113" s="1"/>
    </row>
    <row r="114" spans="1:16" hidden="1" x14ac:dyDescent="0.25">
      <c r="A114" s="65"/>
      <c r="B114" s="44"/>
      <c r="C114" s="53"/>
      <c r="D114" s="44"/>
      <c r="E114" s="44"/>
      <c r="F114" s="44"/>
      <c r="G114" s="44"/>
      <c r="H114" s="71"/>
      <c r="I114" s="71"/>
      <c r="J114" s="72"/>
      <c r="K114" s="71"/>
      <c r="L114" s="71"/>
      <c r="M114" s="73"/>
      <c r="O114" s="1"/>
      <c r="P114" s="1"/>
    </row>
    <row r="115" spans="1:16" hidden="1" x14ac:dyDescent="0.25">
      <c r="A115" s="65"/>
      <c r="B115" s="44"/>
      <c r="C115" s="53"/>
      <c r="D115" s="44"/>
      <c r="E115" s="44"/>
      <c r="F115" s="44"/>
      <c r="G115" s="44"/>
      <c r="H115" s="71"/>
      <c r="I115" s="71"/>
      <c r="J115" s="72"/>
      <c r="K115" s="71"/>
      <c r="L115" s="71"/>
      <c r="M115" s="73"/>
      <c r="O115" s="1"/>
      <c r="P115" s="1"/>
    </row>
    <row r="116" spans="1:16" ht="15.75" hidden="1" thickBot="1" x14ac:dyDescent="0.3">
      <c r="A116" s="76"/>
      <c r="B116" s="77"/>
      <c r="C116" s="78"/>
      <c r="D116" s="77"/>
      <c r="E116" s="77"/>
      <c r="F116" s="77"/>
      <c r="G116" s="77"/>
      <c r="H116" s="79"/>
      <c r="I116" s="79"/>
      <c r="J116" s="80"/>
      <c r="K116" s="79"/>
      <c r="L116" s="79"/>
      <c r="M116" s="81"/>
      <c r="O116" s="1"/>
      <c r="P116" s="1"/>
    </row>
    <row r="117" spans="1:16" hidden="1" x14ac:dyDescent="0.25">
      <c r="A117" s="39"/>
      <c r="B117" s="40"/>
      <c r="C117" s="53"/>
      <c r="D117" s="40"/>
      <c r="E117" s="40"/>
      <c r="F117" s="40"/>
      <c r="G117" s="40"/>
      <c r="H117" s="19"/>
      <c r="I117" s="19"/>
      <c r="J117" s="38"/>
      <c r="K117" s="19"/>
      <c r="L117" s="19"/>
      <c r="M117" s="19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J118" s="1"/>
      <c r="O118" s="1"/>
      <c r="P118" s="1"/>
    </row>
    <row r="119" spans="1:16" x14ac:dyDescent="0.25">
      <c r="A119" s="82" t="s">
        <v>82</v>
      </c>
      <c r="B119" s="1"/>
      <c r="C119" s="1"/>
      <c r="D119" s="1"/>
      <c r="E119" s="1"/>
      <c r="F119" s="1"/>
      <c r="G119" s="1"/>
      <c r="H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</row>
    <row r="121" spans="1:16" x14ac:dyDescent="0.25">
      <c r="A121" s="1" t="s">
        <v>83</v>
      </c>
      <c r="B121" s="1"/>
      <c r="C121" s="1" t="s">
        <v>84</v>
      </c>
      <c r="D121" s="1" t="s">
        <v>85</v>
      </c>
      <c r="E121" s="1"/>
      <c r="F121" s="1"/>
      <c r="G121" s="1"/>
      <c r="H121" s="1"/>
    </row>
    <row r="122" spans="1:16" x14ac:dyDescent="0.25">
      <c r="A122" s="1"/>
      <c r="B122" s="1" t="s">
        <v>86</v>
      </c>
      <c r="C122" s="83">
        <f>C139</f>
        <v>1.7834094510526564</v>
      </c>
      <c r="D122" s="1">
        <v>0.94</v>
      </c>
      <c r="E122" s="1"/>
      <c r="F122" s="1"/>
      <c r="G122" s="1"/>
      <c r="H122" s="1"/>
    </row>
    <row r="123" spans="1:16" x14ac:dyDescent="0.25">
      <c r="A123" s="1"/>
      <c r="B123" s="1" t="s">
        <v>87</v>
      </c>
      <c r="C123" s="84">
        <v>0.01</v>
      </c>
      <c r="D123" s="1"/>
      <c r="E123" s="1"/>
      <c r="F123" s="1"/>
      <c r="G123" s="1"/>
      <c r="H123" s="1"/>
    </row>
    <row r="124" spans="1:16" x14ac:dyDescent="0.25">
      <c r="A124" s="1"/>
      <c r="B124" s="1" t="s">
        <v>88</v>
      </c>
      <c r="C124" s="84">
        <v>8.2000000000000003E-2</v>
      </c>
      <c r="D124" s="1"/>
      <c r="E124" s="1"/>
      <c r="F124" s="1"/>
      <c r="G124" s="1"/>
      <c r="H124" s="1"/>
    </row>
    <row r="125" spans="1:16" x14ac:dyDescent="0.25">
      <c r="A125" s="1"/>
      <c r="B125" s="1"/>
      <c r="C125" s="84"/>
      <c r="D125" s="1"/>
      <c r="E125" s="1"/>
      <c r="F125" s="1"/>
      <c r="G125" s="1"/>
      <c r="H125" s="1"/>
    </row>
    <row r="126" spans="1:16" x14ac:dyDescent="0.25">
      <c r="A126" s="1"/>
      <c r="B126" s="18" t="s">
        <v>89</v>
      </c>
      <c r="C126" s="84">
        <f>C123+C122*(C124-C123)</f>
        <v>0.13840548047579129</v>
      </c>
      <c r="D126" s="1"/>
      <c r="E126" s="1"/>
      <c r="F126" s="1"/>
      <c r="G126" s="1"/>
      <c r="H126" s="1"/>
    </row>
    <row r="127" spans="1:16" x14ac:dyDescent="0.25">
      <c r="A127" s="1"/>
      <c r="B127" s="18"/>
      <c r="C127" s="84"/>
      <c r="D127" s="1"/>
      <c r="E127" s="1"/>
      <c r="F127" s="1"/>
      <c r="G127" s="1"/>
      <c r="H127" s="1"/>
    </row>
    <row r="128" spans="1:16" x14ac:dyDescent="0.25">
      <c r="A128" s="1"/>
      <c r="B128" s="18" t="s">
        <v>90</v>
      </c>
      <c r="C128" s="84" t="s">
        <v>91</v>
      </c>
      <c r="D128" s="1" t="s">
        <v>92</v>
      </c>
      <c r="E128" s="1" t="s">
        <v>93</v>
      </c>
      <c r="F128" s="1" t="s">
        <v>94</v>
      </c>
      <c r="G128" s="1"/>
      <c r="H128" s="1"/>
      <c r="J128" s="46"/>
    </row>
    <row r="129" spans="1:15" x14ac:dyDescent="0.25">
      <c r="A129" s="1"/>
      <c r="B129" s="85">
        <f>AVERAGE(D61:M61)</f>
        <v>188095.11045170898</v>
      </c>
      <c r="C129" s="86">
        <f>B129/B134</f>
        <v>0.33255051699608562</v>
      </c>
      <c r="D129" s="10">
        <v>0.08</v>
      </c>
      <c r="E129" s="15">
        <f>D129*(1-$O$40)</f>
        <v>6.4000000000000001E-2</v>
      </c>
      <c r="F129" s="87">
        <f>C129*E129</f>
        <v>2.128323308774948E-2</v>
      </c>
      <c r="G129" s="1"/>
      <c r="H129" s="1"/>
    </row>
    <row r="130" spans="1:15" x14ac:dyDescent="0.25">
      <c r="A130" s="1"/>
      <c r="B130" s="85">
        <f>AVERAGE(D62:M62)</f>
        <v>110915.21226129978</v>
      </c>
      <c r="C130" s="86">
        <f>B130/B134</f>
        <v>0.19609712922173778</v>
      </c>
      <c r="D130" s="87">
        <v>0.115</v>
      </c>
      <c r="E130" s="15">
        <f>D130*(1-$O$40)</f>
        <v>9.2000000000000012E-2</v>
      </c>
      <c r="F130" s="87">
        <f>C130*E130</f>
        <v>1.8040935888399879E-2</v>
      </c>
      <c r="G130" s="1"/>
      <c r="H130" s="1"/>
    </row>
    <row r="131" spans="1:15" x14ac:dyDescent="0.25">
      <c r="A131" s="1"/>
      <c r="B131" s="85"/>
      <c r="C131" s="84"/>
      <c r="D131" s="10"/>
      <c r="E131" s="15"/>
      <c r="F131" s="87"/>
      <c r="G131" s="1"/>
      <c r="H131" s="1"/>
    </row>
    <row r="132" spans="1:15" x14ac:dyDescent="0.25">
      <c r="A132" s="1"/>
      <c r="B132" s="85">
        <f>AVERAGE(D64:M64)</f>
        <v>500</v>
      </c>
      <c r="C132" s="84">
        <f>(B132+B133)/B134</f>
        <v>0.47135235378217666</v>
      </c>
      <c r="D132" s="87">
        <f>C126</f>
        <v>0.13840548047579129</v>
      </c>
      <c r="E132" s="15">
        <f>D132</f>
        <v>0.13840548047579129</v>
      </c>
      <c r="F132" s="87">
        <f>C132*E132</f>
        <v>6.5237748998617326E-2</v>
      </c>
      <c r="G132" s="1"/>
      <c r="H132" s="1"/>
    </row>
    <row r="133" spans="1:15" x14ac:dyDescent="0.25">
      <c r="A133" s="1"/>
      <c r="B133" s="85">
        <f>AVERAGE(D65:M65)</f>
        <v>266103.32345047931</v>
      </c>
      <c r="C133" s="84"/>
      <c r="D133" s="1"/>
      <c r="E133" s="1"/>
      <c r="F133" s="1"/>
      <c r="G133" s="1"/>
      <c r="H133" s="1"/>
    </row>
    <row r="134" spans="1:15" x14ac:dyDescent="0.25">
      <c r="A134" s="82" t="s">
        <v>95</v>
      </c>
      <c r="B134" s="85">
        <f>SUM(B129:B133)</f>
        <v>565613.64616348804</v>
      </c>
      <c r="C134" s="84"/>
      <c r="D134" s="1"/>
      <c r="E134" s="1"/>
      <c r="F134" s="88">
        <f>SUM(F129:F132)</f>
        <v>0.10456191797476669</v>
      </c>
      <c r="G134" s="82" t="s">
        <v>82</v>
      </c>
      <c r="H134" s="1"/>
    </row>
    <row r="135" spans="1:15" x14ac:dyDescent="0.25">
      <c r="A135" s="89"/>
      <c r="B135" s="89"/>
      <c r="C135" s="90"/>
      <c r="D135" s="89"/>
      <c r="E135" s="89"/>
      <c r="F135" s="89"/>
      <c r="G135" s="89"/>
      <c r="H135" s="1"/>
    </row>
    <row r="136" spans="1:15" ht="15.75" thickBot="1" x14ac:dyDescent="0.3">
      <c r="A136" s="1"/>
      <c r="B136" s="1"/>
      <c r="C136" s="84"/>
      <c r="D136" s="1"/>
      <c r="E136" s="1"/>
      <c r="F136" s="1"/>
      <c r="G136" s="1"/>
      <c r="H136" s="1"/>
    </row>
    <row r="137" spans="1:15" x14ac:dyDescent="0.25">
      <c r="A137" s="1"/>
      <c r="B137" s="91" t="s">
        <v>96</v>
      </c>
      <c r="C137" s="92">
        <f>D122</f>
        <v>0.94</v>
      </c>
      <c r="D137" s="1"/>
      <c r="E137" s="1"/>
      <c r="F137" s="1"/>
      <c r="G137" s="1"/>
      <c r="H137" s="1"/>
    </row>
    <row r="138" spans="1:15" x14ac:dyDescent="0.25">
      <c r="A138" s="1"/>
      <c r="B138" s="93" t="s">
        <v>97</v>
      </c>
      <c r="C138" s="94">
        <f>O40</f>
        <v>0.2</v>
      </c>
      <c r="D138" s="1"/>
      <c r="E138" s="1"/>
      <c r="F138" s="1"/>
      <c r="G138" s="1"/>
      <c r="H138" s="1"/>
    </row>
    <row r="139" spans="1:15" ht="15.75" thickBot="1" x14ac:dyDescent="0.3">
      <c r="A139" s="1"/>
      <c r="B139" s="95" t="s">
        <v>98</v>
      </c>
      <c r="C139" s="96">
        <f>C137*(1+(1-C138)*((C129+C130)/C132))</f>
        <v>1.7834094510526564</v>
      </c>
      <c r="D139" s="1"/>
      <c r="E139" s="1"/>
      <c r="F139" s="1"/>
      <c r="G139" s="1"/>
      <c r="H139" s="1"/>
    </row>
    <row r="140" spans="1:15" x14ac:dyDescent="0.25">
      <c r="A140" s="1"/>
      <c r="B140" s="1"/>
      <c r="D140" s="1"/>
      <c r="E140" s="1"/>
      <c r="F140" s="1"/>
      <c r="G140" s="1"/>
      <c r="H140" s="1"/>
    </row>
    <row r="141" spans="1:15" x14ac:dyDescent="0.25">
      <c r="A141" s="118"/>
      <c r="B141" s="119"/>
      <c r="C141" s="97"/>
      <c r="D141" s="119"/>
      <c r="E141" s="119"/>
      <c r="F141" s="119"/>
      <c r="G141" s="119"/>
      <c r="H141" s="119"/>
      <c r="I141" s="120"/>
      <c r="J141" s="120"/>
      <c r="K141" s="120"/>
      <c r="L141" s="120"/>
      <c r="M141" s="120"/>
      <c r="N141" s="120"/>
      <c r="O141" s="120"/>
    </row>
    <row r="142" spans="1:15" ht="16.5" customHeight="1" x14ac:dyDescent="0.25">
      <c r="A142" s="119"/>
      <c r="B142" s="119"/>
      <c r="C142" s="98"/>
      <c r="D142" s="117"/>
      <c r="E142" s="99"/>
      <c r="F142" s="117"/>
      <c r="G142" s="117"/>
      <c r="H142" s="117"/>
      <c r="I142" s="117"/>
      <c r="J142" s="117"/>
      <c r="K142" s="117"/>
      <c r="L142" s="117"/>
      <c r="M142" s="117"/>
      <c r="N142" s="120"/>
      <c r="O142" s="120"/>
    </row>
    <row r="143" spans="1:15" ht="15.75" x14ac:dyDescent="0.25">
      <c r="A143" s="121"/>
      <c r="B143" s="120"/>
      <c r="C143" s="122"/>
      <c r="D143" s="123"/>
      <c r="E143" s="123"/>
      <c r="F143" s="123"/>
      <c r="G143" s="122"/>
      <c r="H143" s="123"/>
      <c r="I143" s="122"/>
      <c r="J143" s="122"/>
      <c r="K143" s="122"/>
      <c r="L143" s="122"/>
      <c r="M143" s="122"/>
      <c r="N143" s="120"/>
      <c r="O143" s="120"/>
    </row>
    <row r="144" spans="1:15" ht="15.75" x14ac:dyDescent="0.25">
      <c r="A144" s="121"/>
      <c r="B144" s="120"/>
      <c r="C144" s="122"/>
      <c r="D144" s="123"/>
      <c r="E144" s="122"/>
      <c r="F144" s="122"/>
      <c r="G144" s="122"/>
      <c r="H144" s="122"/>
      <c r="I144" s="122"/>
      <c r="J144" s="123"/>
      <c r="K144" s="122"/>
      <c r="L144" s="122"/>
      <c r="M144" s="122"/>
      <c r="N144" s="120"/>
      <c r="O144" s="120"/>
    </row>
    <row r="145" spans="1:15" ht="15.75" x14ac:dyDescent="0.25">
      <c r="A145" s="121"/>
      <c r="B145" s="120"/>
      <c r="C145" s="124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0"/>
      <c r="O145" s="120"/>
    </row>
    <row r="146" spans="1:15" ht="15.75" x14ac:dyDescent="0.25">
      <c r="A146" s="126"/>
      <c r="B146" s="120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7"/>
      <c r="N146" s="120"/>
      <c r="O146" s="120"/>
    </row>
    <row r="147" spans="1:15" ht="15.75" x14ac:dyDescent="0.25">
      <c r="A147" s="118"/>
      <c r="B147" s="119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0"/>
      <c r="O147" s="120"/>
    </row>
    <row r="148" spans="1:15" x14ac:dyDescent="0.25">
      <c r="A148" s="118"/>
      <c r="B148" s="119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0"/>
      <c r="O148" s="120"/>
    </row>
    <row r="149" spans="1:15" x14ac:dyDescent="0.25">
      <c r="A149" s="119"/>
      <c r="B149" s="119"/>
      <c r="C149" s="119"/>
      <c r="D149" s="119"/>
      <c r="E149" s="119"/>
      <c r="F149" s="119"/>
      <c r="G149" s="119"/>
      <c r="H149" s="120"/>
      <c r="I149" s="120"/>
      <c r="J149" s="119"/>
      <c r="K149" s="120"/>
      <c r="L149" s="120"/>
      <c r="M149" s="120"/>
      <c r="N149" s="120"/>
      <c r="O149" s="120"/>
    </row>
    <row r="150" spans="1:15" x14ac:dyDescent="0.25">
      <c r="A150" s="119"/>
      <c r="B150" s="119"/>
      <c r="C150" s="129"/>
      <c r="D150" s="119"/>
      <c r="E150" s="119"/>
      <c r="F150" s="119"/>
      <c r="G150" s="119"/>
      <c r="H150" s="120"/>
      <c r="I150" s="120"/>
      <c r="J150" s="119"/>
      <c r="K150" s="120"/>
      <c r="L150" s="120"/>
      <c r="M150" s="120"/>
      <c r="N150" s="120"/>
      <c r="O150" s="120"/>
    </row>
    <row r="151" spans="1:15" x14ac:dyDescent="0.25">
      <c r="A151" s="118"/>
      <c r="B151" s="119"/>
      <c r="C151" s="128"/>
      <c r="D151" s="119"/>
      <c r="E151" s="119"/>
      <c r="F151" s="119"/>
      <c r="G151" s="119"/>
      <c r="H151" s="120"/>
      <c r="I151" s="120"/>
      <c r="J151" s="119"/>
      <c r="K151" s="120"/>
      <c r="L151" s="120"/>
      <c r="M151" s="120"/>
      <c r="N151" s="120"/>
      <c r="O151" s="120"/>
    </row>
    <row r="152" spans="1:15" x14ac:dyDescent="0.25">
      <c r="A152" s="118"/>
      <c r="B152" s="119"/>
      <c r="C152" s="130"/>
      <c r="D152" s="119"/>
      <c r="E152" s="119"/>
      <c r="F152" s="119"/>
      <c r="G152" s="119"/>
      <c r="H152" s="120"/>
      <c r="I152" s="120"/>
      <c r="J152" s="119"/>
      <c r="K152" s="120"/>
      <c r="L152" s="120"/>
      <c r="M152" s="120"/>
      <c r="N152" s="120"/>
      <c r="O152" s="120"/>
    </row>
    <row r="153" spans="1:15" x14ac:dyDescent="0.25">
      <c r="A153" s="118"/>
      <c r="B153" s="119"/>
      <c r="C153" s="130"/>
      <c r="D153" s="119"/>
      <c r="E153" s="119"/>
      <c r="F153" s="119"/>
      <c r="G153" s="119"/>
      <c r="H153" s="120"/>
      <c r="I153" s="120"/>
      <c r="J153" s="119"/>
      <c r="K153" s="120"/>
      <c r="L153" s="120"/>
      <c r="M153" s="120"/>
      <c r="N153" s="120"/>
      <c r="O153" s="120"/>
    </row>
    <row r="154" spans="1:15" x14ac:dyDescent="0.25">
      <c r="A154" s="118"/>
      <c r="B154" s="119"/>
      <c r="C154" s="130"/>
      <c r="D154" s="119"/>
      <c r="E154" s="119"/>
      <c r="F154" s="119"/>
      <c r="G154" s="119"/>
      <c r="H154" s="120"/>
      <c r="I154" s="120"/>
      <c r="J154" s="119"/>
      <c r="K154" s="120"/>
      <c r="L154" s="120"/>
      <c r="M154" s="120"/>
      <c r="N154" s="120"/>
      <c r="O154" s="120"/>
    </row>
    <row r="155" spans="1:15" x14ac:dyDescent="0.25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</row>
    <row r="156" spans="1:15" x14ac:dyDescent="0.25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</row>
    <row r="157" spans="1:15" x14ac:dyDescent="0.25">
      <c r="A157" s="120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</row>
    <row r="158" spans="1:15" x14ac:dyDescent="0.25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</row>
    <row r="159" spans="1:15" x14ac:dyDescent="0.25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</row>
    <row r="160" spans="1:15" ht="15.75" x14ac:dyDescent="0.25">
      <c r="A160" s="121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</row>
    <row r="161" spans="1:15" ht="15.75" x14ac:dyDescent="0.25">
      <c r="A161" s="121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</row>
    <row r="162" spans="1:15" ht="15.75" x14ac:dyDescent="0.25">
      <c r="A162" s="121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</row>
    <row r="163" spans="1:15" ht="15.75" x14ac:dyDescent="0.25">
      <c r="A163" s="126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</row>
    <row r="164" spans="1:15" x14ac:dyDescent="0.25">
      <c r="A164" s="118"/>
      <c r="B164" s="119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20"/>
      <c r="O164" s="120"/>
    </row>
    <row r="165" spans="1:15" x14ac:dyDescent="0.25">
      <c r="A165" s="118"/>
      <c r="B165" s="119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0"/>
      <c r="O165" s="120"/>
    </row>
    <row r="166" spans="1:15" x14ac:dyDescent="0.25">
      <c r="A166" s="119"/>
      <c r="B166" s="119"/>
      <c r="C166" s="119"/>
      <c r="D166" s="119"/>
      <c r="E166" s="119"/>
      <c r="F166" s="119"/>
      <c r="G166" s="119"/>
      <c r="H166" s="120"/>
      <c r="I166" s="120"/>
      <c r="J166" s="119"/>
      <c r="K166" s="120"/>
      <c r="L166" s="120"/>
      <c r="M166" s="120"/>
      <c r="N166" s="120"/>
      <c r="O166" s="120"/>
    </row>
    <row r="167" spans="1:15" x14ac:dyDescent="0.25">
      <c r="A167" s="119"/>
      <c r="B167" s="119"/>
      <c r="C167" s="129"/>
      <c r="D167" s="119"/>
      <c r="E167" s="119"/>
      <c r="F167" s="119"/>
      <c r="G167" s="119"/>
      <c r="H167" s="120"/>
      <c r="I167" s="120"/>
      <c r="J167" s="119"/>
      <c r="K167" s="120"/>
      <c r="L167" s="120"/>
      <c r="M167" s="120"/>
      <c r="N167" s="120"/>
      <c r="O167" s="120"/>
    </row>
    <row r="168" spans="1:15" x14ac:dyDescent="0.25">
      <c r="A168" s="118"/>
      <c r="B168" s="119"/>
      <c r="C168" s="128"/>
      <c r="D168" s="119"/>
      <c r="E168" s="119"/>
      <c r="F168" s="119"/>
      <c r="G168" s="119"/>
      <c r="H168" s="120"/>
      <c r="I168" s="120"/>
      <c r="J168" s="119"/>
      <c r="K168" s="120"/>
      <c r="L168" s="120"/>
      <c r="M168" s="120"/>
      <c r="N168" s="120"/>
      <c r="O168" s="120"/>
    </row>
    <row r="169" spans="1:15" x14ac:dyDescent="0.25">
      <c r="A169" s="118"/>
      <c r="B169" s="119"/>
      <c r="C169" s="130"/>
      <c r="D169" s="119"/>
      <c r="E169" s="119"/>
      <c r="F169" s="119"/>
      <c r="G169" s="119"/>
      <c r="H169" s="120"/>
      <c r="I169" s="120"/>
      <c r="J169" s="119"/>
      <c r="K169" s="120"/>
      <c r="L169" s="120"/>
      <c r="M169" s="120"/>
      <c r="N169" s="120"/>
      <c r="O169" s="120"/>
    </row>
    <row r="170" spans="1:15" x14ac:dyDescent="0.25">
      <c r="A170" s="118"/>
      <c r="B170" s="119"/>
      <c r="C170" s="130"/>
      <c r="D170" s="119"/>
      <c r="E170" s="119"/>
      <c r="F170" s="119"/>
      <c r="G170" s="119"/>
      <c r="H170" s="120"/>
      <c r="I170" s="120"/>
      <c r="J170" s="119"/>
      <c r="K170" s="120"/>
      <c r="L170" s="120"/>
      <c r="M170" s="120"/>
      <c r="N170" s="120"/>
      <c r="O170" s="120"/>
    </row>
    <row r="171" spans="1:15" x14ac:dyDescent="0.25">
      <c r="A171" s="118"/>
      <c r="B171" s="119"/>
      <c r="C171" s="130"/>
      <c r="D171" s="119"/>
      <c r="E171" s="119"/>
      <c r="F171" s="119"/>
      <c r="G171" s="119"/>
      <c r="H171" s="120"/>
      <c r="I171" s="120"/>
      <c r="J171" s="119"/>
      <c r="K171" s="120"/>
      <c r="L171" s="120"/>
      <c r="M171" s="120"/>
      <c r="N171" s="120"/>
      <c r="O171" s="120"/>
    </row>
    <row r="172" spans="1:15" x14ac:dyDescent="0.25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</row>
    <row r="173" spans="1:15" x14ac:dyDescent="0.25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</row>
    <row r="174" spans="1:15" x14ac:dyDescent="0.25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</row>
    <row r="175" spans="1:15" x14ac:dyDescent="0.25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</row>
    <row r="176" spans="1:15" x14ac:dyDescent="0.25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</row>
    <row r="177" spans="1:15" x14ac:dyDescent="0.25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</row>
    <row r="178" spans="1:15" x14ac:dyDescent="0.25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</row>
    <row r="179" spans="1:15" x14ac:dyDescent="0.25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</row>
  </sheetData>
  <pageMargins left="0.7" right="0.7" top="0.75" bottom="0.75" header="0.3" footer="0.3"/>
  <pageSetup scale="5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opLeftCell="A135" workbookViewId="0">
      <selection activeCell="F157" sqref="F157"/>
    </sheetView>
  </sheetViews>
  <sheetFormatPr defaultColWidth="8.85546875" defaultRowHeight="15" x14ac:dyDescent="0.25"/>
  <cols>
    <col min="1" max="1" width="11.140625" bestFit="1" customWidth="1"/>
    <col min="2" max="2" width="13.28515625" bestFit="1" customWidth="1"/>
    <col min="4" max="4" width="10.140625" bestFit="1" customWidth="1"/>
    <col min="6" max="6" width="11.42578125" bestFit="1" customWidth="1"/>
  </cols>
  <sheetData>
    <row r="1" spans="1:7" x14ac:dyDescent="0.25">
      <c r="A1" s="100" t="s">
        <v>114</v>
      </c>
      <c r="B1" s="116">
        <v>200000</v>
      </c>
      <c r="C1" s="100"/>
      <c r="D1" s="100"/>
      <c r="E1" s="100"/>
      <c r="F1" s="100"/>
      <c r="G1" s="100"/>
    </row>
    <row r="2" spans="1:7" ht="26.25" x14ac:dyDescent="0.25">
      <c r="A2" s="103" t="s">
        <v>113</v>
      </c>
      <c r="B2" s="15">
        <v>0.08</v>
      </c>
      <c r="C2" s="103"/>
      <c r="D2" s="103"/>
      <c r="E2" s="103"/>
      <c r="F2" s="100"/>
      <c r="G2" s="100"/>
    </row>
    <row r="3" spans="1:7" x14ac:dyDescent="0.25">
      <c r="A3" s="103" t="s">
        <v>112</v>
      </c>
      <c r="B3" s="15">
        <f>B2/12</f>
        <v>6.6666666666666671E-3</v>
      </c>
      <c r="C3" s="103"/>
      <c r="D3" s="103"/>
      <c r="E3" s="103"/>
      <c r="F3" s="100"/>
      <c r="G3" s="100"/>
    </row>
    <row r="4" spans="1:7" ht="26.25" x14ac:dyDescent="0.25">
      <c r="A4" s="103" t="s">
        <v>111</v>
      </c>
      <c r="B4" s="116">
        <v>30</v>
      </c>
      <c r="C4" s="103"/>
      <c r="D4" s="103"/>
      <c r="E4" s="103"/>
      <c r="F4" s="100"/>
      <c r="G4" s="100"/>
    </row>
    <row r="5" spans="1:7" x14ac:dyDescent="0.25">
      <c r="A5" s="103" t="s">
        <v>110</v>
      </c>
      <c r="B5" s="116">
        <f>12*B4</f>
        <v>360</v>
      </c>
      <c r="C5" s="103"/>
      <c r="D5" s="103"/>
      <c r="E5" s="103"/>
      <c r="F5" s="100"/>
      <c r="G5" s="100"/>
    </row>
    <row r="6" spans="1:7" x14ac:dyDescent="0.25">
      <c r="A6" s="103" t="s">
        <v>109</v>
      </c>
      <c r="B6" s="103">
        <f>-PMT(B3,B5,B1)</f>
        <v>1467.5291477587523</v>
      </c>
      <c r="C6" s="103"/>
      <c r="D6" s="103"/>
      <c r="E6" s="103"/>
      <c r="F6" s="100"/>
      <c r="G6" s="100"/>
    </row>
    <row r="7" spans="1:7" x14ac:dyDescent="0.25">
      <c r="A7" s="103"/>
      <c r="B7" s="103"/>
      <c r="C7" s="103"/>
      <c r="D7" s="103"/>
      <c r="E7" s="103"/>
      <c r="F7" s="100"/>
      <c r="G7" s="100"/>
    </row>
    <row r="8" spans="1:7" x14ac:dyDescent="0.25">
      <c r="A8" s="103"/>
      <c r="B8" s="103"/>
      <c r="C8" s="103"/>
      <c r="D8" s="103"/>
      <c r="E8" s="103"/>
      <c r="F8" s="100"/>
      <c r="G8" s="100"/>
    </row>
    <row r="9" spans="1:7" x14ac:dyDescent="0.25">
      <c r="A9" s="103"/>
      <c r="B9" s="103"/>
      <c r="C9" s="103"/>
      <c r="D9" s="103"/>
      <c r="E9" s="103"/>
      <c r="F9" s="100"/>
      <c r="G9" s="100"/>
    </row>
    <row r="10" spans="1:7" x14ac:dyDescent="0.25">
      <c r="A10" s="103"/>
      <c r="B10" s="103"/>
      <c r="C10" s="103"/>
      <c r="D10" s="103"/>
      <c r="E10" s="103"/>
      <c r="F10" s="100"/>
      <c r="G10" s="100"/>
    </row>
    <row r="11" spans="1:7" x14ac:dyDescent="0.25">
      <c r="A11" s="103" t="s">
        <v>108</v>
      </c>
      <c r="B11" s="103"/>
      <c r="C11" s="103"/>
      <c r="D11" s="103"/>
      <c r="E11" s="103"/>
      <c r="F11" s="100"/>
      <c r="G11" s="100"/>
    </row>
    <row r="12" spans="1:7" x14ac:dyDescent="0.25">
      <c r="A12" s="100"/>
      <c r="B12" s="115" t="s">
        <v>107</v>
      </c>
      <c r="C12" s="115" t="s">
        <v>106</v>
      </c>
      <c r="D12" s="115" t="s">
        <v>105</v>
      </c>
      <c r="E12" s="114" t="s">
        <v>104</v>
      </c>
      <c r="F12" s="114" t="s">
        <v>103</v>
      </c>
      <c r="G12" s="100"/>
    </row>
    <row r="13" spans="1:7" x14ac:dyDescent="0.25">
      <c r="A13" s="113">
        <v>41275</v>
      </c>
      <c r="B13" s="103">
        <f>B1</f>
        <v>200000</v>
      </c>
      <c r="C13" s="103">
        <f t="shared" ref="C13:C24" si="0">E13-D13</f>
        <v>134.1958144254188</v>
      </c>
      <c r="D13" s="103">
        <f t="shared" ref="D13:D24" si="1">B13*$B$3</f>
        <v>1333.3333333333335</v>
      </c>
      <c r="E13" s="103">
        <f t="shared" ref="E13:E24" si="2">$B$6</f>
        <v>1467.5291477587523</v>
      </c>
      <c r="F13" s="111">
        <f t="shared" ref="F13:F24" si="3">B13-C13</f>
        <v>199865.80418557458</v>
      </c>
      <c r="G13" s="100"/>
    </row>
    <row r="14" spans="1:7" x14ac:dyDescent="0.25">
      <c r="A14" s="103"/>
      <c r="B14" s="103">
        <f t="shared" ref="B14:B24" si="4">F13</f>
        <v>199865.80418557458</v>
      </c>
      <c r="C14" s="103">
        <f t="shared" si="0"/>
        <v>135.09045318825497</v>
      </c>
      <c r="D14" s="103">
        <f t="shared" si="1"/>
        <v>1332.4386945704973</v>
      </c>
      <c r="E14" s="103">
        <f t="shared" si="2"/>
        <v>1467.5291477587523</v>
      </c>
      <c r="F14" s="111">
        <f t="shared" si="3"/>
        <v>199730.71373238633</v>
      </c>
      <c r="G14" s="100"/>
    </row>
    <row r="15" spans="1:7" x14ac:dyDescent="0.25">
      <c r="A15" s="106"/>
      <c r="B15" s="103">
        <f t="shared" si="4"/>
        <v>199730.71373238633</v>
      </c>
      <c r="C15" s="103">
        <f t="shared" si="0"/>
        <v>135.99105620950991</v>
      </c>
      <c r="D15" s="103">
        <f t="shared" si="1"/>
        <v>1331.5380915492424</v>
      </c>
      <c r="E15" s="103">
        <f t="shared" si="2"/>
        <v>1467.5291477587523</v>
      </c>
      <c r="F15" s="111">
        <f t="shared" si="3"/>
        <v>199594.72267617681</v>
      </c>
      <c r="G15" s="100"/>
    </row>
    <row r="16" spans="1:7" x14ac:dyDescent="0.25">
      <c r="A16" s="108"/>
      <c r="B16" s="103">
        <f t="shared" si="4"/>
        <v>199594.72267617681</v>
      </c>
      <c r="C16" s="103">
        <f t="shared" si="0"/>
        <v>136.89766325090682</v>
      </c>
      <c r="D16" s="103">
        <f t="shared" si="1"/>
        <v>1330.6314845078455</v>
      </c>
      <c r="E16" s="103">
        <f t="shared" si="2"/>
        <v>1467.5291477587523</v>
      </c>
      <c r="F16" s="111">
        <f t="shared" si="3"/>
        <v>199457.8250129259</v>
      </c>
      <c r="G16" s="100"/>
    </row>
    <row r="17" spans="1:7" x14ac:dyDescent="0.25">
      <c r="A17" s="103"/>
      <c r="B17" s="103">
        <f t="shared" si="4"/>
        <v>199457.8250129259</v>
      </c>
      <c r="C17" s="103">
        <f t="shared" si="0"/>
        <v>137.81031433924613</v>
      </c>
      <c r="D17" s="103">
        <f t="shared" si="1"/>
        <v>1329.7188334195062</v>
      </c>
      <c r="E17" s="103">
        <f t="shared" si="2"/>
        <v>1467.5291477587523</v>
      </c>
      <c r="F17" s="111">
        <f t="shared" si="3"/>
        <v>199320.01469858666</v>
      </c>
      <c r="G17" s="100"/>
    </row>
    <row r="18" spans="1:7" x14ac:dyDescent="0.25">
      <c r="A18" s="107"/>
      <c r="B18" s="103">
        <f t="shared" si="4"/>
        <v>199320.01469858666</v>
      </c>
      <c r="C18" s="103">
        <f t="shared" si="0"/>
        <v>138.72904976817449</v>
      </c>
      <c r="D18" s="103">
        <f t="shared" si="1"/>
        <v>1328.8000979905778</v>
      </c>
      <c r="E18" s="103">
        <f t="shared" si="2"/>
        <v>1467.5291477587523</v>
      </c>
      <c r="F18" s="111">
        <f t="shared" si="3"/>
        <v>199181.28564881848</v>
      </c>
      <c r="G18" s="100"/>
    </row>
    <row r="19" spans="1:7" x14ac:dyDescent="0.25">
      <c r="A19" s="107"/>
      <c r="B19" s="103">
        <f t="shared" si="4"/>
        <v>199181.28564881848</v>
      </c>
      <c r="C19" s="103">
        <f t="shared" si="0"/>
        <v>139.65391009996233</v>
      </c>
      <c r="D19" s="103">
        <f t="shared" si="1"/>
        <v>1327.87523765879</v>
      </c>
      <c r="E19" s="103">
        <f t="shared" si="2"/>
        <v>1467.5291477587523</v>
      </c>
      <c r="F19" s="111">
        <f t="shared" si="3"/>
        <v>199041.63173871851</v>
      </c>
      <c r="G19" s="100"/>
    </row>
    <row r="20" spans="1:7" x14ac:dyDescent="0.25">
      <c r="A20" s="107"/>
      <c r="B20" s="103">
        <f t="shared" si="4"/>
        <v>199041.63173871851</v>
      </c>
      <c r="C20" s="103">
        <f t="shared" si="0"/>
        <v>140.58493616729538</v>
      </c>
      <c r="D20" s="103">
        <f t="shared" si="1"/>
        <v>1326.9442115914569</v>
      </c>
      <c r="E20" s="103">
        <f t="shared" si="2"/>
        <v>1467.5291477587523</v>
      </c>
      <c r="F20" s="111">
        <f t="shared" si="3"/>
        <v>198901.04680255122</v>
      </c>
      <c r="G20" s="100"/>
    </row>
    <row r="21" spans="1:7" x14ac:dyDescent="0.25">
      <c r="A21" s="107"/>
      <c r="B21" s="103">
        <f t="shared" si="4"/>
        <v>198901.04680255122</v>
      </c>
      <c r="C21" s="103">
        <f t="shared" si="0"/>
        <v>141.52216907507727</v>
      </c>
      <c r="D21" s="103">
        <f t="shared" si="1"/>
        <v>1326.006978683675</v>
      </c>
      <c r="E21" s="103">
        <f t="shared" si="2"/>
        <v>1467.5291477587523</v>
      </c>
      <c r="F21" s="111">
        <f t="shared" si="3"/>
        <v>198759.52463347613</v>
      </c>
      <c r="G21" s="100"/>
    </row>
    <row r="22" spans="1:7" x14ac:dyDescent="0.25">
      <c r="A22" s="107"/>
      <c r="B22" s="103">
        <f t="shared" si="4"/>
        <v>198759.52463347613</v>
      </c>
      <c r="C22" s="103">
        <f t="shared" si="0"/>
        <v>142.46565020224466</v>
      </c>
      <c r="D22" s="103">
        <f t="shared" si="1"/>
        <v>1325.0634975565076</v>
      </c>
      <c r="E22" s="103">
        <f t="shared" si="2"/>
        <v>1467.5291477587523</v>
      </c>
      <c r="F22" s="111">
        <f t="shared" si="3"/>
        <v>198617.05898327389</v>
      </c>
      <c r="G22" s="100"/>
    </row>
    <row r="23" spans="1:7" x14ac:dyDescent="0.25">
      <c r="A23" s="107"/>
      <c r="B23" s="103">
        <f t="shared" si="4"/>
        <v>198617.05898327389</v>
      </c>
      <c r="C23" s="103">
        <f t="shared" si="0"/>
        <v>143.41542120359281</v>
      </c>
      <c r="D23" s="103">
        <f t="shared" si="1"/>
        <v>1324.1137265551595</v>
      </c>
      <c r="E23" s="103">
        <f t="shared" si="2"/>
        <v>1467.5291477587523</v>
      </c>
      <c r="F23" s="111">
        <f t="shared" si="3"/>
        <v>198473.6435620703</v>
      </c>
      <c r="G23" s="100"/>
    </row>
    <row r="24" spans="1:7" x14ac:dyDescent="0.25">
      <c r="A24" s="113">
        <v>41639</v>
      </c>
      <c r="B24" s="103">
        <f t="shared" si="4"/>
        <v>198473.6435620703</v>
      </c>
      <c r="C24" s="103">
        <f t="shared" si="0"/>
        <v>144.37152401161688</v>
      </c>
      <c r="D24" s="103">
        <f t="shared" si="1"/>
        <v>1323.1576237471354</v>
      </c>
      <c r="E24" s="103">
        <f t="shared" si="2"/>
        <v>1467.5291477587523</v>
      </c>
      <c r="F24" s="109">
        <f t="shared" si="3"/>
        <v>198329.27203805867</v>
      </c>
      <c r="G24" s="100"/>
    </row>
    <row r="25" spans="1:7" x14ac:dyDescent="0.25">
      <c r="A25" s="107" t="s">
        <v>102</v>
      </c>
      <c r="B25" s="103"/>
      <c r="C25" s="103"/>
      <c r="D25" s="101">
        <f>SUM(D13:D24)</f>
        <v>15939.621811163728</v>
      </c>
      <c r="E25" s="103"/>
      <c r="F25" s="100"/>
      <c r="G25" s="100"/>
    </row>
    <row r="26" spans="1:7" x14ac:dyDescent="0.25">
      <c r="A26" s="107"/>
      <c r="B26" s="103"/>
      <c r="C26" s="103"/>
      <c r="D26" s="103"/>
      <c r="E26" s="103"/>
      <c r="F26" s="100"/>
      <c r="G26" s="100"/>
    </row>
    <row r="27" spans="1:7" x14ac:dyDescent="0.25">
      <c r="A27" s="107" t="s">
        <v>101</v>
      </c>
      <c r="B27" s="103"/>
      <c r="C27" s="103"/>
      <c r="D27" s="103"/>
      <c r="E27" s="103"/>
      <c r="F27" s="100"/>
      <c r="G27" s="100"/>
    </row>
    <row r="28" spans="1:7" x14ac:dyDescent="0.25">
      <c r="A28" s="110">
        <v>41275</v>
      </c>
      <c r="B28" s="103">
        <f>F24</f>
        <v>198329.27203805867</v>
      </c>
      <c r="C28" s="103">
        <f t="shared" ref="C28:C39" si="5">E28-D28</f>
        <v>145.33400083836113</v>
      </c>
      <c r="D28" s="103">
        <f t="shared" ref="D28:D39" si="6">B28*$B$3</f>
        <v>1322.1951469203912</v>
      </c>
      <c r="E28" s="103">
        <f t="shared" ref="E28:E39" si="7">$B$6</f>
        <v>1467.5291477587523</v>
      </c>
      <c r="F28" s="111">
        <f t="shared" ref="F28:F39" si="8">B28-C28</f>
        <v>198183.9380372203</v>
      </c>
      <c r="G28" s="100"/>
    </row>
    <row r="29" spans="1:7" x14ac:dyDescent="0.25">
      <c r="A29" s="112"/>
      <c r="B29" s="102">
        <f t="shared" ref="B29:B39" si="9">F28</f>
        <v>198183.9380372203</v>
      </c>
      <c r="C29" s="103">
        <f t="shared" si="5"/>
        <v>146.30289417728363</v>
      </c>
      <c r="D29" s="103">
        <f t="shared" si="6"/>
        <v>1321.2262535814687</v>
      </c>
      <c r="E29" s="103">
        <f t="shared" si="7"/>
        <v>1467.5291477587523</v>
      </c>
      <c r="F29" s="111">
        <f t="shared" si="8"/>
        <v>198037.63514304301</v>
      </c>
      <c r="G29" s="100"/>
    </row>
    <row r="30" spans="1:7" x14ac:dyDescent="0.25">
      <c r="A30" s="107"/>
      <c r="B30" s="102">
        <f t="shared" si="9"/>
        <v>198037.63514304301</v>
      </c>
      <c r="C30" s="103">
        <f t="shared" si="5"/>
        <v>147.27824680513208</v>
      </c>
      <c r="D30" s="103">
        <f t="shared" si="6"/>
        <v>1320.2509009536202</v>
      </c>
      <c r="E30" s="103">
        <f t="shared" si="7"/>
        <v>1467.5291477587523</v>
      </c>
      <c r="F30" s="111">
        <f t="shared" si="8"/>
        <v>197890.35689623788</v>
      </c>
      <c r="G30" s="100"/>
    </row>
    <row r="31" spans="1:7" x14ac:dyDescent="0.25">
      <c r="A31" s="107"/>
      <c r="B31" s="102">
        <f t="shared" si="9"/>
        <v>197890.35689623788</v>
      </c>
      <c r="C31" s="103">
        <f t="shared" si="5"/>
        <v>148.26010178383308</v>
      </c>
      <c r="D31" s="103">
        <f t="shared" si="6"/>
        <v>1319.2690459749192</v>
      </c>
      <c r="E31" s="103">
        <f t="shared" si="7"/>
        <v>1467.5291477587523</v>
      </c>
      <c r="F31" s="111">
        <f t="shared" si="8"/>
        <v>197742.09679445403</v>
      </c>
      <c r="G31" s="100"/>
    </row>
    <row r="32" spans="1:7" x14ac:dyDescent="0.25">
      <c r="A32" s="107"/>
      <c r="B32" s="102">
        <f t="shared" si="9"/>
        <v>197742.09679445403</v>
      </c>
      <c r="C32" s="103">
        <f t="shared" si="5"/>
        <v>149.24850246239203</v>
      </c>
      <c r="D32" s="103">
        <f t="shared" si="6"/>
        <v>1318.2806452963603</v>
      </c>
      <c r="E32" s="103">
        <f t="shared" si="7"/>
        <v>1467.5291477587523</v>
      </c>
      <c r="F32" s="111">
        <f t="shared" si="8"/>
        <v>197592.84829199163</v>
      </c>
      <c r="G32" s="100"/>
    </row>
    <row r="33" spans="1:7" x14ac:dyDescent="0.25">
      <c r="A33" s="107"/>
      <c r="B33" s="102">
        <f t="shared" si="9"/>
        <v>197592.84829199163</v>
      </c>
      <c r="C33" s="103">
        <f t="shared" si="5"/>
        <v>150.24349247880809</v>
      </c>
      <c r="D33" s="103">
        <f t="shared" si="6"/>
        <v>1317.2856552799442</v>
      </c>
      <c r="E33" s="103">
        <f t="shared" si="7"/>
        <v>1467.5291477587523</v>
      </c>
      <c r="F33" s="111">
        <f t="shared" si="8"/>
        <v>197442.60479951283</v>
      </c>
      <c r="G33" s="100"/>
    </row>
    <row r="34" spans="1:7" x14ac:dyDescent="0.25">
      <c r="A34" s="107"/>
      <c r="B34" s="102">
        <f t="shared" si="9"/>
        <v>197442.60479951283</v>
      </c>
      <c r="C34" s="103">
        <f t="shared" si="5"/>
        <v>151.24511576200007</v>
      </c>
      <c r="D34" s="103">
        <f t="shared" si="6"/>
        <v>1316.2840319967522</v>
      </c>
      <c r="E34" s="103">
        <f t="shared" si="7"/>
        <v>1467.5291477587523</v>
      </c>
      <c r="F34" s="111">
        <f t="shared" si="8"/>
        <v>197291.35968375084</v>
      </c>
      <c r="G34" s="100"/>
    </row>
    <row r="35" spans="1:7" x14ac:dyDescent="0.25">
      <c r="A35" s="107"/>
      <c r="B35" s="102">
        <f t="shared" si="9"/>
        <v>197291.35968375084</v>
      </c>
      <c r="C35" s="103">
        <f t="shared" si="5"/>
        <v>152.25341653374653</v>
      </c>
      <c r="D35" s="103">
        <f t="shared" si="6"/>
        <v>1315.2757312250058</v>
      </c>
      <c r="E35" s="103">
        <f t="shared" si="7"/>
        <v>1467.5291477587523</v>
      </c>
      <c r="F35" s="111">
        <f t="shared" si="8"/>
        <v>197139.10626721708</v>
      </c>
      <c r="G35" s="100"/>
    </row>
    <row r="36" spans="1:7" x14ac:dyDescent="0.25">
      <c r="A36" s="107"/>
      <c r="B36" s="102">
        <f t="shared" si="9"/>
        <v>197139.10626721708</v>
      </c>
      <c r="C36" s="103">
        <f t="shared" si="5"/>
        <v>153.26843931063831</v>
      </c>
      <c r="D36" s="103">
        <f t="shared" si="6"/>
        <v>1314.260708448114</v>
      </c>
      <c r="E36" s="103">
        <f t="shared" si="7"/>
        <v>1467.5291477587523</v>
      </c>
      <c r="F36" s="111">
        <f t="shared" si="8"/>
        <v>196985.83782790645</v>
      </c>
      <c r="G36" s="100"/>
    </row>
    <row r="37" spans="1:7" x14ac:dyDescent="0.25">
      <c r="A37" s="107"/>
      <c r="B37" s="102">
        <f t="shared" si="9"/>
        <v>196985.83782790645</v>
      </c>
      <c r="C37" s="103">
        <f t="shared" si="5"/>
        <v>154.29022890604256</v>
      </c>
      <c r="D37" s="103">
        <f t="shared" si="6"/>
        <v>1313.2389188527097</v>
      </c>
      <c r="E37" s="103">
        <f t="shared" si="7"/>
        <v>1467.5291477587523</v>
      </c>
      <c r="F37" s="111">
        <f t="shared" si="8"/>
        <v>196831.54759900042</v>
      </c>
      <c r="G37" s="100"/>
    </row>
    <row r="38" spans="1:7" x14ac:dyDescent="0.25">
      <c r="A38" s="107"/>
      <c r="B38" s="102">
        <f t="shared" si="9"/>
        <v>196831.54759900042</v>
      </c>
      <c r="C38" s="103">
        <f t="shared" si="5"/>
        <v>155.31883043208268</v>
      </c>
      <c r="D38" s="103">
        <f t="shared" si="6"/>
        <v>1312.2103173266696</v>
      </c>
      <c r="E38" s="103">
        <f t="shared" si="7"/>
        <v>1467.5291477587523</v>
      </c>
      <c r="F38" s="111">
        <f t="shared" si="8"/>
        <v>196676.22876856834</v>
      </c>
      <c r="G38" s="100"/>
    </row>
    <row r="39" spans="1:7" x14ac:dyDescent="0.25">
      <c r="A39" s="110">
        <v>41639</v>
      </c>
      <c r="B39" s="102">
        <f t="shared" si="9"/>
        <v>196676.22876856834</v>
      </c>
      <c r="C39" s="103">
        <f t="shared" si="5"/>
        <v>156.35428930162993</v>
      </c>
      <c r="D39" s="103">
        <f t="shared" si="6"/>
        <v>1311.1748584571224</v>
      </c>
      <c r="E39" s="103">
        <f t="shared" si="7"/>
        <v>1467.5291477587523</v>
      </c>
      <c r="F39" s="109">
        <f t="shared" si="8"/>
        <v>196519.8744792667</v>
      </c>
      <c r="G39" s="100"/>
    </row>
    <row r="40" spans="1:7" x14ac:dyDescent="0.25">
      <c r="A40" s="107"/>
      <c r="B40" s="103"/>
      <c r="C40" s="103"/>
      <c r="D40" s="101">
        <f>SUM(D28:D39)</f>
        <v>15800.952214313078</v>
      </c>
      <c r="E40" s="103"/>
      <c r="F40" s="100"/>
      <c r="G40" s="100"/>
    </row>
    <row r="41" spans="1:7" x14ac:dyDescent="0.25">
      <c r="A41" s="107" t="s">
        <v>100</v>
      </c>
      <c r="B41" s="103"/>
      <c r="C41" s="103"/>
      <c r="D41" s="103"/>
      <c r="E41" s="103"/>
      <c r="F41" s="100"/>
      <c r="G41" s="100"/>
    </row>
    <row r="42" spans="1:7" x14ac:dyDescent="0.25">
      <c r="A42" s="110">
        <v>41275</v>
      </c>
      <c r="B42" s="103">
        <f>F39</f>
        <v>196519.8744792667</v>
      </c>
      <c r="C42" s="103">
        <f t="shared" ref="C42:C53" si="10">E42-D42</f>
        <v>157.3966512303075</v>
      </c>
      <c r="D42" s="103">
        <f t="shared" ref="D42:D53" si="11">B42*$B$3</f>
        <v>1310.1324965284448</v>
      </c>
      <c r="E42" s="102">
        <f t="shared" ref="E42:E53" si="12">$B$6</f>
        <v>1467.5291477587523</v>
      </c>
      <c r="F42" s="111">
        <f t="shared" ref="F42:F53" si="13">B42-C42</f>
        <v>196362.47782803638</v>
      </c>
      <c r="G42" s="100"/>
    </row>
    <row r="43" spans="1:7" x14ac:dyDescent="0.25">
      <c r="A43" s="112"/>
      <c r="B43" s="102">
        <f t="shared" ref="B43:B53" si="14">F42</f>
        <v>196362.47782803638</v>
      </c>
      <c r="C43" s="103">
        <f t="shared" si="10"/>
        <v>158.44596223850976</v>
      </c>
      <c r="D43" s="103">
        <f t="shared" si="11"/>
        <v>1309.0831855202425</v>
      </c>
      <c r="E43" s="102">
        <f t="shared" si="12"/>
        <v>1467.5291477587523</v>
      </c>
      <c r="F43" s="111">
        <f t="shared" si="13"/>
        <v>196204.03186579788</v>
      </c>
      <c r="G43" s="100"/>
    </row>
    <row r="44" spans="1:7" x14ac:dyDescent="0.25">
      <c r="A44" s="107"/>
      <c r="B44" s="102">
        <f t="shared" si="14"/>
        <v>196204.03186579788</v>
      </c>
      <c r="C44" s="103">
        <f t="shared" si="10"/>
        <v>159.50226865343302</v>
      </c>
      <c r="D44" s="103">
        <f t="shared" si="11"/>
        <v>1308.0268791053193</v>
      </c>
      <c r="E44" s="102">
        <f t="shared" si="12"/>
        <v>1467.5291477587523</v>
      </c>
      <c r="F44" s="111">
        <f t="shared" si="13"/>
        <v>196044.52959714446</v>
      </c>
      <c r="G44" s="100"/>
    </row>
    <row r="45" spans="1:7" x14ac:dyDescent="0.25">
      <c r="A45" s="107"/>
      <c r="B45" s="102">
        <f t="shared" si="14"/>
        <v>196044.52959714446</v>
      </c>
      <c r="C45" s="103">
        <f t="shared" si="10"/>
        <v>160.56561711112249</v>
      </c>
      <c r="D45" s="103">
        <f t="shared" si="11"/>
        <v>1306.9635306476298</v>
      </c>
      <c r="E45" s="102">
        <f t="shared" si="12"/>
        <v>1467.5291477587523</v>
      </c>
      <c r="F45" s="111">
        <f t="shared" si="13"/>
        <v>195883.96398003332</v>
      </c>
      <c r="G45" s="100"/>
    </row>
    <row r="46" spans="1:7" x14ac:dyDescent="0.25">
      <c r="A46" s="107"/>
      <c r="B46" s="102">
        <f t="shared" si="14"/>
        <v>195883.96398003332</v>
      </c>
      <c r="C46" s="103">
        <f t="shared" si="10"/>
        <v>161.63605455853008</v>
      </c>
      <c r="D46" s="103">
        <f t="shared" si="11"/>
        <v>1305.8930932002222</v>
      </c>
      <c r="E46" s="102">
        <f t="shared" si="12"/>
        <v>1467.5291477587523</v>
      </c>
      <c r="F46" s="111">
        <f t="shared" si="13"/>
        <v>195722.32792547479</v>
      </c>
      <c r="G46" s="100"/>
    </row>
    <row r="47" spans="1:7" x14ac:dyDescent="0.25">
      <c r="A47" s="107"/>
      <c r="B47" s="102">
        <f t="shared" si="14"/>
        <v>195722.32792547479</v>
      </c>
      <c r="C47" s="103">
        <f t="shared" si="10"/>
        <v>162.71362825558685</v>
      </c>
      <c r="D47" s="103">
        <f t="shared" si="11"/>
        <v>1304.8155195031654</v>
      </c>
      <c r="E47" s="102">
        <f t="shared" si="12"/>
        <v>1467.5291477587523</v>
      </c>
      <c r="F47" s="111">
        <f t="shared" si="13"/>
        <v>195559.6142972192</v>
      </c>
      <c r="G47" s="100"/>
    </row>
    <row r="48" spans="1:7" x14ac:dyDescent="0.25">
      <c r="A48" s="107"/>
      <c r="B48" s="102">
        <f t="shared" si="14"/>
        <v>195559.6142972192</v>
      </c>
      <c r="C48" s="103">
        <f t="shared" si="10"/>
        <v>163.79838577729083</v>
      </c>
      <c r="D48" s="103">
        <f t="shared" si="11"/>
        <v>1303.7307619814615</v>
      </c>
      <c r="E48" s="102">
        <f t="shared" si="12"/>
        <v>1467.5291477587523</v>
      </c>
      <c r="F48" s="111">
        <f t="shared" si="13"/>
        <v>195395.81591144192</v>
      </c>
      <c r="G48" s="100"/>
    </row>
    <row r="49" spans="1:7" x14ac:dyDescent="0.25">
      <c r="A49" s="107"/>
      <c r="B49" s="102">
        <f t="shared" si="14"/>
        <v>195395.81591144192</v>
      </c>
      <c r="C49" s="103">
        <f t="shared" si="10"/>
        <v>164.89037501580606</v>
      </c>
      <c r="D49" s="103">
        <f t="shared" si="11"/>
        <v>1302.6387727429462</v>
      </c>
      <c r="E49" s="102">
        <f t="shared" si="12"/>
        <v>1467.5291477587523</v>
      </c>
      <c r="F49" s="111">
        <f t="shared" si="13"/>
        <v>195230.92553642613</v>
      </c>
      <c r="G49" s="100"/>
    </row>
    <row r="50" spans="1:7" x14ac:dyDescent="0.25">
      <c r="A50" s="107"/>
      <c r="B50" s="102">
        <f t="shared" si="14"/>
        <v>195230.92553642613</v>
      </c>
      <c r="C50" s="103">
        <f t="shared" si="10"/>
        <v>165.98964418257788</v>
      </c>
      <c r="D50" s="103">
        <f t="shared" si="11"/>
        <v>1301.5395035761744</v>
      </c>
      <c r="E50" s="102">
        <f t="shared" si="12"/>
        <v>1467.5291477587523</v>
      </c>
      <c r="F50" s="111">
        <f t="shared" si="13"/>
        <v>195064.93589224355</v>
      </c>
      <c r="G50" s="100"/>
    </row>
    <row r="51" spans="1:7" x14ac:dyDescent="0.25">
      <c r="A51" s="107"/>
      <c r="B51" s="102">
        <f t="shared" si="14"/>
        <v>195064.93589224355</v>
      </c>
      <c r="C51" s="103">
        <f t="shared" si="10"/>
        <v>167.09624181046183</v>
      </c>
      <c r="D51" s="103">
        <f t="shared" si="11"/>
        <v>1300.4329059482905</v>
      </c>
      <c r="E51" s="102">
        <f t="shared" si="12"/>
        <v>1467.5291477587523</v>
      </c>
      <c r="F51" s="111">
        <f t="shared" si="13"/>
        <v>194897.83965043307</v>
      </c>
      <c r="G51" s="100"/>
    </row>
    <row r="52" spans="1:7" x14ac:dyDescent="0.25">
      <c r="A52" s="107"/>
      <c r="B52" s="102">
        <f t="shared" si="14"/>
        <v>194897.83965043307</v>
      </c>
      <c r="C52" s="103">
        <f t="shared" si="10"/>
        <v>168.21021675586508</v>
      </c>
      <c r="D52" s="103">
        <f t="shared" si="11"/>
        <v>1299.3189310028872</v>
      </c>
      <c r="E52" s="102">
        <f t="shared" si="12"/>
        <v>1467.5291477587523</v>
      </c>
      <c r="F52" s="111">
        <f t="shared" si="13"/>
        <v>194729.62943367721</v>
      </c>
      <c r="G52" s="100"/>
    </row>
    <row r="53" spans="1:7" x14ac:dyDescent="0.25">
      <c r="A53" s="110">
        <v>41639</v>
      </c>
      <c r="B53" s="102">
        <f t="shared" si="14"/>
        <v>194729.62943367721</v>
      </c>
      <c r="C53" s="103">
        <f t="shared" si="10"/>
        <v>169.33161820090413</v>
      </c>
      <c r="D53" s="103">
        <f t="shared" si="11"/>
        <v>1298.1975295578482</v>
      </c>
      <c r="E53" s="102">
        <f t="shared" si="12"/>
        <v>1467.5291477587523</v>
      </c>
      <c r="F53" s="109">
        <f t="shared" si="13"/>
        <v>194560.29781547631</v>
      </c>
      <c r="G53" s="100"/>
    </row>
    <row r="54" spans="1:7" x14ac:dyDescent="0.25">
      <c r="A54" s="107"/>
      <c r="B54" s="103"/>
      <c r="C54" s="103"/>
      <c r="D54" s="101">
        <f>SUM(D42:D53)</f>
        <v>15650.77310931463</v>
      </c>
      <c r="E54" s="103"/>
      <c r="F54" s="100"/>
      <c r="G54" s="100"/>
    </row>
    <row r="55" spans="1:7" x14ac:dyDescent="0.25">
      <c r="A55" s="107" t="s">
        <v>99</v>
      </c>
      <c r="B55" s="103"/>
      <c r="C55" s="103"/>
      <c r="D55" s="103"/>
      <c r="E55" s="103"/>
      <c r="F55" s="100"/>
      <c r="G55" s="100"/>
    </row>
    <row r="56" spans="1:7" x14ac:dyDescent="0.25">
      <c r="A56" s="107"/>
      <c r="B56" s="103">
        <f>F53</f>
        <v>194560.29781547631</v>
      </c>
      <c r="C56" s="103">
        <f t="shared" ref="C56:C67" si="15">E56-D56</f>
        <v>170.46049565557678</v>
      </c>
      <c r="D56" s="103">
        <f t="shared" ref="D56:D67" si="16">B56*$B$3</f>
        <v>1297.0686521031755</v>
      </c>
      <c r="E56" s="102">
        <f t="shared" ref="E56:E67" si="17">$B$6</f>
        <v>1467.5291477587523</v>
      </c>
      <c r="F56" s="103">
        <f t="shared" ref="F56:F67" si="18">B56-C56</f>
        <v>194389.83731982074</v>
      </c>
      <c r="G56" s="100"/>
    </row>
    <row r="57" spans="1:7" x14ac:dyDescent="0.25">
      <c r="A57" s="105"/>
      <c r="B57" s="102">
        <f t="shared" ref="B57:B67" si="19">F56</f>
        <v>194389.83731982074</v>
      </c>
      <c r="C57" s="103">
        <f t="shared" si="15"/>
        <v>171.59689895994734</v>
      </c>
      <c r="D57" s="103">
        <f t="shared" si="16"/>
        <v>1295.9322487988049</v>
      </c>
      <c r="E57" s="102">
        <f t="shared" si="17"/>
        <v>1467.5291477587523</v>
      </c>
      <c r="F57" s="103">
        <f t="shared" si="18"/>
        <v>194218.24042086079</v>
      </c>
      <c r="G57" s="100"/>
    </row>
    <row r="58" spans="1:7" x14ac:dyDescent="0.25">
      <c r="A58" s="104"/>
      <c r="B58" s="102">
        <f t="shared" si="19"/>
        <v>194218.24042086079</v>
      </c>
      <c r="C58" s="103">
        <f t="shared" si="15"/>
        <v>172.74087828634697</v>
      </c>
      <c r="D58" s="103">
        <f t="shared" si="16"/>
        <v>1294.7882694724053</v>
      </c>
      <c r="E58" s="102">
        <f t="shared" si="17"/>
        <v>1467.5291477587523</v>
      </c>
      <c r="F58" s="103">
        <f t="shared" si="18"/>
        <v>194045.49954257446</v>
      </c>
      <c r="G58" s="100"/>
    </row>
    <row r="59" spans="1:7" x14ac:dyDescent="0.25">
      <c r="A59" s="104"/>
      <c r="B59" s="102">
        <f t="shared" si="19"/>
        <v>194045.49954257446</v>
      </c>
      <c r="C59" s="103">
        <f t="shared" si="15"/>
        <v>173.89248414158919</v>
      </c>
      <c r="D59" s="103">
        <f t="shared" si="16"/>
        <v>1293.6366636171631</v>
      </c>
      <c r="E59" s="102">
        <f t="shared" si="17"/>
        <v>1467.5291477587523</v>
      </c>
      <c r="F59" s="103">
        <f t="shared" si="18"/>
        <v>193871.60705843286</v>
      </c>
      <c r="G59" s="100"/>
    </row>
    <row r="60" spans="1:7" x14ac:dyDescent="0.25">
      <c r="A60" s="104"/>
      <c r="B60" s="102">
        <f t="shared" si="19"/>
        <v>193871.60705843286</v>
      </c>
      <c r="C60" s="103">
        <f t="shared" si="15"/>
        <v>175.05176736919975</v>
      </c>
      <c r="D60" s="103">
        <f t="shared" si="16"/>
        <v>1292.4773803895525</v>
      </c>
      <c r="E60" s="102">
        <f t="shared" si="17"/>
        <v>1467.5291477587523</v>
      </c>
      <c r="F60" s="103">
        <f t="shared" si="18"/>
        <v>193696.55529106365</v>
      </c>
      <c r="G60" s="100"/>
    </row>
    <row r="61" spans="1:7" x14ac:dyDescent="0.25">
      <c r="A61" s="104"/>
      <c r="B61" s="102">
        <f t="shared" si="19"/>
        <v>193696.55529106365</v>
      </c>
      <c r="C61" s="103">
        <f t="shared" si="15"/>
        <v>176.21877915166124</v>
      </c>
      <c r="D61" s="103">
        <f t="shared" si="16"/>
        <v>1291.310368607091</v>
      </c>
      <c r="E61" s="102">
        <f t="shared" si="17"/>
        <v>1467.5291477587523</v>
      </c>
      <c r="F61" s="103">
        <f t="shared" si="18"/>
        <v>193520.336511912</v>
      </c>
      <c r="G61" s="100"/>
    </row>
    <row r="62" spans="1:7" x14ac:dyDescent="0.25">
      <c r="A62" s="104"/>
      <c r="B62" s="102">
        <f t="shared" si="19"/>
        <v>193520.336511912</v>
      </c>
      <c r="C62" s="103">
        <f t="shared" si="15"/>
        <v>177.39357101267228</v>
      </c>
      <c r="D62" s="103">
        <f t="shared" si="16"/>
        <v>1290.13557674608</v>
      </c>
      <c r="E62" s="102">
        <f t="shared" si="17"/>
        <v>1467.5291477587523</v>
      </c>
      <c r="F62" s="103">
        <f t="shared" si="18"/>
        <v>193342.94294089932</v>
      </c>
      <c r="G62" s="100"/>
    </row>
    <row r="63" spans="1:7" x14ac:dyDescent="0.25">
      <c r="A63" s="104"/>
      <c r="B63" s="102">
        <f t="shared" si="19"/>
        <v>193342.94294089932</v>
      </c>
      <c r="C63" s="103">
        <f t="shared" si="15"/>
        <v>178.57619481942334</v>
      </c>
      <c r="D63" s="103">
        <f t="shared" si="16"/>
        <v>1288.952952939329</v>
      </c>
      <c r="E63" s="102">
        <f t="shared" si="17"/>
        <v>1467.5291477587523</v>
      </c>
      <c r="F63" s="103">
        <f t="shared" si="18"/>
        <v>193164.3667460799</v>
      </c>
      <c r="G63" s="100"/>
    </row>
    <row r="64" spans="1:7" x14ac:dyDescent="0.25">
      <c r="A64" s="104"/>
      <c r="B64" s="102">
        <f t="shared" si="19"/>
        <v>193164.3667460799</v>
      </c>
      <c r="C64" s="103">
        <f t="shared" si="15"/>
        <v>179.76670278488609</v>
      </c>
      <c r="D64" s="103">
        <f t="shared" si="16"/>
        <v>1287.7624449738662</v>
      </c>
      <c r="E64" s="102">
        <f t="shared" si="17"/>
        <v>1467.5291477587523</v>
      </c>
      <c r="F64" s="103">
        <f t="shared" si="18"/>
        <v>192984.60004329501</v>
      </c>
      <c r="G64" s="100"/>
    </row>
    <row r="65" spans="1:7" x14ac:dyDescent="0.25">
      <c r="A65" s="104"/>
      <c r="B65" s="102">
        <f t="shared" si="19"/>
        <v>192984.60004329501</v>
      </c>
      <c r="C65" s="103">
        <f t="shared" si="15"/>
        <v>180.96514747011884</v>
      </c>
      <c r="D65" s="103">
        <f t="shared" si="16"/>
        <v>1286.5640002886335</v>
      </c>
      <c r="E65" s="102">
        <f t="shared" si="17"/>
        <v>1467.5291477587523</v>
      </c>
      <c r="F65" s="103">
        <f t="shared" si="18"/>
        <v>192803.63489582489</v>
      </c>
      <c r="G65" s="100"/>
    </row>
    <row r="66" spans="1:7" x14ac:dyDescent="0.25">
      <c r="A66" s="104"/>
      <c r="B66" s="102">
        <f t="shared" si="19"/>
        <v>192803.63489582489</v>
      </c>
      <c r="C66" s="103">
        <f t="shared" si="15"/>
        <v>182.17158178658633</v>
      </c>
      <c r="D66" s="103">
        <f t="shared" si="16"/>
        <v>1285.357565972166</v>
      </c>
      <c r="E66" s="102">
        <f t="shared" si="17"/>
        <v>1467.5291477587523</v>
      </c>
      <c r="F66" s="103">
        <f t="shared" si="18"/>
        <v>192621.46331403829</v>
      </c>
      <c r="G66" s="100"/>
    </row>
    <row r="67" spans="1:7" x14ac:dyDescent="0.25">
      <c r="A67" s="104"/>
      <c r="B67" s="102">
        <f t="shared" si="19"/>
        <v>192621.46331403829</v>
      </c>
      <c r="C67" s="103">
        <f t="shared" si="15"/>
        <v>183.38605899849699</v>
      </c>
      <c r="D67" s="103">
        <f t="shared" si="16"/>
        <v>1284.1430887602553</v>
      </c>
      <c r="E67" s="102">
        <f t="shared" si="17"/>
        <v>1467.5291477587523</v>
      </c>
      <c r="F67" s="101">
        <f t="shared" si="18"/>
        <v>192438.0772550398</v>
      </c>
      <c r="G67" s="100"/>
    </row>
    <row r="68" spans="1:7" x14ac:dyDescent="0.25">
      <c r="A68" s="104"/>
      <c r="B68" s="100"/>
      <c r="C68" s="100"/>
      <c r="D68" s="101">
        <f>SUM(D56:D67)</f>
        <v>15488.129212668524</v>
      </c>
      <c r="E68" s="100"/>
      <c r="F68" s="100"/>
      <c r="G68" s="100"/>
    </row>
    <row r="70" spans="1:7" x14ac:dyDescent="0.25">
      <c r="B70" s="103">
        <f>F67</f>
        <v>192438.0772550398</v>
      </c>
      <c r="C70" s="103">
        <f t="shared" ref="C70:C81" si="20">E70-D70</f>
        <v>184.60863272515348</v>
      </c>
      <c r="D70" s="103">
        <f t="shared" ref="D70:D81" si="21">B70*$B$3</f>
        <v>1282.9205150335988</v>
      </c>
      <c r="E70" s="102">
        <f t="shared" ref="E70:E81" si="22">$B$6</f>
        <v>1467.5291477587523</v>
      </c>
      <c r="F70" s="103">
        <f t="shared" ref="F70:F81" si="23">B70-C70</f>
        <v>192253.46862231466</v>
      </c>
    </row>
    <row r="71" spans="1:7" x14ac:dyDescent="0.25">
      <c r="B71" s="102">
        <f t="shared" ref="B71:B81" si="24">F70</f>
        <v>192253.46862231466</v>
      </c>
      <c r="C71" s="103">
        <f t="shared" si="20"/>
        <v>185.83935694332126</v>
      </c>
      <c r="D71" s="103">
        <f t="shared" si="21"/>
        <v>1281.689790815431</v>
      </c>
      <c r="E71" s="102">
        <f t="shared" si="22"/>
        <v>1467.5291477587523</v>
      </c>
      <c r="F71" s="103">
        <f t="shared" si="23"/>
        <v>192067.62926537133</v>
      </c>
    </row>
    <row r="72" spans="1:7" x14ac:dyDescent="0.25">
      <c r="B72" s="102">
        <f t="shared" si="24"/>
        <v>192067.62926537133</v>
      </c>
      <c r="C72" s="103">
        <f t="shared" si="20"/>
        <v>187.07828598961009</v>
      </c>
      <c r="D72" s="103">
        <f t="shared" si="21"/>
        <v>1280.4508617691422</v>
      </c>
      <c r="E72" s="102">
        <f t="shared" si="22"/>
        <v>1467.5291477587523</v>
      </c>
      <c r="F72" s="103">
        <f t="shared" si="23"/>
        <v>191880.55097938172</v>
      </c>
    </row>
    <row r="73" spans="1:7" x14ac:dyDescent="0.25">
      <c r="B73" s="102">
        <f t="shared" si="24"/>
        <v>191880.55097938172</v>
      </c>
      <c r="C73" s="103">
        <f t="shared" si="20"/>
        <v>188.32547456287398</v>
      </c>
      <c r="D73" s="103">
        <f t="shared" si="21"/>
        <v>1279.2036731958783</v>
      </c>
      <c r="E73" s="102">
        <f t="shared" si="22"/>
        <v>1467.5291477587523</v>
      </c>
      <c r="F73" s="103">
        <f t="shared" si="23"/>
        <v>191692.22550481884</v>
      </c>
    </row>
    <row r="74" spans="1:7" x14ac:dyDescent="0.25">
      <c r="B74" s="102">
        <f t="shared" si="24"/>
        <v>191692.22550481884</v>
      </c>
      <c r="C74" s="103">
        <f t="shared" si="20"/>
        <v>189.58097772662654</v>
      </c>
      <c r="D74" s="103">
        <f t="shared" si="21"/>
        <v>1277.9481700321257</v>
      </c>
      <c r="E74" s="102">
        <f t="shared" si="22"/>
        <v>1467.5291477587523</v>
      </c>
      <c r="F74" s="103">
        <f t="shared" si="23"/>
        <v>191502.6445270922</v>
      </c>
    </row>
    <row r="75" spans="1:7" x14ac:dyDescent="0.25">
      <c r="B75" s="102">
        <f t="shared" si="24"/>
        <v>191502.6445270922</v>
      </c>
      <c r="C75" s="103">
        <f t="shared" si="20"/>
        <v>190.84485091147099</v>
      </c>
      <c r="D75" s="103">
        <f t="shared" si="21"/>
        <v>1276.6842968472813</v>
      </c>
      <c r="E75" s="102">
        <f t="shared" si="22"/>
        <v>1467.5291477587523</v>
      </c>
      <c r="F75" s="103">
        <f t="shared" si="23"/>
        <v>191311.79967618073</v>
      </c>
    </row>
    <row r="76" spans="1:7" x14ac:dyDescent="0.25">
      <c r="B76" s="102">
        <f t="shared" si="24"/>
        <v>191311.79967618073</v>
      </c>
      <c r="C76" s="103">
        <f t="shared" si="20"/>
        <v>192.11714991754729</v>
      </c>
      <c r="D76" s="103">
        <f t="shared" si="21"/>
        <v>1275.411997841205</v>
      </c>
      <c r="E76" s="102">
        <f t="shared" si="22"/>
        <v>1467.5291477587523</v>
      </c>
      <c r="F76" s="103">
        <f t="shared" si="23"/>
        <v>191119.68252626318</v>
      </c>
    </row>
    <row r="77" spans="1:7" x14ac:dyDescent="0.25">
      <c r="B77" s="102">
        <f t="shared" si="24"/>
        <v>191119.68252626318</v>
      </c>
      <c r="C77" s="103">
        <f t="shared" si="20"/>
        <v>193.39793091699767</v>
      </c>
      <c r="D77" s="103">
        <f t="shared" si="21"/>
        <v>1274.1312168417546</v>
      </c>
      <c r="E77" s="102">
        <f t="shared" si="22"/>
        <v>1467.5291477587523</v>
      </c>
      <c r="F77" s="103">
        <f t="shared" si="23"/>
        <v>190926.28459534617</v>
      </c>
    </row>
    <row r="78" spans="1:7" x14ac:dyDescent="0.25">
      <c r="B78" s="102">
        <f t="shared" si="24"/>
        <v>190926.28459534617</v>
      </c>
      <c r="C78" s="103">
        <f t="shared" si="20"/>
        <v>194.68725045644442</v>
      </c>
      <c r="D78" s="103">
        <f t="shared" si="21"/>
        <v>1272.8418973023079</v>
      </c>
      <c r="E78" s="102">
        <f t="shared" si="22"/>
        <v>1467.5291477587523</v>
      </c>
      <c r="F78" s="103">
        <f t="shared" si="23"/>
        <v>190731.59734488971</v>
      </c>
    </row>
    <row r="79" spans="1:7" x14ac:dyDescent="0.25">
      <c r="B79" s="102">
        <f t="shared" si="24"/>
        <v>190731.59734488971</v>
      </c>
      <c r="C79" s="103">
        <f t="shared" si="20"/>
        <v>195.98516545948746</v>
      </c>
      <c r="D79" s="103">
        <f t="shared" si="21"/>
        <v>1271.5439822992648</v>
      </c>
      <c r="E79" s="102">
        <f t="shared" si="22"/>
        <v>1467.5291477587523</v>
      </c>
      <c r="F79" s="103">
        <f t="shared" si="23"/>
        <v>190535.61217943023</v>
      </c>
    </row>
    <row r="80" spans="1:7" x14ac:dyDescent="0.25">
      <c r="B80" s="102">
        <f t="shared" si="24"/>
        <v>190535.61217943023</v>
      </c>
      <c r="C80" s="103">
        <f t="shared" si="20"/>
        <v>197.29173322921724</v>
      </c>
      <c r="D80" s="103">
        <f t="shared" si="21"/>
        <v>1270.237414529535</v>
      </c>
      <c r="E80" s="102">
        <f t="shared" si="22"/>
        <v>1467.5291477587523</v>
      </c>
      <c r="F80" s="103">
        <f t="shared" si="23"/>
        <v>190338.32044620102</v>
      </c>
    </row>
    <row r="81" spans="2:6" x14ac:dyDescent="0.25">
      <c r="B81" s="102">
        <f t="shared" si="24"/>
        <v>190338.32044620102</v>
      </c>
      <c r="C81" s="103">
        <f t="shared" si="20"/>
        <v>198.6070114507454</v>
      </c>
      <c r="D81" s="103">
        <f t="shared" si="21"/>
        <v>1268.9221363080069</v>
      </c>
      <c r="E81" s="102">
        <f t="shared" si="22"/>
        <v>1467.5291477587523</v>
      </c>
      <c r="F81" s="101">
        <f t="shared" si="23"/>
        <v>190139.71343475027</v>
      </c>
    </row>
    <row r="82" spans="2:6" x14ac:dyDescent="0.25">
      <c r="B82" s="100"/>
      <c r="C82" s="100"/>
      <c r="D82" s="101">
        <f>SUM(D70:D81)</f>
        <v>15311.98595281553</v>
      </c>
      <c r="E82" s="100"/>
      <c r="F82" s="100"/>
    </row>
    <row r="84" spans="2:6" x14ac:dyDescent="0.25">
      <c r="B84" s="103">
        <f>F81</f>
        <v>190139.71343475027</v>
      </c>
      <c r="C84" s="103">
        <f t="shared" ref="C84:C95" si="25">E84-D84</f>
        <v>199.93105819375046</v>
      </c>
      <c r="D84" s="103">
        <f t="shared" ref="D84:D95" si="26">B84*$B$3</f>
        <v>1267.5980895650018</v>
      </c>
      <c r="E84" s="102">
        <f t="shared" ref="E84:E95" si="27">$B$6</f>
        <v>1467.5291477587523</v>
      </c>
      <c r="F84" s="103">
        <f t="shared" ref="F84:F95" si="28">B84-C84</f>
        <v>189939.78237655651</v>
      </c>
    </row>
    <row r="85" spans="2:6" x14ac:dyDescent="0.25">
      <c r="B85" s="102">
        <f t="shared" ref="B85:B95" si="29">F84</f>
        <v>189939.78237655651</v>
      </c>
      <c r="C85" s="103">
        <f t="shared" si="25"/>
        <v>201.26393191504212</v>
      </c>
      <c r="D85" s="103">
        <f t="shared" si="26"/>
        <v>1266.2652158437102</v>
      </c>
      <c r="E85" s="102">
        <f t="shared" si="27"/>
        <v>1467.5291477587523</v>
      </c>
      <c r="F85" s="103">
        <f t="shared" si="28"/>
        <v>189738.51844464146</v>
      </c>
    </row>
    <row r="86" spans="2:6" x14ac:dyDescent="0.25">
      <c r="B86" s="102">
        <f t="shared" si="29"/>
        <v>189738.51844464146</v>
      </c>
      <c r="C86" s="103">
        <f t="shared" si="25"/>
        <v>202.60569146114244</v>
      </c>
      <c r="D86" s="103">
        <f t="shared" si="26"/>
        <v>1264.9234562976098</v>
      </c>
      <c r="E86" s="102">
        <f t="shared" si="27"/>
        <v>1467.5291477587523</v>
      </c>
      <c r="F86" s="103">
        <f t="shared" si="28"/>
        <v>189535.91275318031</v>
      </c>
    </row>
    <row r="87" spans="2:6" x14ac:dyDescent="0.25">
      <c r="B87" s="102">
        <f t="shared" si="29"/>
        <v>189535.91275318031</v>
      </c>
      <c r="C87" s="103">
        <f t="shared" si="25"/>
        <v>203.95639607088356</v>
      </c>
      <c r="D87" s="103">
        <f t="shared" si="26"/>
        <v>1263.5727516878687</v>
      </c>
      <c r="E87" s="102">
        <f t="shared" si="27"/>
        <v>1467.5291477587523</v>
      </c>
      <c r="F87" s="103">
        <f t="shared" si="28"/>
        <v>189331.95635710942</v>
      </c>
    </row>
    <row r="88" spans="2:6" x14ac:dyDescent="0.25">
      <c r="B88" s="102">
        <f t="shared" si="29"/>
        <v>189331.95635710942</v>
      </c>
      <c r="C88" s="103">
        <f t="shared" si="25"/>
        <v>205.31610537802271</v>
      </c>
      <c r="D88" s="103">
        <f t="shared" si="26"/>
        <v>1262.2130423807296</v>
      </c>
      <c r="E88" s="102">
        <f t="shared" si="27"/>
        <v>1467.5291477587523</v>
      </c>
      <c r="F88" s="103">
        <f t="shared" si="28"/>
        <v>189126.64025173138</v>
      </c>
    </row>
    <row r="89" spans="2:6" x14ac:dyDescent="0.25">
      <c r="B89" s="102">
        <f t="shared" si="29"/>
        <v>189126.64025173138</v>
      </c>
      <c r="C89" s="103">
        <f t="shared" si="25"/>
        <v>206.68487941387639</v>
      </c>
      <c r="D89" s="103">
        <f t="shared" si="26"/>
        <v>1260.8442683448759</v>
      </c>
      <c r="E89" s="102">
        <f t="shared" si="27"/>
        <v>1467.5291477587523</v>
      </c>
      <c r="F89" s="103">
        <f t="shared" si="28"/>
        <v>188919.95537231752</v>
      </c>
    </row>
    <row r="90" spans="2:6" x14ac:dyDescent="0.25">
      <c r="B90" s="102">
        <f t="shared" si="29"/>
        <v>188919.95537231752</v>
      </c>
      <c r="C90" s="103">
        <f t="shared" si="25"/>
        <v>208.06277860996875</v>
      </c>
      <c r="D90" s="103">
        <f t="shared" si="26"/>
        <v>1259.4663691487835</v>
      </c>
      <c r="E90" s="102">
        <f t="shared" si="27"/>
        <v>1467.5291477587523</v>
      </c>
      <c r="F90" s="103">
        <f t="shared" si="28"/>
        <v>188711.89259370754</v>
      </c>
    </row>
    <row r="91" spans="2:6" x14ac:dyDescent="0.25">
      <c r="B91" s="102">
        <f t="shared" si="29"/>
        <v>188711.89259370754</v>
      </c>
      <c r="C91" s="103">
        <f t="shared" si="25"/>
        <v>209.44986380070191</v>
      </c>
      <c r="D91" s="103">
        <f t="shared" si="26"/>
        <v>1258.0792839580504</v>
      </c>
      <c r="E91" s="102">
        <f t="shared" si="27"/>
        <v>1467.5291477587523</v>
      </c>
      <c r="F91" s="103">
        <f t="shared" si="28"/>
        <v>188502.44272990685</v>
      </c>
    </row>
    <row r="92" spans="2:6" x14ac:dyDescent="0.25">
      <c r="B92" s="102">
        <f t="shared" si="29"/>
        <v>188502.44272990685</v>
      </c>
      <c r="C92" s="103">
        <f t="shared" si="25"/>
        <v>210.84619622603986</v>
      </c>
      <c r="D92" s="103">
        <f t="shared" si="26"/>
        <v>1256.6829515327124</v>
      </c>
      <c r="E92" s="102">
        <f t="shared" si="27"/>
        <v>1467.5291477587523</v>
      </c>
      <c r="F92" s="103">
        <f t="shared" si="28"/>
        <v>188291.5965336808</v>
      </c>
    </row>
    <row r="93" spans="2:6" x14ac:dyDescent="0.25">
      <c r="B93" s="102">
        <f t="shared" si="29"/>
        <v>188291.5965336808</v>
      </c>
      <c r="C93" s="103">
        <f t="shared" si="25"/>
        <v>212.25183753421356</v>
      </c>
      <c r="D93" s="103">
        <f t="shared" si="26"/>
        <v>1255.2773102245387</v>
      </c>
      <c r="E93" s="102">
        <f t="shared" si="27"/>
        <v>1467.5291477587523</v>
      </c>
      <c r="F93" s="103">
        <f t="shared" si="28"/>
        <v>188079.34469614658</v>
      </c>
    </row>
    <row r="94" spans="2:6" x14ac:dyDescent="0.25">
      <c r="B94" s="102">
        <f t="shared" si="29"/>
        <v>188079.34469614658</v>
      </c>
      <c r="C94" s="103">
        <f t="shared" si="25"/>
        <v>213.66684978444164</v>
      </c>
      <c r="D94" s="103">
        <f t="shared" si="26"/>
        <v>1253.8622979743106</v>
      </c>
      <c r="E94" s="102">
        <f t="shared" si="27"/>
        <v>1467.5291477587523</v>
      </c>
      <c r="F94" s="103">
        <f t="shared" si="28"/>
        <v>187865.67784636214</v>
      </c>
    </row>
    <row r="95" spans="2:6" x14ac:dyDescent="0.25">
      <c r="B95" s="102">
        <f t="shared" si="29"/>
        <v>187865.67784636214</v>
      </c>
      <c r="C95" s="103">
        <f t="shared" si="25"/>
        <v>215.09129544967118</v>
      </c>
      <c r="D95" s="103">
        <f t="shared" si="26"/>
        <v>1252.4378523090811</v>
      </c>
      <c r="E95" s="102">
        <f t="shared" si="27"/>
        <v>1467.5291477587523</v>
      </c>
      <c r="F95" s="101">
        <f t="shared" si="28"/>
        <v>187650.58655091247</v>
      </c>
    </row>
    <row r="96" spans="2:6" x14ac:dyDescent="0.25">
      <c r="B96" s="100"/>
      <c r="C96" s="100"/>
      <c r="D96" s="101">
        <f>SUM(D84:D95)</f>
        <v>15121.222889267272</v>
      </c>
      <c r="E96" s="100"/>
      <c r="F96" s="100"/>
    </row>
    <row r="98" spans="2:6" x14ac:dyDescent="0.25">
      <c r="B98" s="103">
        <f>F95</f>
        <v>187650.58655091247</v>
      </c>
      <c r="C98" s="103">
        <f t="shared" ref="C98:C109" si="30">E98-D98</f>
        <v>216.52523741933578</v>
      </c>
      <c r="D98" s="103">
        <f t="shared" ref="D98:D109" si="31">B98*$B$3</f>
        <v>1251.0039103394165</v>
      </c>
      <c r="E98" s="102">
        <f t="shared" ref="E98:E109" si="32">$B$6</f>
        <v>1467.5291477587523</v>
      </c>
      <c r="F98" s="103">
        <f t="shared" ref="F98:F109" si="33">B98-C98</f>
        <v>187434.06131349315</v>
      </c>
    </row>
    <row r="99" spans="2:6" x14ac:dyDescent="0.25">
      <c r="B99" s="102">
        <f t="shared" ref="B99:B109" si="34">F98</f>
        <v>187434.06131349315</v>
      </c>
      <c r="C99" s="103">
        <f t="shared" si="30"/>
        <v>217.96873900213131</v>
      </c>
      <c r="D99" s="103">
        <f t="shared" si="31"/>
        <v>1249.560408756621</v>
      </c>
      <c r="E99" s="102">
        <f t="shared" si="32"/>
        <v>1467.5291477587523</v>
      </c>
      <c r="F99" s="103">
        <f t="shared" si="33"/>
        <v>187216.09257449102</v>
      </c>
    </row>
    <row r="100" spans="2:6" x14ac:dyDescent="0.25">
      <c r="B100" s="102">
        <f t="shared" si="34"/>
        <v>187216.09257449102</v>
      </c>
      <c r="C100" s="103">
        <f t="shared" si="30"/>
        <v>219.42186392881217</v>
      </c>
      <c r="D100" s="103">
        <f t="shared" si="31"/>
        <v>1248.1072838299401</v>
      </c>
      <c r="E100" s="102">
        <f t="shared" si="32"/>
        <v>1467.5291477587523</v>
      </c>
      <c r="F100" s="103">
        <f t="shared" si="33"/>
        <v>186996.6707105622</v>
      </c>
    </row>
    <row r="101" spans="2:6" x14ac:dyDescent="0.25">
      <c r="B101" s="102">
        <f t="shared" si="34"/>
        <v>186996.6707105622</v>
      </c>
      <c r="C101" s="103">
        <f t="shared" si="30"/>
        <v>220.8846763550041</v>
      </c>
      <c r="D101" s="103">
        <f t="shared" si="31"/>
        <v>1246.6444714037482</v>
      </c>
      <c r="E101" s="102">
        <f t="shared" si="32"/>
        <v>1467.5291477587523</v>
      </c>
      <c r="F101" s="103">
        <f t="shared" si="33"/>
        <v>186775.78603420721</v>
      </c>
    </row>
    <row r="102" spans="2:6" x14ac:dyDescent="0.25">
      <c r="B102" s="102">
        <f t="shared" si="34"/>
        <v>186775.78603420721</v>
      </c>
      <c r="C102" s="103">
        <f t="shared" si="30"/>
        <v>222.35724086403752</v>
      </c>
      <c r="D102" s="103">
        <f t="shared" si="31"/>
        <v>1245.1719068947148</v>
      </c>
      <c r="E102" s="102">
        <f t="shared" si="32"/>
        <v>1467.5291477587523</v>
      </c>
      <c r="F102" s="103">
        <f t="shared" si="33"/>
        <v>186553.42879334316</v>
      </c>
    </row>
    <row r="103" spans="2:6" x14ac:dyDescent="0.25">
      <c r="B103" s="102">
        <f t="shared" si="34"/>
        <v>186553.42879334316</v>
      </c>
      <c r="C103" s="103">
        <f t="shared" si="30"/>
        <v>223.83962246979786</v>
      </c>
      <c r="D103" s="103">
        <f t="shared" si="31"/>
        <v>1243.6895252889544</v>
      </c>
      <c r="E103" s="102">
        <f t="shared" si="32"/>
        <v>1467.5291477587523</v>
      </c>
      <c r="F103" s="103">
        <f t="shared" si="33"/>
        <v>186329.58917087337</v>
      </c>
    </row>
    <row r="104" spans="2:6" x14ac:dyDescent="0.25">
      <c r="B104" s="102">
        <f t="shared" si="34"/>
        <v>186329.58917087337</v>
      </c>
      <c r="C104" s="103">
        <f t="shared" si="30"/>
        <v>225.33188661959639</v>
      </c>
      <c r="D104" s="103">
        <f t="shared" si="31"/>
        <v>1242.1972611391559</v>
      </c>
      <c r="E104" s="102">
        <f t="shared" si="32"/>
        <v>1467.5291477587523</v>
      </c>
      <c r="F104" s="103">
        <f t="shared" si="33"/>
        <v>186104.25728425378</v>
      </c>
    </row>
    <row r="105" spans="2:6" x14ac:dyDescent="0.25">
      <c r="B105" s="102">
        <f t="shared" si="34"/>
        <v>186104.25728425378</v>
      </c>
      <c r="C105" s="103">
        <f t="shared" si="30"/>
        <v>226.83409919706037</v>
      </c>
      <c r="D105" s="103">
        <f t="shared" si="31"/>
        <v>1240.6950485616919</v>
      </c>
      <c r="E105" s="102">
        <f t="shared" si="32"/>
        <v>1467.5291477587523</v>
      </c>
      <c r="F105" s="103">
        <f t="shared" si="33"/>
        <v>185877.42318505672</v>
      </c>
    </row>
    <row r="106" spans="2:6" x14ac:dyDescent="0.25">
      <c r="B106" s="102">
        <f t="shared" si="34"/>
        <v>185877.42318505672</v>
      </c>
      <c r="C106" s="103">
        <f t="shared" si="30"/>
        <v>228.34632652504069</v>
      </c>
      <c r="D106" s="103">
        <f t="shared" si="31"/>
        <v>1239.1828212337116</v>
      </c>
      <c r="E106" s="102">
        <f t="shared" si="32"/>
        <v>1467.5291477587523</v>
      </c>
      <c r="F106" s="103">
        <f t="shared" si="33"/>
        <v>185649.07685853168</v>
      </c>
    </row>
    <row r="107" spans="2:6" x14ac:dyDescent="0.25">
      <c r="B107" s="102">
        <f t="shared" si="34"/>
        <v>185649.07685853168</v>
      </c>
      <c r="C107" s="103">
        <f t="shared" si="30"/>
        <v>229.86863536854094</v>
      </c>
      <c r="D107" s="103">
        <f t="shared" si="31"/>
        <v>1237.6605123902114</v>
      </c>
      <c r="E107" s="102">
        <f t="shared" si="32"/>
        <v>1467.5291477587523</v>
      </c>
      <c r="F107" s="103">
        <f t="shared" si="33"/>
        <v>185419.20822316315</v>
      </c>
    </row>
    <row r="108" spans="2:6" x14ac:dyDescent="0.25">
      <c r="B108" s="102">
        <f t="shared" si="34"/>
        <v>185419.20822316315</v>
      </c>
      <c r="C108" s="103">
        <f t="shared" si="30"/>
        <v>231.40109293766454</v>
      </c>
      <c r="D108" s="103">
        <f t="shared" si="31"/>
        <v>1236.1280548210877</v>
      </c>
      <c r="E108" s="102">
        <f t="shared" si="32"/>
        <v>1467.5291477587523</v>
      </c>
      <c r="F108" s="103">
        <f t="shared" si="33"/>
        <v>185187.8071302255</v>
      </c>
    </row>
    <row r="109" spans="2:6" x14ac:dyDescent="0.25">
      <c r="B109" s="102">
        <f t="shared" si="34"/>
        <v>185187.8071302255</v>
      </c>
      <c r="C109" s="103">
        <f t="shared" si="30"/>
        <v>232.94376689058231</v>
      </c>
      <c r="D109" s="103">
        <f t="shared" si="31"/>
        <v>1234.58538086817</v>
      </c>
      <c r="E109" s="102">
        <f t="shared" si="32"/>
        <v>1467.5291477587523</v>
      </c>
      <c r="F109" s="101">
        <f t="shared" si="33"/>
        <v>184954.86336333491</v>
      </c>
    </row>
    <row r="110" spans="2:6" x14ac:dyDescent="0.25">
      <c r="B110" s="100"/>
      <c r="C110" s="100"/>
      <c r="D110" s="101">
        <f>SUM(D98:D109)</f>
        <v>14914.626585527423</v>
      </c>
      <c r="E110" s="100"/>
      <c r="F110" s="100"/>
    </row>
    <row r="112" spans="2:6" x14ac:dyDescent="0.25">
      <c r="B112" s="103">
        <f>F109</f>
        <v>184954.86336333491</v>
      </c>
      <c r="C112" s="103">
        <f t="shared" ref="C112:C123" si="35">E112-D112</f>
        <v>234.49672533651938</v>
      </c>
      <c r="D112" s="103">
        <f t="shared" ref="D112:D123" si="36">B112*$B$3</f>
        <v>1233.0324224222329</v>
      </c>
      <c r="E112" s="102">
        <f t="shared" ref="E112:E123" si="37">$B$6</f>
        <v>1467.5291477587523</v>
      </c>
      <c r="F112" s="103">
        <f t="shared" ref="F112:F123" si="38">B112-C112</f>
        <v>184720.36663799838</v>
      </c>
    </row>
    <row r="113" spans="2:6" x14ac:dyDescent="0.25">
      <c r="B113" s="102">
        <f t="shared" ref="B113:B123" si="39">F112</f>
        <v>184720.36663799838</v>
      </c>
      <c r="C113" s="103">
        <f t="shared" si="35"/>
        <v>236.06003683876293</v>
      </c>
      <c r="D113" s="103">
        <f t="shared" si="36"/>
        <v>1231.4691109199894</v>
      </c>
      <c r="E113" s="102">
        <f t="shared" si="37"/>
        <v>1467.5291477587523</v>
      </c>
      <c r="F113" s="103">
        <f t="shared" si="38"/>
        <v>184484.30660115962</v>
      </c>
    </row>
    <row r="114" spans="2:6" x14ac:dyDescent="0.25">
      <c r="B114" s="102">
        <f t="shared" si="39"/>
        <v>184484.30660115962</v>
      </c>
      <c r="C114" s="103">
        <f t="shared" si="35"/>
        <v>237.63377041768808</v>
      </c>
      <c r="D114" s="103">
        <f t="shared" si="36"/>
        <v>1229.8953773410642</v>
      </c>
      <c r="E114" s="102">
        <f t="shared" si="37"/>
        <v>1467.5291477587523</v>
      </c>
      <c r="F114" s="103">
        <f t="shared" si="38"/>
        <v>184246.67283074194</v>
      </c>
    </row>
    <row r="115" spans="2:6" x14ac:dyDescent="0.25">
      <c r="B115" s="102">
        <f t="shared" si="39"/>
        <v>184246.67283074194</v>
      </c>
      <c r="C115" s="103">
        <f t="shared" si="35"/>
        <v>239.21799555380585</v>
      </c>
      <c r="D115" s="103">
        <f t="shared" si="36"/>
        <v>1228.3111522049464</v>
      </c>
      <c r="E115" s="102">
        <f t="shared" si="37"/>
        <v>1467.5291477587523</v>
      </c>
      <c r="F115" s="103">
        <f t="shared" si="38"/>
        <v>184007.45483518814</v>
      </c>
    </row>
    <row r="116" spans="2:6" x14ac:dyDescent="0.25">
      <c r="B116" s="102">
        <f t="shared" si="39"/>
        <v>184007.45483518814</v>
      </c>
      <c r="C116" s="103">
        <f t="shared" si="35"/>
        <v>240.81278219083129</v>
      </c>
      <c r="D116" s="103">
        <f t="shared" si="36"/>
        <v>1226.716365567921</v>
      </c>
      <c r="E116" s="102">
        <f t="shared" si="37"/>
        <v>1467.5291477587523</v>
      </c>
      <c r="F116" s="103">
        <f t="shared" si="38"/>
        <v>183766.64205299731</v>
      </c>
    </row>
    <row r="117" spans="2:6" x14ac:dyDescent="0.25">
      <c r="B117" s="102">
        <f t="shared" si="39"/>
        <v>183766.64205299731</v>
      </c>
      <c r="C117" s="103">
        <f t="shared" si="35"/>
        <v>242.41820073877011</v>
      </c>
      <c r="D117" s="103">
        <f t="shared" si="36"/>
        <v>1225.1109470199822</v>
      </c>
      <c r="E117" s="102">
        <f t="shared" si="37"/>
        <v>1467.5291477587523</v>
      </c>
      <c r="F117" s="103">
        <f t="shared" si="38"/>
        <v>183524.22385225855</v>
      </c>
    </row>
    <row r="118" spans="2:6" x14ac:dyDescent="0.25">
      <c r="B118" s="102">
        <f t="shared" si="39"/>
        <v>183524.22385225855</v>
      </c>
      <c r="C118" s="103">
        <f t="shared" si="35"/>
        <v>244.03432207702849</v>
      </c>
      <c r="D118" s="103">
        <f t="shared" si="36"/>
        <v>1223.4948256817238</v>
      </c>
      <c r="E118" s="102">
        <f t="shared" si="37"/>
        <v>1467.5291477587523</v>
      </c>
      <c r="F118" s="103">
        <f t="shared" si="38"/>
        <v>183280.18953018152</v>
      </c>
    </row>
    <row r="119" spans="2:6" x14ac:dyDescent="0.25">
      <c r="B119" s="102">
        <f t="shared" si="39"/>
        <v>183280.18953018152</v>
      </c>
      <c r="C119" s="103">
        <f t="shared" si="35"/>
        <v>245.66121755754216</v>
      </c>
      <c r="D119" s="103">
        <f t="shared" si="36"/>
        <v>1221.8679302012101</v>
      </c>
      <c r="E119" s="102">
        <f t="shared" si="37"/>
        <v>1467.5291477587523</v>
      </c>
      <c r="F119" s="103">
        <f t="shared" si="38"/>
        <v>183034.528312624</v>
      </c>
    </row>
    <row r="120" spans="2:6" x14ac:dyDescent="0.25">
      <c r="B120" s="102">
        <f t="shared" si="39"/>
        <v>183034.528312624</v>
      </c>
      <c r="C120" s="103">
        <f t="shared" si="35"/>
        <v>247.29895900792553</v>
      </c>
      <c r="D120" s="103">
        <f t="shared" si="36"/>
        <v>1220.2301887508268</v>
      </c>
      <c r="E120" s="102">
        <f t="shared" si="37"/>
        <v>1467.5291477587523</v>
      </c>
      <c r="F120" s="103">
        <f t="shared" si="38"/>
        <v>182787.22935361607</v>
      </c>
    </row>
    <row r="121" spans="2:6" x14ac:dyDescent="0.25">
      <c r="B121" s="102">
        <f t="shared" si="39"/>
        <v>182787.22935361607</v>
      </c>
      <c r="C121" s="103">
        <f t="shared" si="35"/>
        <v>248.94761873464495</v>
      </c>
      <c r="D121" s="103">
        <f t="shared" si="36"/>
        <v>1218.5815290241073</v>
      </c>
      <c r="E121" s="102">
        <f t="shared" si="37"/>
        <v>1467.5291477587523</v>
      </c>
      <c r="F121" s="103">
        <f t="shared" si="38"/>
        <v>182538.28173488143</v>
      </c>
    </row>
    <row r="122" spans="2:6" x14ac:dyDescent="0.25">
      <c r="B122" s="102">
        <f t="shared" si="39"/>
        <v>182538.28173488143</v>
      </c>
      <c r="C122" s="103">
        <f t="shared" si="35"/>
        <v>250.60726952620939</v>
      </c>
      <c r="D122" s="103">
        <f t="shared" si="36"/>
        <v>1216.9218782325429</v>
      </c>
      <c r="E122" s="102">
        <f t="shared" si="37"/>
        <v>1467.5291477587523</v>
      </c>
      <c r="F122" s="103">
        <f t="shared" si="38"/>
        <v>182287.67446535523</v>
      </c>
    </row>
    <row r="123" spans="2:6" x14ac:dyDescent="0.25">
      <c r="B123" s="102">
        <f t="shared" si="39"/>
        <v>182287.67446535523</v>
      </c>
      <c r="C123" s="103">
        <f t="shared" si="35"/>
        <v>252.27798465638398</v>
      </c>
      <c r="D123" s="103">
        <f t="shared" si="36"/>
        <v>1215.2511631023683</v>
      </c>
      <c r="E123" s="102">
        <f t="shared" si="37"/>
        <v>1467.5291477587523</v>
      </c>
      <c r="F123" s="101">
        <f t="shared" si="38"/>
        <v>182035.39648069884</v>
      </c>
    </row>
    <row r="124" spans="2:6" x14ac:dyDescent="0.25">
      <c r="B124" s="100"/>
      <c r="C124" s="100"/>
      <c r="D124" s="101">
        <f>SUM(D112:D123)</f>
        <v>14690.882890468916</v>
      </c>
      <c r="E124" s="100"/>
      <c r="F124" s="100"/>
    </row>
    <row r="126" spans="2:6" x14ac:dyDescent="0.25">
      <c r="B126" s="103">
        <f>F123</f>
        <v>182035.39648069884</v>
      </c>
      <c r="C126" s="103">
        <f t="shared" ref="C126:C137" si="40">E126-D126</f>
        <v>253.9598378874266</v>
      </c>
      <c r="D126" s="103">
        <f t="shared" ref="D126:D137" si="41">B126*$B$3</f>
        <v>1213.5693098713257</v>
      </c>
      <c r="E126" s="102">
        <f t="shared" ref="E126:E137" si="42">$B$6</f>
        <v>1467.5291477587523</v>
      </c>
      <c r="F126" s="103">
        <f t="shared" ref="F126:F137" si="43">B126-C126</f>
        <v>181781.4366428114</v>
      </c>
    </row>
    <row r="127" spans="2:6" x14ac:dyDescent="0.25">
      <c r="B127" s="102">
        <f t="shared" ref="B127:B137" si="44">F126</f>
        <v>181781.4366428114</v>
      </c>
      <c r="C127" s="103">
        <f t="shared" si="40"/>
        <v>255.6529034733428</v>
      </c>
      <c r="D127" s="103">
        <f t="shared" si="41"/>
        <v>1211.8762442854095</v>
      </c>
      <c r="E127" s="102">
        <f t="shared" si="42"/>
        <v>1467.5291477587523</v>
      </c>
      <c r="F127" s="103">
        <f t="shared" si="43"/>
        <v>181525.78373933805</v>
      </c>
    </row>
    <row r="128" spans="2:6" x14ac:dyDescent="0.25">
      <c r="B128" s="102">
        <f t="shared" si="44"/>
        <v>181525.78373933805</v>
      </c>
      <c r="C128" s="103">
        <f t="shared" si="40"/>
        <v>257.35725616316518</v>
      </c>
      <c r="D128" s="103">
        <f t="shared" si="41"/>
        <v>1210.1718915955871</v>
      </c>
      <c r="E128" s="102">
        <f t="shared" si="42"/>
        <v>1467.5291477587523</v>
      </c>
      <c r="F128" s="103">
        <f t="shared" si="43"/>
        <v>181268.42648317487</v>
      </c>
    </row>
    <row r="129" spans="2:6" x14ac:dyDescent="0.25">
      <c r="B129" s="102">
        <f t="shared" si="44"/>
        <v>181268.42648317487</v>
      </c>
      <c r="C129" s="103">
        <f t="shared" si="40"/>
        <v>259.07297120425301</v>
      </c>
      <c r="D129" s="103">
        <f t="shared" si="41"/>
        <v>1208.4561765544993</v>
      </c>
      <c r="E129" s="102">
        <f t="shared" si="42"/>
        <v>1467.5291477587523</v>
      </c>
      <c r="F129" s="103">
        <f t="shared" si="43"/>
        <v>181009.35351197061</v>
      </c>
    </row>
    <row r="130" spans="2:6" x14ac:dyDescent="0.25">
      <c r="B130" s="102">
        <f t="shared" si="44"/>
        <v>181009.35351197061</v>
      </c>
      <c r="C130" s="103">
        <f t="shared" si="40"/>
        <v>260.8001243456149</v>
      </c>
      <c r="D130" s="103">
        <f t="shared" si="41"/>
        <v>1206.7290234131374</v>
      </c>
      <c r="E130" s="102">
        <f t="shared" si="42"/>
        <v>1467.5291477587523</v>
      </c>
      <c r="F130" s="103">
        <f t="shared" si="43"/>
        <v>180748.553387625</v>
      </c>
    </row>
    <row r="131" spans="2:6" x14ac:dyDescent="0.25">
      <c r="B131" s="102">
        <f t="shared" si="44"/>
        <v>180748.553387625</v>
      </c>
      <c r="C131" s="103">
        <f t="shared" si="40"/>
        <v>262.5387918412523</v>
      </c>
      <c r="D131" s="103">
        <f t="shared" si="41"/>
        <v>1204.9903559175</v>
      </c>
      <c r="E131" s="102">
        <f t="shared" si="42"/>
        <v>1467.5291477587523</v>
      </c>
      <c r="F131" s="103">
        <f t="shared" si="43"/>
        <v>180486.01459578375</v>
      </c>
    </row>
    <row r="132" spans="2:6" x14ac:dyDescent="0.25">
      <c r="B132" s="102">
        <f t="shared" si="44"/>
        <v>180486.01459578375</v>
      </c>
      <c r="C132" s="103">
        <f t="shared" si="40"/>
        <v>264.28905045352712</v>
      </c>
      <c r="D132" s="103">
        <f t="shared" si="41"/>
        <v>1203.2400973052252</v>
      </c>
      <c r="E132" s="102">
        <f t="shared" si="42"/>
        <v>1467.5291477587523</v>
      </c>
      <c r="F132" s="103">
        <f t="shared" si="43"/>
        <v>180221.72554533024</v>
      </c>
    </row>
    <row r="133" spans="2:6" x14ac:dyDescent="0.25">
      <c r="B133" s="102">
        <f t="shared" si="44"/>
        <v>180221.72554533024</v>
      </c>
      <c r="C133" s="103">
        <f t="shared" si="40"/>
        <v>266.05097745655075</v>
      </c>
      <c r="D133" s="103">
        <f t="shared" si="41"/>
        <v>1201.4781703022015</v>
      </c>
      <c r="E133" s="102">
        <f t="shared" si="42"/>
        <v>1467.5291477587523</v>
      </c>
      <c r="F133" s="103">
        <f t="shared" si="43"/>
        <v>179955.67456787368</v>
      </c>
    </row>
    <row r="134" spans="2:6" x14ac:dyDescent="0.25">
      <c r="B134" s="102">
        <f t="shared" si="44"/>
        <v>179955.67456787368</v>
      </c>
      <c r="C134" s="103">
        <f t="shared" si="40"/>
        <v>267.82465063959444</v>
      </c>
      <c r="D134" s="103">
        <f t="shared" si="41"/>
        <v>1199.7044971191578</v>
      </c>
      <c r="E134" s="102">
        <f t="shared" si="42"/>
        <v>1467.5291477587523</v>
      </c>
      <c r="F134" s="103">
        <f t="shared" si="43"/>
        <v>179687.8499172341</v>
      </c>
    </row>
    <row r="135" spans="2:6" x14ac:dyDescent="0.25">
      <c r="B135" s="102">
        <f t="shared" si="44"/>
        <v>179687.8499172341</v>
      </c>
      <c r="C135" s="103">
        <f t="shared" si="40"/>
        <v>269.61014831052489</v>
      </c>
      <c r="D135" s="103">
        <f t="shared" si="41"/>
        <v>1197.9189994482274</v>
      </c>
      <c r="E135" s="102">
        <f t="shared" si="42"/>
        <v>1467.5291477587523</v>
      </c>
      <c r="F135" s="103">
        <f t="shared" si="43"/>
        <v>179418.23976892358</v>
      </c>
    </row>
    <row r="136" spans="2:6" x14ac:dyDescent="0.25">
      <c r="B136" s="102">
        <f t="shared" si="44"/>
        <v>179418.23976892358</v>
      </c>
      <c r="C136" s="103">
        <f t="shared" si="40"/>
        <v>271.40754929926175</v>
      </c>
      <c r="D136" s="103">
        <f t="shared" si="41"/>
        <v>1196.1215984594905</v>
      </c>
      <c r="E136" s="102">
        <f t="shared" si="42"/>
        <v>1467.5291477587523</v>
      </c>
      <c r="F136" s="103">
        <f t="shared" si="43"/>
        <v>179146.83221962431</v>
      </c>
    </row>
    <row r="137" spans="2:6" x14ac:dyDescent="0.25">
      <c r="B137" s="102">
        <f t="shared" si="44"/>
        <v>179146.83221962431</v>
      </c>
      <c r="C137" s="103">
        <f t="shared" si="40"/>
        <v>273.21693296125682</v>
      </c>
      <c r="D137" s="103">
        <f t="shared" si="41"/>
        <v>1194.3122147974955</v>
      </c>
      <c r="E137" s="102">
        <f t="shared" si="42"/>
        <v>1467.5291477587523</v>
      </c>
      <c r="F137" s="101">
        <f t="shared" si="43"/>
        <v>178873.61528666306</v>
      </c>
    </row>
    <row r="138" spans="2:6" x14ac:dyDescent="0.25">
      <c r="B138" s="100"/>
      <c r="C138" s="100"/>
      <c r="D138" s="101">
        <f>SUM(D126:D137)</f>
        <v>14448.568579069257</v>
      </c>
      <c r="E138" s="100"/>
      <c r="F138" s="100"/>
    </row>
    <row r="140" spans="2:6" x14ac:dyDescent="0.25">
      <c r="B140" s="103">
        <f>F137</f>
        <v>178873.61528666306</v>
      </c>
      <c r="C140" s="103">
        <f t="shared" ref="C140:C151" si="45">E140-D140</f>
        <v>275.03837918099839</v>
      </c>
      <c r="D140" s="103">
        <f t="shared" ref="D140:D151" si="46">B140*$B$3</f>
        <v>1192.4907685777539</v>
      </c>
      <c r="E140" s="102">
        <f t="shared" ref="E140:E151" si="47">$B$6</f>
        <v>1467.5291477587523</v>
      </c>
      <c r="F140" s="103">
        <f t="shared" ref="F140:F151" si="48">B140-C140</f>
        <v>178598.57690748206</v>
      </c>
    </row>
    <row r="141" spans="2:6" x14ac:dyDescent="0.25">
      <c r="B141" s="102">
        <f t="shared" ref="B141:B151" si="49">F140</f>
        <v>178598.57690748206</v>
      </c>
      <c r="C141" s="103">
        <f t="shared" si="45"/>
        <v>276.87196837553847</v>
      </c>
      <c r="D141" s="103">
        <f t="shared" si="46"/>
        <v>1190.6571793832138</v>
      </c>
      <c r="E141" s="102">
        <f t="shared" si="47"/>
        <v>1467.5291477587523</v>
      </c>
      <c r="F141" s="103">
        <f t="shared" si="48"/>
        <v>178321.70493910651</v>
      </c>
    </row>
    <row r="142" spans="2:6" x14ac:dyDescent="0.25">
      <c r="B142" s="102">
        <f t="shared" si="49"/>
        <v>178321.70493910651</v>
      </c>
      <c r="C142" s="103">
        <f t="shared" si="45"/>
        <v>278.71778149804209</v>
      </c>
      <c r="D142" s="103">
        <f t="shared" si="46"/>
        <v>1188.8113662607102</v>
      </c>
      <c r="E142" s="102">
        <f t="shared" si="47"/>
        <v>1467.5291477587523</v>
      </c>
      <c r="F142" s="103">
        <f t="shared" si="48"/>
        <v>178042.98715760847</v>
      </c>
    </row>
    <row r="143" spans="2:6" x14ac:dyDescent="0.25">
      <c r="B143" s="102">
        <f t="shared" si="49"/>
        <v>178042.98715760847</v>
      </c>
      <c r="C143" s="103">
        <f t="shared" si="45"/>
        <v>280.5759000413625</v>
      </c>
      <c r="D143" s="103">
        <f t="shared" si="46"/>
        <v>1186.9532477173898</v>
      </c>
      <c r="E143" s="102">
        <f t="shared" si="47"/>
        <v>1467.5291477587523</v>
      </c>
      <c r="F143" s="103">
        <f t="shared" si="48"/>
        <v>177762.41125756712</v>
      </c>
    </row>
    <row r="144" spans="2:6" x14ac:dyDescent="0.25">
      <c r="B144" s="102">
        <f t="shared" si="49"/>
        <v>177762.41125756712</v>
      </c>
      <c r="C144" s="103">
        <f t="shared" si="45"/>
        <v>282.44640604163806</v>
      </c>
      <c r="D144" s="103">
        <f t="shared" si="46"/>
        <v>1185.0827417171142</v>
      </c>
      <c r="E144" s="102">
        <f t="shared" si="47"/>
        <v>1467.5291477587523</v>
      </c>
      <c r="F144" s="103">
        <f t="shared" si="48"/>
        <v>177479.96485152547</v>
      </c>
    </row>
    <row r="145" spans="2:6" x14ac:dyDescent="0.25">
      <c r="B145" s="102">
        <f t="shared" si="49"/>
        <v>177479.96485152547</v>
      </c>
      <c r="C145" s="103">
        <f t="shared" si="45"/>
        <v>284.32938208191581</v>
      </c>
      <c r="D145" s="103">
        <f t="shared" si="46"/>
        <v>1183.1997656768365</v>
      </c>
      <c r="E145" s="102">
        <f t="shared" si="47"/>
        <v>1467.5291477587523</v>
      </c>
      <c r="F145" s="103">
        <f t="shared" si="48"/>
        <v>177195.63546944354</v>
      </c>
    </row>
    <row r="146" spans="2:6" x14ac:dyDescent="0.25">
      <c r="B146" s="102">
        <f t="shared" si="49"/>
        <v>177195.63546944354</v>
      </c>
      <c r="C146" s="103">
        <f t="shared" si="45"/>
        <v>286.22491129579521</v>
      </c>
      <c r="D146" s="103">
        <f t="shared" si="46"/>
        <v>1181.3042364629571</v>
      </c>
      <c r="E146" s="102">
        <f t="shared" si="47"/>
        <v>1467.5291477587523</v>
      </c>
      <c r="F146" s="103">
        <f t="shared" si="48"/>
        <v>176909.41055814773</v>
      </c>
    </row>
    <row r="147" spans="2:6" x14ac:dyDescent="0.25">
      <c r="B147" s="102">
        <f t="shared" si="49"/>
        <v>176909.41055814773</v>
      </c>
      <c r="C147" s="103">
        <f t="shared" si="45"/>
        <v>288.13307737110063</v>
      </c>
      <c r="D147" s="103">
        <f t="shared" si="46"/>
        <v>1179.3960703876517</v>
      </c>
      <c r="E147" s="102">
        <f t="shared" si="47"/>
        <v>1467.5291477587523</v>
      </c>
      <c r="F147" s="103">
        <f t="shared" si="48"/>
        <v>176621.27748077663</v>
      </c>
    </row>
    <row r="148" spans="2:6" x14ac:dyDescent="0.25">
      <c r="B148" s="102">
        <f t="shared" si="49"/>
        <v>176621.27748077663</v>
      </c>
      <c r="C148" s="103">
        <f t="shared" si="45"/>
        <v>290.05396455357481</v>
      </c>
      <c r="D148" s="103">
        <f t="shared" si="46"/>
        <v>1177.4751832051775</v>
      </c>
      <c r="E148" s="102">
        <f t="shared" si="47"/>
        <v>1467.5291477587523</v>
      </c>
      <c r="F148" s="103">
        <f t="shared" si="48"/>
        <v>176331.22351622305</v>
      </c>
    </row>
    <row r="149" spans="2:6" x14ac:dyDescent="0.25">
      <c r="B149" s="102">
        <f t="shared" si="49"/>
        <v>176331.22351622305</v>
      </c>
      <c r="C149" s="103">
        <f t="shared" si="45"/>
        <v>291.98765765059852</v>
      </c>
      <c r="D149" s="103">
        <f t="shared" si="46"/>
        <v>1175.5414901081538</v>
      </c>
      <c r="E149" s="102">
        <f t="shared" si="47"/>
        <v>1467.5291477587523</v>
      </c>
      <c r="F149" s="103">
        <f t="shared" si="48"/>
        <v>176039.23585857244</v>
      </c>
    </row>
    <row r="150" spans="2:6" x14ac:dyDescent="0.25">
      <c r="B150" s="102">
        <f t="shared" si="49"/>
        <v>176039.23585857244</v>
      </c>
      <c r="C150" s="103">
        <f t="shared" si="45"/>
        <v>293.93424203493601</v>
      </c>
      <c r="D150" s="103">
        <f t="shared" si="46"/>
        <v>1173.5949057238163</v>
      </c>
      <c r="E150" s="102">
        <f t="shared" si="47"/>
        <v>1467.5291477587523</v>
      </c>
      <c r="F150" s="103">
        <f t="shared" si="48"/>
        <v>175745.3016165375</v>
      </c>
    </row>
    <row r="151" spans="2:6" x14ac:dyDescent="0.25">
      <c r="B151" s="102">
        <f t="shared" si="49"/>
        <v>175745.3016165375</v>
      </c>
      <c r="C151" s="103">
        <f t="shared" si="45"/>
        <v>295.89380364850217</v>
      </c>
      <c r="D151" s="103">
        <f t="shared" si="46"/>
        <v>1171.6353441102501</v>
      </c>
      <c r="E151" s="102">
        <f t="shared" si="47"/>
        <v>1467.5291477587523</v>
      </c>
      <c r="F151" s="101">
        <f t="shared" si="48"/>
        <v>175449.407812889</v>
      </c>
    </row>
    <row r="152" spans="2:6" x14ac:dyDescent="0.25">
      <c r="B152" s="100"/>
      <c r="C152" s="100"/>
      <c r="D152" s="101">
        <f>SUM(D140:D151)</f>
        <v>14186.142299331023</v>
      </c>
      <c r="E152" s="100"/>
      <c r="F152" s="100"/>
    </row>
    <row r="154" spans="2:6" x14ac:dyDescent="0.25">
      <c r="B154" s="103">
        <f>F151</f>
        <v>175449.407812889</v>
      </c>
      <c r="C154" s="103">
        <f t="shared" ref="C154:C165" si="50">E154-D154</f>
        <v>297.8664290061588</v>
      </c>
      <c r="D154" s="103">
        <f t="shared" ref="D154:D165" si="51">B154*$B$3</f>
        <v>1169.6627187525935</v>
      </c>
      <c r="E154" s="102">
        <f t="shared" ref="E154:E165" si="52">$B$6</f>
        <v>1467.5291477587523</v>
      </c>
      <c r="F154" s="103">
        <f t="shared" ref="F154:F165" si="53">B154-C154</f>
        <v>175151.54138388284</v>
      </c>
    </row>
    <row r="155" spans="2:6" x14ac:dyDescent="0.25">
      <c r="B155" s="102">
        <f t="shared" ref="B155:B165" si="54">F154</f>
        <v>175151.54138388284</v>
      </c>
      <c r="C155" s="103">
        <f t="shared" si="50"/>
        <v>299.85220519953327</v>
      </c>
      <c r="D155" s="103">
        <f t="shared" si="51"/>
        <v>1167.676942559219</v>
      </c>
      <c r="E155" s="102">
        <f t="shared" si="52"/>
        <v>1467.5291477587523</v>
      </c>
      <c r="F155" s="103">
        <f t="shared" si="53"/>
        <v>174851.6891786833</v>
      </c>
    </row>
    <row r="156" spans="2:6" x14ac:dyDescent="0.25">
      <c r="B156" s="102">
        <f t="shared" si="54"/>
        <v>174851.6891786833</v>
      </c>
      <c r="C156" s="103">
        <f t="shared" si="50"/>
        <v>301.8512199008635</v>
      </c>
      <c r="D156" s="103">
        <f t="shared" si="51"/>
        <v>1165.6779278578888</v>
      </c>
      <c r="E156" s="102">
        <f t="shared" si="52"/>
        <v>1467.5291477587523</v>
      </c>
      <c r="F156" s="103">
        <f t="shared" si="53"/>
        <v>174549.83795878245</v>
      </c>
    </row>
    <row r="157" spans="2:6" x14ac:dyDescent="0.25">
      <c r="B157" s="102">
        <f t="shared" si="54"/>
        <v>174549.83795878245</v>
      </c>
      <c r="C157" s="103">
        <f t="shared" si="50"/>
        <v>303.86356136686913</v>
      </c>
      <c r="D157" s="103">
        <f t="shared" si="51"/>
        <v>1163.6655863918832</v>
      </c>
      <c r="E157" s="102">
        <f t="shared" si="52"/>
        <v>1467.5291477587523</v>
      </c>
      <c r="F157" s="103">
        <f t="shared" si="53"/>
        <v>174245.97439741559</v>
      </c>
    </row>
    <row r="158" spans="2:6" x14ac:dyDescent="0.25">
      <c r="B158" s="102">
        <f t="shared" si="54"/>
        <v>174245.97439741559</v>
      </c>
      <c r="C158" s="103">
        <f t="shared" si="50"/>
        <v>305.88931844264835</v>
      </c>
      <c r="D158" s="103">
        <f t="shared" si="51"/>
        <v>1161.6398293161039</v>
      </c>
      <c r="E158" s="102">
        <f t="shared" si="52"/>
        <v>1467.5291477587523</v>
      </c>
      <c r="F158" s="103">
        <f t="shared" si="53"/>
        <v>173940.08507897294</v>
      </c>
    </row>
    <row r="159" spans="2:6" x14ac:dyDescent="0.25">
      <c r="B159" s="102">
        <f t="shared" si="54"/>
        <v>173940.08507897294</v>
      </c>
      <c r="C159" s="103">
        <f t="shared" si="50"/>
        <v>307.9285805655993</v>
      </c>
      <c r="D159" s="103">
        <f t="shared" si="51"/>
        <v>1159.600567193153</v>
      </c>
      <c r="E159" s="102">
        <f t="shared" si="52"/>
        <v>1467.5291477587523</v>
      </c>
      <c r="F159" s="103">
        <f t="shared" si="53"/>
        <v>173632.15649840733</v>
      </c>
    </row>
    <row r="160" spans="2:6" x14ac:dyDescent="0.25">
      <c r="B160" s="102">
        <f t="shared" si="54"/>
        <v>173632.15649840733</v>
      </c>
      <c r="C160" s="103">
        <f t="shared" si="50"/>
        <v>309.9814377693699</v>
      </c>
      <c r="D160" s="103">
        <f t="shared" si="51"/>
        <v>1157.5477099893824</v>
      </c>
      <c r="E160" s="102">
        <f t="shared" si="52"/>
        <v>1467.5291477587523</v>
      </c>
      <c r="F160" s="103">
        <f t="shared" si="53"/>
        <v>173322.17506063796</v>
      </c>
    </row>
    <row r="161" spans="2:6" x14ac:dyDescent="0.25">
      <c r="B161" s="102">
        <f t="shared" si="54"/>
        <v>173322.17506063796</v>
      </c>
      <c r="C161" s="103">
        <f t="shared" si="50"/>
        <v>312.04798068783248</v>
      </c>
      <c r="D161" s="103">
        <f t="shared" si="51"/>
        <v>1155.4811670709198</v>
      </c>
      <c r="E161" s="102">
        <f t="shared" si="52"/>
        <v>1467.5291477587523</v>
      </c>
      <c r="F161" s="103">
        <f t="shared" si="53"/>
        <v>173010.12707995012</v>
      </c>
    </row>
    <row r="162" spans="2:6" x14ac:dyDescent="0.25">
      <c r="B162" s="102">
        <f t="shared" si="54"/>
        <v>173010.12707995012</v>
      </c>
      <c r="C162" s="103">
        <f t="shared" si="50"/>
        <v>314.12830055908466</v>
      </c>
      <c r="D162" s="103">
        <f t="shared" si="51"/>
        <v>1153.4008471996676</v>
      </c>
      <c r="E162" s="102">
        <f t="shared" si="52"/>
        <v>1467.5291477587523</v>
      </c>
      <c r="F162" s="103">
        <f t="shared" si="53"/>
        <v>172695.99877939103</v>
      </c>
    </row>
    <row r="163" spans="2:6" x14ac:dyDescent="0.25">
      <c r="B163" s="102">
        <f t="shared" si="54"/>
        <v>172695.99877939103</v>
      </c>
      <c r="C163" s="103">
        <f t="shared" si="50"/>
        <v>316.2224892294787</v>
      </c>
      <c r="D163" s="103">
        <f t="shared" si="51"/>
        <v>1151.3066585292736</v>
      </c>
      <c r="E163" s="102">
        <f t="shared" si="52"/>
        <v>1467.5291477587523</v>
      </c>
      <c r="F163" s="103">
        <f t="shared" si="53"/>
        <v>172379.77629016154</v>
      </c>
    </row>
    <row r="164" spans="2:6" x14ac:dyDescent="0.25">
      <c r="B164" s="102">
        <f t="shared" si="54"/>
        <v>172379.77629016154</v>
      </c>
      <c r="C164" s="103">
        <f t="shared" si="50"/>
        <v>318.33063915767525</v>
      </c>
      <c r="D164" s="103">
        <f t="shared" si="51"/>
        <v>1149.198508601077</v>
      </c>
      <c r="E164" s="102">
        <f t="shared" si="52"/>
        <v>1467.5291477587523</v>
      </c>
      <c r="F164" s="103">
        <f t="shared" si="53"/>
        <v>172061.44565100386</v>
      </c>
    </row>
    <row r="165" spans="2:6" x14ac:dyDescent="0.25">
      <c r="B165" s="102">
        <f t="shared" si="54"/>
        <v>172061.44565100386</v>
      </c>
      <c r="C165" s="103">
        <f t="shared" si="50"/>
        <v>320.45284341872639</v>
      </c>
      <c r="D165" s="103">
        <f t="shared" si="51"/>
        <v>1147.0763043400259</v>
      </c>
      <c r="E165" s="102">
        <f t="shared" si="52"/>
        <v>1467.5291477587523</v>
      </c>
      <c r="F165" s="101">
        <f t="shared" si="53"/>
        <v>171740.99280758513</v>
      </c>
    </row>
    <row r="166" spans="2:6" x14ac:dyDescent="0.25">
      <c r="B166" s="100"/>
      <c r="C166" s="100"/>
      <c r="D166" s="101">
        <f>SUM(D154:D165)</f>
        <v>13901.934767801185</v>
      </c>
      <c r="E166" s="100"/>
      <c r="F166" s="10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9"/>
  <sheetViews>
    <sheetView topLeftCell="A5" workbookViewId="0">
      <selection activeCell="G20" sqref="G20"/>
    </sheetView>
  </sheetViews>
  <sheetFormatPr defaultColWidth="8.85546875" defaultRowHeight="15" x14ac:dyDescent="0.25"/>
  <cols>
    <col min="1" max="1" width="25.7109375" bestFit="1" customWidth="1"/>
    <col min="3" max="3" width="10.7109375" bestFit="1" customWidth="1"/>
    <col min="8" max="8" width="10.7109375" bestFit="1" customWidth="1"/>
    <col min="9" max="12" width="12.5703125" bestFit="1" customWidth="1"/>
    <col min="13" max="13" width="14.28515625" bestFit="1" customWidth="1"/>
  </cols>
  <sheetData>
    <row r="3" spans="1:13" x14ac:dyDescent="0.25">
      <c r="A3" t="s">
        <v>82</v>
      </c>
      <c r="B3" s="219">
        <f>'Kitt(IRR=WACC)'!F134</f>
        <v>0.10456191797476669</v>
      </c>
    </row>
    <row r="5" spans="1:13" x14ac:dyDescent="0.25">
      <c r="A5" s="213" t="s">
        <v>124</v>
      </c>
      <c r="C5">
        <v>0</v>
      </c>
      <c r="D5">
        <v>1</v>
      </c>
      <c r="E5">
        <v>2</v>
      </c>
      <c r="F5">
        <v>3</v>
      </c>
      <c r="G5">
        <v>4</v>
      </c>
      <c r="H5">
        <v>5</v>
      </c>
      <c r="I5">
        <v>6</v>
      </c>
      <c r="J5">
        <v>7</v>
      </c>
      <c r="K5">
        <v>8</v>
      </c>
      <c r="L5">
        <v>9</v>
      </c>
      <c r="M5">
        <v>10</v>
      </c>
    </row>
    <row r="6" spans="1:13" x14ac:dyDescent="0.25">
      <c r="A6" t="s">
        <v>119</v>
      </c>
      <c r="C6" s="214">
        <f>'Kitt(IRR=WACC)'!C80+'Kitt(IRR=WACC)'!C81</f>
        <v>-400000</v>
      </c>
    </row>
    <row r="7" spans="1:13" x14ac:dyDescent="0.25">
      <c r="A7" t="s">
        <v>55</v>
      </c>
      <c r="C7" s="214"/>
      <c r="D7" s="215">
        <f>'Kitt(IRR=WACC)'!D77</f>
        <v>44380.266666666663</v>
      </c>
      <c r="E7" s="215">
        <f>'Kitt(IRR=WACC)'!E77</f>
        <v>53578.666666666664</v>
      </c>
      <c r="F7" s="215">
        <f>'Kitt(IRR=WACC)'!F77</f>
        <v>63057.143146666669</v>
      </c>
      <c r="G7" s="215">
        <f>'Kitt(IRR=WACC)'!G77</f>
        <v>72824.200112362596</v>
      </c>
      <c r="H7" s="215">
        <f>'Kitt(IRR=WACC)'!H77</f>
        <v>82888.599304342744</v>
      </c>
      <c r="I7" s="215">
        <f>'Kitt(IRR=WACC)'!I77</f>
        <v>93259.367999958951</v>
      </c>
      <c r="J7" s="215">
        <f>'Kitt(IRR=WACC)'!J77</f>
        <v>103945.80705118194</v>
      </c>
      <c r="K7" s="215">
        <f>'Kitt(IRR=WACC)'!K77</f>
        <v>114957.49916557084</v>
      </c>
      <c r="L7" s="215">
        <f>'Kitt(IRR=WACC)'!L77</f>
        <v>126304.31743771007</v>
      </c>
      <c r="M7" s="215">
        <f>'Kitt(IRR=WACC)'!M77</f>
        <v>137996.43413868133</v>
      </c>
    </row>
    <row r="8" spans="1:13" x14ac:dyDescent="0.25">
      <c r="A8" t="s">
        <v>120</v>
      </c>
      <c r="C8" s="214"/>
      <c r="D8" s="215"/>
      <c r="E8" s="215"/>
      <c r="F8" s="215"/>
      <c r="G8" s="215"/>
      <c r="K8" s="215"/>
      <c r="L8" s="215"/>
      <c r="M8" s="212">
        <f>'Kitt(IRR=WACC)'!M82+'Kitt(IRR=WACC)'!M83</f>
        <v>437500</v>
      </c>
    </row>
    <row r="9" spans="1:13" x14ac:dyDescent="0.25">
      <c r="A9" t="s">
        <v>121</v>
      </c>
      <c r="C9" s="214">
        <f>-PV(B3,C5,,C6)</f>
        <v>-400000</v>
      </c>
      <c r="D9" s="214">
        <f>-PV($B$3,D5,,D7)</f>
        <v>40179.066419416886</v>
      </c>
      <c r="E9" s="214">
        <f t="shared" ref="E9:L9" si="0">-PV($B$3,E5,,E7)</f>
        <v>43914.887026680182</v>
      </c>
      <c r="F9" s="214">
        <f t="shared" si="0"/>
        <v>46791.190276111767</v>
      </c>
      <c r="G9" s="214">
        <f t="shared" si="0"/>
        <v>48923.267970664769</v>
      </c>
      <c r="H9" s="214">
        <f t="shared" si="0"/>
        <v>50413.22386907816</v>
      </c>
      <c r="I9" s="214">
        <f t="shared" si="0"/>
        <v>51351.374452102093</v>
      </c>
      <c r="J9" s="214">
        <f t="shared" si="0"/>
        <v>51817.50688952479</v>
      </c>
      <c r="K9" s="214">
        <f t="shared" si="0"/>
        <v>51882.008407961141</v>
      </c>
      <c r="L9" s="214">
        <f t="shared" si="0"/>
        <v>51606.87986956985</v>
      </c>
      <c r="M9" s="220">
        <f>-PV($B$3,M5,,M7+M8)</f>
        <v>212883.48806073834</v>
      </c>
    </row>
    <row r="10" spans="1:13" x14ac:dyDescent="0.25">
      <c r="A10" t="s">
        <v>122</v>
      </c>
      <c r="C10" s="214">
        <f>SUM(C9:M9)</f>
        <v>249762.89324184792</v>
      </c>
      <c r="D10" s="215"/>
      <c r="E10" s="215"/>
      <c r="F10" s="215"/>
      <c r="G10" s="215"/>
    </row>
    <row r="11" spans="1:13" x14ac:dyDescent="0.25">
      <c r="C11" s="214"/>
      <c r="D11" s="215"/>
      <c r="E11" s="215"/>
      <c r="F11" s="215"/>
      <c r="G11" s="215"/>
    </row>
    <row r="12" spans="1:13" x14ac:dyDescent="0.25">
      <c r="A12" t="s">
        <v>123</v>
      </c>
      <c r="B12" s="216"/>
      <c r="C12" s="214">
        <v>-65000</v>
      </c>
      <c r="D12" s="215"/>
      <c r="E12" s="215"/>
      <c r="F12" s="215"/>
      <c r="G12" s="215"/>
      <c r="J12" s="217"/>
    </row>
    <row r="13" spans="1:13" x14ac:dyDescent="0.25">
      <c r="B13" s="216"/>
    </row>
    <row r="14" spans="1:13" x14ac:dyDescent="0.25">
      <c r="A14" s="213" t="s">
        <v>125</v>
      </c>
    </row>
    <row r="15" spans="1:13" x14ac:dyDescent="0.25">
      <c r="A15" t="s">
        <v>119</v>
      </c>
      <c r="H15" s="214">
        <v>-125000</v>
      </c>
    </row>
    <row r="16" spans="1:13" x14ac:dyDescent="0.25">
      <c r="A16" t="s">
        <v>55</v>
      </c>
      <c r="C16" s="214"/>
      <c r="D16" s="215"/>
      <c r="E16" s="215"/>
      <c r="F16" s="215"/>
      <c r="G16" s="215"/>
      <c r="H16" s="215"/>
      <c r="I16" s="221">
        <f>(I7*0.3)+I7</f>
        <v>121237.17839994663</v>
      </c>
      <c r="J16" s="221">
        <f t="shared" ref="J16:L16" si="1">(J7*0.3)+J7</f>
        <v>135129.54916653651</v>
      </c>
      <c r="K16" s="221">
        <f t="shared" si="1"/>
        <v>149444.74891524209</v>
      </c>
      <c r="L16" s="221">
        <f t="shared" si="1"/>
        <v>164195.61266902307</v>
      </c>
      <c r="M16" s="221">
        <f>(M7*0.3)+M7</f>
        <v>179395.36438028573</v>
      </c>
    </row>
    <row r="17" spans="1:13" x14ac:dyDescent="0.25">
      <c r="A17" t="s">
        <v>120</v>
      </c>
      <c r="C17" s="214"/>
      <c r="D17" s="215"/>
      <c r="E17" s="215"/>
      <c r="F17" s="215"/>
      <c r="G17" s="215"/>
      <c r="K17" s="215"/>
      <c r="L17" s="215"/>
      <c r="M17" s="212">
        <v>1000000</v>
      </c>
    </row>
    <row r="18" spans="1:13" x14ac:dyDescent="0.25">
      <c r="A18" t="s">
        <v>121</v>
      </c>
      <c r="C18" s="214"/>
      <c r="D18" s="214"/>
      <c r="E18" s="214"/>
      <c r="F18" s="214"/>
      <c r="G18" s="214"/>
      <c r="H18" s="214"/>
      <c r="I18" s="214">
        <f>-PV($B$3,I5,,I16)</f>
        <v>66756.786787732723</v>
      </c>
      <c r="J18" s="214">
        <f t="shared" ref="J18:L18" si="2">-PV($B$3,J5,,J16)</f>
        <v>67362.758956382226</v>
      </c>
      <c r="K18" s="214">
        <f t="shared" si="2"/>
        <v>67446.610930349474</v>
      </c>
      <c r="L18" s="214">
        <f t="shared" si="2"/>
        <v>67088.943830440796</v>
      </c>
      <c r="M18" s="220">
        <f>-PV(B3,M5,,M16+M17)</f>
        <v>436273.422523827</v>
      </c>
    </row>
    <row r="19" spans="1:13" x14ac:dyDescent="0.25">
      <c r="A19" t="s">
        <v>122</v>
      </c>
      <c r="D19" s="214"/>
      <c r="E19" s="215"/>
      <c r="F19" s="215"/>
      <c r="G19" s="215"/>
      <c r="I19" s="218">
        <f>SUM(I18:M18)</f>
        <v>704928.52302873228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27"/>
  <sheetViews>
    <sheetView zoomScale="77" zoomScaleNormal="77" zoomScalePageLayoutView="77" workbookViewId="0">
      <selection sqref="A1:P126"/>
    </sheetView>
  </sheetViews>
  <sheetFormatPr defaultColWidth="8.85546875" defaultRowHeight="15.75" x14ac:dyDescent="0.25"/>
  <cols>
    <col min="1" max="1" width="8.85546875" style="136"/>
    <col min="2" max="2" width="39.42578125" style="136" bestFit="1" customWidth="1"/>
    <col min="3" max="3" width="15.140625" style="136" bestFit="1" customWidth="1"/>
    <col min="4" max="6" width="14" style="136" bestFit="1" customWidth="1"/>
    <col min="7" max="7" width="14.42578125" style="136" bestFit="1" customWidth="1"/>
    <col min="8" max="8" width="14" style="136" bestFit="1" customWidth="1"/>
    <col min="9" max="9" width="25.42578125" style="136" bestFit="1" customWidth="1"/>
    <col min="10" max="10" width="14" style="136" customWidth="1"/>
    <col min="11" max="13" width="15.85546875" style="136" bestFit="1" customWidth="1"/>
    <col min="14" max="14" width="2.7109375" style="138" customWidth="1"/>
    <col min="15" max="15" width="18.42578125" style="136" bestFit="1" customWidth="1"/>
    <col min="16" max="16" width="13.42578125" style="136" bestFit="1" customWidth="1"/>
    <col min="17" max="17" width="9.28515625" style="136" bestFit="1" customWidth="1"/>
    <col min="18" max="18" width="15.7109375" style="136" bestFit="1" customWidth="1"/>
    <col min="19" max="19" width="11.140625" style="136" bestFit="1" customWidth="1"/>
    <col min="20" max="16384" width="8.85546875" style="136"/>
  </cols>
  <sheetData>
    <row r="1" spans="1:16" x14ac:dyDescent="0.25">
      <c r="A1" s="132"/>
      <c r="B1" s="133" t="s">
        <v>0</v>
      </c>
      <c r="C1" s="132"/>
      <c r="D1" s="134">
        <v>2014</v>
      </c>
      <c r="E1" s="134">
        <v>2015</v>
      </c>
      <c r="F1" s="134">
        <v>2016</v>
      </c>
      <c r="G1" s="134">
        <v>2017</v>
      </c>
      <c r="H1" s="134">
        <v>2018</v>
      </c>
      <c r="I1" s="134">
        <v>2019</v>
      </c>
      <c r="J1" s="134">
        <v>2020</v>
      </c>
      <c r="K1" s="134">
        <v>2021</v>
      </c>
      <c r="L1" s="134">
        <v>2022</v>
      </c>
      <c r="M1" s="134">
        <v>2023</v>
      </c>
      <c r="N1" s="135"/>
      <c r="O1" s="132"/>
      <c r="P1" s="132"/>
    </row>
    <row r="2" spans="1:16" x14ac:dyDescent="0.25">
      <c r="A2" s="132"/>
      <c r="B2" s="232" t="s">
        <v>1</v>
      </c>
      <c r="C2" s="137"/>
      <c r="D2" s="137">
        <v>12</v>
      </c>
      <c r="E2" s="137">
        <f>(D2*$O$2)</f>
        <v>12.24</v>
      </c>
      <c r="F2" s="137">
        <f t="shared" ref="F2:M2" si="0">(E2*$O$2)</f>
        <v>12.4848</v>
      </c>
      <c r="G2" s="137">
        <f t="shared" si="0"/>
        <v>12.734496</v>
      </c>
      <c r="H2" s="137">
        <f t="shared" si="0"/>
        <v>12.989185920000001</v>
      </c>
      <c r="I2" s="137">
        <f t="shared" si="0"/>
        <v>13.2489696384</v>
      </c>
      <c r="J2" s="137">
        <f t="shared" si="0"/>
        <v>13.513949031168</v>
      </c>
      <c r="K2" s="137">
        <f t="shared" si="0"/>
        <v>13.78422801179136</v>
      </c>
      <c r="L2" s="137">
        <f t="shared" si="0"/>
        <v>14.059912572027187</v>
      </c>
      <c r="M2" s="137">
        <f t="shared" si="0"/>
        <v>14.341110823467732</v>
      </c>
      <c r="O2" s="139">
        <v>1.02</v>
      </c>
      <c r="P2" s="132" t="s">
        <v>2</v>
      </c>
    </row>
    <row r="3" spans="1:16" x14ac:dyDescent="0.25">
      <c r="A3" s="132"/>
      <c r="B3" s="232" t="s">
        <v>3</v>
      </c>
      <c r="C3" s="137"/>
      <c r="D3" s="140">
        <v>60000</v>
      </c>
      <c r="E3" s="140">
        <f>D3*$O$3</f>
        <v>60600</v>
      </c>
      <c r="F3" s="140">
        <f t="shared" ref="F3:M3" si="1">E3*$O$3</f>
        <v>61206</v>
      </c>
      <c r="G3" s="140">
        <f t="shared" si="1"/>
        <v>61818.06</v>
      </c>
      <c r="H3" s="140">
        <f t="shared" si="1"/>
        <v>62436.240599999997</v>
      </c>
      <c r="I3" s="140">
        <f t="shared" si="1"/>
        <v>63060.603005999998</v>
      </c>
      <c r="J3" s="140">
        <f t="shared" si="1"/>
        <v>63691.209036059998</v>
      </c>
      <c r="K3" s="140">
        <f t="shared" si="1"/>
        <v>64328.121126420599</v>
      </c>
      <c r="L3" s="140">
        <f t="shared" si="1"/>
        <v>64971.402337684805</v>
      </c>
      <c r="M3" s="140">
        <f t="shared" si="1"/>
        <v>65621.11636106165</v>
      </c>
      <c r="O3" s="141">
        <v>1.01</v>
      </c>
      <c r="P3" s="132" t="s">
        <v>2</v>
      </c>
    </row>
    <row r="4" spans="1:16" x14ac:dyDescent="0.25">
      <c r="A4" s="132"/>
      <c r="B4" s="232"/>
      <c r="C4" s="137"/>
      <c r="D4" s="140"/>
      <c r="E4" s="140"/>
      <c r="F4" s="140"/>
      <c r="G4" s="140"/>
      <c r="J4" s="132"/>
      <c r="O4" s="141"/>
      <c r="P4" s="132"/>
    </row>
    <row r="5" spans="1:16" x14ac:dyDescent="0.25">
      <c r="A5" s="132"/>
      <c r="B5" s="232" t="s">
        <v>4</v>
      </c>
      <c r="C5" s="137"/>
      <c r="D5" s="137">
        <v>5.5</v>
      </c>
      <c r="E5" s="137">
        <f>D5+(D5*$O$5)</f>
        <v>5.61</v>
      </c>
      <c r="F5" s="137">
        <f t="shared" ref="F5:M5" si="2">E5+(E5*$O$5)</f>
        <v>5.7222</v>
      </c>
      <c r="G5" s="137">
        <f t="shared" si="2"/>
        <v>5.8366439999999997</v>
      </c>
      <c r="H5" s="137">
        <f t="shared" si="2"/>
        <v>5.9533768799999995</v>
      </c>
      <c r="I5" s="137">
        <f t="shared" si="2"/>
        <v>6.0724444175999999</v>
      </c>
      <c r="J5" s="137">
        <f t="shared" si="2"/>
        <v>6.1938933059519998</v>
      </c>
      <c r="K5" s="137">
        <f t="shared" si="2"/>
        <v>6.3177711720710397</v>
      </c>
      <c r="L5" s="137">
        <f t="shared" si="2"/>
        <v>6.4441265955124605</v>
      </c>
      <c r="M5" s="137">
        <f t="shared" si="2"/>
        <v>6.5730091274227096</v>
      </c>
      <c r="O5" s="142">
        <v>0.02</v>
      </c>
      <c r="P5" s="132" t="s">
        <v>5</v>
      </c>
    </row>
    <row r="6" spans="1:16" x14ac:dyDescent="0.25">
      <c r="A6" s="132"/>
      <c r="B6" s="232"/>
      <c r="C6" s="137"/>
      <c r="D6" s="137"/>
      <c r="E6" s="137"/>
      <c r="F6" s="137"/>
      <c r="G6" s="137"/>
      <c r="J6" s="132"/>
      <c r="O6" s="132"/>
      <c r="P6" s="132"/>
    </row>
    <row r="7" spans="1:16" x14ac:dyDescent="0.25">
      <c r="A7" s="132"/>
      <c r="B7" s="232" t="s">
        <v>6</v>
      </c>
      <c r="C7" s="137"/>
      <c r="D7" s="143">
        <f>D3</f>
        <v>60000</v>
      </c>
      <c r="E7" s="143">
        <f>E3</f>
        <v>60600</v>
      </c>
      <c r="F7" s="143">
        <f t="shared" ref="F7:M7" si="3">F3</f>
        <v>61206</v>
      </c>
      <c r="G7" s="143">
        <f t="shared" si="3"/>
        <v>61818.06</v>
      </c>
      <c r="H7" s="143">
        <f t="shared" si="3"/>
        <v>62436.240599999997</v>
      </c>
      <c r="I7" s="143">
        <f t="shared" si="3"/>
        <v>63060.603005999998</v>
      </c>
      <c r="J7" s="143">
        <f t="shared" si="3"/>
        <v>63691.209036059998</v>
      </c>
      <c r="K7" s="143">
        <f t="shared" si="3"/>
        <v>64328.121126420599</v>
      </c>
      <c r="L7" s="143">
        <f t="shared" si="3"/>
        <v>64971.402337684805</v>
      </c>
      <c r="M7" s="143">
        <f t="shared" si="3"/>
        <v>65621.11636106165</v>
      </c>
      <c r="O7" s="141">
        <v>0.2</v>
      </c>
      <c r="P7" s="132" t="s">
        <v>2</v>
      </c>
    </row>
    <row r="8" spans="1:16" x14ac:dyDescent="0.25">
      <c r="A8" s="132"/>
      <c r="B8" s="232" t="s">
        <v>7</v>
      </c>
      <c r="C8" s="137"/>
      <c r="D8" s="132">
        <v>3</v>
      </c>
      <c r="E8" s="144">
        <f>D8-(D8*$O$8)</f>
        <v>2.94</v>
      </c>
      <c r="F8" s="144">
        <f>E8-(E8*$O$8)</f>
        <v>2.8811999999999998</v>
      </c>
      <c r="G8" s="144">
        <f>F8-(F8*$O$8)</f>
        <v>2.8235759999999996</v>
      </c>
      <c r="H8" s="144">
        <f t="shared" ref="H8:M8" si="4">G8-(G8*$O$8)</f>
        <v>2.7671044799999995</v>
      </c>
      <c r="I8" s="144">
        <f t="shared" si="4"/>
        <v>2.7117623903999997</v>
      </c>
      <c r="J8" s="144">
        <f t="shared" si="4"/>
        <v>2.6575271425919995</v>
      </c>
      <c r="K8" s="144">
        <f t="shared" si="4"/>
        <v>2.6043765997401596</v>
      </c>
      <c r="L8" s="144">
        <f t="shared" si="4"/>
        <v>2.5522890677453565</v>
      </c>
      <c r="M8" s="144">
        <f t="shared" si="4"/>
        <v>2.5012432863904492</v>
      </c>
      <c r="O8" s="145">
        <v>0.02</v>
      </c>
      <c r="P8" s="132" t="s">
        <v>8</v>
      </c>
    </row>
    <row r="9" spans="1:16" x14ac:dyDescent="0.25">
      <c r="A9" s="132"/>
      <c r="B9" s="232"/>
      <c r="C9" s="137"/>
      <c r="D9" s="132"/>
      <c r="E9" s="144"/>
      <c r="F9" s="144"/>
      <c r="G9" s="144"/>
      <c r="J9" s="132"/>
      <c r="O9" s="145"/>
      <c r="P9" s="132"/>
    </row>
    <row r="10" spans="1:16" x14ac:dyDescent="0.25">
      <c r="A10" s="132"/>
      <c r="B10" s="232" t="s">
        <v>9</v>
      </c>
      <c r="C10" s="137"/>
      <c r="D10" s="132"/>
      <c r="E10" s="132"/>
      <c r="F10" s="132"/>
      <c r="G10" s="132"/>
      <c r="J10" s="132"/>
      <c r="O10" s="132"/>
      <c r="P10" s="132"/>
    </row>
    <row r="11" spans="1:16" x14ac:dyDescent="0.25">
      <c r="A11" s="132"/>
      <c r="B11" s="232" t="s">
        <v>10</v>
      </c>
      <c r="C11" s="132"/>
      <c r="D11" s="141"/>
      <c r="E11" s="141"/>
      <c r="F11" s="141"/>
      <c r="G11" s="141"/>
      <c r="J11" s="132"/>
      <c r="O11" s="132"/>
      <c r="P11" s="132"/>
    </row>
    <row r="12" spans="1:16" x14ac:dyDescent="0.25">
      <c r="A12" s="132"/>
      <c r="B12" s="232"/>
      <c r="C12" s="132"/>
      <c r="D12" s="141"/>
      <c r="E12" s="141"/>
      <c r="F12" s="141"/>
      <c r="G12" s="141"/>
      <c r="J12" s="132"/>
      <c r="O12" s="132"/>
      <c r="P12" s="132"/>
    </row>
    <row r="13" spans="1:16" x14ac:dyDescent="0.25">
      <c r="A13" s="132"/>
      <c r="B13" s="232" t="s">
        <v>11</v>
      </c>
      <c r="C13" s="132"/>
      <c r="D13" s="146">
        <v>750000</v>
      </c>
      <c r="E13" s="132"/>
      <c r="F13" s="132"/>
      <c r="G13" s="132"/>
      <c r="J13" s="132"/>
      <c r="O13" s="132"/>
      <c r="P13" s="132"/>
    </row>
    <row r="14" spans="1:16" x14ac:dyDescent="0.25">
      <c r="A14" s="132"/>
      <c r="B14" s="232" t="s">
        <v>12</v>
      </c>
      <c r="C14" s="132"/>
      <c r="D14" s="137">
        <v>100</v>
      </c>
      <c r="E14" s="132"/>
      <c r="F14" s="132"/>
      <c r="G14" s="132"/>
      <c r="J14" s="132"/>
      <c r="O14" s="132"/>
      <c r="P14" s="132"/>
    </row>
    <row r="15" spans="1:16" x14ac:dyDescent="0.25">
      <c r="A15" s="132"/>
      <c r="B15" s="232" t="s">
        <v>13</v>
      </c>
      <c r="C15" s="132"/>
      <c r="D15" s="147">
        <v>0.03</v>
      </c>
      <c r="E15" s="147">
        <f>D15+0.01</f>
        <v>0.04</v>
      </c>
      <c r="F15" s="147">
        <f t="shared" ref="F15:M15" si="5">E15+0.01</f>
        <v>0.05</v>
      </c>
      <c r="G15" s="147">
        <f t="shared" si="5"/>
        <v>6.0000000000000005E-2</v>
      </c>
      <c r="H15" s="147">
        <f t="shared" si="5"/>
        <v>7.0000000000000007E-2</v>
      </c>
      <c r="I15" s="147">
        <f t="shared" si="5"/>
        <v>0.08</v>
      </c>
      <c r="J15" s="147">
        <f t="shared" si="5"/>
        <v>0.09</v>
      </c>
      <c r="K15" s="147">
        <f t="shared" si="5"/>
        <v>9.9999999999999992E-2</v>
      </c>
      <c r="L15" s="147">
        <f t="shared" si="5"/>
        <v>0.10999999999999999</v>
      </c>
      <c r="M15" s="147">
        <f t="shared" si="5"/>
        <v>0.11999999999999998</v>
      </c>
      <c r="O15" s="132"/>
      <c r="P15" s="132"/>
    </row>
    <row r="16" spans="1:16" x14ac:dyDescent="0.25">
      <c r="A16" s="132"/>
      <c r="B16" s="232" t="s">
        <v>14</v>
      </c>
      <c r="C16" s="132"/>
      <c r="D16" s="147">
        <f>D8/360</f>
        <v>8.3333333333333332E-3</v>
      </c>
      <c r="E16" s="147">
        <f>E8/360</f>
        <v>8.1666666666666658E-3</v>
      </c>
      <c r="F16" s="147">
        <f>F8/360</f>
        <v>8.0033333333333328E-3</v>
      </c>
      <c r="G16" s="147">
        <f>G8/360</f>
        <v>7.8432666666666661E-3</v>
      </c>
      <c r="H16" s="147">
        <f t="shared" ref="H16:M16" si="6">H8/360</f>
        <v>7.6864013333333321E-3</v>
      </c>
      <c r="I16" s="147">
        <f t="shared" si="6"/>
        <v>7.5326733066666662E-3</v>
      </c>
      <c r="J16" s="147">
        <f t="shared" si="6"/>
        <v>7.3820198405333323E-3</v>
      </c>
      <c r="K16" s="147">
        <f t="shared" si="6"/>
        <v>7.2343794437226654E-3</v>
      </c>
      <c r="L16" s="147">
        <f t="shared" si="6"/>
        <v>7.0896918548482126E-3</v>
      </c>
      <c r="M16" s="147">
        <f t="shared" si="6"/>
        <v>6.9478980177512476E-3</v>
      </c>
      <c r="O16" s="132"/>
      <c r="P16" s="132"/>
    </row>
    <row r="17" spans="1:16" x14ac:dyDescent="0.25">
      <c r="A17" s="132"/>
      <c r="B17" s="232" t="s">
        <v>15</v>
      </c>
      <c r="C17" s="132"/>
      <c r="D17" s="147">
        <f>30/360</f>
        <v>8.3333333333333329E-2</v>
      </c>
      <c r="E17" s="147">
        <f t="shared" ref="E17:M17" si="7">30/360</f>
        <v>8.3333333333333329E-2</v>
      </c>
      <c r="F17" s="147">
        <f t="shared" si="7"/>
        <v>8.3333333333333329E-2</v>
      </c>
      <c r="G17" s="147">
        <f t="shared" si="7"/>
        <v>8.3333333333333329E-2</v>
      </c>
      <c r="H17" s="147">
        <f>30/360</f>
        <v>8.3333333333333329E-2</v>
      </c>
      <c r="I17" s="147">
        <f t="shared" si="7"/>
        <v>8.3333333333333329E-2</v>
      </c>
      <c r="J17" s="147">
        <f t="shared" si="7"/>
        <v>8.3333333333333329E-2</v>
      </c>
      <c r="K17" s="147">
        <f t="shared" si="7"/>
        <v>8.3333333333333329E-2</v>
      </c>
      <c r="L17" s="147">
        <f t="shared" si="7"/>
        <v>8.3333333333333329E-2</v>
      </c>
      <c r="M17" s="147">
        <f t="shared" si="7"/>
        <v>8.3333333333333329E-2</v>
      </c>
      <c r="O17" s="132"/>
      <c r="P17" s="132"/>
    </row>
    <row r="18" spans="1:16" x14ac:dyDescent="0.25">
      <c r="A18" s="132"/>
      <c r="B18" s="232"/>
      <c r="C18" s="132"/>
      <c r="D18" s="147"/>
      <c r="E18" s="147"/>
      <c r="F18" s="147"/>
      <c r="G18" s="147"/>
      <c r="J18" s="132"/>
      <c r="O18" s="132"/>
      <c r="P18" s="132"/>
    </row>
    <row r="19" spans="1:16" x14ac:dyDescent="0.25">
      <c r="A19" s="132"/>
      <c r="B19" s="232" t="s">
        <v>16</v>
      </c>
      <c r="C19" s="132"/>
      <c r="D19" s="140">
        <v>3</v>
      </c>
      <c r="E19" s="140">
        <v>3</v>
      </c>
      <c r="F19" s="140">
        <v>3</v>
      </c>
      <c r="G19" s="140">
        <v>3</v>
      </c>
      <c r="H19" s="140">
        <v>3</v>
      </c>
      <c r="I19" s="140">
        <v>3</v>
      </c>
      <c r="J19" s="140">
        <v>3</v>
      </c>
      <c r="K19" s="140">
        <v>3</v>
      </c>
      <c r="L19" s="140">
        <v>3</v>
      </c>
      <c r="M19" s="140">
        <v>3</v>
      </c>
      <c r="O19" s="141">
        <f>0.05</f>
        <v>0.05</v>
      </c>
      <c r="P19" s="132" t="s">
        <v>17</v>
      </c>
    </row>
    <row r="20" spans="1:16" x14ac:dyDescent="0.25">
      <c r="A20" s="132"/>
      <c r="B20" s="232" t="s">
        <v>18</v>
      </c>
      <c r="C20" s="132"/>
      <c r="D20" s="140">
        <v>15</v>
      </c>
      <c r="E20" s="140">
        <f>$D$20</f>
        <v>15</v>
      </c>
      <c r="F20" s="140">
        <f t="shared" ref="F20:M20" si="8">$D$20</f>
        <v>15</v>
      </c>
      <c r="G20" s="140">
        <f t="shared" si="8"/>
        <v>15</v>
      </c>
      <c r="H20" s="140">
        <f t="shared" si="8"/>
        <v>15</v>
      </c>
      <c r="I20" s="140">
        <f t="shared" si="8"/>
        <v>15</v>
      </c>
      <c r="J20" s="140">
        <f t="shared" si="8"/>
        <v>15</v>
      </c>
      <c r="K20" s="140">
        <f t="shared" si="8"/>
        <v>15</v>
      </c>
      <c r="L20" s="140">
        <f t="shared" si="8"/>
        <v>15</v>
      </c>
      <c r="M20" s="140">
        <f t="shared" si="8"/>
        <v>15</v>
      </c>
      <c r="O20" s="141"/>
      <c r="P20" s="132"/>
    </row>
    <row r="21" spans="1:16" x14ac:dyDescent="0.25">
      <c r="A21" s="132"/>
      <c r="B21" s="232"/>
      <c r="C21" s="132"/>
      <c r="D21" s="132"/>
      <c r="E21" s="132"/>
      <c r="F21" s="132"/>
      <c r="G21" s="132"/>
      <c r="J21" s="132"/>
      <c r="O21" s="132"/>
      <c r="P21" s="132"/>
    </row>
    <row r="22" spans="1:16" x14ac:dyDescent="0.25">
      <c r="A22" s="148"/>
      <c r="B22" s="233"/>
      <c r="C22" s="148"/>
      <c r="D22" s="148">
        <v>2014</v>
      </c>
      <c r="E22" s="148">
        <v>2015</v>
      </c>
      <c r="F22" s="148">
        <v>2016</v>
      </c>
      <c r="G22" s="148">
        <v>2017</v>
      </c>
      <c r="H22" s="148"/>
      <c r="I22" s="148"/>
      <c r="J22" s="148"/>
      <c r="K22" s="148"/>
      <c r="L22" s="148"/>
      <c r="M22" s="148"/>
      <c r="O22" s="149"/>
      <c r="P22" s="132"/>
    </row>
    <row r="23" spans="1:16" x14ac:dyDescent="0.25">
      <c r="A23" s="148" t="s">
        <v>19</v>
      </c>
      <c r="B23" s="233"/>
      <c r="C23" s="148"/>
      <c r="D23" s="148"/>
      <c r="E23" s="148"/>
      <c r="F23" s="148"/>
      <c r="G23" s="148"/>
      <c r="H23" s="150"/>
      <c r="I23" s="150"/>
      <c r="J23" s="151"/>
      <c r="K23" s="150"/>
      <c r="L23" s="150"/>
      <c r="M23" s="150"/>
      <c r="N23" s="149"/>
      <c r="O23" s="132"/>
      <c r="P23" s="132"/>
    </row>
    <row r="24" spans="1:16" x14ac:dyDescent="0.25">
      <c r="A24" s="148" t="s">
        <v>20</v>
      </c>
      <c r="B24" s="148"/>
      <c r="C24" s="148"/>
      <c r="D24" s="148"/>
      <c r="E24" s="148"/>
      <c r="F24" s="148"/>
      <c r="G24" s="148"/>
      <c r="H24" s="150"/>
      <c r="I24" s="150"/>
      <c r="J24" s="151"/>
      <c r="K24" s="150"/>
      <c r="L24" s="150"/>
      <c r="M24" s="150"/>
      <c r="O24" s="132"/>
      <c r="P24" s="132"/>
    </row>
    <row r="25" spans="1:16" x14ac:dyDescent="0.25">
      <c r="A25" s="148"/>
      <c r="B25" s="148" t="s">
        <v>21</v>
      </c>
      <c r="C25" s="152"/>
      <c r="D25" s="152">
        <f>D2*D3</f>
        <v>720000</v>
      </c>
      <c r="E25" s="152">
        <f>E2*E3</f>
        <v>741744</v>
      </c>
      <c r="F25" s="152">
        <f>F2*F3</f>
        <v>764144.66879999998</v>
      </c>
      <c r="G25" s="152">
        <f>G2*G3</f>
        <v>787221.83779775992</v>
      </c>
      <c r="H25" s="152"/>
      <c r="I25" s="152"/>
      <c r="J25" s="152"/>
      <c r="K25" s="152"/>
      <c r="L25" s="152"/>
      <c r="M25" s="152"/>
      <c r="O25" s="132"/>
      <c r="P25" s="132"/>
    </row>
    <row r="26" spans="1:16" x14ac:dyDescent="0.25">
      <c r="A26" s="148"/>
      <c r="B26" s="148"/>
      <c r="C26" s="152"/>
      <c r="D26" s="152"/>
      <c r="E26" s="152"/>
      <c r="F26" s="152"/>
      <c r="G26" s="152"/>
      <c r="H26" s="150"/>
      <c r="I26" s="150"/>
      <c r="J26" s="151"/>
      <c r="K26" s="150"/>
      <c r="L26" s="150"/>
      <c r="M26" s="150"/>
      <c r="O26" s="132"/>
      <c r="P26" s="132"/>
    </row>
    <row r="27" spans="1:16" x14ac:dyDescent="0.25">
      <c r="A27" s="148"/>
      <c r="B27" s="148"/>
      <c r="C27" s="152"/>
      <c r="D27" s="152"/>
      <c r="E27" s="152"/>
      <c r="F27" s="152"/>
      <c r="G27" s="152"/>
      <c r="H27" s="150"/>
      <c r="I27" s="150"/>
      <c r="J27" s="151"/>
      <c r="K27" s="150"/>
      <c r="L27" s="150"/>
      <c r="M27" s="150"/>
      <c r="O27" s="132"/>
      <c r="P27" s="132"/>
    </row>
    <row r="28" spans="1:16" x14ac:dyDescent="0.25">
      <c r="A28" s="148" t="s">
        <v>22</v>
      </c>
      <c r="B28" s="148"/>
      <c r="C28" s="152"/>
      <c r="D28" s="152">
        <f>D5*D7</f>
        <v>330000</v>
      </c>
      <c r="E28" s="152">
        <f>E5*E7</f>
        <v>339966</v>
      </c>
      <c r="F28" s="152">
        <f>F5*F7</f>
        <v>350232.97320000001</v>
      </c>
      <c r="G28" s="152">
        <f>G5*G7</f>
        <v>360810.00899064</v>
      </c>
      <c r="H28" s="152"/>
      <c r="I28" s="152"/>
      <c r="J28" s="152"/>
      <c r="K28" s="152"/>
      <c r="L28" s="152"/>
      <c r="M28" s="152"/>
      <c r="O28" s="154">
        <v>0.04</v>
      </c>
      <c r="P28" s="136" t="s">
        <v>26</v>
      </c>
    </row>
    <row r="29" spans="1:16" x14ac:dyDescent="0.25">
      <c r="A29" s="148"/>
      <c r="B29" s="148"/>
      <c r="C29" s="152"/>
      <c r="D29" s="152"/>
      <c r="E29" s="152"/>
      <c r="F29" s="152"/>
      <c r="G29" s="152"/>
      <c r="H29" s="150"/>
      <c r="I29" s="150"/>
      <c r="J29" s="151"/>
      <c r="K29" s="150"/>
      <c r="L29" s="150"/>
      <c r="M29" s="150"/>
      <c r="O29" s="132"/>
      <c r="P29" s="132"/>
    </row>
    <row r="30" spans="1:16" x14ac:dyDescent="0.25">
      <c r="A30" s="148" t="s">
        <v>23</v>
      </c>
      <c r="B30" s="148"/>
      <c r="C30" s="152"/>
      <c r="D30" s="152"/>
      <c r="E30" s="152"/>
      <c r="F30" s="152"/>
      <c r="G30" s="152"/>
      <c r="H30" s="150"/>
      <c r="I30" s="150"/>
      <c r="J30" s="151"/>
      <c r="K30" s="150"/>
      <c r="L30" s="150"/>
      <c r="M30" s="150"/>
      <c r="O30" s="132"/>
      <c r="P30" s="132"/>
    </row>
    <row r="31" spans="1:16" x14ac:dyDescent="0.25">
      <c r="A31" s="148"/>
      <c r="B31" s="148" t="s">
        <v>24</v>
      </c>
      <c r="C31" s="152"/>
      <c r="D31" s="152">
        <f>[2]Sheet1!$G$5</f>
        <v>322608</v>
      </c>
      <c r="E31" s="152">
        <f>[2]Sheet1!$G$5</f>
        <v>322608</v>
      </c>
      <c r="F31" s="152">
        <f>[2]Sheet1!$G$5</f>
        <v>322608</v>
      </c>
      <c r="G31" s="152">
        <f>[2]Sheet1!$G$5</f>
        <v>322608</v>
      </c>
      <c r="H31" s="152"/>
      <c r="I31" s="152"/>
      <c r="J31" s="152"/>
      <c r="K31" s="152"/>
      <c r="L31" s="152"/>
      <c r="M31" s="152"/>
      <c r="O31" s="141">
        <f>D31/D25</f>
        <v>0.44806666666666667</v>
      </c>
      <c r="P31" s="153"/>
    </row>
    <row r="32" spans="1:16" x14ac:dyDescent="0.25">
      <c r="A32" s="148"/>
      <c r="B32" s="148" t="s">
        <v>25</v>
      </c>
      <c r="C32" s="152"/>
      <c r="D32" s="152">
        <f>D51*$O$28</f>
        <v>8000</v>
      </c>
      <c r="E32" s="152">
        <f>D32*$O$32</f>
        <v>8160</v>
      </c>
      <c r="F32" s="152">
        <f t="shared" ref="F32:G32" si="9">E32*$O$32</f>
        <v>8323.2000000000007</v>
      </c>
      <c r="G32" s="152">
        <f t="shared" si="9"/>
        <v>8489.6640000000007</v>
      </c>
      <c r="H32" s="152"/>
      <c r="I32" s="152"/>
      <c r="J32" s="152"/>
      <c r="K32" s="152"/>
      <c r="L32" s="152"/>
      <c r="M32" s="152"/>
      <c r="O32" s="141">
        <v>1.02</v>
      </c>
      <c r="P32" s="153"/>
    </row>
    <row r="33" spans="1:16" x14ac:dyDescent="0.25">
      <c r="A33" s="148"/>
      <c r="B33" s="148" t="s">
        <v>27</v>
      </c>
      <c r="C33" s="152"/>
      <c r="D33" s="152">
        <v>4000</v>
      </c>
      <c r="E33" s="152">
        <f>D33+(D33*$O$33)</f>
        <v>4080</v>
      </c>
      <c r="F33" s="152">
        <f t="shared" ref="F33:G33" si="10">E33+(E33*$O$33)</f>
        <v>4161.6000000000004</v>
      </c>
      <c r="G33" s="152">
        <f t="shared" si="10"/>
        <v>4244.8320000000003</v>
      </c>
      <c r="H33" s="152"/>
      <c r="I33" s="152"/>
      <c r="J33" s="152"/>
      <c r="K33" s="152"/>
      <c r="L33" s="152"/>
      <c r="M33" s="152"/>
      <c r="O33" s="141">
        <v>0.02</v>
      </c>
      <c r="P33" s="153"/>
    </row>
    <row r="34" spans="1:16" x14ac:dyDescent="0.25">
      <c r="A34" s="148"/>
      <c r="B34" s="148"/>
      <c r="C34" s="152"/>
      <c r="D34" s="152"/>
      <c r="E34" s="152"/>
      <c r="F34" s="152"/>
      <c r="G34" s="152"/>
      <c r="H34" s="155"/>
      <c r="I34" s="155"/>
      <c r="J34" s="156"/>
      <c r="K34" s="155"/>
      <c r="L34" s="155"/>
      <c r="M34" s="155"/>
      <c r="O34" s="132"/>
      <c r="P34" s="132"/>
    </row>
    <row r="35" spans="1:16" x14ac:dyDescent="0.25">
      <c r="A35" s="148" t="s">
        <v>28</v>
      </c>
      <c r="B35" s="148"/>
      <c r="C35" s="152"/>
      <c r="D35" s="157">
        <f>$D$51/$O$35</f>
        <v>6666.666666666667</v>
      </c>
      <c r="E35" s="157">
        <f>$D$51/$O$35</f>
        <v>6666.666666666667</v>
      </c>
      <c r="F35" s="157">
        <f>$D$51/$O$35</f>
        <v>6666.666666666667</v>
      </c>
      <c r="G35" s="157">
        <f>$D$51/$O$35</f>
        <v>6666.666666666667</v>
      </c>
      <c r="H35" s="157"/>
      <c r="I35" s="157"/>
      <c r="J35" s="157"/>
      <c r="K35" s="157"/>
      <c r="L35" s="157"/>
      <c r="M35" s="157"/>
      <c r="O35" s="132">
        <v>30</v>
      </c>
      <c r="P35" s="132" t="s">
        <v>29</v>
      </c>
    </row>
    <row r="36" spans="1:16" x14ac:dyDescent="0.25">
      <c r="A36" s="148" t="s">
        <v>30</v>
      </c>
      <c r="B36" s="148"/>
      <c r="C36" s="152"/>
      <c r="D36" s="152">
        <f>'ML Interest (Bankruptcy)'!D25</f>
        <v>138608.96972463626</v>
      </c>
      <c r="E36" s="152">
        <f>'ML Interest (Bankruptcy)'!D40</f>
        <v>136425.83436211664</v>
      </c>
      <c r="F36" s="152">
        <f>'ML Interest (Bankruptcy)'!D54</f>
        <v>133815.63805192793</v>
      </c>
      <c r="G36" s="152">
        <f>'ML Interest (Bankruptcy)'!D68</f>
        <v>130694.83991238444</v>
      </c>
      <c r="H36" s="155"/>
      <c r="I36" s="155"/>
      <c r="J36" s="156"/>
      <c r="K36" s="155"/>
      <c r="L36" s="155"/>
      <c r="M36" s="155"/>
      <c r="O36" s="132">
        <v>30</v>
      </c>
      <c r="P36" s="132" t="s">
        <v>31</v>
      </c>
    </row>
    <row r="37" spans="1:16" x14ac:dyDescent="0.25">
      <c r="A37" s="148" t="s">
        <v>32</v>
      </c>
      <c r="B37" s="148"/>
      <c r="C37" s="152"/>
      <c r="D37" s="158">
        <f>$O$37*D62</f>
        <v>20438.405535119713</v>
      </c>
      <c r="E37" s="158">
        <f t="shared" ref="E37:G37" si="11">$O$37*E62</f>
        <v>31890.932854202503</v>
      </c>
      <c r="F37" s="158">
        <f t="shared" si="11"/>
        <v>43294.227950530025</v>
      </c>
      <c r="G37" s="158">
        <f t="shared" si="11"/>
        <v>54602.626160547872</v>
      </c>
      <c r="H37" s="158"/>
      <c r="I37" s="158"/>
      <c r="J37" s="158"/>
      <c r="K37" s="158"/>
      <c r="L37" s="158"/>
      <c r="M37" s="158"/>
      <c r="O37" s="139">
        <v>0.1</v>
      </c>
      <c r="P37" s="153"/>
    </row>
    <row r="38" spans="1:16" x14ac:dyDescent="0.25">
      <c r="A38" s="148"/>
      <c r="B38" s="148"/>
      <c r="C38" s="152"/>
      <c r="D38" s="152"/>
      <c r="E38" s="152"/>
      <c r="F38" s="152"/>
      <c r="G38" s="152"/>
      <c r="H38" s="155"/>
      <c r="I38" s="155"/>
      <c r="J38" s="156"/>
      <c r="K38" s="155"/>
      <c r="L38" s="155"/>
      <c r="M38" s="155"/>
      <c r="O38" s="132"/>
      <c r="P38" s="159"/>
    </row>
    <row r="39" spans="1:16" x14ac:dyDescent="0.25">
      <c r="A39" s="148" t="s">
        <v>33</v>
      </c>
      <c r="B39" s="148"/>
      <c r="C39" s="152"/>
      <c r="D39" s="152">
        <f>D25-D28-D31-D32-D33-D35-D36-D37</f>
        <v>-110322.04192642264</v>
      </c>
      <c r="E39" s="152">
        <f>E25-E28-E31-E32-E33-E35-E36-E37</f>
        <v>-108053.4338829858</v>
      </c>
      <c r="F39" s="152">
        <f t="shared" ref="F39:G39" si="12">F25-F28-F31-F32-F33-F35-F36-F37</f>
        <v>-104957.63706912466</v>
      </c>
      <c r="G39" s="152">
        <f t="shared" si="12"/>
        <v>-100894.79993247907</v>
      </c>
      <c r="H39" s="152"/>
      <c r="I39" s="152"/>
      <c r="J39" s="152"/>
      <c r="K39" s="152"/>
      <c r="L39" s="152"/>
      <c r="M39" s="152"/>
      <c r="O39" s="132"/>
      <c r="P39" s="159"/>
    </row>
    <row r="40" spans="1:16" x14ac:dyDescent="0.25">
      <c r="A40" s="148" t="s">
        <v>34</v>
      </c>
      <c r="B40" s="148"/>
      <c r="C40" s="152"/>
      <c r="D40" s="152">
        <f>IF(D39&lt;0,0,D39*$O$40)</f>
        <v>0</v>
      </c>
      <c r="E40" s="152">
        <f>IF(E39&lt;0,0,E39*$O$40)</f>
        <v>0</v>
      </c>
      <c r="F40" s="152">
        <f>IF(F39&lt;0,0,F39*$O$40)</f>
        <v>0</v>
      </c>
      <c r="G40" s="152">
        <f>IF(G39&lt;0,0,G39*$O$40)</f>
        <v>0</v>
      </c>
      <c r="H40" s="152"/>
      <c r="I40" s="152"/>
      <c r="J40" s="152"/>
      <c r="K40" s="152"/>
      <c r="L40" s="152"/>
      <c r="M40" s="152"/>
      <c r="O40" s="141">
        <v>0.2</v>
      </c>
      <c r="P40" s="153"/>
    </row>
    <row r="41" spans="1:16" x14ac:dyDescent="0.25">
      <c r="A41" s="148" t="s">
        <v>35</v>
      </c>
      <c r="B41" s="148"/>
      <c r="C41" s="152"/>
      <c r="D41" s="152">
        <f>D39-D40</f>
        <v>-110322.04192642264</v>
      </c>
      <c r="E41" s="152">
        <f>E39-E40</f>
        <v>-108053.4338829858</v>
      </c>
      <c r="F41" s="152">
        <f>F39-F40</f>
        <v>-104957.63706912466</v>
      </c>
      <c r="G41" s="152">
        <f>G39-G40</f>
        <v>-100894.79993247907</v>
      </c>
      <c r="H41" s="152"/>
      <c r="I41" s="152"/>
      <c r="J41" s="152"/>
      <c r="K41" s="152"/>
      <c r="L41" s="152"/>
      <c r="M41" s="152"/>
      <c r="O41" s="132"/>
      <c r="P41" s="132"/>
    </row>
    <row r="42" spans="1:16" x14ac:dyDescent="0.25">
      <c r="A42" s="148"/>
      <c r="B42" s="148"/>
      <c r="C42" s="152"/>
      <c r="D42" s="152"/>
      <c r="E42" s="152"/>
      <c r="F42" s="152"/>
      <c r="G42" s="152"/>
      <c r="H42" s="150"/>
      <c r="I42" s="150"/>
      <c r="J42" s="151"/>
      <c r="K42" s="150"/>
      <c r="L42" s="150"/>
      <c r="M42" s="150"/>
      <c r="O42" s="132"/>
      <c r="P42" s="132"/>
    </row>
    <row r="43" spans="1:16" x14ac:dyDescent="0.25">
      <c r="A43" s="148" t="s">
        <v>36</v>
      </c>
      <c r="B43" s="148"/>
      <c r="C43" s="152"/>
      <c r="D43" s="152"/>
      <c r="E43" s="152"/>
      <c r="F43" s="152"/>
      <c r="G43" s="152"/>
      <c r="H43" s="150"/>
      <c r="I43" s="150" t="s">
        <v>115</v>
      </c>
      <c r="J43" s="151"/>
      <c r="K43" s="150"/>
      <c r="L43" s="150"/>
      <c r="M43" s="150"/>
      <c r="O43" s="132"/>
      <c r="P43" s="132"/>
    </row>
    <row r="44" spans="1:16" x14ac:dyDescent="0.25">
      <c r="A44" s="148" t="s">
        <v>37</v>
      </c>
      <c r="B44" s="148"/>
      <c r="C44" s="152"/>
      <c r="D44" s="152"/>
      <c r="E44" s="152"/>
      <c r="F44" s="152"/>
      <c r="G44" s="152"/>
      <c r="H44" s="150" t="s">
        <v>131</v>
      </c>
      <c r="I44" s="150" t="s">
        <v>116</v>
      </c>
      <c r="J44" s="151" t="s">
        <v>117</v>
      </c>
      <c r="K44" s="150"/>
      <c r="L44" s="150"/>
      <c r="M44" s="150"/>
      <c r="O44" s="132"/>
      <c r="P44" s="132"/>
    </row>
    <row r="45" spans="1:16" x14ac:dyDescent="0.25">
      <c r="A45" s="160" t="s">
        <v>38</v>
      </c>
      <c r="B45" s="148"/>
      <c r="C45" s="152"/>
      <c r="D45" s="152">
        <v>20000</v>
      </c>
      <c r="E45" s="152">
        <v>20000</v>
      </c>
      <c r="F45" s="152">
        <v>20000</v>
      </c>
      <c r="G45" s="152">
        <v>20000</v>
      </c>
      <c r="H45" s="227">
        <v>1</v>
      </c>
      <c r="I45" s="152"/>
      <c r="J45" s="152">
        <f>G45*H45</f>
        <v>20000</v>
      </c>
      <c r="K45" s="152"/>
      <c r="L45" s="152"/>
      <c r="M45" s="152"/>
      <c r="O45" s="132"/>
      <c r="P45" s="132"/>
    </row>
    <row r="46" spans="1:16" x14ac:dyDescent="0.25">
      <c r="A46" s="160" t="s">
        <v>39</v>
      </c>
      <c r="B46" s="148"/>
      <c r="C46" s="152"/>
      <c r="D46" s="158"/>
      <c r="E46" s="158"/>
      <c r="F46" s="158"/>
      <c r="G46" s="161"/>
      <c r="H46" s="177"/>
      <c r="I46" s="162"/>
      <c r="J46" s="163"/>
      <c r="K46" s="162"/>
      <c r="L46" s="162"/>
      <c r="M46" s="162"/>
      <c r="N46" s="164"/>
      <c r="O46" s="132"/>
      <c r="P46" s="132"/>
    </row>
    <row r="47" spans="1:16" x14ac:dyDescent="0.25">
      <c r="A47" s="160" t="s">
        <v>40</v>
      </c>
      <c r="B47" s="148"/>
      <c r="C47" s="152"/>
      <c r="D47" s="152">
        <f>D25/365*D19</f>
        <v>5917.8082191780823</v>
      </c>
      <c r="E47" s="152">
        <f>E25/365*E19</f>
        <v>6096.5260273972599</v>
      </c>
      <c r="F47" s="152">
        <f>F25/365*F19</f>
        <v>6280.6411134246573</v>
      </c>
      <c r="G47" s="152">
        <f>G25/365*G19</f>
        <v>6470.316475050081</v>
      </c>
      <c r="H47" s="227">
        <v>0.6</v>
      </c>
      <c r="I47" s="152"/>
      <c r="J47" s="165">
        <f>G47*H47</f>
        <v>3882.1898850300486</v>
      </c>
      <c r="K47" s="152"/>
      <c r="L47" s="152"/>
      <c r="M47" s="152"/>
      <c r="O47" s="141"/>
      <c r="P47" s="132"/>
    </row>
    <row r="48" spans="1:16" x14ac:dyDescent="0.25">
      <c r="A48" s="160" t="s">
        <v>41</v>
      </c>
      <c r="B48" s="148"/>
      <c r="C48" s="152"/>
      <c r="D48" s="165">
        <f>D28/365*D8</f>
        <v>2712.3287671232874</v>
      </c>
      <c r="E48" s="165">
        <f>E28/365*E8</f>
        <v>2738.3562739726026</v>
      </c>
      <c r="F48" s="165">
        <f>F28/365*F8</f>
        <v>2764.6335407776437</v>
      </c>
      <c r="G48" s="165">
        <f>G28/365*G8</f>
        <v>2791.1629642349458</v>
      </c>
      <c r="H48" s="227">
        <v>0.6</v>
      </c>
      <c r="I48" s="165"/>
      <c r="J48" s="166">
        <f>G48*H48</f>
        <v>1674.6977785409674</v>
      </c>
      <c r="K48" s="165"/>
      <c r="L48" s="165"/>
      <c r="M48" s="165"/>
      <c r="O48" s="132"/>
      <c r="P48" s="132"/>
    </row>
    <row r="49" spans="1:16" x14ac:dyDescent="0.25">
      <c r="A49" s="160"/>
      <c r="B49" s="148"/>
      <c r="C49" s="152"/>
      <c r="D49" s="152"/>
      <c r="E49" s="152"/>
      <c r="F49" s="152"/>
      <c r="G49" s="152"/>
      <c r="H49" s="177"/>
      <c r="I49" s="150"/>
      <c r="J49" s="151"/>
      <c r="K49" s="150"/>
      <c r="L49" s="150"/>
      <c r="M49" s="150"/>
      <c r="O49" s="132"/>
      <c r="P49" s="132"/>
    </row>
    <row r="50" spans="1:16" x14ac:dyDescent="0.25">
      <c r="A50" s="160" t="s">
        <v>42</v>
      </c>
      <c r="B50" s="148"/>
      <c r="C50" s="152"/>
      <c r="D50" s="152">
        <v>650000</v>
      </c>
      <c r="E50" s="152">
        <f>D50</f>
        <v>650000</v>
      </c>
      <c r="F50" s="152">
        <f t="shared" ref="F50:G51" si="13">E50</f>
        <v>650000</v>
      </c>
      <c r="G50" s="152">
        <f t="shared" si="13"/>
        <v>650000</v>
      </c>
      <c r="H50" s="227"/>
      <c r="I50" s="152">
        <v>800000</v>
      </c>
      <c r="J50" s="152"/>
      <c r="K50" s="152"/>
      <c r="L50" s="152"/>
      <c r="M50" s="152"/>
      <c r="O50" s="132"/>
      <c r="P50" s="132"/>
    </row>
    <row r="51" spans="1:16" x14ac:dyDescent="0.25">
      <c r="A51" s="160" t="s">
        <v>43</v>
      </c>
      <c r="B51" s="148"/>
      <c r="C51" s="152"/>
      <c r="D51" s="152">
        <v>200000</v>
      </c>
      <c r="E51" s="152">
        <f>D51</f>
        <v>200000</v>
      </c>
      <c r="F51" s="152">
        <f t="shared" si="13"/>
        <v>200000</v>
      </c>
      <c r="G51" s="152">
        <f t="shared" si="13"/>
        <v>200000</v>
      </c>
      <c r="H51" s="227"/>
      <c r="I51" s="152">
        <v>50000</v>
      </c>
      <c r="J51" s="152"/>
      <c r="K51" s="152"/>
      <c r="L51" s="152"/>
      <c r="M51" s="152"/>
      <c r="O51" s="132"/>
      <c r="P51" s="132"/>
    </row>
    <row r="52" spans="1:16" x14ac:dyDescent="0.25">
      <c r="A52" s="160" t="s">
        <v>44</v>
      </c>
      <c r="B52" s="148"/>
      <c r="C52" s="152"/>
      <c r="D52" s="162">
        <f>D51/O52</f>
        <v>6666.666666666667</v>
      </c>
      <c r="E52" s="152">
        <f>$D$52+D52</f>
        <v>13333.333333333334</v>
      </c>
      <c r="F52" s="152">
        <f>$D$52+E52</f>
        <v>20000</v>
      </c>
      <c r="G52" s="152">
        <f>$D$52+F52</f>
        <v>26666.666666666668</v>
      </c>
      <c r="H52" s="227"/>
      <c r="I52" s="152"/>
      <c r="J52" s="152"/>
      <c r="K52" s="152"/>
      <c r="L52" s="152"/>
      <c r="M52" s="152"/>
      <c r="O52" s="132">
        <v>30</v>
      </c>
      <c r="P52" s="132" t="s">
        <v>45</v>
      </c>
    </row>
    <row r="53" spans="1:16" x14ac:dyDescent="0.25">
      <c r="A53" s="148"/>
      <c r="B53" s="148"/>
      <c r="C53" s="152"/>
      <c r="D53" s="152"/>
      <c r="E53" s="152"/>
      <c r="F53" s="152"/>
      <c r="G53" s="152"/>
      <c r="H53" s="177"/>
      <c r="I53" s="150"/>
      <c r="J53" s="150"/>
      <c r="K53" s="150"/>
      <c r="L53" s="150"/>
      <c r="M53" s="150"/>
      <c r="O53" s="132"/>
      <c r="P53" s="132"/>
    </row>
    <row r="54" spans="1:16" x14ac:dyDescent="0.25">
      <c r="A54" s="148" t="s">
        <v>46</v>
      </c>
      <c r="B54" s="148"/>
      <c r="C54" s="152"/>
      <c r="D54" s="166">
        <f>D45+D46+D47+D48+D51+D50-D52</f>
        <v>871963.47031963477</v>
      </c>
      <c r="E54" s="166">
        <f t="shared" ref="E54:G54" si="14">E45+E46+E47+E48+E51+E50-E52</f>
        <v>865501.54896803654</v>
      </c>
      <c r="F54" s="166">
        <f t="shared" si="14"/>
        <v>859045.27465420228</v>
      </c>
      <c r="G54" s="166">
        <f t="shared" si="14"/>
        <v>852594.81277261837</v>
      </c>
      <c r="H54" s="227"/>
      <c r="I54" s="166"/>
      <c r="J54" s="166"/>
      <c r="K54" s="166"/>
      <c r="L54" s="166"/>
      <c r="M54" s="166"/>
      <c r="O54" s="132"/>
      <c r="P54" s="132"/>
    </row>
    <row r="55" spans="1:16" ht="20.25" customHeight="1" x14ac:dyDescent="0.25">
      <c r="A55" s="148"/>
      <c r="B55" s="148"/>
      <c r="C55" s="152"/>
      <c r="D55" s="152"/>
      <c r="E55" s="152"/>
      <c r="F55" s="152"/>
      <c r="G55" s="152"/>
      <c r="H55" s="177"/>
      <c r="I55" s="150"/>
      <c r="J55" s="151"/>
      <c r="K55" s="150"/>
      <c r="L55" s="150"/>
      <c r="M55" s="150"/>
      <c r="O55" s="132"/>
      <c r="P55" s="132"/>
    </row>
    <row r="56" spans="1:16" ht="15" customHeight="1" x14ac:dyDescent="0.25">
      <c r="A56" s="148" t="s">
        <v>47</v>
      </c>
      <c r="B56" s="148"/>
      <c r="C56" s="152"/>
      <c r="D56" s="152">
        <f>D54-D67</f>
        <v>0</v>
      </c>
      <c r="E56" s="152">
        <f t="shared" ref="E56:G56" si="15">E54-E67</f>
        <v>0</v>
      </c>
      <c r="F56" s="152">
        <f t="shared" si="15"/>
        <v>0</v>
      </c>
      <c r="G56" s="152">
        <f t="shared" si="15"/>
        <v>0</v>
      </c>
      <c r="H56" s="227"/>
      <c r="I56" s="152"/>
      <c r="J56" s="152"/>
      <c r="K56" s="152"/>
      <c r="L56" s="152"/>
      <c r="M56" s="152"/>
      <c r="O56" s="132"/>
      <c r="P56" s="132"/>
    </row>
    <row r="57" spans="1:16" x14ac:dyDescent="0.25">
      <c r="A57" s="148" t="s">
        <v>48</v>
      </c>
      <c r="B57" s="148"/>
      <c r="C57" s="152"/>
      <c r="D57" s="152"/>
      <c r="E57" s="150"/>
      <c r="F57" s="152"/>
      <c r="G57" s="152"/>
      <c r="H57" s="177"/>
      <c r="I57" s="150"/>
      <c r="J57" s="151"/>
      <c r="K57" s="150"/>
      <c r="L57" s="150"/>
      <c r="M57" s="150"/>
      <c r="O57" s="132"/>
      <c r="P57" s="132">
        <f>15043+136752</f>
        <v>151795</v>
      </c>
    </row>
    <row r="58" spans="1:16" x14ac:dyDescent="0.25">
      <c r="A58" s="160" t="s">
        <v>49</v>
      </c>
      <c r="B58" s="148"/>
      <c r="C58" s="152"/>
      <c r="D58" s="152">
        <f>D28/365*D20</f>
        <v>13561.643835616438</v>
      </c>
      <c r="E58" s="152">
        <f>E28/365*E20</f>
        <v>13971.205479452055</v>
      </c>
      <c r="F58" s="152">
        <f>F28/365*F20</f>
        <v>14393.135884931507</v>
      </c>
      <c r="G58" s="152">
        <f>G28/365*G20</f>
        <v>14827.808588656439</v>
      </c>
      <c r="H58" s="227"/>
      <c r="I58" s="152"/>
      <c r="J58" s="152">
        <f>-G58</f>
        <v>-14827.808588656439</v>
      </c>
      <c r="K58" s="152"/>
      <c r="L58" s="152"/>
      <c r="M58" s="152"/>
      <c r="O58" s="132"/>
      <c r="P58" s="132"/>
    </row>
    <row r="59" spans="1:16" x14ac:dyDescent="0.25">
      <c r="A59" s="160" t="s">
        <v>50</v>
      </c>
      <c r="B59" s="148"/>
      <c r="C59" s="152"/>
      <c r="D59" s="152">
        <f>D40</f>
        <v>0</v>
      </c>
      <c r="E59" s="152">
        <f>E40</f>
        <v>0</v>
      </c>
      <c r="F59" s="152">
        <f>F40</f>
        <v>0</v>
      </c>
      <c r="G59" s="152">
        <f>G40</f>
        <v>0</v>
      </c>
      <c r="H59" s="151" t="s">
        <v>95</v>
      </c>
      <c r="I59" s="155">
        <f>SUM(I45:I58)</f>
        <v>850000</v>
      </c>
      <c r="J59" s="155">
        <f>SUM(J45:J58)</f>
        <v>10729.07907491458</v>
      </c>
      <c r="K59" s="155">
        <f>SUM(I45:J51)</f>
        <v>875556.88766357105</v>
      </c>
      <c r="L59" s="152"/>
      <c r="M59" s="152"/>
      <c r="O59" s="132"/>
      <c r="P59" s="132"/>
    </row>
    <row r="60" spans="1:16" x14ac:dyDescent="0.25">
      <c r="A60" s="160"/>
      <c r="B60" s="148"/>
      <c r="C60" s="152"/>
      <c r="D60" s="152"/>
      <c r="E60" s="152"/>
      <c r="F60" s="152"/>
      <c r="G60" s="152"/>
      <c r="H60" s="150"/>
      <c r="I60" s="230" t="s">
        <v>132</v>
      </c>
      <c r="J60" s="228">
        <f>I59-I61</f>
        <v>134531.34461050446</v>
      </c>
      <c r="K60" s="150"/>
      <c r="L60" s="150"/>
      <c r="M60" s="150" t="s">
        <v>102</v>
      </c>
      <c r="O60" s="132"/>
      <c r="P60" s="132"/>
    </row>
    <row r="61" spans="1:16" x14ac:dyDescent="0.25">
      <c r="A61" s="160" t="s">
        <v>11</v>
      </c>
      <c r="B61" s="148"/>
      <c r="C61" s="152"/>
      <c r="D61" s="152">
        <f>'ML Interest (Bankruptcy)'!F24</f>
        <v>763839.81305924384</v>
      </c>
      <c r="E61" s="152">
        <f>'ML Interest (Bankruptcy)'!F39</f>
        <v>750496.49075596803</v>
      </c>
      <c r="F61" s="152">
        <f>'ML Interest (Bankruptcy)'!F53</f>
        <v>734542.9721425036</v>
      </c>
      <c r="G61" s="184">
        <f>'ML Interest (Bankruptcy)'!F67</f>
        <v>715468.65538949554</v>
      </c>
      <c r="H61" s="185"/>
      <c r="I61" s="186">
        <f>G61</f>
        <v>715468.65538949554</v>
      </c>
      <c r="J61" s="187">
        <v>0</v>
      </c>
      <c r="K61" s="188"/>
      <c r="L61" s="187"/>
      <c r="M61" s="189">
        <f>G61</f>
        <v>715468.65538949554</v>
      </c>
      <c r="N61" s="190"/>
      <c r="O61" s="191">
        <f>M61/G61</f>
        <v>1</v>
      </c>
      <c r="P61" s="132"/>
    </row>
    <row r="62" spans="1:16" x14ac:dyDescent="0.25">
      <c r="A62" s="160" t="s">
        <v>9</v>
      </c>
      <c r="B62" s="148"/>
      <c r="C62" s="152"/>
      <c r="D62" s="152">
        <v>204384.05535119711</v>
      </c>
      <c r="E62" s="152">
        <v>318909.328542025</v>
      </c>
      <c r="F62" s="152">
        <v>432942.27950530022</v>
      </c>
      <c r="G62" s="192">
        <v>546026.26160547871</v>
      </c>
      <c r="H62" s="193"/>
      <c r="I62" s="194">
        <v>0</v>
      </c>
      <c r="J62" s="193">
        <f>J59+J60</f>
        <v>145260.42368541902</v>
      </c>
      <c r="K62" s="195"/>
      <c r="L62" s="196"/>
      <c r="M62" s="193">
        <f>J62</f>
        <v>145260.42368541902</v>
      </c>
      <c r="N62" s="197"/>
      <c r="O62" s="198">
        <f>M62/G62</f>
        <v>0.26603193637300598</v>
      </c>
      <c r="P62" s="132"/>
    </row>
    <row r="63" spans="1:16" x14ac:dyDescent="0.25">
      <c r="A63" s="160"/>
      <c r="B63" s="148"/>
      <c r="C63" s="152"/>
      <c r="D63" s="152"/>
      <c r="E63" s="152"/>
      <c r="F63" s="152"/>
      <c r="G63" s="199"/>
      <c r="H63" s="200"/>
      <c r="I63" s="200"/>
      <c r="J63" s="229"/>
      <c r="K63" s="200"/>
      <c r="L63" s="200"/>
      <c r="M63" s="200"/>
      <c r="N63" s="201"/>
      <c r="O63" s="202"/>
      <c r="P63" s="132"/>
    </row>
    <row r="64" spans="1:16" x14ac:dyDescent="0.25">
      <c r="A64" s="160" t="s">
        <v>51</v>
      </c>
      <c r="B64" s="148"/>
      <c r="C64" s="152"/>
      <c r="D64" s="152">
        <v>500</v>
      </c>
      <c r="E64" s="152">
        <f>D64</f>
        <v>500</v>
      </c>
      <c r="F64" s="152">
        <f t="shared" ref="F64:G64" si="16">E64</f>
        <v>500</v>
      </c>
      <c r="G64" s="152">
        <f t="shared" si="16"/>
        <v>500</v>
      </c>
      <c r="H64" s="152"/>
      <c r="I64" s="152"/>
      <c r="J64" s="152"/>
      <c r="K64" s="152"/>
      <c r="L64" s="152"/>
      <c r="M64" s="152"/>
      <c r="O64" s="132"/>
      <c r="P64" s="132"/>
    </row>
    <row r="65" spans="1:16" x14ac:dyDescent="0.25">
      <c r="A65" s="160" t="s">
        <v>52</v>
      </c>
      <c r="B65" s="148"/>
      <c r="C65" s="152"/>
      <c r="D65" s="152">
        <f>C65+D41</f>
        <v>-110322.04192642264</v>
      </c>
      <c r="E65" s="152">
        <f t="shared" ref="E65:G65" si="17">D65+E41</f>
        <v>-218375.47580940844</v>
      </c>
      <c r="F65" s="152">
        <f t="shared" si="17"/>
        <v>-323333.11287853308</v>
      </c>
      <c r="G65" s="152">
        <f t="shared" si="17"/>
        <v>-424227.91281101212</v>
      </c>
      <c r="H65" s="152"/>
      <c r="I65" s="152"/>
      <c r="J65" s="152"/>
      <c r="K65" s="152"/>
      <c r="L65" s="152"/>
      <c r="M65" s="152"/>
      <c r="O65" s="132"/>
      <c r="P65" s="132"/>
    </row>
    <row r="66" spans="1:16" ht="9" customHeight="1" x14ac:dyDescent="0.25">
      <c r="A66" s="148"/>
      <c r="B66" s="148"/>
      <c r="C66" s="148"/>
      <c r="D66" s="152"/>
      <c r="E66" s="152"/>
      <c r="F66" s="152"/>
      <c r="G66" s="152"/>
      <c r="H66" s="155"/>
      <c r="I66" s="155"/>
      <c r="J66" s="156"/>
      <c r="K66" s="155"/>
      <c r="L66" s="155"/>
      <c r="M66" s="155"/>
      <c r="O66" s="132"/>
      <c r="P66" s="132"/>
    </row>
    <row r="67" spans="1:16" x14ac:dyDescent="0.25">
      <c r="A67" s="148" t="s">
        <v>53</v>
      </c>
      <c r="B67" s="148"/>
      <c r="C67" s="148"/>
      <c r="D67" s="152">
        <f>SUM(D58:D65)</f>
        <v>871963.47031963477</v>
      </c>
      <c r="E67" s="152">
        <f>SUM(E58:E65)</f>
        <v>865501.54896803654</v>
      </c>
      <c r="F67" s="152">
        <f>SUM(F58:F65)</f>
        <v>859045.27465420216</v>
      </c>
      <c r="G67" s="152">
        <f>SUM(G58:G65)</f>
        <v>852594.81277261849</v>
      </c>
      <c r="H67" s="152"/>
      <c r="I67" s="152"/>
      <c r="J67" s="152"/>
      <c r="K67" s="152"/>
      <c r="L67" s="152"/>
      <c r="M67" s="152"/>
      <c r="O67" s="132"/>
      <c r="P67" s="132"/>
    </row>
    <row r="68" spans="1:16" x14ac:dyDescent="0.25">
      <c r="A68" s="151"/>
      <c r="B68" s="151"/>
      <c r="C68" s="151"/>
      <c r="D68" s="151"/>
      <c r="E68" s="151"/>
      <c r="F68" s="151"/>
      <c r="G68" s="151"/>
      <c r="H68" s="150"/>
      <c r="I68" s="150"/>
      <c r="J68" s="151"/>
      <c r="K68" s="150"/>
      <c r="L68" s="150"/>
      <c r="M68" s="150"/>
      <c r="O68" s="132"/>
      <c r="P68" s="132"/>
    </row>
    <row r="69" spans="1:16" x14ac:dyDescent="0.25">
      <c r="A69" s="167" t="s">
        <v>54</v>
      </c>
      <c r="B69" s="148"/>
      <c r="C69" s="148"/>
      <c r="D69" s="148"/>
      <c r="E69" s="148"/>
      <c r="F69" s="148"/>
      <c r="G69" s="148"/>
      <c r="H69" s="150"/>
      <c r="I69" s="150"/>
      <c r="J69" s="151"/>
      <c r="K69" s="150"/>
      <c r="L69" s="150"/>
      <c r="M69" s="150"/>
      <c r="O69" s="132"/>
      <c r="P69" s="132"/>
    </row>
    <row r="70" spans="1:16" x14ac:dyDescent="0.25">
      <c r="A70" s="148"/>
      <c r="B70" s="148"/>
      <c r="C70" s="148"/>
      <c r="D70" s="148"/>
      <c r="E70" s="148"/>
      <c r="F70" s="148"/>
      <c r="G70" s="148"/>
      <c r="H70" s="150"/>
      <c r="I70" s="150"/>
      <c r="J70" s="151"/>
      <c r="K70" s="150"/>
      <c r="L70" s="150"/>
      <c r="M70" s="150"/>
      <c r="O70" s="132"/>
      <c r="P70" s="132"/>
    </row>
    <row r="71" spans="1:16" x14ac:dyDescent="0.25">
      <c r="A71" s="167" t="s">
        <v>55</v>
      </c>
      <c r="B71" s="148"/>
      <c r="C71" s="148"/>
      <c r="D71" s="148"/>
      <c r="E71" s="148"/>
      <c r="F71" s="148"/>
      <c r="G71" s="148"/>
      <c r="H71" s="150"/>
      <c r="I71" s="150"/>
      <c r="J71" s="151"/>
      <c r="K71" s="150"/>
      <c r="L71" s="150"/>
      <c r="M71" s="150"/>
      <c r="O71" s="132"/>
      <c r="P71" s="132"/>
    </row>
    <row r="72" spans="1:16" x14ac:dyDescent="0.25">
      <c r="A72" s="148"/>
      <c r="B72" s="148" t="s">
        <v>56</v>
      </c>
      <c r="C72" s="148"/>
      <c r="D72" s="168">
        <f>D25-D31-D32-D33-D28</f>
        <v>55392</v>
      </c>
      <c r="E72" s="168">
        <f t="shared" ref="E72:G72" si="18">E25-E31-E32-E33-E28</f>
        <v>66930</v>
      </c>
      <c r="F72" s="168">
        <f t="shared" si="18"/>
        <v>78818.895599999989</v>
      </c>
      <c r="G72" s="168">
        <f t="shared" si="18"/>
        <v>91069.332807119936</v>
      </c>
      <c r="H72" s="168"/>
      <c r="I72" s="168"/>
      <c r="J72" s="168"/>
      <c r="K72" s="168"/>
      <c r="L72" s="168"/>
      <c r="M72" s="168"/>
      <c r="O72" s="132"/>
      <c r="P72" s="132"/>
    </row>
    <row r="73" spans="1:16" x14ac:dyDescent="0.25">
      <c r="A73" s="148"/>
      <c r="B73" s="148" t="s">
        <v>57</v>
      </c>
      <c r="C73" s="148"/>
      <c r="D73" s="169">
        <f>D35</f>
        <v>6666.666666666667</v>
      </c>
      <c r="E73" s="169">
        <f>E35</f>
        <v>6666.666666666667</v>
      </c>
      <c r="F73" s="169">
        <f>F35</f>
        <v>6666.666666666667</v>
      </c>
      <c r="G73" s="169">
        <f>G35</f>
        <v>6666.666666666667</v>
      </c>
      <c r="H73" s="169"/>
      <c r="I73" s="169"/>
      <c r="J73" s="169"/>
      <c r="K73" s="169"/>
      <c r="L73" s="169"/>
      <c r="M73" s="169"/>
      <c r="O73" s="132"/>
      <c r="P73" s="132"/>
    </row>
    <row r="74" spans="1:16" x14ac:dyDescent="0.25">
      <c r="A74" s="148"/>
      <c r="B74" s="148" t="s">
        <v>58</v>
      </c>
      <c r="C74" s="148"/>
      <c r="D74" s="170">
        <f>D72-D73</f>
        <v>48725.333333333336</v>
      </c>
      <c r="E74" s="170">
        <f>E72-E73</f>
        <v>60263.333333333336</v>
      </c>
      <c r="F74" s="170">
        <f>F72-F73</f>
        <v>72152.228933333317</v>
      </c>
      <c r="G74" s="170">
        <f>G72-G73</f>
        <v>84402.666140453264</v>
      </c>
      <c r="H74" s="170"/>
      <c r="I74" s="170"/>
      <c r="J74" s="170"/>
      <c r="K74" s="170"/>
      <c r="L74" s="170"/>
      <c r="M74" s="170"/>
      <c r="O74" s="132"/>
      <c r="P74" s="132"/>
    </row>
    <row r="75" spans="1:16" x14ac:dyDescent="0.25">
      <c r="A75" s="148"/>
      <c r="B75" s="148" t="s">
        <v>59</v>
      </c>
      <c r="C75" s="148"/>
      <c r="D75" s="170">
        <f>D74*$O$40</f>
        <v>9745.0666666666675</v>
      </c>
      <c r="E75" s="170">
        <f>E74*$O$40</f>
        <v>12052.666666666668</v>
      </c>
      <c r="F75" s="170">
        <f>F74*$O$40</f>
        <v>14430.445786666663</v>
      </c>
      <c r="G75" s="170">
        <f>G74*$O$40</f>
        <v>16880.533228090655</v>
      </c>
      <c r="H75" s="170"/>
      <c r="I75" s="170"/>
      <c r="J75" s="170"/>
      <c r="K75" s="170"/>
      <c r="L75" s="170"/>
      <c r="M75" s="170"/>
      <c r="O75" s="132"/>
      <c r="P75" s="132"/>
    </row>
    <row r="76" spans="1:16" x14ac:dyDescent="0.25">
      <c r="A76" s="148"/>
      <c r="B76" s="148"/>
      <c r="C76" s="148"/>
      <c r="D76" s="170"/>
      <c r="E76" s="170"/>
      <c r="F76" s="170"/>
      <c r="G76" s="170"/>
      <c r="H76" s="150"/>
      <c r="I76" s="150"/>
      <c r="J76" s="151"/>
      <c r="K76" s="150"/>
      <c r="L76" s="150"/>
      <c r="M76" s="150"/>
      <c r="O76" s="132"/>
      <c r="P76" s="132"/>
    </row>
    <row r="77" spans="1:16" x14ac:dyDescent="0.25">
      <c r="A77" s="148"/>
      <c r="B77" s="167" t="s">
        <v>60</v>
      </c>
      <c r="C77" s="171"/>
      <c r="D77" s="170">
        <f>D72-D75</f>
        <v>45646.933333333334</v>
      </c>
      <c r="E77" s="170">
        <f>E72-E75</f>
        <v>54877.333333333328</v>
      </c>
      <c r="F77" s="170">
        <f>F72-F75</f>
        <v>64388.449813333325</v>
      </c>
      <c r="G77" s="170">
        <f>G72-G75</f>
        <v>74188.799579029277</v>
      </c>
      <c r="H77" s="170"/>
      <c r="I77" s="170"/>
      <c r="J77" s="170"/>
      <c r="K77" s="170"/>
      <c r="L77" s="170"/>
      <c r="M77" s="170"/>
      <c r="O77" s="136" t="s">
        <v>65</v>
      </c>
      <c r="P77" s="173">
        <f>-C80</f>
        <v>650000</v>
      </c>
    </row>
    <row r="78" spans="1:16" x14ac:dyDescent="0.25">
      <c r="A78" s="148"/>
      <c r="B78" s="148"/>
      <c r="C78" s="148"/>
      <c r="D78" s="148"/>
      <c r="E78" s="148"/>
      <c r="F78" s="148"/>
      <c r="G78" s="148"/>
      <c r="H78" s="150"/>
      <c r="I78" s="150"/>
      <c r="J78" s="151"/>
      <c r="K78" s="150"/>
      <c r="L78" s="150"/>
      <c r="M78" s="150"/>
      <c r="O78" s="136" t="s">
        <v>68</v>
      </c>
      <c r="P78" s="173">
        <f>M83-P77</f>
        <v>-650000</v>
      </c>
    </row>
    <row r="79" spans="1:16" x14ac:dyDescent="0.25">
      <c r="A79" s="167" t="s">
        <v>61</v>
      </c>
      <c r="B79" s="148"/>
      <c r="C79" s="148"/>
      <c r="D79" s="148"/>
      <c r="E79" s="148"/>
      <c r="F79" s="148"/>
      <c r="G79" s="148"/>
      <c r="H79" s="150"/>
      <c r="I79" s="150"/>
      <c r="J79" s="151"/>
      <c r="K79" s="150"/>
      <c r="L79" s="150"/>
      <c r="M79" s="150"/>
      <c r="O79" s="132"/>
      <c r="P79" s="132"/>
    </row>
    <row r="80" spans="1:16" x14ac:dyDescent="0.25">
      <c r="A80" s="167"/>
      <c r="B80" s="148" t="s">
        <v>62</v>
      </c>
      <c r="C80" s="168">
        <f>-D50</f>
        <v>-650000</v>
      </c>
      <c r="D80" s="148"/>
      <c r="E80" s="148"/>
      <c r="F80" s="148"/>
      <c r="G80" s="148"/>
      <c r="H80" s="150"/>
      <c r="I80" s="150"/>
      <c r="J80" s="151"/>
      <c r="K80" s="150"/>
      <c r="L80" s="150"/>
      <c r="M80" s="150"/>
      <c r="O80" s="132"/>
      <c r="P80" s="132"/>
    </row>
    <row r="81" spans="1:16" x14ac:dyDescent="0.25">
      <c r="A81" s="148"/>
      <c r="B81" s="148" t="s">
        <v>63</v>
      </c>
      <c r="C81" s="157">
        <f>-D51</f>
        <v>-200000</v>
      </c>
      <c r="D81" s="148"/>
      <c r="E81" s="148"/>
      <c r="F81" s="148"/>
      <c r="G81" s="148"/>
      <c r="H81" s="150"/>
      <c r="I81" s="150"/>
      <c r="J81" s="151"/>
      <c r="K81" s="150"/>
      <c r="L81" s="150"/>
      <c r="M81" s="150"/>
      <c r="O81" s="132" t="s">
        <v>64</v>
      </c>
      <c r="P81" s="172">
        <f>M51-M52</f>
        <v>0</v>
      </c>
    </row>
    <row r="82" spans="1:16" x14ac:dyDescent="0.25">
      <c r="A82" s="148"/>
      <c r="B82" s="148" t="s">
        <v>66</v>
      </c>
      <c r="C82" s="157"/>
      <c r="D82" s="148"/>
      <c r="E82" s="148"/>
      <c r="F82" s="148"/>
      <c r="G82" s="150"/>
      <c r="H82" s="150"/>
      <c r="I82" s="150"/>
      <c r="J82" s="151"/>
      <c r="K82" s="150"/>
      <c r="L82" s="150"/>
      <c r="M82" s="157"/>
      <c r="O82" s="174" t="s">
        <v>67</v>
      </c>
      <c r="P82" s="172">
        <f>M82-P81</f>
        <v>0</v>
      </c>
    </row>
    <row r="83" spans="1:16" x14ac:dyDescent="0.25">
      <c r="A83" s="148"/>
      <c r="B83" s="148" t="s">
        <v>69</v>
      </c>
      <c r="C83" s="157"/>
      <c r="D83" s="148"/>
      <c r="E83" s="148"/>
      <c r="F83" s="148"/>
      <c r="G83" s="150"/>
      <c r="H83" s="150"/>
      <c r="I83" s="150"/>
      <c r="J83" s="151"/>
      <c r="K83" s="150"/>
      <c r="L83" s="150"/>
      <c r="M83" s="157"/>
      <c r="O83" s="174"/>
      <c r="P83" s="172"/>
    </row>
    <row r="84" spans="1:16" x14ac:dyDescent="0.25">
      <c r="A84" s="148"/>
      <c r="B84" s="148" t="s">
        <v>70</v>
      </c>
      <c r="C84" s="157"/>
      <c r="D84" s="148"/>
      <c r="E84" s="148"/>
      <c r="F84" s="148"/>
      <c r="G84" s="150"/>
      <c r="H84" s="150"/>
      <c r="I84" s="150"/>
      <c r="J84" s="151"/>
      <c r="K84" s="150"/>
      <c r="L84" s="150"/>
      <c r="M84" s="170"/>
      <c r="O84" s="141">
        <v>0.2</v>
      </c>
      <c r="P84" s="132"/>
    </row>
    <row r="85" spans="1:16" x14ac:dyDescent="0.25">
      <c r="A85" s="148"/>
      <c r="B85" s="148"/>
      <c r="C85" s="148"/>
      <c r="D85" s="148"/>
      <c r="E85" s="148"/>
      <c r="F85" s="148"/>
      <c r="G85" s="148"/>
      <c r="H85" s="150"/>
      <c r="I85" s="150"/>
      <c r="J85" s="151"/>
      <c r="K85" s="150"/>
      <c r="L85" s="150"/>
      <c r="M85" s="150"/>
      <c r="O85" s="141">
        <v>1.5</v>
      </c>
      <c r="P85" s="132"/>
    </row>
    <row r="86" spans="1:16" x14ac:dyDescent="0.25">
      <c r="A86" s="167" t="s">
        <v>71</v>
      </c>
      <c r="B86" s="148"/>
      <c r="C86" s="148"/>
      <c r="D86" s="148"/>
      <c r="E86" s="148"/>
      <c r="F86" s="148"/>
      <c r="G86" s="148"/>
      <c r="H86" s="150"/>
      <c r="I86" s="150"/>
      <c r="J86" s="151"/>
      <c r="K86" s="150"/>
      <c r="L86" s="150"/>
      <c r="M86" s="150"/>
      <c r="O86" s="142">
        <v>1.25</v>
      </c>
      <c r="P86" s="132" t="s">
        <v>2</v>
      </c>
    </row>
    <row r="87" spans="1:16" x14ac:dyDescent="0.25">
      <c r="A87" s="175" t="s">
        <v>72</v>
      </c>
      <c r="B87" s="148" t="s">
        <v>40</v>
      </c>
      <c r="C87" s="148"/>
      <c r="D87" s="168">
        <f t="shared" ref="D87:G88" si="19">-(D47-C47)</f>
        <v>-5917.8082191780823</v>
      </c>
      <c r="E87" s="168">
        <f t="shared" si="19"/>
        <v>-178.71780821917764</v>
      </c>
      <c r="F87" s="168">
        <f t="shared" si="19"/>
        <v>-184.11508602739741</v>
      </c>
      <c r="G87" s="168">
        <f t="shared" si="19"/>
        <v>-189.67536162542365</v>
      </c>
      <c r="H87" s="168"/>
      <c r="I87" s="168"/>
      <c r="J87" s="168"/>
      <c r="K87" s="168"/>
      <c r="L87" s="168"/>
      <c r="M87" s="168"/>
      <c r="O87" s="132"/>
      <c r="P87" s="132"/>
    </row>
    <row r="88" spans="1:16" x14ac:dyDescent="0.25">
      <c r="A88" s="175" t="s">
        <v>72</v>
      </c>
      <c r="B88" s="148" t="s">
        <v>41</v>
      </c>
      <c r="C88" s="148"/>
      <c r="D88" s="168">
        <f>-(D48-C48)</f>
        <v>-2712.3287671232874</v>
      </c>
      <c r="E88" s="168">
        <f t="shared" si="19"/>
        <v>-26.027506849315159</v>
      </c>
      <c r="F88" s="168">
        <f t="shared" si="19"/>
        <v>-26.277266805041108</v>
      </c>
      <c r="G88" s="168">
        <f t="shared" si="19"/>
        <v>-26.529423457302073</v>
      </c>
      <c r="H88" s="168"/>
      <c r="I88" s="168"/>
      <c r="J88" s="168"/>
      <c r="K88" s="168"/>
      <c r="L88" s="168"/>
      <c r="M88" s="168"/>
      <c r="O88" s="132"/>
      <c r="P88" s="132"/>
    </row>
    <row r="89" spans="1:16" x14ac:dyDescent="0.25">
      <c r="A89" s="175" t="s">
        <v>73</v>
      </c>
      <c r="B89" s="148" t="s">
        <v>49</v>
      </c>
      <c r="C89" s="148"/>
      <c r="D89" s="168">
        <f>(D58-C58)</f>
        <v>13561.643835616438</v>
      </c>
      <c r="E89" s="168">
        <f>(E58-D58)</f>
        <v>409.56164383561736</v>
      </c>
      <c r="F89" s="168">
        <f>(F58-E58)</f>
        <v>421.93040547945202</v>
      </c>
      <c r="G89" s="168">
        <f>(G58-F58)</f>
        <v>434.67270372493113</v>
      </c>
      <c r="H89" s="168"/>
      <c r="I89" s="168"/>
      <c r="J89" s="168"/>
      <c r="K89" s="168"/>
      <c r="L89" s="168"/>
      <c r="M89" s="168"/>
      <c r="O89" s="132"/>
      <c r="P89" s="132"/>
    </row>
    <row r="90" spans="1:16" x14ac:dyDescent="0.25">
      <c r="A90" s="175" t="s">
        <v>73</v>
      </c>
      <c r="B90" s="148" t="s">
        <v>74</v>
      </c>
      <c r="C90" s="148"/>
      <c r="D90" s="168">
        <f>(D75-C75)</f>
        <v>9745.0666666666675</v>
      </c>
      <c r="E90" s="168">
        <f>(E75-D75)</f>
        <v>2307.6000000000004</v>
      </c>
      <c r="F90" s="168">
        <f>(F75-E75)</f>
        <v>2377.7791199999956</v>
      </c>
      <c r="G90" s="168">
        <f>(G75-F75)</f>
        <v>2450.0874414239915</v>
      </c>
      <c r="H90" s="168"/>
      <c r="I90" s="168"/>
      <c r="J90" s="168"/>
      <c r="K90" s="168"/>
      <c r="L90" s="168"/>
      <c r="M90" s="168"/>
      <c r="O90" s="132"/>
      <c r="P90" s="132"/>
    </row>
    <row r="91" spans="1:16" x14ac:dyDescent="0.25">
      <c r="A91" s="148"/>
      <c r="B91" s="148"/>
      <c r="C91" s="148"/>
      <c r="D91" s="148"/>
      <c r="E91" s="148"/>
      <c r="F91" s="148"/>
      <c r="G91" s="148"/>
      <c r="H91" s="150"/>
      <c r="I91" s="150"/>
      <c r="J91" s="151"/>
      <c r="K91" s="150"/>
      <c r="L91" s="150"/>
      <c r="M91" s="150"/>
      <c r="O91" s="132"/>
      <c r="P91" s="132"/>
    </row>
    <row r="92" spans="1:16" x14ac:dyDescent="0.25">
      <c r="A92" s="167" t="s">
        <v>75</v>
      </c>
      <c r="B92" s="148"/>
      <c r="C92" s="148"/>
      <c r="D92" s="148"/>
      <c r="E92" s="148"/>
      <c r="F92" s="148"/>
      <c r="G92" s="148"/>
      <c r="H92" s="150"/>
      <c r="I92" s="150"/>
      <c r="J92" s="151"/>
      <c r="K92" s="150"/>
      <c r="L92" s="150"/>
      <c r="M92" s="150"/>
      <c r="O92" s="132"/>
      <c r="P92" s="132"/>
    </row>
    <row r="93" spans="1:16" x14ac:dyDescent="0.25">
      <c r="A93" s="175" t="s">
        <v>73</v>
      </c>
      <c r="B93" s="148" t="s">
        <v>40</v>
      </c>
      <c r="C93" s="148"/>
      <c r="D93" s="148"/>
      <c r="E93" s="148"/>
      <c r="F93" s="148"/>
      <c r="G93" s="168"/>
      <c r="H93" s="168"/>
      <c r="I93" s="168"/>
      <c r="J93" s="168"/>
      <c r="K93" s="168"/>
      <c r="L93" s="168"/>
      <c r="M93" s="168"/>
      <c r="O93" s="132"/>
      <c r="P93" s="132"/>
    </row>
    <row r="94" spans="1:16" x14ac:dyDescent="0.25">
      <c r="A94" s="175" t="s">
        <v>73</v>
      </c>
      <c r="B94" s="148" t="s">
        <v>41</v>
      </c>
      <c r="C94" s="148"/>
      <c r="D94" s="148"/>
      <c r="E94" s="148"/>
      <c r="F94" s="148"/>
      <c r="G94" s="168"/>
      <c r="H94" s="168"/>
      <c r="I94" s="168"/>
      <c r="J94" s="168"/>
      <c r="K94" s="168"/>
      <c r="L94" s="168"/>
      <c r="M94" s="168"/>
      <c r="O94" s="132"/>
      <c r="P94" s="132"/>
    </row>
    <row r="95" spans="1:16" x14ac:dyDescent="0.25">
      <c r="A95" s="175" t="s">
        <v>72</v>
      </c>
      <c r="B95" s="148" t="s">
        <v>49</v>
      </c>
      <c r="C95" s="148"/>
      <c r="D95" s="148"/>
      <c r="E95" s="148"/>
      <c r="F95" s="148"/>
      <c r="G95" s="168"/>
      <c r="H95" s="168"/>
      <c r="I95" s="168"/>
      <c r="J95" s="168"/>
      <c r="K95" s="168"/>
      <c r="L95" s="168"/>
      <c r="M95" s="168"/>
      <c r="O95" s="132"/>
      <c r="P95" s="132"/>
    </row>
    <row r="96" spans="1:16" x14ac:dyDescent="0.25">
      <c r="A96" s="175" t="s">
        <v>72</v>
      </c>
      <c r="B96" s="148" t="s">
        <v>50</v>
      </c>
      <c r="C96" s="148"/>
      <c r="D96" s="148"/>
      <c r="E96" s="148"/>
      <c r="F96" s="148"/>
      <c r="G96" s="168"/>
      <c r="H96" s="168"/>
      <c r="I96" s="168"/>
      <c r="J96" s="168"/>
      <c r="K96" s="168"/>
      <c r="L96" s="168"/>
      <c r="M96" s="168"/>
      <c r="O96" s="132"/>
      <c r="P96" s="132"/>
    </row>
    <row r="97" spans="1:16" ht="11.25" customHeight="1" x14ac:dyDescent="0.25">
      <c r="A97" s="148"/>
      <c r="B97" s="148"/>
      <c r="C97" s="148"/>
      <c r="D97" s="148"/>
      <c r="E97" s="148"/>
      <c r="F97" s="148"/>
      <c r="G97" s="148"/>
      <c r="H97" s="150"/>
      <c r="I97" s="150"/>
      <c r="J97" s="151"/>
      <c r="K97" s="150"/>
      <c r="L97" s="150"/>
      <c r="M97" s="150"/>
      <c r="O97" s="132"/>
      <c r="P97" s="132"/>
    </row>
    <row r="98" spans="1:16" x14ac:dyDescent="0.25">
      <c r="A98" s="167" t="s">
        <v>76</v>
      </c>
      <c r="B98" s="148"/>
      <c r="C98" s="162">
        <f>SUM(C80:C96)-C84</f>
        <v>-850000</v>
      </c>
      <c r="D98" s="162">
        <f>SUM(D77:D96)</f>
        <v>60323.506849315061</v>
      </c>
      <c r="E98" s="162">
        <f>SUM(E77:E96)</f>
        <v>57389.749662100454</v>
      </c>
      <c r="F98" s="162">
        <f>SUM(F77:F96)</f>
        <v>66977.766985980328</v>
      </c>
      <c r="G98" s="162">
        <f>SUM(G77:G96)</f>
        <v>76857.354939095472</v>
      </c>
      <c r="H98" s="162"/>
      <c r="I98" s="162"/>
      <c r="J98" s="162"/>
      <c r="K98" s="162"/>
      <c r="L98" s="162"/>
      <c r="M98" s="162"/>
      <c r="O98" s="132"/>
      <c r="P98" s="132"/>
    </row>
    <row r="99" spans="1:16" x14ac:dyDescent="0.25">
      <c r="A99" s="167" t="s">
        <v>77</v>
      </c>
      <c r="B99" s="148"/>
      <c r="C99" s="176">
        <f>-PV($C$101,C100,,C98)</f>
        <v>-850000</v>
      </c>
      <c r="D99" s="176">
        <f>-PV($C$101,D100,,D98)</f>
        <v>55342.666834233998</v>
      </c>
      <c r="E99" s="176">
        <f>-PV($C$101,E100,,E98)</f>
        <v>48303.804109166274</v>
      </c>
      <c r="F99" s="176">
        <f>-PV($C$101,F100,,F98)</f>
        <v>51719.125197953341</v>
      </c>
      <c r="G99" s="176">
        <f>-PV($C$101,G100,,G98)</f>
        <v>54447.687894641429</v>
      </c>
      <c r="H99" s="176"/>
      <c r="I99" s="176"/>
      <c r="J99" s="176"/>
      <c r="K99" s="176"/>
      <c r="L99" s="176"/>
      <c r="M99" s="176"/>
      <c r="O99" s="132"/>
      <c r="P99" s="132"/>
    </row>
    <row r="100" spans="1:16" x14ac:dyDescent="0.25">
      <c r="A100" s="148"/>
      <c r="B100" s="148"/>
      <c r="C100" s="148">
        <v>0</v>
      </c>
      <c r="D100" s="148">
        <v>1</v>
      </c>
      <c r="E100" s="148">
        <v>2</v>
      </c>
      <c r="F100" s="148">
        <v>3</v>
      </c>
      <c r="G100" s="148">
        <v>4</v>
      </c>
      <c r="H100" s="150"/>
      <c r="I100" s="150"/>
      <c r="J100" s="151"/>
      <c r="K100" s="150"/>
      <c r="L100" s="150"/>
      <c r="M100" s="150"/>
      <c r="O100" s="132"/>
      <c r="P100" s="132"/>
    </row>
    <row r="101" spans="1:16" x14ac:dyDescent="0.25">
      <c r="A101" s="148" t="s">
        <v>78</v>
      </c>
      <c r="B101" s="148"/>
      <c r="C101" s="177">
        <v>0.09</v>
      </c>
      <c r="D101" s="148"/>
      <c r="E101" s="148"/>
      <c r="F101" s="148"/>
      <c r="G101" s="148"/>
      <c r="H101" s="150"/>
      <c r="I101" s="150"/>
      <c r="J101" s="151"/>
      <c r="K101" s="150"/>
      <c r="L101" s="150"/>
      <c r="M101" s="150"/>
      <c r="O101" s="132"/>
      <c r="P101" s="132"/>
    </row>
    <row r="102" spans="1:16" x14ac:dyDescent="0.25">
      <c r="A102" s="167" t="s">
        <v>79</v>
      </c>
      <c r="B102" s="148"/>
      <c r="C102" s="178">
        <f>SUM(C99:G99)</f>
        <v>-640186.71596400498</v>
      </c>
      <c r="D102" s="148"/>
      <c r="E102" s="148"/>
      <c r="F102" s="148"/>
      <c r="G102" s="148"/>
      <c r="H102" s="150"/>
      <c r="I102" s="150"/>
      <c r="J102" s="151"/>
      <c r="K102" s="150"/>
      <c r="L102" s="150"/>
      <c r="M102" s="150"/>
      <c r="O102" s="132"/>
      <c r="P102" s="132"/>
    </row>
    <row r="103" spans="1:16" x14ac:dyDescent="0.25">
      <c r="A103" s="167" t="s">
        <v>80</v>
      </c>
      <c r="B103" s="148"/>
      <c r="C103" s="179">
        <f>IRR(C98:G98)</f>
        <v>-0.33721758843806737</v>
      </c>
      <c r="D103" s="148"/>
      <c r="E103" s="148"/>
      <c r="F103" s="148"/>
      <c r="G103" s="148"/>
      <c r="H103" s="150"/>
      <c r="I103" s="150"/>
      <c r="J103" s="151"/>
      <c r="K103" s="150"/>
      <c r="L103" s="150"/>
      <c r="M103" s="150"/>
      <c r="O103" s="132"/>
      <c r="P103" s="132"/>
    </row>
    <row r="104" spans="1:16" x14ac:dyDescent="0.25">
      <c r="A104" s="132"/>
      <c r="B104" s="132"/>
      <c r="C104" s="132"/>
      <c r="D104" s="132"/>
      <c r="E104" s="132"/>
      <c r="F104" s="132"/>
      <c r="G104" s="132"/>
      <c r="J104" s="132"/>
      <c r="O104" s="132"/>
      <c r="P104" s="132"/>
    </row>
    <row r="105" spans="1:16" x14ac:dyDescent="0.25">
      <c r="A105" s="203"/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  <c r="L105" s="203"/>
    </row>
    <row r="106" spans="1:16" x14ac:dyDescent="0.25">
      <c r="A106" s="203"/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  <c r="L106" s="203"/>
    </row>
    <row r="107" spans="1:16" x14ac:dyDescent="0.25">
      <c r="A107" s="203"/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</row>
    <row r="108" spans="1:16" x14ac:dyDescent="0.25">
      <c r="A108" s="203" t="s">
        <v>118</v>
      </c>
      <c r="B108" s="203"/>
      <c r="C108" s="223">
        <v>0</v>
      </c>
      <c r="D108" s="203">
        <v>1</v>
      </c>
      <c r="E108" s="203">
        <v>2</v>
      </c>
      <c r="F108" s="203">
        <v>3</v>
      </c>
      <c r="G108" s="224">
        <v>4</v>
      </c>
      <c r="H108" s="205"/>
      <c r="I108" s="206"/>
      <c r="J108" s="207"/>
      <c r="K108" s="208"/>
      <c r="L108" s="203"/>
    </row>
    <row r="109" spans="1:16" x14ac:dyDescent="0.25">
      <c r="A109" s="203"/>
      <c r="B109" s="203" t="s">
        <v>126</v>
      </c>
      <c r="C109" s="222">
        <f>-D61</f>
        <v>-763839.81305924384</v>
      </c>
      <c r="D109" s="204"/>
      <c r="E109" s="204"/>
      <c r="F109" s="204"/>
      <c r="G109" s="204"/>
      <c r="H109" s="205"/>
      <c r="I109" s="206"/>
      <c r="J109" s="207"/>
      <c r="K109" s="208"/>
      <c r="L109" s="203"/>
    </row>
    <row r="110" spans="1:16" x14ac:dyDescent="0.25">
      <c r="A110" s="203"/>
      <c r="B110" s="203" t="s">
        <v>127</v>
      </c>
      <c r="C110" s="180"/>
      <c r="D110" s="204">
        <f>D36</f>
        <v>138608.96972463626</v>
      </c>
      <c r="E110" s="204">
        <f t="shared" ref="E110:G110" si="20">E36</f>
        <v>136425.83436211664</v>
      </c>
      <c r="F110" s="204">
        <f t="shared" si="20"/>
        <v>133815.63805192793</v>
      </c>
      <c r="G110" s="204">
        <f t="shared" si="20"/>
        <v>130694.83991238444</v>
      </c>
      <c r="H110" s="203"/>
      <c r="I110" s="203"/>
      <c r="J110" s="203"/>
      <c r="K110" s="208"/>
      <c r="L110" s="203"/>
    </row>
    <row r="111" spans="1:16" x14ac:dyDescent="0.25">
      <c r="A111" s="203"/>
      <c r="B111" s="203" t="s">
        <v>128</v>
      </c>
      <c r="C111" s="183"/>
      <c r="D111" s="204">
        <f>D61-E61</f>
        <v>13343.322303275811</v>
      </c>
      <c r="E111" s="204">
        <f t="shared" ref="E111:F111" si="21">E61-F61</f>
        <v>15953.518613464432</v>
      </c>
      <c r="F111" s="204">
        <f t="shared" si="21"/>
        <v>19074.316753008054</v>
      </c>
      <c r="G111" s="204"/>
      <c r="H111" s="205"/>
      <c r="I111" s="208"/>
      <c r="J111" s="208"/>
      <c r="K111" s="209"/>
      <c r="L111" s="203"/>
    </row>
    <row r="112" spans="1:16" x14ac:dyDescent="0.25">
      <c r="A112" s="203"/>
      <c r="B112" s="203" t="s">
        <v>129</v>
      </c>
      <c r="C112" s="222"/>
      <c r="D112" s="222"/>
      <c r="E112" s="222"/>
      <c r="F112" s="222"/>
      <c r="G112" s="222">
        <f>M61</f>
        <v>715468.65538949554</v>
      </c>
      <c r="H112" s="203"/>
      <c r="I112" s="203"/>
      <c r="J112" s="203"/>
      <c r="K112" s="203"/>
      <c r="L112" s="203"/>
    </row>
    <row r="113" spans="1:12" x14ac:dyDescent="0.25">
      <c r="A113" s="203"/>
      <c r="B113" s="203" t="s">
        <v>130</v>
      </c>
      <c r="C113" s="222">
        <f>SUM(C109:C112)</f>
        <v>-763839.81305924384</v>
      </c>
      <c r="D113" s="222">
        <f t="shared" ref="D113:G113" si="22">SUM(D109:D112)</f>
        <v>151952.29202791207</v>
      </c>
      <c r="E113" s="222">
        <f t="shared" si="22"/>
        <v>152379.35297558107</v>
      </c>
      <c r="F113" s="222">
        <f t="shared" si="22"/>
        <v>152889.95480493599</v>
      </c>
      <c r="G113" s="222">
        <f t="shared" si="22"/>
        <v>846163.49530187994</v>
      </c>
      <c r="H113" s="203"/>
      <c r="I113" s="203"/>
      <c r="J113" s="203"/>
      <c r="K113" s="210"/>
      <c r="L113" s="211"/>
    </row>
    <row r="114" spans="1:12" x14ac:dyDescent="0.25">
      <c r="A114" s="203"/>
      <c r="B114" s="203" t="s">
        <v>80</v>
      </c>
      <c r="C114" s="180">
        <f>IRR(C113:G113)</f>
        <v>0.18192941906270454</v>
      </c>
      <c r="D114" s="203"/>
      <c r="E114" s="203"/>
      <c r="F114" s="203"/>
      <c r="G114" s="204"/>
      <c r="H114" s="203"/>
      <c r="I114" s="203"/>
      <c r="J114" s="203"/>
      <c r="K114" s="203"/>
      <c r="L114" s="203"/>
    </row>
    <row r="115" spans="1:12" x14ac:dyDescent="0.25">
      <c r="A115" s="203"/>
      <c r="B115" s="203"/>
      <c r="C115" s="180"/>
      <c r="D115" s="203"/>
      <c r="E115" s="203"/>
      <c r="F115" s="203"/>
      <c r="G115" s="203"/>
      <c r="H115" s="203"/>
      <c r="I115" s="203"/>
      <c r="J115" s="203"/>
      <c r="K115" s="203"/>
      <c r="L115" s="203"/>
    </row>
    <row r="116" spans="1:12" x14ac:dyDescent="0.25">
      <c r="A116" s="132"/>
      <c r="B116" s="132"/>
      <c r="C116" s="180"/>
      <c r="D116" s="132"/>
      <c r="E116" s="132"/>
      <c r="F116" s="132"/>
      <c r="G116" s="132"/>
      <c r="H116" s="132"/>
      <c r="I116" s="132"/>
      <c r="J116" s="132"/>
      <c r="K116" s="132"/>
      <c r="L116" s="132"/>
    </row>
    <row r="117" spans="1:12" x14ac:dyDescent="0.25">
      <c r="A117" s="132" t="s">
        <v>9</v>
      </c>
      <c r="B117" s="132"/>
      <c r="C117" s="136">
        <v>0</v>
      </c>
      <c r="D117" s="132">
        <v>1</v>
      </c>
      <c r="E117" s="132">
        <v>2</v>
      </c>
      <c r="F117" s="132">
        <v>3</v>
      </c>
      <c r="G117" s="132">
        <v>4</v>
      </c>
      <c r="H117" s="132"/>
      <c r="I117" s="132"/>
      <c r="J117" s="132"/>
      <c r="K117" s="132"/>
      <c r="L117" s="132"/>
    </row>
    <row r="118" spans="1:12" x14ac:dyDescent="0.25">
      <c r="A118" s="181"/>
      <c r="B118" s="203" t="s">
        <v>126</v>
      </c>
      <c r="C118" s="182">
        <f>-D62</f>
        <v>-204384.05535119711</v>
      </c>
      <c r="D118" s="132"/>
      <c r="E118" s="132"/>
      <c r="F118" s="132"/>
      <c r="G118" s="132"/>
      <c r="H118" s="132"/>
      <c r="I118" s="132"/>
      <c r="J118" s="132"/>
      <c r="K118" s="132"/>
      <c r="L118" s="132"/>
    </row>
    <row r="119" spans="1:12" x14ac:dyDescent="0.25">
      <c r="A119" s="132"/>
      <c r="B119" s="203" t="s">
        <v>127</v>
      </c>
      <c r="C119" s="182"/>
      <c r="D119" s="225">
        <f>D37</f>
        <v>20438.405535119713</v>
      </c>
      <c r="E119" s="225">
        <f t="shared" ref="E119:F119" si="23">E37</f>
        <v>31890.932854202503</v>
      </c>
      <c r="F119" s="225">
        <f t="shared" si="23"/>
        <v>43294.227950530025</v>
      </c>
      <c r="G119" s="225">
        <f>G37</f>
        <v>54602.626160547872</v>
      </c>
      <c r="H119" s="132"/>
      <c r="I119" s="132"/>
      <c r="J119" s="132"/>
      <c r="K119" s="132"/>
      <c r="L119" s="132"/>
    </row>
    <row r="120" spans="1:12" x14ac:dyDescent="0.25">
      <c r="A120" s="132"/>
      <c r="B120" s="203" t="s">
        <v>128</v>
      </c>
      <c r="C120" s="132"/>
      <c r="D120" s="172">
        <f>D62-E62</f>
        <v>-114525.27319082789</v>
      </c>
      <c r="E120" s="172">
        <f t="shared" ref="E120" si="24">E62-F62</f>
        <v>-114032.95096327522</v>
      </c>
      <c r="F120" s="172">
        <f>F62-G62</f>
        <v>-113083.98210017849</v>
      </c>
      <c r="G120" s="132"/>
      <c r="H120" s="172"/>
      <c r="I120" s="132"/>
      <c r="J120" s="132"/>
      <c r="K120" s="132"/>
      <c r="L120" s="132"/>
    </row>
    <row r="121" spans="1:12" x14ac:dyDescent="0.25">
      <c r="A121" s="181"/>
      <c r="B121" s="203" t="s">
        <v>129</v>
      </c>
      <c r="C121" s="132"/>
      <c r="D121" s="132"/>
      <c r="E121" s="180"/>
      <c r="F121" s="132"/>
      <c r="G121" s="172">
        <f>M62</f>
        <v>145260.42368541902</v>
      </c>
      <c r="H121" s="132"/>
      <c r="I121" s="132"/>
      <c r="J121" s="132"/>
      <c r="K121" s="132"/>
      <c r="L121" s="132"/>
    </row>
    <row r="122" spans="1:12" x14ac:dyDescent="0.25">
      <c r="A122" s="132"/>
      <c r="B122" s="203" t="s">
        <v>130</v>
      </c>
      <c r="C122" s="182">
        <f>SUM(C118:C121)</f>
        <v>-204384.05535119711</v>
      </c>
      <c r="D122" s="182">
        <f t="shared" ref="D122:E122" si="25">SUM(D118:D121)</f>
        <v>-94086.867655708178</v>
      </c>
      <c r="E122" s="182">
        <f t="shared" si="25"/>
        <v>-82142.018109072713</v>
      </c>
      <c r="F122" s="182">
        <f t="shared" ref="F122" si="26">SUM(F118:F121)</f>
        <v>-69789.754149648463</v>
      </c>
      <c r="G122" s="182">
        <f t="shared" ref="G122" si="27">SUM(G118:G121)</f>
        <v>199863.04984596689</v>
      </c>
      <c r="H122" s="132"/>
      <c r="I122" s="132"/>
      <c r="J122" s="132"/>
      <c r="K122" s="132"/>
      <c r="L122" s="132"/>
    </row>
    <row r="123" spans="1:12" x14ac:dyDescent="0.25">
      <c r="A123" s="132"/>
      <c r="B123" s="203" t="s">
        <v>80</v>
      </c>
      <c r="C123" s="226">
        <f>IRR(C122:G122)</f>
        <v>-0.25439864095334186</v>
      </c>
      <c r="D123" s="132"/>
      <c r="E123" s="132"/>
      <c r="F123" s="132"/>
      <c r="G123" s="132"/>
      <c r="H123" s="132"/>
      <c r="I123" s="132"/>
      <c r="J123" s="132"/>
      <c r="K123" s="132"/>
      <c r="L123" s="132"/>
    </row>
    <row r="124" spans="1:12" x14ac:dyDescent="0.25">
      <c r="A124" s="132"/>
      <c r="B124" s="132"/>
      <c r="C124" s="182"/>
      <c r="D124" s="132"/>
      <c r="E124" s="132"/>
      <c r="F124" s="132"/>
      <c r="G124" s="132"/>
      <c r="H124" s="132"/>
      <c r="I124" s="132"/>
      <c r="J124" s="132"/>
      <c r="K124" s="132"/>
      <c r="L124" s="132"/>
    </row>
    <row r="125" spans="1:12" x14ac:dyDescent="0.25">
      <c r="A125" s="181"/>
      <c r="B125" s="132"/>
      <c r="C125" s="172"/>
      <c r="D125" s="132"/>
      <c r="E125" s="132"/>
      <c r="F125" s="132"/>
      <c r="G125" s="132"/>
      <c r="H125" s="132"/>
      <c r="I125" s="132"/>
      <c r="J125" s="132"/>
      <c r="K125" s="132"/>
      <c r="L125" s="132"/>
    </row>
    <row r="126" spans="1:12" x14ac:dyDescent="0.25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</row>
    <row r="127" spans="1:12" x14ac:dyDescent="0.25">
      <c r="A127" s="181"/>
      <c r="B127" s="132"/>
      <c r="C127" s="183"/>
      <c r="D127" s="132"/>
      <c r="E127" s="132"/>
      <c r="F127" s="132"/>
      <c r="G127" s="132"/>
      <c r="H127" s="132"/>
      <c r="I127" s="132"/>
      <c r="J127" s="132"/>
      <c r="K127" s="132"/>
      <c r="L127" s="132"/>
    </row>
  </sheetData>
  <pageMargins left="0.7" right="0.7" top="0.75" bottom="0.75" header="0.3" footer="0.3"/>
  <pageSetup scale="4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opLeftCell="A5" workbookViewId="0">
      <selection activeCell="J18" sqref="J18"/>
    </sheetView>
  </sheetViews>
  <sheetFormatPr defaultColWidth="8.85546875" defaultRowHeight="15" x14ac:dyDescent="0.25"/>
  <cols>
    <col min="1" max="1" width="11.140625" bestFit="1" customWidth="1"/>
    <col min="2" max="2" width="13.28515625" bestFit="1" customWidth="1"/>
    <col min="4" max="4" width="11.140625" bestFit="1" customWidth="1"/>
    <col min="5" max="5" width="10.140625" bestFit="1" customWidth="1"/>
    <col min="6" max="6" width="11.42578125" bestFit="1" customWidth="1"/>
  </cols>
  <sheetData>
    <row r="1" spans="1:7" x14ac:dyDescent="0.25">
      <c r="A1" s="100" t="s">
        <v>114</v>
      </c>
      <c r="B1" s="116">
        <v>775000</v>
      </c>
      <c r="C1" s="100"/>
      <c r="D1" s="100"/>
      <c r="E1" s="100"/>
      <c r="F1" s="100"/>
      <c r="G1" s="100"/>
    </row>
    <row r="2" spans="1:7" ht="26.25" x14ac:dyDescent="0.25">
      <c r="A2" s="103" t="s">
        <v>113</v>
      </c>
      <c r="B2" s="15">
        <v>0.18</v>
      </c>
      <c r="C2" s="103"/>
      <c r="D2" s="103"/>
      <c r="E2" s="103"/>
      <c r="F2" s="100"/>
      <c r="G2" s="100"/>
    </row>
    <row r="3" spans="1:7" x14ac:dyDescent="0.25">
      <c r="A3" s="103" t="s">
        <v>112</v>
      </c>
      <c r="B3" s="15">
        <f>B2/12</f>
        <v>1.4999999999999999E-2</v>
      </c>
      <c r="C3" s="103"/>
      <c r="D3" s="103"/>
      <c r="E3" s="103"/>
      <c r="F3" s="100"/>
      <c r="G3" s="100"/>
    </row>
    <row r="4" spans="1:7" ht="26.25" x14ac:dyDescent="0.25">
      <c r="A4" s="103" t="s">
        <v>111</v>
      </c>
      <c r="B4" s="116">
        <v>15</v>
      </c>
      <c r="C4" s="103"/>
      <c r="D4" s="103"/>
      <c r="E4" s="103"/>
      <c r="F4" s="100"/>
      <c r="G4" s="100"/>
    </row>
    <row r="5" spans="1:7" x14ac:dyDescent="0.25">
      <c r="A5" s="103" t="s">
        <v>110</v>
      </c>
      <c r="B5" s="116">
        <f>12*B4</f>
        <v>180</v>
      </c>
      <c r="C5" s="103"/>
      <c r="D5" s="103"/>
      <c r="E5" s="103"/>
      <c r="F5" s="100"/>
      <c r="G5" s="100"/>
    </row>
    <row r="6" spans="1:7" x14ac:dyDescent="0.25">
      <c r="A6" s="103" t="s">
        <v>109</v>
      </c>
      <c r="B6" s="103">
        <f>-PMT(B3,B5,B1)</f>
        <v>12480.763055449368</v>
      </c>
      <c r="C6" s="103"/>
      <c r="D6" s="103"/>
      <c r="E6" s="103"/>
      <c r="F6" s="100"/>
      <c r="G6" s="100"/>
    </row>
    <row r="7" spans="1:7" x14ac:dyDescent="0.25">
      <c r="A7" s="103"/>
      <c r="B7" s="103"/>
      <c r="C7" s="103"/>
      <c r="D7" s="103"/>
      <c r="E7" s="103"/>
      <c r="F7" s="100"/>
      <c r="G7" s="100"/>
    </row>
    <row r="8" spans="1:7" x14ac:dyDescent="0.25">
      <c r="A8" s="103"/>
      <c r="B8" s="103"/>
      <c r="C8" s="103"/>
      <c r="D8" s="103"/>
      <c r="E8" s="103"/>
      <c r="F8" s="100"/>
      <c r="G8" s="100"/>
    </row>
    <row r="9" spans="1:7" x14ac:dyDescent="0.25">
      <c r="A9" s="103"/>
      <c r="B9" s="103"/>
      <c r="C9" s="103"/>
      <c r="D9" s="103"/>
      <c r="E9" s="103"/>
      <c r="F9" s="100"/>
      <c r="G9" s="100"/>
    </row>
    <row r="10" spans="1:7" x14ac:dyDescent="0.25">
      <c r="A10" s="103"/>
      <c r="B10" s="103"/>
      <c r="C10" s="103"/>
      <c r="D10" s="103"/>
      <c r="E10" s="103"/>
      <c r="F10" s="100"/>
      <c r="G10" s="100"/>
    </row>
    <row r="11" spans="1:7" x14ac:dyDescent="0.25">
      <c r="A11" s="103" t="s">
        <v>108</v>
      </c>
      <c r="B11" s="103"/>
      <c r="C11" s="103"/>
      <c r="D11" s="103"/>
      <c r="E11" s="103"/>
      <c r="F11" s="100"/>
      <c r="G11" s="100"/>
    </row>
    <row r="12" spans="1:7" x14ac:dyDescent="0.25">
      <c r="A12" s="100"/>
      <c r="B12" s="115" t="s">
        <v>107</v>
      </c>
      <c r="C12" s="115" t="s">
        <v>106</v>
      </c>
      <c r="D12" s="115" t="s">
        <v>105</v>
      </c>
      <c r="E12" s="114" t="s">
        <v>104</v>
      </c>
      <c r="F12" s="114" t="s">
        <v>103</v>
      </c>
      <c r="G12" s="100"/>
    </row>
    <row r="13" spans="1:7" x14ac:dyDescent="0.25">
      <c r="A13" s="113">
        <v>41275</v>
      </c>
      <c r="B13" s="103">
        <f>B1</f>
        <v>775000</v>
      </c>
      <c r="C13" s="103">
        <f>E13-D13</f>
        <v>855.76305544936804</v>
      </c>
      <c r="D13" s="103">
        <f>B13*$B$3</f>
        <v>11625</v>
      </c>
      <c r="E13" s="103">
        <f>$B$6</f>
        <v>12480.763055449368</v>
      </c>
      <c r="F13" s="111">
        <f>B13-C13</f>
        <v>774144.23694455065</v>
      </c>
      <c r="G13" s="100"/>
    </row>
    <row r="14" spans="1:7" x14ac:dyDescent="0.25">
      <c r="A14" s="103"/>
      <c r="B14" s="103">
        <f>F13</f>
        <v>774144.23694455065</v>
      </c>
      <c r="C14" s="103">
        <f>E14-D14</f>
        <v>868.59950128110904</v>
      </c>
      <c r="D14" s="103">
        <f>B14*$B$3</f>
        <v>11612.163554168259</v>
      </c>
      <c r="E14" s="103">
        <f>$B$6</f>
        <v>12480.763055449368</v>
      </c>
      <c r="F14" s="111">
        <f>B14-C14</f>
        <v>773275.63744326949</v>
      </c>
      <c r="G14" s="100"/>
    </row>
    <row r="15" spans="1:7" x14ac:dyDescent="0.25">
      <c r="A15" s="106"/>
      <c r="B15" s="103">
        <f t="shared" ref="B15:B24" si="0">F14</f>
        <v>773275.63744326949</v>
      </c>
      <c r="C15" s="103">
        <f t="shared" ref="C15:C24" si="1">E15-D15</f>
        <v>881.6284938003264</v>
      </c>
      <c r="D15" s="103">
        <f t="shared" ref="D15:D24" si="2">B15*$B$3</f>
        <v>11599.134561649042</v>
      </c>
      <c r="E15" s="103">
        <f t="shared" ref="E15:E39" si="3">$B$6</f>
        <v>12480.763055449368</v>
      </c>
      <c r="F15" s="111">
        <f t="shared" ref="F15:F24" si="4">B15-C15</f>
        <v>772394.00894946919</v>
      </c>
      <c r="G15" s="100"/>
    </row>
    <row r="16" spans="1:7" x14ac:dyDescent="0.25">
      <c r="A16" s="108"/>
      <c r="B16" s="103">
        <f t="shared" si="0"/>
        <v>772394.00894946919</v>
      </c>
      <c r="C16" s="103">
        <f t="shared" si="1"/>
        <v>894.85292120732993</v>
      </c>
      <c r="D16" s="103">
        <f t="shared" si="2"/>
        <v>11585.910134242038</v>
      </c>
      <c r="E16" s="103">
        <f t="shared" si="3"/>
        <v>12480.763055449368</v>
      </c>
      <c r="F16" s="111">
        <f t="shared" si="4"/>
        <v>771499.15602826187</v>
      </c>
      <c r="G16" s="100"/>
    </row>
    <row r="17" spans="1:7" x14ac:dyDescent="0.25">
      <c r="A17" s="103"/>
      <c r="B17" s="103">
        <f t="shared" si="0"/>
        <v>771499.15602826187</v>
      </c>
      <c r="C17" s="103">
        <f t="shared" si="1"/>
        <v>908.27571502544015</v>
      </c>
      <c r="D17" s="103">
        <f t="shared" si="2"/>
        <v>11572.487340423928</v>
      </c>
      <c r="E17" s="103">
        <f t="shared" si="3"/>
        <v>12480.763055449368</v>
      </c>
      <c r="F17" s="111">
        <f t="shared" si="4"/>
        <v>770590.88031323638</v>
      </c>
      <c r="G17" s="100"/>
    </row>
    <row r="18" spans="1:7" x14ac:dyDescent="0.25">
      <c r="A18" s="107"/>
      <c r="B18" s="103">
        <f t="shared" si="0"/>
        <v>770590.88031323638</v>
      </c>
      <c r="C18" s="103">
        <f t="shared" si="1"/>
        <v>921.89985075082222</v>
      </c>
      <c r="D18" s="103">
        <f t="shared" si="2"/>
        <v>11558.863204698546</v>
      </c>
      <c r="E18" s="103">
        <f t="shared" si="3"/>
        <v>12480.763055449368</v>
      </c>
      <c r="F18" s="111">
        <f t="shared" si="4"/>
        <v>769668.98046248558</v>
      </c>
      <c r="G18" s="100"/>
    </row>
    <row r="19" spans="1:7" x14ac:dyDescent="0.25">
      <c r="A19" s="107"/>
      <c r="B19" s="103">
        <f t="shared" si="0"/>
        <v>769668.98046248558</v>
      </c>
      <c r="C19" s="103">
        <f t="shared" si="1"/>
        <v>935.72834851208427</v>
      </c>
      <c r="D19" s="103">
        <f t="shared" si="2"/>
        <v>11545.034706937284</v>
      </c>
      <c r="E19" s="103">
        <f t="shared" si="3"/>
        <v>12480.763055449368</v>
      </c>
      <c r="F19" s="111">
        <f t="shared" si="4"/>
        <v>768733.25211397349</v>
      </c>
      <c r="G19" s="100"/>
    </row>
    <row r="20" spans="1:7" x14ac:dyDescent="0.25">
      <c r="A20" s="107"/>
      <c r="B20" s="103">
        <f t="shared" si="0"/>
        <v>768733.25211397349</v>
      </c>
      <c r="C20" s="103">
        <f t="shared" si="1"/>
        <v>949.76427373976549</v>
      </c>
      <c r="D20" s="103">
        <f t="shared" si="2"/>
        <v>11530.998781709603</v>
      </c>
      <c r="E20" s="103">
        <f t="shared" si="3"/>
        <v>12480.763055449368</v>
      </c>
      <c r="F20" s="111">
        <f t="shared" si="4"/>
        <v>767783.48784023372</v>
      </c>
      <c r="G20" s="100"/>
    </row>
    <row r="21" spans="1:7" x14ac:dyDescent="0.25">
      <c r="A21" s="107"/>
      <c r="B21" s="103">
        <f t="shared" si="0"/>
        <v>767783.48784023372</v>
      </c>
      <c r="C21" s="103">
        <f t="shared" si="1"/>
        <v>964.01073784586333</v>
      </c>
      <c r="D21" s="103">
        <f t="shared" si="2"/>
        <v>11516.752317603505</v>
      </c>
      <c r="E21" s="103">
        <f t="shared" si="3"/>
        <v>12480.763055449368</v>
      </c>
      <c r="F21" s="111">
        <f t="shared" si="4"/>
        <v>766819.47710238781</v>
      </c>
      <c r="G21" s="100"/>
    </row>
    <row r="22" spans="1:7" x14ac:dyDescent="0.25">
      <c r="A22" s="107"/>
      <c r="B22" s="103">
        <f t="shared" si="0"/>
        <v>766819.47710238781</v>
      </c>
      <c r="C22" s="103">
        <f t="shared" si="1"/>
        <v>978.47089891355063</v>
      </c>
      <c r="D22" s="103">
        <f t="shared" si="2"/>
        <v>11502.292156535817</v>
      </c>
      <c r="E22" s="103">
        <f t="shared" si="3"/>
        <v>12480.763055449368</v>
      </c>
      <c r="F22" s="111">
        <f t="shared" si="4"/>
        <v>765841.00620347424</v>
      </c>
      <c r="G22" s="100"/>
    </row>
    <row r="23" spans="1:7" x14ac:dyDescent="0.25">
      <c r="A23" s="107"/>
      <c r="B23" s="103">
        <f t="shared" si="0"/>
        <v>765841.00620347424</v>
      </c>
      <c r="C23" s="103">
        <f t="shared" si="1"/>
        <v>993.14796239725547</v>
      </c>
      <c r="D23" s="103">
        <f t="shared" si="2"/>
        <v>11487.615093052113</v>
      </c>
      <c r="E23" s="103">
        <f t="shared" si="3"/>
        <v>12480.763055449368</v>
      </c>
      <c r="F23" s="111">
        <f t="shared" si="4"/>
        <v>764847.85824107705</v>
      </c>
      <c r="G23" s="100"/>
    </row>
    <row r="24" spans="1:7" x14ac:dyDescent="0.25">
      <c r="A24" s="113">
        <v>41639</v>
      </c>
      <c r="B24" s="103">
        <f t="shared" si="0"/>
        <v>764847.85824107705</v>
      </c>
      <c r="C24" s="103">
        <f t="shared" si="1"/>
        <v>1008.0451818332131</v>
      </c>
      <c r="D24" s="103">
        <f t="shared" si="2"/>
        <v>11472.717873616155</v>
      </c>
      <c r="E24" s="103">
        <f t="shared" si="3"/>
        <v>12480.763055449368</v>
      </c>
      <c r="F24" s="109">
        <f t="shared" si="4"/>
        <v>763839.81305924384</v>
      </c>
      <c r="G24" s="100"/>
    </row>
    <row r="25" spans="1:7" x14ac:dyDescent="0.25">
      <c r="A25" s="107" t="s">
        <v>102</v>
      </c>
      <c r="B25" s="103"/>
      <c r="C25" s="103"/>
      <c r="D25" s="101">
        <f>SUM(D13:D24)</f>
        <v>138608.96972463626</v>
      </c>
      <c r="E25" s="103"/>
      <c r="F25" s="100"/>
      <c r="G25" s="100"/>
    </row>
    <row r="26" spans="1:7" x14ac:dyDescent="0.25">
      <c r="A26" s="107"/>
      <c r="B26" s="103"/>
      <c r="C26" s="103"/>
      <c r="D26" s="103"/>
      <c r="E26" s="103"/>
      <c r="F26" s="100"/>
      <c r="G26" s="100"/>
    </row>
    <row r="27" spans="1:7" x14ac:dyDescent="0.25">
      <c r="A27" s="107" t="s">
        <v>101</v>
      </c>
      <c r="B27" s="103"/>
      <c r="C27" s="103"/>
      <c r="D27" s="103"/>
      <c r="E27" s="103"/>
      <c r="F27" s="100"/>
      <c r="G27" s="100"/>
    </row>
    <row r="28" spans="1:7" x14ac:dyDescent="0.25">
      <c r="A28" s="110">
        <v>41275</v>
      </c>
      <c r="B28" s="103">
        <f>F24</f>
        <v>763839.81305924384</v>
      </c>
      <c r="C28" s="103">
        <f>E28-D28</f>
        <v>1023.1658595607114</v>
      </c>
      <c r="D28" s="103">
        <f>B28*$B$3</f>
        <v>11457.597195888657</v>
      </c>
      <c r="E28" s="103">
        <f t="shared" si="3"/>
        <v>12480.763055449368</v>
      </c>
      <c r="F28" s="111">
        <f>B28-C28</f>
        <v>762816.64719968312</v>
      </c>
      <c r="G28" s="100"/>
    </row>
    <row r="29" spans="1:7" x14ac:dyDescent="0.25">
      <c r="A29" s="112"/>
      <c r="B29" s="102">
        <f>F28</f>
        <v>762816.64719968312</v>
      </c>
      <c r="C29" s="103">
        <f t="shared" ref="C29:C39" si="5">E29-D29</f>
        <v>1038.5133474541217</v>
      </c>
      <c r="D29" s="103">
        <f t="shared" ref="D29:D39" si="6">B29*$B$3</f>
        <v>11442.249707995246</v>
      </c>
      <c r="E29" s="103">
        <f t="shared" si="3"/>
        <v>12480.763055449368</v>
      </c>
      <c r="F29" s="111">
        <f t="shared" ref="F29:F39" si="7">B29-C29</f>
        <v>761778.13385222899</v>
      </c>
      <c r="G29" s="100"/>
    </row>
    <row r="30" spans="1:7" x14ac:dyDescent="0.25">
      <c r="A30" s="107"/>
      <c r="B30" s="102">
        <f t="shared" ref="B30:B39" si="8">F29</f>
        <v>761778.13385222899</v>
      </c>
      <c r="C30" s="103">
        <f t="shared" si="5"/>
        <v>1054.0910476659337</v>
      </c>
      <c r="D30" s="103">
        <f t="shared" si="6"/>
        <v>11426.672007783434</v>
      </c>
      <c r="E30" s="103">
        <f t="shared" si="3"/>
        <v>12480.763055449368</v>
      </c>
      <c r="F30" s="111">
        <f t="shared" si="7"/>
        <v>760724.04280456307</v>
      </c>
      <c r="G30" s="100"/>
    </row>
    <row r="31" spans="1:7" x14ac:dyDescent="0.25">
      <c r="A31" s="107"/>
      <c r="B31" s="102">
        <f t="shared" si="8"/>
        <v>760724.04280456307</v>
      </c>
      <c r="C31" s="103">
        <f t="shared" si="5"/>
        <v>1069.9024133809216</v>
      </c>
      <c r="D31" s="103">
        <f t="shared" si="6"/>
        <v>11410.860642068446</v>
      </c>
      <c r="E31" s="103">
        <f t="shared" si="3"/>
        <v>12480.763055449368</v>
      </c>
      <c r="F31" s="111">
        <f t="shared" si="7"/>
        <v>759654.14039118215</v>
      </c>
      <c r="G31" s="100"/>
    </row>
    <row r="32" spans="1:7" x14ac:dyDescent="0.25">
      <c r="A32" s="107"/>
      <c r="B32" s="102">
        <f t="shared" si="8"/>
        <v>759654.14039118215</v>
      </c>
      <c r="C32" s="103">
        <f t="shared" si="5"/>
        <v>1085.9509495816365</v>
      </c>
      <c r="D32" s="103">
        <f t="shared" si="6"/>
        <v>11394.812105867732</v>
      </c>
      <c r="E32" s="103">
        <f t="shared" si="3"/>
        <v>12480.763055449368</v>
      </c>
      <c r="F32" s="111">
        <f t="shared" si="7"/>
        <v>758568.18944160047</v>
      </c>
      <c r="G32" s="100"/>
    </row>
    <row r="33" spans="1:7" x14ac:dyDescent="0.25">
      <c r="A33" s="107"/>
      <c r="B33" s="102">
        <f t="shared" si="8"/>
        <v>758568.18944160047</v>
      </c>
      <c r="C33" s="103">
        <f t="shared" si="5"/>
        <v>1102.2402138253619</v>
      </c>
      <c r="D33" s="103">
        <f t="shared" si="6"/>
        <v>11378.522841624006</v>
      </c>
      <c r="E33" s="103">
        <f t="shared" si="3"/>
        <v>12480.763055449368</v>
      </c>
      <c r="F33" s="111">
        <f t="shared" si="7"/>
        <v>757465.9492277751</v>
      </c>
      <c r="G33" s="100"/>
    </row>
    <row r="34" spans="1:7" x14ac:dyDescent="0.25">
      <c r="A34" s="107"/>
      <c r="B34" s="102">
        <f t="shared" si="8"/>
        <v>757465.9492277751</v>
      </c>
      <c r="C34" s="103">
        <f t="shared" si="5"/>
        <v>1118.7738170327411</v>
      </c>
      <c r="D34" s="103">
        <f t="shared" si="6"/>
        <v>11361.989238416627</v>
      </c>
      <c r="E34" s="103">
        <f t="shared" si="3"/>
        <v>12480.763055449368</v>
      </c>
      <c r="F34" s="111">
        <f t="shared" si="7"/>
        <v>756347.17541074241</v>
      </c>
      <c r="G34" s="100"/>
    </row>
    <row r="35" spans="1:7" x14ac:dyDescent="0.25">
      <c r="A35" s="107"/>
      <c r="B35" s="102">
        <f t="shared" si="8"/>
        <v>756347.17541074241</v>
      </c>
      <c r="C35" s="103">
        <f t="shared" si="5"/>
        <v>1135.5554242882317</v>
      </c>
      <c r="D35" s="103">
        <f t="shared" si="6"/>
        <v>11345.207631161136</v>
      </c>
      <c r="E35" s="103">
        <f t="shared" si="3"/>
        <v>12480.763055449368</v>
      </c>
      <c r="F35" s="111">
        <f t="shared" si="7"/>
        <v>755211.61998645414</v>
      </c>
      <c r="G35" s="100"/>
    </row>
    <row r="36" spans="1:7" x14ac:dyDescent="0.25">
      <c r="A36" s="107"/>
      <c r="B36" s="102">
        <f t="shared" si="8"/>
        <v>755211.61998645414</v>
      </c>
      <c r="C36" s="103">
        <f t="shared" si="5"/>
        <v>1152.5887556525558</v>
      </c>
      <c r="D36" s="103">
        <f t="shared" si="6"/>
        <v>11328.174299796812</v>
      </c>
      <c r="E36" s="103">
        <f t="shared" si="3"/>
        <v>12480.763055449368</v>
      </c>
      <c r="F36" s="111">
        <f t="shared" si="7"/>
        <v>754059.0312308016</v>
      </c>
      <c r="G36" s="100"/>
    </row>
    <row r="37" spans="1:7" x14ac:dyDescent="0.25">
      <c r="A37" s="107"/>
      <c r="B37" s="102">
        <f t="shared" si="8"/>
        <v>754059.0312308016</v>
      </c>
      <c r="C37" s="103">
        <f t="shared" si="5"/>
        <v>1169.8775869873443</v>
      </c>
      <c r="D37" s="103">
        <f t="shared" si="6"/>
        <v>11310.885468462024</v>
      </c>
      <c r="E37" s="103">
        <f t="shared" si="3"/>
        <v>12480.763055449368</v>
      </c>
      <c r="F37" s="111">
        <f t="shared" si="7"/>
        <v>752889.15364381426</v>
      </c>
      <c r="G37" s="100"/>
    </row>
    <row r="38" spans="1:7" x14ac:dyDescent="0.25">
      <c r="A38" s="107"/>
      <c r="B38" s="102">
        <f t="shared" si="8"/>
        <v>752889.15364381426</v>
      </c>
      <c r="C38" s="103">
        <f t="shared" si="5"/>
        <v>1187.4257507921538</v>
      </c>
      <c r="D38" s="103">
        <f t="shared" si="6"/>
        <v>11293.337304657214</v>
      </c>
      <c r="E38" s="103">
        <f t="shared" si="3"/>
        <v>12480.763055449368</v>
      </c>
      <c r="F38" s="111">
        <f t="shared" si="7"/>
        <v>751701.72789302212</v>
      </c>
      <c r="G38" s="100"/>
    </row>
    <row r="39" spans="1:7" x14ac:dyDescent="0.25">
      <c r="A39" s="110">
        <v>41639</v>
      </c>
      <c r="B39" s="102">
        <f t="shared" si="8"/>
        <v>751701.72789302212</v>
      </c>
      <c r="C39" s="103">
        <f t="shared" si="5"/>
        <v>1205.2371370540368</v>
      </c>
      <c r="D39" s="103">
        <f t="shared" si="6"/>
        <v>11275.525918395331</v>
      </c>
      <c r="E39" s="103">
        <f t="shared" si="3"/>
        <v>12480.763055449368</v>
      </c>
      <c r="F39" s="109">
        <f t="shared" si="7"/>
        <v>750496.49075596803</v>
      </c>
      <c r="G39" s="100"/>
    </row>
    <row r="40" spans="1:7" x14ac:dyDescent="0.25">
      <c r="A40" s="107"/>
      <c r="B40" s="103"/>
      <c r="C40" s="103"/>
      <c r="D40" s="101">
        <f>SUM(D28:D39)</f>
        <v>136425.83436211664</v>
      </c>
      <c r="E40" s="103"/>
      <c r="F40" s="100"/>
      <c r="G40" s="100"/>
    </row>
    <row r="41" spans="1:7" x14ac:dyDescent="0.25">
      <c r="A41" s="107" t="s">
        <v>100</v>
      </c>
      <c r="B41" s="103"/>
      <c r="C41" s="103"/>
      <c r="D41" s="103"/>
      <c r="E41" s="103"/>
      <c r="F41" s="100"/>
      <c r="G41" s="100"/>
    </row>
    <row r="42" spans="1:7" x14ac:dyDescent="0.25">
      <c r="A42" s="110">
        <v>41275</v>
      </c>
      <c r="B42" s="103">
        <f>F39</f>
        <v>750496.49075596803</v>
      </c>
      <c r="C42" s="103">
        <f>E42-D42</f>
        <v>1223.3156941098478</v>
      </c>
      <c r="D42" s="103">
        <f>B42*$B$3</f>
        <v>11257.44736133952</v>
      </c>
      <c r="E42" s="102">
        <f>$B$6</f>
        <v>12480.763055449368</v>
      </c>
      <c r="F42" s="111">
        <f>B42-C42</f>
        <v>749273.17506185814</v>
      </c>
      <c r="G42" s="100"/>
    </row>
    <row r="43" spans="1:7" x14ac:dyDescent="0.25">
      <c r="A43" s="112"/>
      <c r="B43" s="102">
        <f>F42</f>
        <v>749273.17506185814</v>
      </c>
      <c r="C43" s="103">
        <f t="shared" ref="C43:C53" si="9">E43-D43</f>
        <v>1241.6654295214958</v>
      </c>
      <c r="D43" s="103">
        <f t="shared" ref="D43:D53" si="10">B43*$B$3</f>
        <v>11239.097625927872</v>
      </c>
      <c r="E43" s="102">
        <f t="shared" ref="E43:E53" si="11">$B$6</f>
        <v>12480.763055449368</v>
      </c>
      <c r="F43" s="111">
        <f t="shared" ref="F43:F53" si="12">B43-C43</f>
        <v>748031.50963233667</v>
      </c>
      <c r="G43" s="100"/>
    </row>
    <row r="44" spans="1:7" x14ac:dyDescent="0.25">
      <c r="A44" s="107"/>
      <c r="B44" s="102">
        <f t="shared" ref="B44:B53" si="13">F43</f>
        <v>748031.50963233667</v>
      </c>
      <c r="C44" s="103">
        <f t="shared" si="9"/>
        <v>1260.2904109643187</v>
      </c>
      <c r="D44" s="103">
        <f t="shared" si="10"/>
        <v>11220.472644485049</v>
      </c>
      <c r="E44" s="102">
        <f t="shared" si="11"/>
        <v>12480.763055449368</v>
      </c>
      <c r="F44" s="111">
        <f t="shared" si="12"/>
        <v>746771.21922137239</v>
      </c>
      <c r="G44" s="100"/>
    </row>
    <row r="45" spans="1:7" x14ac:dyDescent="0.25">
      <c r="A45" s="107"/>
      <c r="B45" s="102">
        <f t="shared" si="13"/>
        <v>746771.21922137239</v>
      </c>
      <c r="C45" s="103">
        <f t="shared" si="9"/>
        <v>1279.1947671287835</v>
      </c>
      <c r="D45" s="103">
        <f t="shared" si="10"/>
        <v>11201.568288320585</v>
      </c>
      <c r="E45" s="102">
        <f t="shared" si="11"/>
        <v>12480.763055449368</v>
      </c>
      <c r="F45" s="111">
        <f t="shared" si="12"/>
        <v>745492.0244542436</v>
      </c>
      <c r="G45" s="100"/>
    </row>
    <row r="46" spans="1:7" x14ac:dyDescent="0.25">
      <c r="A46" s="107"/>
      <c r="B46" s="102">
        <f t="shared" si="13"/>
        <v>745492.0244542436</v>
      </c>
      <c r="C46" s="103">
        <f t="shared" si="9"/>
        <v>1298.3826886357147</v>
      </c>
      <c r="D46" s="103">
        <f t="shared" si="10"/>
        <v>11182.380366813653</v>
      </c>
      <c r="E46" s="102">
        <f t="shared" si="11"/>
        <v>12480.763055449368</v>
      </c>
      <c r="F46" s="111">
        <f t="shared" si="12"/>
        <v>744193.64176560787</v>
      </c>
      <c r="G46" s="100"/>
    </row>
    <row r="47" spans="1:7" x14ac:dyDescent="0.25">
      <c r="A47" s="107"/>
      <c r="B47" s="102">
        <f t="shared" si="13"/>
        <v>744193.64176560787</v>
      </c>
      <c r="C47" s="103">
        <f t="shared" si="9"/>
        <v>1317.8584289652499</v>
      </c>
      <c r="D47" s="103">
        <f t="shared" si="10"/>
        <v>11162.904626484118</v>
      </c>
      <c r="E47" s="102">
        <f t="shared" si="11"/>
        <v>12480.763055449368</v>
      </c>
      <c r="F47" s="111">
        <f t="shared" si="12"/>
        <v>742875.78333664266</v>
      </c>
      <c r="G47" s="100"/>
    </row>
    <row r="48" spans="1:7" x14ac:dyDescent="0.25">
      <c r="A48" s="107"/>
      <c r="B48" s="102">
        <f t="shared" si="13"/>
        <v>742875.78333664266</v>
      </c>
      <c r="C48" s="103">
        <f t="shared" si="9"/>
        <v>1337.6263053997282</v>
      </c>
      <c r="D48" s="103">
        <f t="shared" si="10"/>
        <v>11143.13675004964</v>
      </c>
      <c r="E48" s="102">
        <f t="shared" si="11"/>
        <v>12480.763055449368</v>
      </c>
      <c r="F48" s="111">
        <f t="shared" si="12"/>
        <v>741538.15703124297</v>
      </c>
      <c r="G48" s="100"/>
    </row>
    <row r="49" spans="1:7" x14ac:dyDescent="0.25">
      <c r="A49" s="107"/>
      <c r="B49" s="102">
        <f t="shared" si="13"/>
        <v>741538.15703124297</v>
      </c>
      <c r="C49" s="103">
        <f t="shared" si="9"/>
        <v>1357.6906999807234</v>
      </c>
      <c r="D49" s="103">
        <f t="shared" si="10"/>
        <v>11123.072355468645</v>
      </c>
      <c r="E49" s="102">
        <f t="shared" si="11"/>
        <v>12480.763055449368</v>
      </c>
      <c r="F49" s="111">
        <f t="shared" si="12"/>
        <v>740180.46633126226</v>
      </c>
      <c r="G49" s="100"/>
    </row>
    <row r="50" spans="1:7" x14ac:dyDescent="0.25">
      <c r="A50" s="107"/>
      <c r="B50" s="102">
        <f t="shared" si="13"/>
        <v>740180.46633126226</v>
      </c>
      <c r="C50" s="103">
        <f t="shared" si="9"/>
        <v>1378.0560604804341</v>
      </c>
      <c r="D50" s="103">
        <f t="shared" si="10"/>
        <v>11102.706994968934</v>
      </c>
      <c r="E50" s="102">
        <f t="shared" si="11"/>
        <v>12480.763055449368</v>
      </c>
      <c r="F50" s="111">
        <f t="shared" si="12"/>
        <v>738802.41027078184</v>
      </c>
      <c r="G50" s="100"/>
    </row>
    <row r="51" spans="1:7" x14ac:dyDescent="0.25">
      <c r="A51" s="107"/>
      <c r="B51" s="102">
        <f t="shared" si="13"/>
        <v>738802.41027078184</v>
      </c>
      <c r="C51" s="103">
        <f t="shared" si="9"/>
        <v>1398.7269013876412</v>
      </c>
      <c r="D51" s="103">
        <f t="shared" si="10"/>
        <v>11082.036154061727</v>
      </c>
      <c r="E51" s="102">
        <f t="shared" si="11"/>
        <v>12480.763055449368</v>
      </c>
      <c r="F51" s="111">
        <f t="shared" si="12"/>
        <v>737403.68336939416</v>
      </c>
      <c r="G51" s="100"/>
    </row>
    <row r="52" spans="1:7" x14ac:dyDescent="0.25">
      <c r="A52" s="107"/>
      <c r="B52" s="102">
        <f t="shared" si="13"/>
        <v>737403.68336939416</v>
      </c>
      <c r="C52" s="103">
        <f t="shared" si="9"/>
        <v>1419.7078049084557</v>
      </c>
      <c r="D52" s="103">
        <f t="shared" si="10"/>
        <v>11061.055250540912</v>
      </c>
      <c r="E52" s="102">
        <f t="shared" si="11"/>
        <v>12480.763055449368</v>
      </c>
      <c r="F52" s="111">
        <f t="shared" si="12"/>
        <v>735983.97556448565</v>
      </c>
      <c r="G52" s="100"/>
    </row>
    <row r="53" spans="1:7" x14ac:dyDescent="0.25">
      <c r="A53" s="110">
        <v>41639</v>
      </c>
      <c r="B53" s="102">
        <f t="shared" si="13"/>
        <v>735983.97556448565</v>
      </c>
      <c r="C53" s="103">
        <f t="shared" si="9"/>
        <v>1441.0034219820845</v>
      </c>
      <c r="D53" s="103">
        <f t="shared" si="10"/>
        <v>11039.759633467283</v>
      </c>
      <c r="E53" s="102">
        <f t="shared" si="11"/>
        <v>12480.763055449368</v>
      </c>
      <c r="F53" s="109">
        <f t="shared" si="12"/>
        <v>734542.9721425036</v>
      </c>
      <c r="G53" s="100"/>
    </row>
    <row r="54" spans="1:7" x14ac:dyDescent="0.25">
      <c r="A54" s="107"/>
      <c r="B54" s="103"/>
      <c r="C54" s="103"/>
      <c r="D54" s="101">
        <f>SUM(D42:D53)</f>
        <v>133815.63805192793</v>
      </c>
      <c r="E54" s="103"/>
      <c r="F54" s="100"/>
      <c r="G54" s="100"/>
    </row>
    <row r="55" spans="1:7" x14ac:dyDescent="0.25">
      <c r="A55" s="107" t="s">
        <v>99</v>
      </c>
      <c r="B55" s="103"/>
      <c r="C55" s="103"/>
      <c r="D55" s="103"/>
      <c r="E55" s="103"/>
      <c r="F55" s="100"/>
      <c r="G55" s="100"/>
    </row>
    <row r="56" spans="1:7" x14ac:dyDescent="0.25">
      <c r="A56" s="107"/>
      <c r="B56" s="103">
        <f>F53</f>
        <v>734542.9721425036</v>
      </c>
      <c r="C56" s="103">
        <f>E56-D56</f>
        <v>1462.6184733118153</v>
      </c>
      <c r="D56" s="103">
        <f>B56*$B$3</f>
        <v>11018.144582137553</v>
      </c>
      <c r="E56" s="102">
        <f>$B$6</f>
        <v>12480.763055449368</v>
      </c>
      <c r="F56" s="103">
        <f>B56-C56</f>
        <v>733080.35366919183</v>
      </c>
      <c r="G56" s="100"/>
    </row>
    <row r="57" spans="1:7" x14ac:dyDescent="0.25">
      <c r="A57" s="105"/>
      <c r="B57" s="102">
        <f>F56</f>
        <v>733080.35366919183</v>
      </c>
      <c r="C57" s="103">
        <f t="shared" ref="C57:C67" si="14">E57-D57</f>
        <v>1484.5577504114917</v>
      </c>
      <c r="D57" s="103">
        <f t="shared" ref="D57:D67" si="15">B57*$B$3</f>
        <v>10996.205305037876</v>
      </c>
      <c r="E57" s="102">
        <f t="shared" ref="E57:E66" si="16">$B$6</f>
        <v>12480.763055449368</v>
      </c>
      <c r="F57" s="103">
        <f t="shared" ref="F57:F67" si="17">B57-C57</f>
        <v>731595.79591878038</v>
      </c>
      <c r="G57" s="100"/>
    </row>
    <row r="58" spans="1:7" x14ac:dyDescent="0.25">
      <c r="A58" s="104"/>
      <c r="B58" s="102">
        <f t="shared" ref="B58:B67" si="18">F57</f>
        <v>731595.79591878038</v>
      </c>
      <c r="C58" s="103">
        <f t="shared" si="14"/>
        <v>1506.8261166676621</v>
      </c>
      <c r="D58" s="103">
        <f t="shared" si="15"/>
        <v>10973.936938781706</v>
      </c>
      <c r="E58" s="102">
        <f t="shared" si="16"/>
        <v>12480.763055449368</v>
      </c>
      <c r="F58" s="103">
        <f t="shared" si="17"/>
        <v>730088.96980211267</v>
      </c>
      <c r="G58" s="100"/>
    </row>
    <row r="59" spans="1:7" x14ac:dyDescent="0.25">
      <c r="A59" s="104"/>
      <c r="B59" s="102">
        <f t="shared" si="18"/>
        <v>730088.96980211267</v>
      </c>
      <c r="C59" s="103">
        <f t="shared" si="14"/>
        <v>1529.428508417679</v>
      </c>
      <c r="D59" s="103">
        <f t="shared" si="15"/>
        <v>10951.334547031689</v>
      </c>
      <c r="E59" s="102">
        <f t="shared" si="16"/>
        <v>12480.763055449368</v>
      </c>
      <c r="F59" s="103">
        <f t="shared" si="17"/>
        <v>728559.54129369499</v>
      </c>
      <c r="G59" s="100"/>
    </row>
    <row r="60" spans="1:7" x14ac:dyDescent="0.25">
      <c r="A60" s="104"/>
      <c r="B60" s="102">
        <f t="shared" si="18"/>
        <v>728559.54129369499</v>
      </c>
      <c r="C60" s="103">
        <f t="shared" si="14"/>
        <v>1552.3699360439441</v>
      </c>
      <c r="D60" s="103">
        <f t="shared" si="15"/>
        <v>10928.393119405424</v>
      </c>
      <c r="E60" s="102">
        <f t="shared" si="16"/>
        <v>12480.763055449368</v>
      </c>
      <c r="F60" s="103">
        <f t="shared" si="17"/>
        <v>727007.17135765101</v>
      </c>
      <c r="G60" s="100"/>
    </row>
    <row r="61" spans="1:7" x14ac:dyDescent="0.25">
      <c r="A61" s="104"/>
      <c r="B61" s="102">
        <f t="shared" si="18"/>
        <v>727007.17135765101</v>
      </c>
      <c r="C61" s="103">
        <f t="shared" si="14"/>
        <v>1575.6554850846042</v>
      </c>
      <c r="D61" s="103">
        <f t="shared" si="15"/>
        <v>10905.107570364764</v>
      </c>
      <c r="E61" s="102">
        <f t="shared" si="16"/>
        <v>12480.763055449368</v>
      </c>
      <c r="F61" s="103">
        <f t="shared" si="17"/>
        <v>725431.51587256638</v>
      </c>
      <c r="G61" s="100"/>
    </row>
    <row r="62" spans="1:7" x14ac:dyDescent="0.25">
      <c r="A62" s="104"/>
      <c r="B62" s="102">
        <f t="shared" si="18"/>
        <v>725431.51587256638</v>
      </c>
      <c r="C62" s="103">
        <f t="shared" si="14"/>
        <v>1599.290317360872</v>
      </c>
      <c r="D62" s="103">
        <f t="shared" si="15"/>
        <v>10881.472738088496</v>
      </c>
      <c r="E62" s="102">
        <f t="shared" si="16"/>
        <v>12480.763055449368</v>
      </c>
      <c r="F62" s="103">
        <f t="shared" si="17"/>
        <v>723832.22555520548</v>
      </c>
      <c r="G62" s="100"/>
    </row>
    <row r="63" spans="1:7" x14ac:dyDescent="0.25">
      <c r="A63" s="104"/>
      <c r="B63" s="102">
        <f t="shared" si="18"/>
        <v>723832.22555520548</v>
      </c>
      <c r="C63" s="103">
        <f t="shared" si="14"/>
        <v>1623.2796721212853</v>
      </c>
      <c r="D63" s="103">
        <f t="shared" si="15"/>
        <v>10857.483383328083</v>
      </c>
      <c r="E63" s="102">
        <f t="shared" si="16"/>
        <v>12480.763055449368</v>
      </c>
      <c r="F63" s="103">
        <f t="shared" si="17"/>
        <v>722208.9458830842</v>
      </c>
      <c r="G63" s="100"/>
    </row>
    <row r="64" spans="1:7" x14ac:dyDescent="0.25">
      <c r="A64" s="104"/>
      <c r="B64" s="102">
        <f t="shared" si="18"/>
        <v>722208.9458830842</v>
      </c>
      <c r="C64" s="103">
        <f t="shared" si="14"/>
        <v>1647.628867203106</v>
      </c>
      <c r="D64" s="103">
        <f t="shared" si="15"/>
        <v>10833.134188246262</v>
      </c>
      <c r="E64" s="102">
        <f t="shared" si="16"/>
        <v>12480.763055449368</v>
      </c>
      <c r="F64" s="103">
        <f t="shared" si="17"/>
        <v>720561.31701588107</v>
      </c>
      <c r="G64" s="100"/>
    </row>
    <row r="65" spans="1:7" x14ac:dyDescent="0.25">
      <c r="A65" s="104"/>
      <c r="B65" s="102">
        <f t="shared" si="18"/>
        <v>720561.31701588107</v>
      </c>
      <c r="C65" s="103">
        <f t="shared" si="14"/>
        <v>1672.3433002111524</v>
      </c>
      <c r="D65" s="103">
        <f t="shared" si="15"/>
        <v>10808.419755238216</v>
      </c>
      <c r="E65" s="102">
        <f t="shared" si="16"/>
        <v>12480.763055449368</v>
      </c>
      <c r="F65" s="103">
        <f t="shared" si="17"/>
        <v>718888.97371566994</v>
      </c>
      <c r="G65" s="100"/>
    </row>
    <row r="66" spans="1:7" x14ac:dyDescent="0.25">
      <c r="A66" s="104"/>
      <c r="B66" s="102">
        <f t="shared" si="18"/>
        <v>718888.97371566994</v>
      </c>
      <c r="C66" s="103">
        <f t="shared" si="14"/>
        <v>1697.4284497143199</v>
      </c>
      <c r="D66" s="103">
        <f t="shared" si="15"/>
        <v>10783.334605735048</v>
      </c>
      <c r="E66" s="102">
        <f t="shared" si="16"/>
        <v>12480.763055449368</v>
      </c>
      <c r="F66" s="103">
        <f t="shared" si="17"/>
        <v>717191.54526595562</v>
      </c>
      <c r="G66" s="100"/>
    </row>
    <row r="67" spans="1:7" x14ac:dyDescent="0.25">
      <c r="A67" s="104"/>
      <c r="B67" s="102">
        <f t="shared" si="18"/>
        <v>717191.54526595562</v>
      </c>
      <c r="C67" s="103">
        <f t="shared" si="14"/>
        <v>1722.8898764600344</v>
      </c>
      <c r="D67" s="103">
        <f t="shared" si="15"/>
        <v>10757.873178989334</v>
      </c>
      <c r="E67" s="102">
        <f>$B$6</f>
        <v>12480.763055449368</v>
      </c>
      <c r="F67" s="101">
        <f t="shared" si="17"/>
        <v>715468.65538949554</v>
      </c>
      <c r="G67" s="100"/>
    </row>
    <row r="68" spans="1:7" x14ac:dyDescent="0.25">
      <c r="A68" s="104"/>
      <c r="B68" s="100"/>
      <c r="C68" s="100"/>
      <c r="D68" s="101">
        <f>SUM(D56:D67)</f>
        <v>130694.83991238444</v>
      </c>
      <c r="E68" s="100"/>
      <c r="F68" s="100"/>
      <c r="G68" s="100"/>
    </row>
    <row r="69" spans="1:7" x14ac:dyDescent="0.25">
      <c r="A69" t="s">
        <v>133</v>
      </c>
    </row>
    <row r="70" spans="1:7" x14ac:dyDescent="0.25">
      <c r="B70" s="103">
        <f>F67</f>
        <v>715468.65538949554</v>
      </c>
      <c r="C70" s="103">
        <f>E70-D70</f>
        <v>1748.7332246069345</v>
      </c>
      <c r="D70" s="103">
        <f>B70*$B$3</f>
        <v>10732.029830842434</v>
      </c>
      <c r="E70" s="102">
        <f>$B$6</f>
        <v>12480.763055449368</v>
      </c>
      <c r="F70" s="103">
        <f>B70-C70</f>
        <v>713719.92216488859</v>
      </c>
    </row>
    <row r="71" spans="1:7" x14ac:dyDescent="0.25">
      <c r="B71" s="102">
        <f>F70</f>
        <v>713719.92216488859</v>
      </c>
      <c r="C71" s="103">
        <f t="shared" ref="C71:C81" si="19">E71-D71</f>
        <v>1774.9642229760393</v>
      </c>
      <c r="D71" s="103">
        <f t="shared" ref="D71:D81" si="20">B71*$B$3</f>
        <v>10705.798832473329</v>
      </c>
      <c r="E71" s="102">
        <f t="shared" ref="E71:E80" si="21">$B$6</f>
        <v>12480.763055449368</v>
      </c>
      <c r="F71" s="103">
        <f t="shared" ref="F71:F81" si="22">B71-C71</f>
        <v>711944.95794191258</v>
      </c>
    </row>
    <row r="72" spans="1:7" x14ac:dyDescent="0.25">
      <c r="B72" s="102">
        <f t="shared" ref="B72:B81" si="23">F71</f>
        <v>711944.95794191258</v>
      </c>
      <c r="C72" s="103">
        <f t="shared" si="19"/>
        <v>1801.5886863206797</v>
      </c>
      <c r="D72" s="103">
        <f t="shared" si="20"/>
        <v>10679.174369128688</v>
      </c>
      <c r="E72" s="102">
        <f t="shared" si="21"/>
        <v>12480.763055449368</v>
      </c>
      <c r="F72" s="103">
        <f t="shared" si="22"/>
        <v>710143.36925559188</v>
      </c>
    </row>
    <row r="73" spans="1:7" x14ac:dyDescent="0.25">
      <c r="B73" s="102">
        <f t="shared" si="23"/>
        <v>710143.36925559188</v>
      </c>
      <c r="C73" s="103">
        <f t="shared" si="19"/>
        <v>1828.6125166154907</v>
      </c>
      <c r="D73" s="103">
        <f t="shared" si="20"/>
        <v>10652.150538833877</v>
      </c>
      <c r="E73" s="102">
        <f t="shared" si="21"/>
        <v>12480.763055449368</v>
      </c>
      <c r="F73" s="103">
        <f t="shared" si="22"/>
        <v>708314.75673897634</v>
      </c>
    </row>
    <row r="74" spans="1:7" x14ac:dyDescent="0.25">
      <c r="B74" s="102">
        <f t="shared" si="23"/>
        <v>708314.75673897634</v>
      </c>
      <c r="C74" s="103">
        <f t="shared" si="19"/>
        <v>1856.041704364723</v>
      </c>
      <c r="D74" s="103">
        <f t="shared" si="20"/>
        <v>10624.721351084645</v>
      </c>
      <c r="E74" s="102">
        <f t="shared" si="21"/>
        <v>12480.763055449368</v>
      </c>
      <c r="F74" s="103">
        <f t="shared" si="22"/>
        <v>706458.71503461164</v>
      </c>
    </row>
    <row r="75" spans="1:7" x14ac:dyDescent="0.25">
      <c r="B75" s="102">
        <f t="shared" si="23"/>
        <v>706458.71503461164</v>
      </c>
      <c r="C75" s="103">
        <f t="shared" si="19"/>
        <v>1883.882329930193</v>
      </c>
      <c r="D75" s="103">
        <f t="shared" si="20"/>
        <v>10596.880725519175</v>
      </c>
      <c r="E75" s="102">
        <f t="shared" si="21"/>
        <v>12480.763055449368</v>
      </c>
      <c r="F75" s="103">
        <f t="shared" si="22"/>
        <v>704574.83270468144</v>
      </c>
    </row>
    <row r="76" spans="1:7" x14ac:dyDescent="0.25">
      <c r="B76" s="102">
        <f t="shared" si="23"/>
        <v>704574.83270468144</v>
      </c>
      <c r="C76" s="103">
        <f t="shared" si="19"/>
        <v>1912.140564879146</v>
      </c>
      <c r="D76" s="103">
        <f t="shared" si="20"/>
        <v>10568.622490570222</v>
      </c>
      <c r="E76" s="102">
        <f t="shared" si="21"/>
        <v>12480.763055449368</v>
      </c>
      <c r="F76" s="103">
        <f t="shared" si="22"/>
        <v>702662.69213980227</v>
      </c>
    </row>
    <row r="77" spans="1:7" x14ac:dyDescent="0.25">
      <c r="B77" s="102">
        <f t="shared" si="23"/>
        <v>702662.69213980227</v>
      </c>
      <c r="C77" s="103">
        <f t="shared" si="19"/>
        <v>1940.8226733523352</v>
      </c>
      <c r="D77" s="103">
        <f t="shared" si="20"/>
        <v>10539.940382097033</v>
      </c>
      <c r="E77" s="102">
        <f t="shared" si="21"/>
        <v>12480.763055449368</v>
      </c>
      <c r="F77" s="103">
        <f t="shared" si="22"/>
        <v>700721.86946644995</v>
      </c>
    </row>
    <row r="78" spans="1:7" x14ac:dyDescent="0.25">
      <c r="B78" s="102">
        <f t="shared" si="23"/>
        <v>700721.86946644995</v>
      </c>
      <c r="C78" s="103">
        <f t="shared" si="19"/>
        <v>1969.9350134526194</v>
      </c>
      <c r="D78" s="103">
        <f t="shared" si="20"/>
        <v>10510.828041996749</v>
      </c>
      <c r="E78" s="102">
        <f t="shared" si="21"/>
        <v>12480.763055449368</v>
      </c>
      <c r="F78" s="103">
        <f t="shared" si="22"/>
        <v>698751.93445299729</v>
      </c>
    </row>
    <row r="79" spans="1:7" x14ac:dyDescent="0.25">
      <c r="B79" s="102">
        <f t="shared" si="23"/>
        <v>698751.93445299729</v>
      </c>
      <c r="C79" s="103">
        <f t="shared" si="19"/>
        <v>1999.4840386544092</v>
      </c>
      <c r="D79" s="103">
        <f t="shared" si="20"/>
        <v>10481.279016794959</v>
      </c>
      <c r="E79" s="102">
        <f t="shared" si="21"/>
        <v>12480.763055449368</v>
      </c>
      <c r="F79" s="103">
        <f t="shared" si="22"/>
        <v>696752.45041434292</v>
      </c>
    </row>
    <row r="80" spans="1:7" x14ac:dyDescent="0.25">
      <c r="B80" s="102">
        <f t="shared" si="23"/>
        <v>696752.45041434292</v>
      </c>
      <c r="C80" s="103">
        <f t="shared" si="19"/>
        <v>2029.4762992342239</v>
      </c>
      <c r="D80" s="103">
        <f t="shared" si="20"/>
        <v>10451.286756215144</v>
      </c>
      <c r="E80" s="102">
        <f t="shared" si="21"/>
        <v>12480.763055449368</v>
      </c>
      <c r="F80" s="103">
        <f t="shared" si="22"/>
        <v>694722.97411510872</v>
      </c>
    </row>
    <row r="81" spans="1:6" x14ac:dyDescent="0.25">
      <c r="B81" s="102">
        <f t="shared" si="23"/>
        <v>694722.97411510872</v>
      </c>
      <c r="C81" s="103">
        <f t="shared" si="19"/>
        <v>2059.9184437227377</v>
      </c>
      <c r="D81" s="103">
        <f t="shared" si="20"/>
        <v>10420.84461172663</v>
      </c>
      <c r="E81" s="102">
        <f>$B$6</f>
        <v>12480.763055449368</v>
      </c>
      <c r="F81" s="101">
        <f t="shared" si="22"/>
        <v>692663.05567138596</v>
      </c>
    </row>
    <row r="82" spans="1:6" x14ac:dyDescent="0.25">
      <c r="B82" s="100"/>
      <c r="C82" s="100"/>
      <c r="D82" s="101">
        <f>SUM(D70:D81)</f>
        <v>126963.55694728288</v>
      </c>
      <c r="E82" s="100"/>
      <c r="F82" s="100"/>
    </row>
    <row r="83" spans="1:6" x14ac:dyDescent="0.25">
      <c r="A83" t="s">
        <v>134</v>
      </c>
    </row>
    <row r="84" spans="1:6" x14ac:dyDescent="0.25">
      <c r="B84" s="103">
        <f>F81</f>
        <v>692663.05567138596</v>
      </c>
      <c r="C84" s="103">
        <f>E84-D84</f>
        <v>2090.8172203785798</v>
      </c>
      <c r="D84" s="103">
        <f>B84*$B$3</f>
        <v>10389.945835070788</v>
      </c>
      <c r="E84" s="102">
        <f>$B$6</f>
        <v>12480.763055449368</v>
      </c>
      <c r="F84" s="103">
        <f>B84-C84</f>
        <v>690572.2384510074</v>
      </c>
    </row>
    <row r="85" spans="1:6" x14ac:dyDescent="0.25">
      <c r="B85" s="102">
        <f>F84</f>
        <v>690572.2384510074</v>
      </c>
      <c r="C85" s="103">
        <f t="shared" ref="C85:C95" si="24">E85-D85</f>
        <v>2122.1794786842565</v>
      </c>
      <c r="D85" s="103">
        <f t="shared" ref="D85:D95" si="25">B85*$B$3</f>
        <v>10358.583576765112</v>
      </c>
      <c r="E85" s="102">
        <f t="shared" ref="E85:E94" si="26">$B$6</f>
        <v>12480.763055449368</v>
      </c>
      <c r="F85" s="103">
        <f t="shared" ref="F85:F95" si="27">B85-C85</f>
        <v>688450.0589723232</v>
      </c>
    </row>
    <row r="86" spans="1:6" x14ac:dyDescent="0.25">
      <c r="B86" s="102">
        <f t="shared" ref="B86:B95" si="28">F85</f>
        <v>688450.0589723232</v>
      </c>
      <c r="C86" s="103">
        <f t="shared" si="24"/>
        <v>2154.0121708645202</v>
      </c>
      <c r="D86" s="103">
        <f t="shared" si="25"/>
        <v>10326.750884584848</v>
      </c>
      <c r="E86" s="102">
        <f t="shared" si="26"/>
        <v>12480.763055449368</v>
      </c>
      <c r="F86" s="103">
        <f t="shared" si="27"/>
        <v>686296.04680145869</v>
      </c>
    </row>
    <row r="87" spans="1:6" x14ac:dyDescent="0.25">
      <c r="B87" s="102">
        <f t="shared" si="28"/>
        <v>686296.04680145869</v>
      </c>
      <c r="C87" s="103">
        <f t="shared" si="24"/>
        <v>2186.3223534274875</v>
      </c>
      <c r="D87" s="103">
        <f t="shared" si="25"/>
        <v>10294.44070202188</v>
      </c>
      <c r="E87" s="102">
        <f t="shared" si="26"/>
        <v>12480.763055449368</v>
      </c>
      <c r="F87" s="103">
        <f t="shared" si="27"/>
        <v>684109.72444803116</v>
      </c>
    </row>
    <row r="88" spans="1:6" x14ac:dyDescent="0.25">
      <c r="B88" s="102">
        <f t="shared" si="28"/>
        <v>684109.72444803116</v>
      </c>
      <c r="C88" s="103">
        <f t="shared" si="24"/>
        <v>2219.1171887289001</v>
      </c>
      <c r="D88" s="103">
        <f t="shared" si="25"/>
        <v>10261.645866720468</v>
      </c>
      <c r="E88" s="102">
        <f t="shared" si="26"/>
        <v>12480.763055449368</v>
      </c>
      <c r="F88" s="103">
        <f t="shared" si="27"/>
        <v>681890.60725930228</v>
      </c>
    </row>
    <row r="89" spans="1:6" x14ac:dyDescent="0.25">
      <c r="B89" s="102">
        <f t="shared" si="28"/>
        <v>681890.60725930228</v>
      </c>
      <c r="C89" s="103">
        <f t="shared" si="24"/>
        <v>2252.4039465598344</v>
      </c>
      <c r="D89" s="103">
        <f t="shared" si="25"/>
        <v>10228.359108889534</v>
      </c>
      <c r="E89" s="102">
        <f t="shared" si="26"/>
        <v>12480.763055449368</v>
      </c>
      <c r="F89" s="103">
        <f t="shared" si="27"/>
        <v>679638.20331274241</v>
      </c>
    </row>
    <row r="90" spans="1:6" x14ac:dyDescent="0.25">
      <c r="B90" s="102">
        <f t="shared" si="28"/>
        <v>679638.20331274241</v>
      </c>
      <c r="C90" s="103">
        <f t="shared" si="24"/>
        <v>2286.1900057582316</v>
      </c>
      <c r="D90" s="103">
        <f t="shared" si="25"/>
        <v>10194.573049691136</v>
      </c>
      <c r="E90" s="102">
        <f t="shared" si="26"/>
        <v>12480.763055449368</v>
      </c>
      <c r="F90" s="103">
        <f t="shared" si="27"/>
        <v>677352.01330698421</v>
      </c>
    </row>
    <row r="91" spans="1:6" x14ac:dyDescent="0.25">
      <c r="B91" s="102">
        <f t="shared" si="28"/>
        <v>677352.01330698421</v>
      </c>
      <c r="C91" s="103">
        <f t="shared" si="24"/>
        <v>2320.4828558446061</v>
      </c>
      <c r="D91" s="103">
        <f t="shared" si="25"/>
        <v>10160.280199604762</v>
      </c>
      <c r="E91" s="102">
        <f t="shared" si="26"/>
        <v>12480.763055449368</v>
      </c>
      <c r="F91" s="103">
        <f t="shared" si="27"/>
        <v>675031.53045113955</v>
      </c>
    </row>
    <row r="92" spans="1:6" x14ac:dyDescent="0.25">
      <c r="B92" s="102">
        <f t="shared" si="28"/>
        <v>675031.53045113955</v>
      </c>
      <c r="C92" s="103">
        <f t="shared" si="24"/>
        <v>2355.2900986822751</v>
      </c>
      <c r="D92" s="103">
        <f t="shared" si="25"/>
        <v>10125.472956767093</v>
      </c>
      <c r="E92" s="102">
        <f t="shared" si="26"/>
        <v>12480.763055449368</v>
      </c>
      <c r="F92" s="103">
        <f t="shared" si="27"/>
        <v>672676.24035245727</v>
      </c>
    </row>
    <row r="93" spans="1:6" x14ac:dyDescent="0.25">
      <c r="B93" s="102">
        <f t="shared" si="28"/>
        <v>672676.24035245727</v>
      </c>
      <c r="C93" s="103">
        <f t="shared" si="24"/>
        <v>2390.6194501625087</v>
      </c>
      <c r="D93" s="103">
        <f t="shared" si="25"/>
        <v>10090.143605286859</v>
      </c>
      <c r="E93" s="102">
        <f t="shared" si="26"/>
        <v>12480.763055449368</v>
      </c>
      <c r="F93" s="103">
        <f t="shared" si="27"/>
        <v>670285.62090229476</v>
      </c>
    </row>
    <row r="94" spans="1:6" x14ac:dyDescent="0.25">
      <c r="B94" s="102">
        <f t="shared" si="28"/>
        <v>670285.62090229476</v>
      </c>
      <c r="C94" s="103">
        <f t="shared" si="24"/>
        <v>2426.478741914947</v>
      </c>
      <c r="D94" s="103">
        <f t="shared" si="25"/>
        <v>10054.284313534421</v>
      </c>
      <c r="E94" s="102">
        <f t="shared" si="26"/>
        <v>12480.763055449368</v>
      </c>
      <c r="F94" s="103">
        <f t="shared" si="27"/>
        <v>667859.14216037979</v>
      </c>
    </row>
    <row r="95" spans="1:6" x14ac:dyDescent="0.25">
      <c r="B95" s="102">
        <f t="shared" si="28"/>
        <v>667859.14216037979</v>
      </c>
      <c r="C95" s="103">
        <f t="shared" si="24"/>
        <v>2462.8759230436717</v>
      </c>
      <c r="D95" s="103">
        <f t="shared" si="25"/>
        <v>10017.887132405696</v>
      </c>
      <c r="E95" s="102">
        <f>$B$6</f>
        <v>12480.763055449368</v>
      </c>
      <c r="F95" s="101">
        <f t="shared" si="27"/>
        <v>665396.26623733609</v>
      </c>
    </row>
    <row r="96" spans="1:6" x14ac:dyDescent="0.25">
      <c r="B96" s="100"/>
      <c r="C96" s="100"/>
      <c r="D96" s="101">
        <f>SUM(D84:D95)</f>
        <v>122502.36723134261</v>
      </c>
      <c r="E96" s="100"/>
      <c r="F96" s="100"/>
    </row>
    <row r="97" spans="1:6" x14ac:dyDescent="0.25">
      <c r="A97" t="s">
        <v>135</v>
      </c>
    </row>
    <row r="98" spans="1:6" x14ac:dyDescent="0.25">
      <c r="B98" s="103">
        <f>F95</f>
        <v>665396.26623733609</v>
      </c>
      <c r="C98" s="103">
        <f>E98-D98</f>
        <v>2499.8190618893277</v>
      </c>
      <c r="D98" s="103">
        <f>B98*$B$3</f>
        <v>9980.9439935600403</v>
      </c>
      <c r="E98" s="102">
        <f>$B$6</f>
        <v>12480.763055449368</v>
      </c>
      <c r="F98" s="103">
        <f>B98-C98</f>
        <v>662896.44717544678</v>
      </c>
    </row>
    <row r="99" spans="1:6" x14ac:dyDescent="0.25">
      <c r="B99" s="102">
        <f>F98</f>
        <v>662896.44717544678</v>
      </c>
      <c r="C99" s="103">
        <f t="shared" ref="C99:C109" si="29">E99-D99</f>
        <v>2537.3163478176666</v>
      </c>
      <c r="D99" s="103">
        <f t="shared" ref="D99:D109" si="30">B99*$B$3</f>
        <v>9943.4467076317014</v>
      </c>
      <c r="E99" s="102">
        <f t="shared" ref="E99:E108" si="31">$B$6</f>
        <v>12480.763055449368</v>
      </c>
      <c r="F99" s="103">
        <f t="shared" ref="F99:F109" si="32">B99-C99</f>
        <v>660359.13082762912</v>
      </c>
    </row>
    <row r="100" spans="1:6" x14ac:dyDescent="0.25">
      <c r="B100" s="102">
        <f t="shared" ref="B100:B109" si="33">F99</f>
        <v>660359.13082762912</v>
      </c>
      <c r="C100" s="103">
        <f t="shared" si="29"/>
        <v>2575.3760930349308</v>
      </c>
      <c r="D100" s="103">
        <f t="shared" si="30"/>
        <v>9905.3869624144372</v>
      </c>
      <c r="E100" s="102">
        <f t="shared" si="31"/>
        <v>12480.763055449368</v>
      </c>
      <c r="F100" s="103">
        <f t="shared" si="32"/>
        <v>657783.75473459414</v>
      </c>
    </row>
    <row r="101" spans="1:6" x14ac:dyDescent="0.25">
      <c r="B101" s="102">
        <f t="shared" si="33"/>
        <v>657783.75473459414</v>
      </c>
      <c r="C101" s="103">
        <f t="shared" si="29"/>
        <v>2614.0067344304571</v>
      </c>
      <c r="D101" s="103">
        <f t="shared" si="30"/>
        <v>9866.756321018911</v>
      </c>
      <c r="E101" s="102">
        <f t="shared" si="31"/>
        <v>12480.763055449368</v>
      </c>
      <c r="F101" s="103">
        <f t="shared" si="32"/>
        <v>655169.7480001637</v>
      </c>
    </row>
    <row r="102" spans="1:6" x14ac:dyDescent="0.25">
      <c r="B102" s="102">
        <f t="shared" si="33"/>
        <v>655169.7480001637</v>
      </c>
      <c r="C102" s="103">
        <f t="shared" si="29"/>
        <v>2653.2168354469122</v>
      </c>
      <c r="D102" s="103">
        <f t="shared" si="30"/>
        <v>9827.5462200024558</v>
      </c>
      <c r="E102" s="102">
        <f t="shared" si="31"/>
        <v>12480.763055449368</v>
      </c>
      <c r="F102" s="103">
        <f t="shared" si="32"/>
        <v>652516.53116471681</v>
      </c>
    </row>
    <row r="103" spans="1:6" x14ac:dyDescent="0.25">
      <c r="B103" s="102">
        <f t="shared" si="33"/>
        <v>652516.53116471681</v>
      </c>
      <c r="C103" s="103">
        <f t="shared" si="29"/>
        <v>2693.0150879786161</v>
      </c>
      <c r="D103" s="103">
        <f t="shared" si="30"/>
        <v>9787.747967470752</v>
      </c>
      <c r="E103" s="102">
        <f t="shared" si="31"/>
        <v>12480.763055449368</v>
      </c>
      <c r="F103" s="103">
        <f t="shared" si="32"/>
        <v>649823.51607673825</v>
      </c>
    </row>
    <row r="104" spans="1:6" x14ac:dyDescent="0.25">
      <c r="B104" s="102">
        <f t="shared" si="33"/>
        <v>649823.51607673825</v>
      </c>
      <c r="C104" s="103">
        <f t="shared" si="29"/>
        <v>2733.4103142982949</v>
      </c>
      <c r="D104" s="103">
        <f t="shared" si="30"/>
        <v>9747.3527411510731</v>
      </c>
      <c r="E104" s="102">
        <f t="shared" si="31"/>
        <v>12480.763055449368</v>
      </c>
      <c r="F104" s="103">
        <f t="shared" si="32"/>
        <v>647090.1057624399</v>
      </c>
    </row>
    <row r="105" spans="1:6" x14ac:dyDescent="0.25">
      <c r="B105" s="102">
        <f t="shared" si="33"/>
        <v>647090.1057624399</v>
      </c>
      <c r="C105" s="103">
        <f t="shared" si="29"/>
        <v>2774.4114690127699</v>
      </c>
      <c r="D105" s="103">
        <f t="shared" si="30"/>
        <v>9706.3515864365982</v>
      </c>
      <c r="E105" s="102">
        <f t="shared" si="31"/>
        <v>12480.763055449368</v>
      </c>
      <c r="F105" s="103">
        <f t="shared" si="32"/>
        <v>644315.69429342716</v>
      </c>
    </row>
    <row r="106" spans="1:6" x14ac:dyDescent="0.25">
      <c r="B106" s="102">
        <f t="shared" si="33"/>
        <v>644315.69429342716</v>
      </c>
      <c r="C106" s="103">
        <f t="shared" si="29"/>
        <v>2816.0276410479601</v>
      </c>
      <c r="D106" s="103">
        <f t="shared" si="30"/>
        <v>9664.735414401408</v>
      </c>
      <c r="E106" s="102">
        <f t="shared" si="31"/>
        <v>12480.763055449368</v>
      </c>
      <c r="F106" s="103">
        <f t="shared" si="32"/>
        <v>641499.66665237921</v>
      </c>
    </row>
    <row r="107" spans="1:6" x14ac:dyDescent="0.25">
      <c r="B107" s="102">
        <f t="shared" si="33"/>
        <v>641499.66665237921</v>
      </c>
      <c r="C107" s="103">
        <f t="shared" si="29"/>
        <v>2858.2680556636806</v>
      </c>
      <c r="D107" s="103">
        <f t="shared" si="30"/>
        <v>9622.4949997856875</v>
      </c>
      <c r="E107" s="102">
        <f t="shared" si="31"/>
        <v>12480.763055449368</v>
      </c>
      <c r="F107" s="103">
        <f t="shared" si="32"/>
        <v>638641.39859671553</v>
      </c>
    </row>
    <row r="108" spans="1:6" x14ac:dyDescent="0.25">
      <c r="B108" s="102">
        <f t="shared" si="33"/>
        <v>638641.39859671553</v>
      </c>
      <c r="C108" s="103">
        <f t="shared" si="29"/>
        <v>2901.142076498636</v>
      </c>
      <c r="D108" s="103">
        <f t="shared" si="30"/>
        <v>9579.620978950732</v>
      </c>
      <c r="E108" s="102">
        <f t="shared" si="31"/>
        <v>12480.763055449368</v>
      </c>
      <c r="F108" s="103">
        <f t="shared" si="32"/>
        <v>635740.25652021694</v>
      </c>
    </row>
    <row r="109" spans="1:6" x14ac:dyDescent="0.25">
      <c r="B109" s="102">
        <f t="shared" si="33"/>
        <v>635740.25652021694</v>
      </c>
      <c r="C109" s="103">
        <f t="shared" si="29"/>
        <v>2944.6592076461147</v>
      </c>
      <c r="D109" s="103">
        <f t="shared" si="30"/>
        <v>9536.1038478032533</v>
      </c>
      <c r="E109" s="102">
        <f>$B$6</f>
        <v>12480.763055449368</v>
      </c>
      <c r="F109" s="101">
        <f t="shared" si="32"/>
        <v>632795.59731257078</v>
      </c>
    </row>
    <row r="110" spans="1:6" x14ac:dyDescent="0.25">
      <c r="B110" s="100"/>
      <c r="C110" s="100"/>
      <c r="D110" s="101">
        <f>SUM(D98:D109)</f>
        <v>117168.48774062705</v>
      </c>
      <c r="E110" s="100"/>
      <c r="F110" s="100"/>
    </row>
    <row r="111" spans="1:6" x14ac:dyDescent="0.25">
      <c r="A111" t="s">
        <v>136</v>
      </c>
    </row>
    <row r="112" spans="1:6" x14ac:dyDescent="0.25">
      <c r="B112" s="103">
        <f>F109</f>
        <v>632795.59731257078</v>
      </c>
      <c r="C112" s="103">
        <f>E112-D112</f>
        <v>2988.829095760806</v>
      </c>
      <c r="D112" s="103">
        <f>B112*$B$3</f>
        <v>9491.933959688562</v>
      </c>
      <c r="E112" s="102">
        <f>$B$6</f>
        <v>12480.763055449368</v>
      </c>
      <c r="F112" s="103">
        <f>B112-C112</f>
        <v>629806.76821680996</v>
      </c>
    </row>
    <row r="113" spans="1:6" x14ac:dyDescent="0.25">
      <c r="B113" s="102">
        <f>F112</f>
        <v>629806.76821680996</v>
      </c>
      <c r="C113" s="103">
        <f t="shared" ref="C113:C123" si="34">E113-D113</f>
        <v>3033.6615321972185</v>
      </c>
      <c r="D113" s="103">
        <f t="shared" ref="D113:D123" si="35">B113*$B$3</f>
        <v>9447.1015232521495</v>
      </c>
      <c r="E113" s="102">
        <f t="shared" ref="E113:E122" si="36">$B$6</f>
        <v>12480.763055449368</v>
      </c>
      <c r="F113" s="103">
        <f t="shared" ref="F113:F123" si="37">B113-C113</f>
        <v>626773.10668461269</v>
      </c>
    </row>
    <row r="114" spans="1:6" x14ac:dyDescent="0.25">
      <c r="B114" s="102">
        <f t="shared" ref="B114:B123" si="38">F113</f>
        <v>626773.10668461269</v>
      </c>
      <c r="C114" s="103">
        <f t="shared" si="34"/>
        <v>3079.1664551801787</v>
      </c>
      <c r="D114" s="103">
        <f t="shared" si="35"/>
        <v>9401.5966002691894</v>
      </c>
      <c r="E114" s="102">
        <f t="shared" si="36"/>
        <v>12480.763055449368</v>
      </c>
      <c r="F114" s="103">
        <f t="shared" si="37"/>
        <v>623693.94022943254</v>
      </c>
    </row>
    <row r="115" spans="1:6" x14ac:dyDescent="0.25">
      <c r="B115" s="102">
        <f t="shared" si="38"/>
        <v>623693.94022943254</v>
      </c>
      <c r="C115" s="103">
        <f t="shared" si="34"/>
        <v>3125.3539520078812</v>
      </c>
      <c r="D115" s="103">
        <f t="shared" si="35"/>
        <v>9355.4091034414869</v>
      </c>
      <c r="E115" s="102">
        <f t="shared" si="36"/>
        <v>12480.763055449368</v>
      </c>
      <c r="F115" s="103">
        <f t="shared" si="37"/>
        <v>620568.58627742471</v>
      </c>
    </row>
    <row r="116" spans="1:6" x14ac:dyDescent="0.25">
      <c r="B116" s="102">
        <f t="shared" si="38"/>
        <v>620568.58627742471</v>
      </c>
      <c r="C116" s="103">
        <f t="shared" si="34"/>
        <v>3172.2342612879984</v>
      </c>
      <c r="D116" s="103">
        <f t="shared" si="35"/>
        <v>9308.5287941613697</v>
      </c>
      <c r="E116" s="102">
        <f t="shared" si="36"/>
        <v>12480.763055449368</v>
      </c>
      <c r="F116" s="103">
        <f t="shared" si="37"/>
        <v>617396.35201613675</v>
      </c>
    </row>
    <row r="117" spans="1:6" x14ac:dyDescent="0.25">
      <c r="B117" s="102">
        <f t="shared" si="38"/>
        <v>617396.35201613675</v>
      </c>
      <c r="C117" s="103">
        <f t="shared" si="34"/>
        <v>3219.817775207317</v>
      </c>
      <c r="D117" s="103">
        <f t="shared" si="35"/>
        <v>9260.945280242051</v>
      </c>
      <c r="E117" s="102">
        <f t="shared" si="36"/>
        <v>12480.763055449368</v>
      </c>
      <c r="F117" s="103">
        <f t="shared" si="37"/>
        <v>614176.53424092941</v>
      </c>
    </row>
    <row r="118" spans="1:6" x14ac:dyDescent="0.25">
      <c r="B118" s="102">
        <f t="shared" si="38"/>
        <v>614176.53424092941</v>
      </c>
      <c r="C118" s="103">
        <f t="shared" si="34"/>
        <v>3268.1150418354264</v>
      </c>
      <c r="D118" s="103">
        <f t="shared" si="35"/>
        <v>9212.6480136139417</v>
      </c>
      <c r="E118" s="102">
        <f t="shared" si="36"/>
        <v>12480.763055449368</v>
      </c>
      <c r="F118" s="103">
        <f t="shared" si="37"/>
        <v>610908.41919909394</v>
      </c>
    </row>
    <row r="119" spans="1:6" x14ac:dyDescent="0.25">
      <c r="B119" s="102">
        <f t="shared" si="38"/>
        <v>610908.41919909394</v>
      </c>
      <c r="C119" s="103">
        <f t="shared" si="34"/>
        <v>3317.1367674629601</v>
      </c>
      <c r="D119" s="103">
        <f t="shared" si="35"/>
        <v>9163.626287986408</v>
      </c>
      <c r="E119" s="102">
        <f t="shared" si="36"/>
        <v>12480.763055449368</v>
      </c>
      <c r="F119" s="103">
        <f t="shared" si="37"/>
        <v>607591.282431631</v>
      </c>
    </row>
    <row r="120" spans="1:6" x14ac:dyDescent="0.25">
      <c r="B120" s="102">
        <f t="shared" si="38"/>
        <v>607591.282431631</v>
      </c>
      <c r="C120" s="103">
        <f t="shared" si="34"/>
        <v>3366.8938189749042</v>
      </c>
      <c r="D120" s="103">
        <f t="shared" si="35"/>
        <v>9113.8692364744638</v>
      </c>
      <c r="E120" s="102">
        <f t="shared" si="36"/>
        <v>12480.763055449368</v>
      </c>
      <c r="F120" s="103">
        <f t="shared" si="37"/>
        <v>604224.38861265604</v>
      </c>
    </row>
    <row r="121" spans="1:6" x14ac:dyDescent="0.25">
      <c r="B121" s="102">
        <f t="shared" si="38"/>
        <v>604224.38861265604</v>
      </c>
      <c r="C121" s="103">
        <f t="shared" si="34"/>
        <v>3417.3972262595271</v>
      </c>
      <c r="D121" s="103">
        <f t="shared" si="35"/>
        <v>9063.365829189841</v>
      </c>
      <c r="E121" s="102">
        <f t="shared" si="36"/>
        <v>12480.763055449368</v>
      </c>
      <c r="F121" s="103">
        <f t="shared" si="37"/>
        <v>600806.99138639646</v>
      </c>
    </row>
    <row r="122" spans="1:6" x14ac:dyDescent="0.25">
      <c r="B122" s="102">
        <f t="shared" si="38"/>
        <v>600806.99138639646</v>
      </c>
      <c r="C122" s="103">
        <f t="shared" si="34"/>
        <v>3468.6581846534209</v>
      </c>
      <c r="D122" s="103">
        <f t="shared" si="35"/>
        <v>9012.1048707959471</v>
      </c>
      <c r="E122" s="102">
        <f t="shared" si="36"/>
        <v>12480.763055449368</v>
      </c>
      <c r="F122" s="103">
        <f t="shared" si="37"/>
        <v>597338.33320174308</v>
      </c>
    </row>
    <row r="123" spans="1:6" x14ac:dyDescent="0.25">
      <c r="B123" s="102">
        <f t="shared" si="38"/>
        <v>597338.33320174308</v>
      </c>
      <c r="C123" s="103">
        <f t="shared" si="34"/>
        <v>3520.6880574232218</v>
      </c>
      <c r="D123" s="103">
        <f t="shared" si="35"/>
        <v>8960.0749980261462</v>
      </c>
      <c r="E123" s="102">
        <f>$B$6</f>
        <v>12480.763055449368</v>
      </c>
      <c r="F123" s="101">
        <f t="shared" si="37"/>
        <v>593817.64514431986</v>
      </c>
    </row>
    <row r="124" spans="1:6" x14ac:dyDescent="0.25">
      <c r="B124" s="100"/>
      <c r="C124" s="100"/>
      <c r="D124" s="101">
        <f>SUM(D112:D123)</f>
        <v>110791.20449714156</v>
      </c>
      <c r="E124" s="100"/>
      <c r="F124" s="100"/>
    </row>
    <row r="125" spans="1:6" x14ac:dyDescent="0.25">
      <c r="A125" t="s">
        <v>137</v>
      </c>
    </row>
    <row r="126" spans="1:6" x14ac:dyDescent="0.25">
      <c r="B126" s="103">
        <f>F123</f>
        <v>593817.64514431986</v>
      </c>
      <c r="C126" s="103">
        <f>E126-D126</f>
        <v>3573.4983782845702</v>
      </c>
      <c r="D126" s="103">
        <f>B126*$B$3</f>
        <v>8907.2646771647978</v>
      </c>
      <c r="E126" s="102">
        <f>$B$6</f>
        <v>12480.763055449368</v>
      </c>
      <c r="F126" s="103">
        <f>B126-C126</f>
        <v>590244.14676603524</v>
      </c>
    </row>
    <row r="127" spans="1:6" x14ac:dyDescent="0.25">
      <c r="B127" s="102">
        <f>F126</f>
        <v>590244.14676603524</v>
      </c>
      <c r="C127" s="103">
        <f t="shared" ref="C127:C137" si="39">E127-D127</f>
        <v>3627.1008539588402</v>
      </c>
      <c r="D127" s="103">
        <f t="shared" ref="D127:D137" si="40">B127*$B$3</f>
        <v>8853.6622014905279</v>
      </c>
      <c r="E127" s="102">
        <f t="shared" ref="E127:E136" si="41">$B$6</f>
        <v>12480.763055449368</v>
      </c>
      <c r="F127" s="103">
        <f t="shared" ref="F127:F137" si="42">B127-C127</f>
        <v>586617.04591207637</v>
      </c>
    </row>
    <row r="128" spans="1:6" x14ac:dyDescent="0.25">
      <c r="B128" s="102">
        <f t="shared" ref="B128:B137" si="43">F127</f>
        <v>586617.04591207637</v>
      </c>
      <c r="C128" s="103">
        <f t="shared" si="39"/>
        <v>3681.5073667682227</v>
      </c>
      <c r="D128" s="103">
        <f t="shared" si="40"/>
        <v>8799.2556886811453</v>
      </c>
      <c r="E128" s="102">
        <f t="shared" si="41"/>
        <v>12480.763055449368</v>
      </c>
      <c r="F128" s="103">
        <f t="shared" si="42"/>
        <v>582935.53854530817</v>
      </c>
    </row>
    <row r="129" spans="1:6" x14ac:dyDescent="0.25">
      <c r="B129" s="102">
        <f t="shared" si="43"/>
        <v>582935.53854530817</v>
      </c>
      <c r="C129" s="103">
        <f t="shared" si="39"/>
        <v>3736.7299772697461</v>
      </c>
      <c r="D129" s="103">
        <f t="shared" si="40"/>
        <v>8744.033078179622</v>
      </c>
      <c r="E129" s="102">
        <f t="shared" si="41"/>
        <v>12480.763055449368</v>
      </c>
      <c r="F129" s="103">
        <f t="shared" si="42"/>
        <v>579198.8085680384</v>
      </c>
    </row>
    <row r="130" spans="1:6" x14ac:dyDescent="0.25">
      <c r="B130" s="102">
        <f t="shared" si="43"/>
        <v>579198.8085680384</v>
      </c>
      <c r="C130" s="103">
        <f t="shared" si="39"/>
        <v>3792.7809269287918</v>
      </c>
      <c r="D130" s="103">
        <f t="shared" si="40"/>
        <v>8687.9821285205762</v>
      </c>
      <c r="E130" s="102">
        <f t="shared" si="41"/>
        <v>12480.763055449368</v>
      </c>
      <c r="F130" s="103">
        <f t="shared" si="42"/>
        <v>575406.02764110966</v>
      </c>
    </row>
    <row r="131" spans="1:6" x14ac:dyDescent="0.25">
      <c r="B131" s="102">
        <f t="shared" si="43"/>
        <v>575406.02764110966</v>
      </c>
      <c r="C131" s="103">
        <f t="shared" si="39"/>
        <v>3849.6726408327231</v>
      </c>
      <c r="D131" s="103">
        <f t="shared" si="40"/>
        <v>8631.0904146166449</v>
      </c>
      <c r="E131" s="102">
        <f t="shared" si="41"/>
        <v>12480.763055449368</v>
      </c>
      <c r="F131" s="103">
        <f t="shared" si="42"/>
        <v>571556.35500027693</v>
      </c>
    </row>
    <row r="132" spans="1:6" x14ac:dyDescent="0.25">
      <c r="B132" s="102">
        <f t="shared" si="43"/>
        <v>571556.35500027693</v>
      </c>
      <c r="C132" s="103">
        <f t="shared" si="39"/>
        <v>3907.4177304452151</v>
      </c>
      <c r="D132" s="103">
        <f t="shared" si="40"/>
        <v>8573.345325004153</v>
      </c>
      <c r="E132" s="102">
        <f t="shared" si="41"/>
        <v>12480.763055449368</v>
      </c>
      <c r="F132" s="103">
        <f t="shared" si="42"/>
        <v>567648.93726983177</v>
      </c>
    </row>
    <row r="133" spans="1:6" x14ac:dyDescent="0.25">
      <c r="B133" s="102">
        <f t="shared" si="43"/>
        <v>567648.93726983177</v>
      </c>
      <c r="C133" s="103">
        <f t="shared" si="39"/>
        <v>3966.0289964018921</v>
      </c>
      <c r="D133" s="103">
        <f t="shared" si="40"/>
        <v>8514.734059047476</v>
      </c>
      <c r="E133" s="102">
        <f t="shared" si="41"/>
        <v>12480.763055449368</v>
      </c>
      <c r="F133" s="103">
        <f t="shared" si="42"/>
        <v>563682.90827342984</v>
      </c>
    </row>
    <row r="134" spans="1:6" x14ac:dyDescent="0.25">
      <c r="B134" s="102">
        <f t="shared" si="43"/>
        <v>563682.90827342984</v>
      </c>
      <c r="C134" s="103">
        <f t="shared" si="39"/>
        <v>4025.5194313479205</v>
      </c>
      <c r="D134" s="103">
        <f t="shared" si="40"/>
        <v>8455.2436241014475</v>
      </c>
      <c r="E134" s="102">
        <f t="shared" si="41"/>
        <v>12480.763055449368</v>
      </c>
      <c r="F134" s="103">
        <f t="shared" si="42"/>
        <v>559657.38884208188</v>
      </c>
    </row>
    <row r="135" spans="1:6" x14ac:dyDescent="0.25">
      <c r="B135" s="102">
        <f t="shared" si="43"/>
        <v>559657.38884208188</v>
      </c>
      <c r="C135" s="103">
        <f t="shared" si="39"/>
        <v>4085.9022228181402</v>
      </c>
      <c r="D135" s="103">
        <f t="shared" si="40"/>
        <v>8394.8608326312278</v>
      </c>
      <c r="E135" s="102">
        <f t="shared" si="41"/>
        <v>12480.763055449368</v>
      </c>
      <c r="F135" s="103">
        <f t="shared" si="42"/>
        <v>555571.48661926377</v>
      </c>
    </row>
    <row r="136" spans="1:6" x14ac:dyDescent="0.25">
      <c r="B136" s="102">
        <f t="shared" si="43"/>
        <v>555571.48661926377</v>
      </c>
      <c r="C136" s="103">
        <f t="shared" si="39"/>
        <v>4147.1907561604112</v>
      </c>
      <c r="D136" s="103">
        <f t="shared" si="40"/>
        <v>8333.5722992889569</v>
      </c>
      <c r="E136" s="102">
        <f t="shared" si="41"/>
        <v>12480.763055449368</v>
      </c>
      <c r="F136" s="103">
        <f t="shared" si="42"/>
        <v>551424.29586310335</v>
      </c>
    </row>
    <row r="137" spans="1:6" x14ac:dyDescent="0.25">
      <c r="B137" s="102">
        <f t="shared" si="43"/>
        <v>551424.29586310335</v>
      </c>
      <c r="C137" s="103">
        <f t="shared" si="39"/>
        <v>4209.3986175028185</v>
      </c>
      <c r="D137" s="103">
        <f t="shared" si="40"/>
        <v>8271.3644379465495</v>
      </c>
      <c r="E137" s="102">
        <f>$B$6</f>
        <v>12480.763055449368</v>
      </c>
      <c r="F137" s="101">
        <f t="shared" si="42"/>
        <v>547214.89724560059</v>
      </c>
    </row>
    <row r="138" spans="1:6" x14ac:dyDescent="0.25">
      <c r="B138" s="100"/>
      <c r="C138" s="100"/>
      <c r="D138" s="101">
        <f>SUM(D126:D137)</f>
        <v>103166.40876667312</v>
      </c>
      <c r="E138" s="100"/>
      <c r="F138" s="100"/>
    </row>
    <row r="139" spans="1:6" x14ac:dyDescent="0.25">
      <c r="A139" t="s">
        <v>138</v>
      </c>
    </row>
    <row r="140" spans="1:6" x14ac:dyDescent="0.25">
      <c r="B140" s="103">
        <f>F137</f>
        <v>547214.89724560059</v>
      </c>
      <c r="C140" s="103">
        <f>E140-D140</f>
        <v>4272.5395967653603</v>
      </c>
      <c r="D140" s="103">
        <f>B140*$B$3</f>
        <v>8208.2234586840077</v>
      </c>
      <c r="E140" s="102">
        <f>$B$6</f>
        <v>12480.763055449368</v>
      </c>
      <c r="F140" s="103">
        <f>B140-C140</f>
        <v>542942.35764883528</v>
      </c>
    </row>
    <row r="141" spans="1:6" x14ac:dyDescent="0.25">
      <c r="B141" s="102">
        <f>F140</f>
        <v>542942.35764883528</v>
      </c>
      <c r="C141" s="103">
        <f t="shared" ref="C141:C151" si="44">E141-D141</f>
        <v>4336.6276907168394</v>
      </c>
      <c r="D141" s="103">
        <f t="shared" ref="D141:D151" si="45">B141*$B$3</f>
        <v>8144.1353647325286</v>
      </c>
      <c r="E141" s="102">
        <f t="shared" ref="E141:E150" si="46">$B$6</f>
        <v>12480.763055449368</v>
      </c>
      <c r="F141" s="103">
        <f t="shared" ref="F141:F151" si="47">B141-C141</f>
        <v>538605.72995811841</v>
      </c>
    </row>
    <row r="142" spans="1:6" x14ac:dyDescent="0.25">
      <c r="B142" s="102">
        <f t="shared" ref="B142:B151" si="48">F141</f>
        <v>538605.72995811841</v>
      </c>
      <c r="C142" s="103">
        <f t="shared" si="44"/>
        <v>4401.6771060775918</v>
      </c>
      <c r="D142" s="103">
        <f t="shared" si="45"/>
        <v>8079.0859493717762</v>
      </c>
      <c r="E142" s="102">
        <f t="shared" si="46"/>
        <v>12480.763055449368</v>
      </c>
      <c r="F142" s="103">
        <f t="shared" si="47"/>
        <v>534204.05285204086</v>
      </c>
    </row>
    <row r="143" spans="1:6" x14ac:dyDescent="0.25">
      <c r="B143" s="102">
        <f t="shared" si="48"/>
        <v>534204.05285204086</v>
      </c>
      <c r="C143" s="103">
        <f t="shared" si="44"/>
        <v>4467.7022626687558</v>
      </c>
      <c r="D143" s="103">
        <f t="shared" si="45"/>
        <v>8013.0607927806122</v>
      </c>
      <c r="E143" s="102">
        <f t="shared" si="46"/>
        <v>12480.763055449368</v>
      </c>
      <c r="F143" s="103">
        <f t="shared" si="47"/>
        <v>529736.3505893721</v>
      </c>
    </row>
    <row r="144" spans="1:6" x14ac:dyDescent="0.25">
      <c r="B144" s="102">
        <f t="shared" si="48"/>
        <v>529736.3505893721</v>
      </c>
      <c r="C144" s="103">
        <f t="shared" si="44"/>
        <v>4534.7177966087866</v>
      </c>
      <c r="D144" s="103">
        <f t="shared" si="45"/>
        <v>7946.0452588405815</v>
      </c>
      <c r="E144" s="102">
        <f t="shared" si="46"/>
        <v>12480.763055449368</v>
      </c>
      <c r="F144" s="103">
        <f t="shared" si="47"/>
        <v>525201.6327927633</v>
      </c>
    </row>
    <row r="145" spans="2:6" x14ac:dyDescent="0.25">
      <c r="B145" s="102">
        <f t="shared" si="48"/>
        <v>525201.6327927633</v>
      </c>
      <c r="C145" s="103">
        <f t="shared" si="44"/>
        <v>4602.7385635579185</v>
      </c>
      <c r="D145" s="103">
        <f t="shared" si="45"/>
        <v>7878.0244918914495</v>
      </c>
      <c r="E145" s="102">
        <f t="shared" si="46"/>
        <v>12480.763055449368</v>
      </c>
      <c r="F145" s="103">
        <f t="shared" si="47"/>
        <v>520598.89422920538</v>
      </c>
    </row>
    <row r="146" spans="2:6" x14ac:dyDescent="0.25">
      <c r="B146" s="102">
        <f t="shared" si="48"/>
        <v>520598.89422920538</v>
      </c>
      <c r="C146" s="103">
        <f t="shared" si="44"/>
        <v>4671.7796420112873</v>
      </c>
      <c r="D146" s="103">
        <f t="shared" si="45"/>
        <v>7808.9834134380808</v>
      </c>
      <c r="E146" s="102">
        <f t="shared" si="46"/>
        <v>12480.763055449368</v>
      </c>
      <c r="F146" s="103">
        <f t="shared" si="47"/>
        <v>515927.11458719411</v>
      </c>
    </row>
    <row r="147" spans="2:6" x14ac:dyDescent="0.25">
      <c r="B147" s="102">
        <f t="shared" si="48"/>
        <v>515927.11458719411</v>
      </c>
      <c r="C147" s="103">
        <f t="shared" si="44"/>
        <v>4741.8563366414564</v>
      </c>
      <c r="D147" s="103">
        <f t="shared" si="45"/>
        <v>7738.9067188079116</v>
      </c>
      <c r="E147" s="102">
        <f t="shared" si="46"/>
        <v>12480.763055449368</v>
      </c>
      <c r="F147" s="103">
        <f t="shared" si="47"/>
        <v>511185.25825055264</v>
      </c>
    </row>
    <row r="148" spans="2:6" x14ac:dyDescent="0.25">
      <c r="B148" s="102">
        <f t="shared" si="48"/>
        <v>511185.25825055264</v>
      </c>
      <c r="C148" s="103">
        <f t="shared" si="44"/>
        <v>4812.9841816910784</v>
      </c>
      <c r="D148" s="103">
        <f t="shared" si="45"/>
        <v>7667.7788737582896</v>
      </c>
      <c r="E148" s="102">
        <f t="shared" si="46"/>
        <v>12480.763055449368</v>
      </c>
      <c r="F148" s="103">
        <f t="shared" si="47"/>
        <v>506372.27406886156</v>
      </c>
    </row>
    <row r="149" spans="2:6" x14ac:dyDescent="0.25">
      <c r="B149" s="102">
        <f t="shared" si="48"/>
        <v>506372.27406886156</v>
      </c>
      <c r="C149" s="103">
        <f t="shared" si="44"/>
        <v>4885.1789444164451</v>
      </c>
      <c r="D149" s="103">
        <f t="shared" si="45"/>
        <v>7595.5841110329229</v>
      </c>
      <c r="E149" s="102">
        <f t="shared" si="46"/>
        <v>12480.763055449368</v>
      </c>
      <c r="F149" s="103">
        <f t="shared" si="47"/>
        <v>501487.0951244451</v>
      </c>
    </row>
    <row r="150" spans="2:6" x14ac:dyDescent="0.25">
      <c r="B150" s="102">
        <f t="shared" si="48"/>
        <v>501487.0951244451</v>
      </c>
      <c r="C150" s="103">
        <f t="shared" si="44"/>
        <v>4958.4566285826922</v>
      </c>
      <c r="D150" s="103">
        <f t="shared" si="45"/>
        <v>7522.3064268666758</v>
      </c>
      <c r="E150" s="102">
        <f t="shared" si="46"/>
        <v>12480.763055449368</v>
      </c>
      <c r="F150" s="103">
        <f t="shared" si="47"/>
        <v>496528.63849586243</v>
      </c>
    </row>
    <row r="151" spans="2:6" x14ac:dyDescent="0.25">
      <c r="B151" s="102">
        <f t="shared" si="48"/>
        <v>496528.63849586243</v>
      </c>
      <c r="C151" s="103">
        <f t="shared" si="44"/>
        <v>5032.8334780114319</v>
      </c>
      <c r="D151" s="103">
        <f t="shared" si="45"/>
        <v>7447.9295774379361</v>
      </c>
      <c r="E151" s="102">
        <f>$B$6</f>
        <v>12480.763055449368</v>
      </c>
      <c r="F151" s="101">
        <f t="shared" si="47"/>
        <v>491495.805017851</v>
      </c>
    </row>
    <row r="152" spans="2:6" x14ac:dyDescent="0.25">
      <c r="B152" s="100"/>
      <c r="C152" s="100"/>
      <c r="D152" s="101">
        <f>SUM(D140:D151)</f>
        <v>94050.064437642781</v>
      </c>
      <c r="E152" s="100"/>
      <c r="F152" s="100"/>
    </row>
    <row r="154" spans="2:6" x14ac:dyDescent="0.25">
      <c r="B154" s="103"/>
      <c r="C154" s="103"/>
      <c r="D154" s="103"/>
      <c r="E154" s="102"/>
      <c r="F154" s="103"/>
    </row>
    <row r="155" spans="2:6" x14ac:dyDescent="0.25">
      <c r="B155" s="102"/>
      <c r="C155" s="103"/>
      <c r="D155" s="103"/>
      <c r="E155" s="102"/>
      <c r="F155" s="103"/>
    </row>
    <row r="156" spans="2:6" x14ac:dyDescent="0.25">
      <c r="B156" s="102"/>
      <c r="C156" s="103"/>
      <c r="D156" s="103"/>
      <c r="E156" s="102"/>
      <c r="F156" s="103"/>
    </row>
    <row r="157" spans="2:6" x14ac:dyDescent="0.25">
      <c r="B157" s="102"/>
      <c r="C157" s="103"/>
      <c r="D157" s="103"/>
      <c r="E157" s="102"/>
      <c r="F157" s="103"/>
    </row>
    <row r="158" spans="2:6" x14ac:dyDescent="0.25">
      <c r="B158" s="102"/>
      <c r="C158" s="103"/>
      <c r="D158" s="103"/>
      <c r="E158" s="102"/>
      <c r="F158" s="103"/>
    </row>
    <row r="159" spans="2:6" x14ac:dyDescent="0.25">
      <c r="B159" s="102"/>
      <c r="C159" s="103"/>
      <c r="D159" s="103"/>
      <c r="E159" s="102"/>
      <c r="F159" s="103"/>
    </row>
    <row r="160" spans="2:6" x14ac:dyDescent="0.25">
      <c r="B160" s="102"/>
      <c r="C160" s="103"/>
      <c r="D160" s="103"/>
      <c r="E160" s="102"/>
      <c r="F160" s="103"/>
    </row>
    <row r="161" spans="2:6" x14ac:dyDescent="0.25">
      <c r="B161" s="102"/>
      <c r="C161" s="103"/>
      <c r="D161" s="103"/>
      <c r="E161" s="102"/>
      <c r="F161" s="103"/>
    </row>
    <row r="162" spans="2:6" x14ac:dyDescent="0.25">
      <c r="B162" s="102"/>
      <c r="C162" s="103"/>
      <c r="D162" s="103"/>
      <c r="E162" s="102"/>
      <c r="F162" s="103"/>
    </row>
    <row r="163" spans="2:6" x14ac:dyDescent="0.25">
      <c r="B163" s="102"/>
      <c r="C163" s="103"/>
      <c r="D163" s="103"/>
      <c r="E163" s="102"/>
      <c r="F163" s="103"/>
    </row>
    <row r="164" spans="2:6" x14ac:dyDescent="0.25">
      <c r="B164" s="102"/>
      <c r="C164" s="103"/>
      <c r="D164" s="103"/>
      <c r="E164" s="102"/>
      <c r="F164" s="103"/>
    </row>
    <row r="165" spans="2:6" x14ac:dyDescent="0.25">
      <c r="B165" s="102"/>
      <c r="C165" s="103"/>
      <c r="D165" s="103"/>
      <c r="E165" s="102"/>
      <c r="F165" s="101"/>
    </row>
    <row r="166" spans="2:6" x14ac:dyDescent="0.25">
      <c r="B166" s="100"/>
      <c r="C166" s="100"/>
      <c r="D166" s="101"/>
      <c r="E166" s="100"/>
      <c r="F166" s="100"/>
    </row>
  </sheetData>
  <pageMargins left="0.7" right="0.7" top="0.75" bottom="0.75" header="0.3" footer="0.3"/>
  <pageSetup scale="90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Kitt(IRR=WACC)</vt:lpstr>
      <vt:lpstr>ML(IRR=WACC)</vt:lpstr>
      <vt:lpstr>Option for Kitt's Kornbread</vt:lpstr>
      <vt:lpstr>Kitts(Bankruptcy)</vt:lpstr>
      <vt:lpstr>ML Interest (Bankruptcy)</vt:lpstr>
      <vt:lpstr>'Kitt(IRR=WACC)'!Print_Area</vt:lpstr>
      <vt:lpstr>'Kitts(Bankruptcy)'!Print_Area</vt:lpstr>
      <vt:lpstr>'ML Interest (Bankruptcy)'!Print_Area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2019-07-31T21:40:18Z</dcterms:created>
  <dcterms:modified xsi:type="dcterms:W3CDTF">2019-07-31T21:40:27Z</dcterms:modified>
</cp:coreProperties>
</file>