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600" windowHeight="7755" tabRatio="343"/>
  </bookViews>
  <sheets>
    <sheet name="WACC-IRR" sheetId="7" r:id="rId1"/>
    <sheet name="Option Exercise" sheetId="5" r:id="rId2"/>
    <sheet name="Bankruptcy" sheetId="8" r:id="rId3"/>
    <sheet name="Answer" sheetId="4" r:id="rId4"/>
    <sheet name="Mortgage" sheetId="2" r:id="rId5"/>
    <sheet name="Sheet3" sheetId="3" r:id="rId6"/>
    <sheet name="K" sheetId="6" r:id="rId7"/>
  </sheets>
  <externalReferences>
    <externalReference r:id="rId8"/>
  </externalReferences>
  <definedNames>
    <definedName name="_xlnm.Print_Area" localSheetId="0">'WACC-IRR'!$A$1:$M$104</definedName>
  </definedNames>
  <calcPr calcId="152511"/>
</workbook>
</file>

<file path=xl/calcChain.xml><?xml version="1.0" encoding="utf-8"?>
<calcChain xmlns="http://schemas.openxmlformats.org/spreadsheetml/2006/main">
  <c r="R66" i="7" l="1"/>
  <c r="S52" i="7" l="1"/>
  <c r="U7" i="7"/>
  <c r="C83" i="8" l="1"/>
  <c r="C81" i="8"/>
  <c r="F78" i="8"/>
  <c r="E78" i="8"/>
  <c r="D78" i="8"/>
  <c r="C78" i="8"/>
  <c r="C74" i="8"/>
  <c r="G71" i="8"/>
  <c r="E71" i="8"/>
  <c r="C69" i="8"/>
  <c r="C72" i="8" s="1"/>
  <c r="K59" i="8"/>
  <c r="G58" i="8"/>
  <c r="F58" i="8"/>
  <c r="E58" i="8"/>
  <c r="E69" i="8" s="1"/>
  <c r="E72" i="8" s="1"/>
  <c r="D58" i="8"/>
  <c r="I49" i="8"/>
  <c r="I57" i="8" s="1"/>
  <c r="J44" i="8"/>
  <c r="G36" i="8"/>
  <c r="G80" i="8" s="1"/>
  <c r="F36" i="8"/>
  <c r="F80" i="8" s="1"/>
  <c r="E36" i="8"/>
  <c r="E80" i="8" s="1"/>
  <c r="E81" i="8" s="1"/>
  <c r="D36" i="8"/>
  <c r="D80" i="8" s="1"/>
  <c r="G35" i="8"/>
  <c r="F35" i="8"/>
  <c r="F71" i="8" s="1"/>
  <c r="E35" i="8"/>
  <c r="D35" i="8"/>
  <c r="D71" i="8" s="1"/>
  <c r="O34" i="8"/>
  <c r="P34" i="8" s="1"/>
  <c r="D34" i="8"/>
  <c r="D50" i="8" s="1"/>
  <c r="D32" i="8"/>
  <c r="D31" i="8"/>
  <c r="D30" i="8"/>
  <c r="D25" i="8"/>
  <c r="D24" i="8"/>
  <c r="D46" i="8" s="1"/>
  <c r="O10" i="8"/>
  <c r="D8" i="8"/>
  <c r="R7" i="8"/>
  <c r="Q7" i="8"/>
  <c r="E7" i="8"/>
  <c r="Q6" i="8"/>
  <c r="E4" i="8"/>
  <c r="D4" i="8"/>
  <c r="O13" i="8" s="1"/>
  <c r="G3" i="8"/>
  <c r="G4" i="8" s="1"/>
  <c r="E3" i="8"/>
  <c r="F3" i="8" s="1"/>
  <c r="F4" i="8" s="1"/>
  <c r="G24" i="8" l="1"/>
  <c r="G10" i="8"/>
  <c r="G30" i="8" s="1"/>
  <c r="E50" i="8"/>
  <c r="E24" i="8"/>
  <c r="E10" i="8"/>
  <c r="E30" i="8" s="1"/>
  <c r="S7" i="8"/>
  <c r="D27" i="8"/>
  <c r="G34" i="8"/>
  <c r="E34" i="8"/>
  <c r="K58" i="8"/>
  <c r="I58" i="8"/>
  <c r="E8" i="8"/>
  <c r="F7" i="8"/>
  <c r="S8" i="8"/>
  <c r="T8" i="8" s="1"/>
  <c r="U8" i="8" s="1"/>
  <c r="F10" i="8"/>
  <c r="F30" i="8" s="1"/>
  <c r="F24" i="8"/>
  <c r="F34" i="8"/>
  <c r="D38" i="8"/>
  <c r="D69" i="8"/>
  <c r="D72" i="8" s="1"/>
  <c r="F69" i="8"/>
  <c r="F72" i="8" s="1"/>
  <c r="D81" i="8"/>
  <c r="F81" i="8"/>
  <c r="D40" i="8" l="1"/>
  <c r="D62" i="8" s="1"/>
  <c r="D39" i="8"/>
  <c r="D56" i="8" s="1"/>
  <c r="E25" i="8"/>
  <c r="E11" i="8"/>
  <c r="E31" i="8" s="1"/>
  <c r="L59" i="8"/>
  <c r="L58" i="8"/>
  <c r="E13" i="8"/>
  <c r="E32" i="8" s="1"/>
  <c r="E38" i="8"/>
  <c r="E27" i="8"/>
  <c r="E46" i="8"/>
  <c r="F50" i="8"/>
  <c r="F8" i="8"/>
  <c r="G7" i="8"/>
  <c r="G8" i="8" s="1"/>
  <c r="G70" i="8"/>
  <c r="G72" i="8" s="1"/>
  <c r="C73" i="8" s="1"/>
  <c r="C75" i="8" s="1"/>
  <c r="D55" i="8"/>
  <c r="D64" i="8" s="1"/>
  <c r="D47" i="8"/>
  <c r="D52" i="8" s="1"/>
  <c r="J56" i="8"/>
  <c r="F25" i="8" l="1"/>
  <c r="F11" i="8"/>
  <c r="F31" i="8" s="1"/>
  <c r="F13" i="8"/>
  <c r="F32" i="8" s="1"/>
  <c r="G50" i="8"/>
  <c r="E39" i="8"/>
  <c r="E56" i="8" s="1"/>
  <c r="D65" i="8"/>
  <c r="G25" i="8"/>
  <c r="G11" i="8"/>
  <c r="G31" i="8" s="1"/>
  <c r="G13" i="8"/>
  <c r="G32" i="8" s="1"/>
  <c r="E47" i="8"/>
  <c r="E52" i="8" s="1"/>
  <c r="E55" i="8"/>
  <c r="F27" i="8" l="1"/>
  <c r="F46" i="8"/>
  <c r="F38" i="8"/>
  <c r="G46" i="8"/>
  <c r="J46" i="8" s="1"/>
  <c r="G27" i="8"/>
  <c r="E40" i="8"/>
  <c r="E62" i="8" s="1"/>
  <c r="G47" i="8" l="1"/>
  <c r="G55" i="8"/>
  <c r="G38" i="8"/>
  <c r="F40" i="8"/>
  <c r="F39" i="8"/>
  <c r="F56" i="8" s="1"/>
  <c r="F55" i="8"/>
  <c r="F47" i="8"/>
  <c r="F62" i="8"/>
  <c r="E64" i="8"/>
  <c r="E65" i="8" s="1"/>
  <c r="F52" i="8"/>
  <c r="F64" i="8" l="1"/>
  <c r="F65" i="8" s="1"/>
  <c r="J55" i="8"/>
  <c r="G39" i="8"/>
  <c r="G56" i="8" s="1"/>
  <c r="J47" i="8"/>
  <c r="J57" i="8" s="1"/>
  <c r="G52" i="8"/>
  <c r="J58" i="8" l="1"/>
  <c r="M58" i="8" s="1"/>
  <c r="N58" i="8" s="1"/>
  <c r="J59" i="8"/>
  <c r="M59" i="8" s="1"/>
  <c r="G40" i="8"/>
  <c r="G62" i="8" s="1"/>
  <c r="G79" i="8" l="1"/>
  <c r="G81" i="8" s="1"/>
  <c r="C82" i="8" s="1"/>
  <c r="C84" i="8" s="1"/>
  <c r="N59" i="8"/>
  <c r="G64" i="8"/>
  <c r="G65" i="8" s="1"/>
  <c r="C104" i="7" l="1"/>
  <c r="C96" i="7"/>
  <c r="O82" i="7"/>
  <c r="C74" i="7"/>
  <c r="N62" i="7"/>
  <c r="P60" i="7"/>
  <c r="Q60" i="7" s="1"/>
  <c r="N60" i="7"/>
  <c r="Q59" i="7"/>
  <c r="P59" i="7"/>
  <c r="M59" i="7"/>
  <c r="L59" i="7"/>
  <c r="K59" i="7"/>
  <c r="J59" i="7"/>
  <c r="I59" i="7"/>
  <c r="H59" i="7"/>
  <c r="G59" i="7"/>
  <c r="F59" i="7"/>
  <c r="E59" i="7"/>
  <c r="D59" i="7"/>
  <c r="S54" i="7"/>
  <c r="P54" i="7"/>
  <c r="P62" i="7" s="1"/>
  <c r="Q62" i="7" s="1"/>
  <c r="M36" i="7"/>
  <c r="L36" i="7"/>
  <c r="K36" i="7"/>
  <c r="J36" i="7"/>
  <c r="I36" i="7"/>
  <c r="H36" i="7"/>
  <c r="G36" i="7"/>
  <c r="F36" i="7"/>
  <c r="E36" i="7"/>
  <c r="D36" i="7"/>
  <c r="M35" i="7"/>
  <c r="L35" i="7"/>
  <c r="K35" i="7"/>
  <c r="J35" i="7"/>
  <c r="I35" i="7"/>
  <c r="H35" i="7"/>
  <c r="G35" i="7"/>
  <c r="F35" i="7"/>
  <c r="E35" i="7"/>
  <c r="D35" i="7"/>
  <c r="O34" i="7"/>
  <c r="I34" i="7" s="1"/>
  <c r="I71" i="7" s="1"/>
  <c r="N34" i="7"/>
  <c r="M34" i="7"/>
  <c r="M71" i="7" s="1"/>
  <c r="D32" i="7"/>
  <c r="D31" i="7"/>
  <c r="D30" i="7"/>
  <c r="D8" i="7"/>
  <c r="D25" i="7" s="1"/>
  <c r="V7" i="7"/>
  <c r="W8" i="7" s="1"/>
  <c r="E7" i="7"/>
  <c r="E8" i="7" s="1"/>
  <c r="E11" i="7" s="1"/>
  <c r="E31" i="7" s="1"/>
  <c r="U6" i="7"/>
  <c r="D4" i="7"/>
  <c r="E3" i="7"/>
  <c r="E4" i="7" s="1"/>
  <c r="W7" i="7" l="1"/>
  <c r="E34" i="7"/>
  <c r="E71" i="7" s="1"/>
  <c r="F3" i="7"/>
  <c r="G3" i="7" s="1"/>
  <c r="G4" i="7" s="1"/>
  <c r="F7" i="7"/>
  <c r="G7" i="7" s="1"/>
  <c r="N59" i="7"/>
  <c r="D24" i="7"/>
  <c r="C10" i="7"/>
  <c r="E10" i="7" s="1"/>
  <c r="E30" i="7" s="1"/>
  <c r="C13" i="7"/>
  <c r="G24" i="7"/>
  <c r="E25" i="7"/>
  <c r="L34" i="7"/>
  <c r="L71" i="7" s="1"/>
  <c r="J34" i="7"/>
  <c r="J71" i="7" s="1"/>
  <c r="H34" i="7"/>
  <c r="H71" i="7" s="1"/>
  <c r="F34" i="7"/>
  <c r="F71" i="7" s="1"/>
  <c r="D34" i="7"/>
  <c r="E13" i="7"/>
  <c r="E32" i="7" s="1"/>
  <c r="H3" i="7"/>
  <c r="F8" i="7"/>
  <c r="X8" i="7"/>
  <c r="Y8" i="7" s="1"/>
  <c r="E24" i="7"/>
  <c r="G34" i="7"/>
  <c r="G71" i="7" s="1"/>
  <c r="K34" i="7"/>
  <c r="K71" i="7" s="1"/>
  <c r="C97" i="7"/>
  <c r="L19" i="5"/>
  <c r="L20" i="5" s="1"/>
  <c r="K19" i="5"/>
  <c r="K20" i="5" s="1"/>
  <c r="J19" i="5"/>
  <c r="J20" i="5" s="1"/>
  <c r="I19" i="5"/>
  <c r="I20" i="5" s="1"/>
  <c r="H19" i="5"/>
  <c r="H20" i="5" s="1"/>
  <c r="G19" i="5"/>
  <c r="G20" i="5" s="1"/>
  <c r="F19" i="5"/>
  <c r="F20" i="5" s="1"/>
  <c r="E19" i="5"/>
  <c r="E20" i="5" s="1"/>
  <c r="D19" i="5"/>
  <c r="D20" i="5" s="1"/>
  <c r="C19" i="5"/>
  <c r="C20" i="5" s="1"/>
  <c r="E15" i="5"/>
  <c r="F15" i="5" s="1"/>
  <c r="E11" i="5"/>
  <c r="D11" i="5"/>
  <c r="M3" i="5"/>
  <c r="M19" i="5" s="1"/>
  <c r="M20" i="5" s="1"/>
  <c r="F4" i="7" l="1"/>
  <c r="E27" i="7"/>
  <c r="E38" i="7" s="1"/>
  <c r="E46" i="7"/>
  <c r="F25" i="7"/>
  <c r="F11" i="7"/>
  <c r="F31" i="7" s="1"/>
  <c r="I3" i="7"/>
  <c r="H4" i="7"/>
  <c r="D71" i="7"/>
  <c r="D51" i="7"/>
  <c r="G10" i="7"/>
  <c r="G30" i="7" s="1"/>
  <c r="G8" i="7"/>
  <c r="H7" i="7"/>
  <c r="F24" i="7"/>
  <c r="F10" i="7"/>
  <c r="F30" i="7" s="1"/>
  <c r="F13" i="7"/>
  <c r="F32" i="7" s="1"/>
  <c r="D46" i="7"/>
  <c r="D85" i="7" s="1"/>
  <c r="D27" i="7"/>
  <c r="G15" i="5"/>
  <c r="F11" i="5"/>
  <c r="C21" i="5"/>
  <c r="H15" i="5"/>
  <c r="G11" i="5"/>
  <c r="D18" i="5"/>
  <c r="D56" i="7" l="1"/>
  <c r="D47" i="7"/>
  <c r="D86" i="7" s="1"/>
  <c r="F46" i="7"/>
  <c r="F85" i="7" s="1"/>
  <c r="F27" i="7"/>
  <c r="F70" i="7" s="1"/>
  <c r="F72" i="7" s="1"/>
  <c r="G25" i="7"/>
  <c r="G11" i="7"/>
  <c r="G31" i="7" s="1"/>
  <c r="G13" i="7"/>
  <c r="G32" i="7" s="1"/>
  <c r="D53" i="7"/>
  <c r="E51" i="7"/>
  <c r="H24" i="7"/>
  <c r="H10" i="7"/>
  <c r="H30" i="7" s="1"/>
  <c r="E85" i="7"/>
  <c r="E39" i="7"/>
  <c r="E57" i="7" s="1"/>
  <c r="D38" i="7"/>
  <c r="D70" i="7"/>
  <c r="D72" i="7" s="1"/>
  <c r="H8" i="7"/>
  <c r="I7" i="7"/>
  <c r="I4" i="7"/>
  <c r="J3" i="7"/>
  <c r="E47" i="7"/>
  <c r="E86" i="7" s="1"/>
  <c r="E56" i="7"/>
  <c r="E70" i="7"/>
  <c r="E72" i="7" s="1"/>
  <c r="I15" i="5"/>
  <c r="H11" i="5"/>
  <c r="F38" i="7" l="1"/>
  <c r="F39" i="7" s="1"/>
  <c r="F57" i="7" s="1"/>
  <c r="F88" i="7" s="1"/>
  <c r="E87" i="7"/>
  <c r="K3" i="7"/>
  <c r="J4" i="7"/>
  <c r="J7" i="7"/>
  <c r="I8" i="7"/>
  <c r="I13" i="7" s="1"/>
  <c r="I32" i="7" s="1"/>
  <c r="D73" i="7"/>
  <c r="D74" i="7" s="1"/>
  <c r="F51" i="7"/>
  <c r="E53" i="7"/>
  <c r="G46" i="7"/>
  <c r="G85" i="7" s="1"/>
  <c r="G27" i="7"/>
  <c r="F73" i="7"/>
  <c r="F74" i="7" s="1"/>
  <c r="D87" i="7"/>
  <c r="E73" i="7"/>
  <c r="E74" i="7" s="1"/>
  <c r="I24" i="7"/>
  <c r="I10" i="7"/>
  <c r="I30" i="7" s="1"/>
  <c r="H25" i="7"/>
  <c r="H46" i="7" s="1"/>
  <c r="H11" i="7"/>
  <c r="H31" i="7" s="1"/>
  <c r="D39" i="7"/>
  <c r="D57" i="7" s="1"/>
  <c r="D88" i="7" s="1"/>
  <c r="E40" i="7"/>
  <c r="H13" i="7"/>
  <c r="H32" i="7" s="1"/>
  <c r="F56" i="7"/>
  <c r="F47" i="7"/>
  <c r="F86" i="7" s="1"/>
  <c r="J15" i="5"/>
  <c r="I11" i="5"/>
  <c r="H85" i="7" l="1"/>
  <c r="E88" i="7"/>
  <c r="D40" i="7"/>
  <c r="D63" i="7" s="1"/>
  <c r="E63" i="7" s="1"/>
  <c r="E75" i="7"/>
  <c r="E76" i="7" s="1"/>
  <c r="E96" i="7" s="1"/>
  <c r="E97" i="7" s="1"/>
  <c r="D75" i="7"/>
  <c r="D76" i="7" s="1"/>
  <c r="D96" i="7" s="1"/>
  <c r="F75" i="7"/>
  <c r="F76" i="7" s="1"/>
  <c r="G56" i="7"/>
  <c r="G47" i="7"/>
  <c r="G86" i="7" s="1"/>
  <c r="G38" i="7"/>
  <c r="J8" i="7"/>
  <c r="K7" i="7"/>
  <c r="K4" i="7"/>
  <c r="L3" i="7"/>
  <c r="F87" i="7"/>
  <c r="H27" i="7"/>
  <c r="F40" i="7"/>
  <c r="G70" i="7"/>
  <c r="G72" i="7" s="1"/>
  <c r="F53" i="7"/>
  <c r="G51" i="7"/>
  <c r="I11" i="7"/>
  <c r="I31" i="7" s="1"/>
  <c r="I25" i="7"/>
  <c r="J24" i="7"/>
  <c r="J10" i="7"/>
  <c r="J30" i="7" s="1"/>
  <c r="J13" i="7"/>
  <c r="J32" i="7" s="1"/>
  <c r="J11" i="5"/>
  <c r="K15" i="5"/>
  <c r="D65" i="7" l="1"/>
  <c r="D66" i="7" s="1"/>
  <c r="F96" i="7"/>
  <c r="F97" i="7" s="1"/>
  <c r="I27" i="7"/>
  <c r="I38" i="7" s="1"/>
  <c r="D97" i="7"/>
  <c r="M3" i="7"/>
  <c r="M4" i="7" s="1"/>
  <c r="L4" i="7"/>
  <c r="K8" i="7"/>
  <c r="K13" i="7" s="1"/>
  <c r="K32" i="7" s="1"/>
  <c r="L7" i="7"/>
  <c r="I47" i="7"/>
  <c r="H51" i="7"/>
  <c r="G53" i="7"/>
  <c r="G73" i="7"/>
  <c r="G74" i="7" s="1"/>
  <c r="H56" i="7"/>
  <c r="H47" i="7"/>
  <c r="H86" i="7" s="1"/>
  <c r="H70" i="7"/>
  <c r="H72" i="7" s="1"/>
  <c r="H38" i="7"/>
  <c r="K10" i="7"/>
  <c r="K30" i="7" s="1"/>
  <c r="K24" i="7"/>
  <c r="J25" i="7"/>
  <c r="J46" i="7" s="1"/>
  <c r="J11" i="7"/>
  <c r="J31" i="7" s="1"/>
  <c r="G39" i="7"/>
  <c r="G57" i="7" s="1"/>
  <c r="G88" i="7" s="1"/>
  <c r="G87" i="7"/>
  <c r="I46" i="7"/>
  <c r="I85" i="7" s="1"/>
  <c r="F63" i="7"/>
  <c r="E65" i="7"/>
  <c r="E66" i="7" s="1"/>
  <c r="K11" i="5"/>
  <c r="L15" i="5"/>
  <c r="I39" i="7" l="1"/>
  <c r="I57" i="7" s="1"/>
  <c r="J85" i="7"/>
  <c r="I70" i="7"/>
  <c r="I72" i="7" s="1"/>
  <c r="I56" i="7"/>
  <c r="I87" i="7" s="1"/>
  <c r="G75" i="7"/>
  <c r="G76" i="7" s="1"/>
  <c r="G96" i="7" s="1"/>
  <c r="H39" i="7"/>
  <c r="H57" i="7" s="1"/>
  <c r="H88" i="7" s="1"/>
  <c r="L8" i="7"/>
  <c r="M7" i="7"/>
  <c r="M8" i="7" s="1"/>
  <c r="L24" i="7"/>
  <c r="L10" i="7"/>
  <c r="L30" i="7" s="1"/>
  <c r="L13" i="7"/>
  <c r="L32" i="7" s="1"/>
  <c r="F65" i="7"/>
  <c r="F66" i="7" s="1"/>
  <c r="G40" i="7"/>
  <c r="G63" i="7" s="1"/>
  <c r="H73" i="7"/>
  <c r="H74" i="7" s="1"/>
  <c r="H87" i="7"/>
  <c r="H53" i="7"/>
  <c r="I51" i="7"/>
  <c r="I86" i="7"/>
  <c r="K25" i="7"/>
  <c r="K46" i="7" s="1"/>
  <c r="K85" i="7" s="1"/>
  <c r="K11" i="7"/>
  <c r="K31" i="7" s="1"/>
  <c r="M24" i="7"/>
  <c r="M10" i="7"/>
  <c r="M30" i="7" s="1"/>
  <c r="J27" i="7"/>
  <c r="M15" i="5"/>
  <c r="L11" i="5"/>
  <c r="I88" i="7" l="1"/>
  <c r="H40" i="7"/>
  <c r="H63" i="7" s="1"/>
  <c r="I40" i="7"/>
  <c r="I73" i="7"/>
  <c r="I74" i="7" s="1"/>
  <c r="I75" i="7" s="1"/>
  <c r="I76" i="7" s="1"/>
  <c r="G65" i="7"/>
  <c r="G66" i="7" s="1"/>
  <c r="H75" i="7"/>
  <c r="H76" i="7" s="1"/>
  <c r="H96" i="7" s="1"/>
  <c r="J56" i="7"/>
  <c r="J47" i="7"/>
  <c r="J86" i="7" s="1"/>
  <c r="J38" i="7"/>
  <c r="M11" i="7"/>
  <c r="M31" i="7" s="1"/>
  <c r="M25" i="7"/>
  <c r="M27" i="7" s="1"/>
  <c r="G97" i="7"/>
  <c r="M13" i="7"/>
  <c r="M32" i="7" s="1"/>
  <c r="J51" i="7"/>
  <c r="I53" i="7"/>
  <c r="K27" i="7"/>
  <c r="J70" i="7"/>
  <c r="J72" i="7" s="1"/>
  <c r="L25" i="7"/>
  <c r="L11" i="7"/>
  <c r="L31" i="7" s="1"/>
  <c r="C102" i="4"/>
  <c r="C94" i="4"/>
  <c r="P80" i="4"/>
  <c r="C73" i="4"/>
  <c r="O61" i="4"/>
  <c r="R59" i="4"/>
  <c r="Q59" i="4"/>
  <c r="O59" i="4"/>
  <c r="R58" i="4"/>
  <c r="Q58" i="4"/>
  <c r="M58" i="4"/>
  <c r="L58" i="4"/>
  <c r="K58" i="4"/>
  <c r="J58" i="4"/>
  <c r="I58" i="4"/>
  <c r="H58" i="4"/>
  <c r="G58" i="4"/>
  <c r="F58" i="4"/>
  <c r="E58" i="4"/>
  <c r="D58" i="4"/>
  <c r="T53" i="4"/>
  <c r="Q53" i="4"/>
  <c r="Q61" i="4" s="1"/>
  <c r="R61" i="4" s="1"/>
  <c r="M36" i="4"/>
  <c r="L36" i="4"/>
  <c r="K36" i="4"/>
  <c r="J36" i="4"/>
  <c r="I36" i="4"/>
  <c r="H36" i="4"/>
  <c r="G36" i="4"/>
  <c r="F36" i="4"/>
  <c r="E36" i="4"/>
  <c r="D36" i="4"/>
  <c r="M35" i="4"/>
  <c r="L35" i="4"/>
  <c r="K35" i="4"/>
  <c r="J35" i="4"/>
  <c r="I35" i="4"/>
  <c r="H35" i="4"/>
  <c r="G35" i="4"/>
  <c r="F35" i="4"/>
  <c r="E35" i="4"/>
  <c r="D35" i="4"/>
  <c r="O34" i="4"/>
  <c r="P34" i="4" s="1"/>
  <c r="F34" i="4" s="1"/>
  <c r="F70" i="4" s="1"/>
  <c r="K34" i="4"/>
  <c r="K70" i="4" s="1"/>
  <c r="D32" i="4"/>
  <c r="D31" i="4"/>
  <c r="D30" i="4"/>
  <c r="T8" i="4"/>
  <c r="U8" i="4" s="1"/>
  <c r="E8" i="4"/>
  <c r="E25" i="4" s="1"/>
  <c r="D8" i="4"/>
  <c r="D25" i="4" s="1"/>
  <c r="Q7" i="4"/>
  <c r="R7" i="4" s="1"/>
  <c r="S8" i="4" s="1"/>
  <c r="F7" i="4"/>
  <c r="E7" i="4"/>
  <c r="Q6" i="4"/>
  <c r="D4" i="4"/>
  <c r="E3" i="4"/>
  <c r="E4" i="4" s="1"/>
  <c r="I96" i="7" l="1"/>
  <c r="I97" i="7" s="1"/>
  <c r="M70" i="7"/>
  <c r="M72" i="7" s="1"/>
  <c r="L46" i="7"/>
  <c r="L85" i="7" s="1"/>
  <c r="L27" i="7"/>
  <c r="L70" i="7" s="1"/>
  <c r="L72" i="7" s="1"/>
  <c r="L73" i="7" s="1"/>
  <c r="L74" i="7" s="1"/>
  <c r="M38" i="7"/>
  <c r="H97" i="7"/>
  <c r="M73" i="7"/>
  <c r="M74" i="7" s="1"/>
  <c r="L56" i="7"/>
  <c r="L47" i="7"/>
  <c r="J73" i="7"/>
  <c r="J74" i="7" s="1"/>
  <c r="M47" i="7"/>
  <c r="M56" i="7"/>
  <c r="J87" i="7"/>
  <c r="I63" i="7"/>
  <c r="H65" i="7"/>
  <c r="H66" i="7" s="1"/>
  <c r="L38" i="7"/>
  <c r="K56" i="7"/>
  <c r="K47" i="7"/>
  <c r="K86" i="7" s="1"/>
  <c r="K38" i="7"/>
  <c r="J53" i="7"/>
  <c r="K51" i="7"/>
  <c r="J39" i="7"/>
  <c r="J57" i="7" s="1"/>
  <c r="J88" i="7" s="1"/>
  <c r="M46" i="7"/>
  <c r="K70" i="7"/>
  <c r="K72" i="7" s="1"/>
  <c r="F8" i="4"/>
  <c r="G7" i="4"/>
  <c r="E24" i="4"/>
  <c r="F3" i="4"/>
  <c r="E11" i="4"/>
  <c r="E31" i="4" s="1"/>
  <c r="O58" i="4"/>
  <c r="D24" i="4"/>
  <c r="O10" i="4"/>
  <c r="S7" i="4"/>
  <c r="O13" i="4"/>
  <c r="E13" i="4" s="1"/>
  <c r="E32" i="4" s="1"/>
  <c r="L34" i="4"/>
  <c r="L70" i="4" s="1"/>
  <c r="H34" i="4"/>
  <c r="H70" i="4" s="1"/>
  <c r="D34" i="4"/>
  <c r="I34" i="4"/>
  <c r="I70" i="4" s="1"/>
  <c r="M34" i="4"/>
  <c r="M70" i="4" s="1"/>
  <c r="G34" i="4"/>
  <c r="G70" i="4" s="1"/>
  <c r="J34" i="4"/>
  <c r="J70" i="4" s="1"/>
  <c r="E34" i="4"/>
  <c r="E70" i="4" s="1"/>
  <c r="E10" i="4"/>
  <c r="E30" i="4" s="1"/>
  <c r="C95" i="4"/>
  <c r="M39" i="7" l="1"/>
  <c r="M57" i="7" s="1"/>
  <c r="J40" i="7"/>
  <c r="J63" i="7" s="1"/>
  <c r="J65" i="7" s="1"/>
  <c r="J66" i="7" s="1"/>
  <c r="J75" i="7"/>
  <c r="J76" i="7" s="1"/>
  <c r="J96" i="7" s="1"/>
  <c r="L75" i="7"/>
  <c r="L76" i="7" s="1"/>
  <c r="M85" i="7"/>
  <c r="M91" i="7"/>
  <c r="L39" i="7"/>
  <c r="L57" i="7" s="1"/>
  <c r="I65" i="7"/>
  <c r="I66" i="7" s="1"/>
  <c r="M92" i="7"/>
  <c r="M86" i="7"/>
  <c r="L87" i="7"/>
  <c r="M75" i="7"/>
  <c r="M76" i="7" s="1"/>
  <c r="K73" i="7"/>
  <c r="K74" i="7" s="1"/>
  <c r="L51" i="7"/>
  <c r="K53" i="7"/>
  <c r="K39" i="7"/>
  <c r="K57" i="7" s="1"/>
  <c r="K88" i="7" s="1"/>
  <c r="K87" i="7"/>
  <c r="M87" i="7"/>
  <c r="M93" i="7"/>
  <c r="L86" i="7"/>
  <c r="M94" i="7"/>
  <c r="G8" i="4"/>
  <c r="H7" i="4"/>
  <c r="D27" i="4"/>
  <c r="D38" i="4" s="1"/>
  <c r="D46" i="4"/>
  <c r="D83" i="4" s="1"/>
  <c r="D69" i="4"/>
  <c r="D71" i="4" s="1"/>
  <c r="E46" i="4"/>
  <c r="E83" i="4" s="1"/>
  <c r="E27" i="4"/>
  <c r="E69" i="4" s="1"/>
  <c r="E71" i="4" s="1"/>
  <c r="D50" i="4"/>
  <c r="D70" i="4"/>
  <c r="F25" i="4"/>
  <c r="F11" i="4"/>
  <c r="F31" i="4" s="1"/>
  <c r="G3" i="4"/>
  <c r="F4" i="4"/>
  <c r="M40" i="7" l="1"/>
  <c r="L88" i="7"/>
  <c r="L96" i="7" s="1"/>
  <c r="L97" i="7" s="1"/>
  <c r="K40" i="7"/>
  <c r="K75" i="7"/>
  <c r="K76" i="7" s="1"/>
  <c r="K96" i="7" s="1"/>
  <c r="K97" i="7" s="1"/>
  <c r="J97" i="7"/>
  <c r="M88" i="7"/>
  <c r="L53" i="7"/>
  <c r="M51" i="7"/>
  <c r="K63" i="7"/>
  <c r="L40" i="7"/>
  <c r="E72" i="4"/>
  <c r="E73" i="4"/>
  <c r="D39" i="4"/>
  <c r="D56" i="4" s="1"/>
  <c r="D86" i="4" s="1"/>
  <c r="H3" i="4"/>
  <c r="G4" i="4"/>
  <c r="E50" i="4"/>
  <c r="E55" i="4"/>
  <c r="E47" i="4"/>
  <c r="D73" i="4"/>
  <c r="D72" i="4"/>
  <c r="I7" i="4"/>
  <c r="H8" i="4"/>
  <c r="E38" i="4"/>
  <c r="G25" i="4"/>
  <c r="G11" i="4"/>
  <c r="G31" i="4" s="1"/>
  <c r="F24" i="4"/>
  <c r="F10" i="4"/>
  <c r="F30" i="4" s="1"/>
  <c r="F13" i="4"/>
  <c r="F32" i="4" s="1"/>
  <c r="D55" i="4"/>
  <c r="D47" i="4"/>
  <c r="D84" i="4" s="1"/>
  <c r="O83" i="7" l="1"/>
  <c r="O84" i="7" s="1"/>
  <c r="M82" i="7" s="1"/>
  <c r="M96" i="7" s="1"/>
  <c r="M53" i="7"/>
  <c r="L63" i="7"/>
  <c r="K65" i="7"/>
  <c r="K66" i="7" s="1"/>
  <c r="F50" i="4"/>
  <c r="E52" i="4"/>
  <c r="E39" i="4"/>
  <c r="E56" i="4" s="1"/>
  <c r="E86" i="4" s="1"/>
  <c r="D74" i="4"/>
  <c r="D75" i="4" s="1"/>
  <c r="D94" i="4" s="1"/>
  <c r="D52" i="4"/>
  <c r="D40" i="4"/>
  <c r="D62" i="4" s="1"/>
  <c r="F46" i="4"/>
  <c r="F83" i="4" s="1"/>
  <c r="F27" i="4"/>
  <c r="H25" i="4"/>
  <c r="H11" i="4"/>
  <c r="H31" i="4" s="1"/>
  <c r="E84" i="4"/>
  <c r="G13" i="4"/>
  <c r="G32" i="4" s="1"/>
  <c r="G24" i="4"/>
  <c r="G10" i="4"/>
  <c r="G30" i="4" s="1"/>
  <c r="E74" i="4"/>
  <c r="E75" i="4" s="1"/>
  <c r="E94" i="4" s="1"/>
  <c r="E95" i="4" s="1"/>
  <c r="D64" i="4"/>
  <c r="D85" i="4"/>
  <c r="J7" i="4"/>
  <c r="I8" i="4"/>
  <c r="E85" i="4"/>
  <c r="I3" i="4"/>
  <c r="H4" i="4"/>
  <c r="M63" i="7" l="1"/>
  <c r="L65" i="7"/>
  <c r="L66" i="7" s="1"/>
  <c r="M97" i="7"/>
  <c r="C100" i="7" s="1"/>
  <c r="C101" i="7"/>
  <c r="D95" i="4"/>
  <c r="H10" i="4"/>
  <c r="H30" i="4" s="1"/>
  <c r="H24" i="4"/>
  <c r="H13" i="4"/>
  <c r="H32" i="4" s="1"/>
  <c r="F55" i="4"/>
  <c r="F47" i="4"/>
  <c r="F84" i="4" s="1"/>
  <c r="I4" i="4"/>
  <c r="J3" i="4"/>
  <c r="J8" i="4"/>
  <c r="K7" i="4"/>
  <c r="F38" i="4"/>
  <c r="D65" i="4"/>
  <c r="E40" i="4"/>
  <c r="E62" i="4" s="1"/>
  <c r="F69" i="4"/>
  <c r="F71" i="4" s="1"/>
  <c r="I25" i="4"/>
  <c r="I11" i="4"/>
  <c r="I31" i="4" s="1"/>
  <c r="G38" i="4"/>
  <c r="G69" i="4"/>
  <c r="G71" i="4" s="1"/>
  <c r="G27" i="4"/>
  <c r="G46" i="4"/>
  <c r="G83" i="4" s="1"/>
  <c r="F52" i="4"/>
  <c r="G50" i="4"/>
  <c r="M65" i="7" l="1"/>
  <c r="M66" i="7" s="1"/>
  <c r="N63" i="7"/>
  <c r="N65" i="7" s="1"/>
  <c r="E64" i="4"/>
  <c r="E65" i="4" s="1"/>
  <c r="H50" i="4"/>
  <c r="J25" i="4"/>
  <c r="J11" i="4"/>
  <c r="J31" i="4" s="1"/>
  <c r="H38" i="4"/>
  <c r="H27" i="4"/>
  <c r="H46" i="4"/>
  <c r="H83" i="4" s="1"/>
  <c r="H69" i="4"/>
  <c r="H71" i="4" s="1"/>
  <c r="G47" i="4"/>
  <c r="G84" i="4" s="1"/>
  <c r="G55" i="4"/>
  <c r="K3" i="4"/>
  <c r="J4" i="4"/>
  <c r="G72" i="4"/>
  <c r="G73" i="4"/>
  <c r="F39" i="4"/>
  <c r="F56" i="4" s="1"/>
  <c r="F86" i="4" s="1"/>
  <c r="I13" i="4"/>
  <c r="I32" i="4" s="1"/>
  <c r="I24" i="4"/>
  <c r="I10" i="4"/>
  <c r="I30" i="4" s="1"/>
  <c r="F85" i="4"/>
  <c r="G39" i="4"/>
  <c r="G56" i="4" s="1"/>
  <c r="G86" i="4" s="1"/>
  <c r="F72" i="4"/>
  <c r="F73" i="4" s="1"/>
  <c r="L7" i="4"/>
  <c r="K8" i="4"/>
  <c r="C74" i="6"/>
  <c r="G16" i="6"/>
  <c r="L135" i="2"/>
  <c r="L122" i="2"/>
  <c r="L109" i="2"/>
  <c r="L94" i="2"/>
  <c r="L78" i="2"/>
  <c r="L66" i="2"/>
  <c r="F16" i="6"/>
  <c r="D16" i="6"/>
  <c r="L57" i="2"/>
  <c r="L38" i="2"/>
  <c r="L23" i="2"/>
  <c r="K2" i="2"/>
  <c r="F14" i="2"/>
  <c r="F13" i="2"/>
  <c r="F12" i="2"/>
  <c r="D4" i="3"/>
  <c r="E4" i="3" s="1"/>
  <c r="F3" i="3"/>
  <c r="G3" i="3" s="1"/>
  <c r="H3" i="3" s="1"/>
  <c r="I3" i="3" s="1"/>
  <c r="E3" i="3"/>
  <c r="D3" i="3"/>
  <c r="C35" i="3"/>
  <c r="C34" i="3"/>
  <c r="C36" i="3" s="1"/>
  <c r="F15" i="3"/>
  <c r="F16" i="3" s="1"/>
  <c r="B23" i="3"/>
  <c r="B24" i="3" s="1"/>
  <c r="B25" i="3" s="1"/>
  <c r="C23" i="3" s="1"/>
  <c r="C25" i="3" s="1"/>
  <c r="D23" i="3" s="1"/>
  <c r="D25" i="3" s="1"/>
  <c r="E23" i="3" s="1"/>
  <c r="E25" i="3" s="1"/>
  <c r="B14" i="3"/>
  <c r="D12" i="6"/>
  <c r="D11" i="6"/>
  <c r="D10" i="6"/>
  <c r="D9" i="6"/>
  <c r="E9" i="6"/>
  <c r="F9" i="6"/>
  <c r="G9" i="6"/>
  <c r="E16" i="6"/>
  <c r="D24" i="6"/>
  <c r="E24" i="6"/>
  <c r="F24" i="6"/>
  <c r="G24" i="6"/>
  <c r="E25" i="6"/>
  <c r="F25" i="6"/>
  <c r="G25" i="6"/>
  <c r="D29" i="6"/>
  <c r="E29" i="6"/>
  <c r="F29" i="6"/>
  <c r="G29" i="6"/>
  <c r="D39" i="6"/>
  <c r="E39" i="6"/>
  <c r="F39" i="6"/>
  <c r="G39" i="6"/>
  <c r="D41" i="6"/>
  <c r="E41" i="6"/>
  <c r="F41" i="6"/>
  <c r="G41" i="6"/>
  <c r="C54" i="6"/>
  <c r="C57" i="6"/>
  <c r="E57" i="6"/>
  <c r="F57" i="6"/>
  <c r="G57" i="6"/>
  <c r="C58" i="6"/>
  <c r="D58" i="6"/>
  <c r="E58" i="6"/>
  <c r="F58" i="6"/>
  <c r="C59" i="6"/>
  <c r="D59" i="6"/>
  <c r="E59" i="6"/>
  <c r="F59" i="6"/>
  <c r="G59" i="6"/>
  <c r="C62" i="6"/>
  <c r="C63" i="6"/>
  <c r="C64" i="6"/>
  <c r="C65" i="6"/>
  <c r="C68" i="6"/>
  <c r="C69" i="6"/>
  <c r="C70" i="6"/>
  <c r="C71" i="6"/>
  <c r="C73" i="6"/>
  <c r="C77" i="6"/>
  <c r="C78" i="6"/>
  <c r="D57" i="6"/>
  <c r="G58" i="6"/>
  <c r="D26" i="6"/>
  <c r="D25" i="6"/>
  <c r="F14" i="6"/>
  <c r="E5" i="6"/>
  <c r="D5" i="6"/>
  <c r="G4" i="6"/>
  <c r="D68" i="6"/>
  <c r="D69" i="6"/>
  <c r="D70" i="6"/>
  <c r="E68" i="6"/>
  <c r="E70" i="6"/>
  <c r="E69" i="6"/>
  <c r="F68" i="6"/>
  <c r="F70" i="6"/>
  <c r="G68" i="6"/>
  <c r="F69" i="6"/>
  <c r="G69" i="6"/>
  <c r="G70" i="6"/>
  <c r="O62" i="7" l="1"/>
  <c r="R62" i="7" s="1"/>
  <c r="O60" i="7"/>
  <c r="R60" i="7" s="1"/>
  <c r="O59" i="7"/>
  <c r="F74" i="4"/>
  <c r="F75" i="4" s="1"/>
  <c r="F94" i="4" s="1"/>
  <c r="F40" i="4"/>
  <c r="F62" i="4" s="1"/>
  <c r="J24" i="4"/>
  <c r="J10" i="4"/>
  <c r="J30" i="4" s="1"/>
  <c r="J13" i="4"/>
  <c r="J32" i="4" s="1"/>
  <c r="H40" i="4"/>
  <c r="H39" i="4"/>
  <c r="H56" i="4" s="1"/>
  <c r="H86" i="4" s="1"/>
  <c r="G52" i="4"/>
  <c r="K25" i="4"/>
  <c r="K11" i="4"/>
  <c r="K31" i="4" s="1"/>
  <c r="L3" i="4"/>
  <c r="K4" i="4"/>
  <c r="H72" i="4"/>
  <c r="H73" i="4" s="1"/>
  <c r="M7" i="4"/>
  <c r="M8" i="4" s="1"/>
  <c r="L8" i="4"/>
  <c r="G40" i="4"/>
  <c r="I69" i="4"/>
  <c r="I71" i="4" s="1"/>
  <c r="I46" i="4"/>
  <c r="I83" i="4" s="1"/>
  <c r="I38" i="4"/>
  <c r="I27" i="4"/>
  <c r="G75" i="4"/>
  <c r="G94" i="4" s="1"/>
  <c r="G95" i="4" s="1"/>
  <c r="G74" i="4"/>
  <c r="G85" i="4"/>
  <c r="F64" i="4"/>
  <c r="F65" i="4" s="1"/>
  <c r="H55" i="4"/>
  <c r="H47" i="4"/>
  <c r="H84" i="4" s="1"/>
  <c r="I50" i="4"/>
  <c r="D4" i="6"/>
  <c r="F23" i="3"/>
  <c r="F25" i="3" s="1"/>
  <c r="E26" i="3"/>
  <c r="E27" i="3" s="1"/>
  <c r="E28" i="3" s="1"/>
  <c r="D14" i="6"/>
  <c r="L141" i="2"/>
  <c r="L137" i="2"/>
  <c r="L133" i="2"/>
  <c r="L128" i="2"/>
  <c r="L124" i="2"/>
  <c r="L120" i="2"/>
  <c r="L111" i="2"/>
  <c r="L107" i="2"/>
  <c r="L103" i="2"/>
  <c r="L100" i="2"/>
  <c r="L96" i="2"/>
  <c r="L92" i="2"/>
  <c r="L84" i="2"/>
  <c r="L80" i="2"/>
  <c r="L76" i="2"/>
  <c r="L72" i="2"/>
  <c r="L68" i="2"/>
  <c r="L64" i="2"/>
  <c r="L55" i="2"/>
  <c r="L51" i="2"/>
  <c r="L47" i="2"/>
  <c r="L40" i="2"/>
  <c r="L36" i="2"/>
  <c r="L32" i="2"/>
  <c r="L25" i="2"/>
  <c r="L21" i="2"/>
  <c r="L17" i="2"/>
  <c r="L4" i="2"/>
  <c r="L8" i="2"/>
  <c r="L12" i="2"/>
  <c r="L2" i="2"/>
  <c r="J2" i="2" s="1"/>
  <c r="M2" i="2" s="1"/>
  <c r="I3" i="2" s="1"/>
  <c r="L140" i="2"/>
  <c r="L136" i="2"/>
  <c r="L132" i="2"/>
  <c r="L127" i="2"/>
  <c r="L123" i="2"/>
  <c r="L119" i="2"/>
  <c r="L114" i="2"/>
  <c r="L110" i="2"/>
  <c r="L106" i="2"/>
  <c r="L99" i="2"/>
  <c r="L95" i="2"/>
  <c r="L91" i="2"/>
  <c r="L83" i="2"/>
  <c r="L79" i="2"/>
  <c r="L75" i="2"/>
  <c r="L71" i="2"/>
  <c r="L67" i="2"/>
  <c r="L63" i="2"/>
  <c r="L58" i="2"/>
  <c r="L54" i="2"/>
  <c r="L50" i="2"/>
  <c r="L43" i="2"/>
  <c r="L39" i="2"/>
  <c r="L35" i="2"/>
  <c r="L28" i="2"/>
  <c r="L24" i="2"/>
  <c r="L20" i="2"/>
  <c r="L5" i="2"/>
  <c r="L9" i="2"/>
  <c r="L13" i="2"/>
  <c r="L142" i="2"/>
  <c r="L138" i="2"/>
  <c r="L134" i="2"/>
  <c r="L125" i="2"/>
  <c r="L121" i="2"/>
  <c r="L117" i="2"/>
  <c r="L112" i="2"/>
  <c r="L108" i="2"/>
  <c r="L104" i="2"/>
  <c r="L97" i="2"/>
  <c r="L93" i="2"/>
  <c r="L89" i="2"/>
  <c r="L85" i="2"/>
  <c r="L81" i="2"/>
  <c r="L77" i="2"/>
  <c r="L69" i="2"/>
  <c r="L65" i="2"/>
  <c r="L61" i="2"/>
  <c r="L56" i="2"/>
  <c r="L52" i="2"/>
  <c r="L48" i="2"/>
  <c r="L41" i="2"/>
  <c r="L37" i="2"/>
  <c r="L33" i="2"/>
  <c r="L26" i="2"/>
  <c r="L22" i="2"/>
  <c r="L18" i="2"/>
  <c r="L7" i="2"/>
  <c r="L11" i="2"/>
  <c r="L6" i="2"/>
  <c r="L19" i="2"/>
  <c r="L34" i="2"/>
  <c r="L53" i="2"/>
  <c r="L62" i="2"/>
  <c r="L90" i="2"/>
  <c r="L105" i="2"/>
  <c r="L118" i="2"/>
  <c r="L131" i="2"/>
  <c r="L3" i="2"/>
  <c r="L27" i="2"/>
  <c r="L42" i="2"/>
  <c r="L70" i="2"/>
  <c r="L82" i="2"/>
  <c r="L98" i="2"/>
  <c r="L113" i="2"/>
  <c r="L126" i="2"/>
  <c r="L139" i="2"/>
  <c r="F10" i="6"/>
  <c r="L10" i="2"/>
  <c r="L49" i="2"/>
  <c r="L86" i="2"/>
  <c r="G10" i="6"/>
  <c r="E10" i="6"/>
  <c r="E12" i="6"/>
  <c r="F4" i="6"/>
  <c r="F12" i="6"/>
  <c r="E11" i="6"/>
  <c r="E14" i="6"/>
  <c r="O61" i="7" l="1"/>
  <c r="R59" i="7"/>
  <c r="R64" i="7" s="1"/>
  <c r="H74" i="4"/>
  <c r="H75" i="4" s="1"/>
  <c r="H94" i="4" s="1"/>
  <c r="F95" i="4"/>
  <c r="J50" i="4"/>
  <c r="I72" i="4"/>
  <c r="I73" i="4" s="1"/>
  <c r="G62" i="4"/>
  <c r="H85" i="4"/>
  <c r="M25" i="4"/>
  <c r="M11" i="4"/>
  <c r="M31" i="4" s="1"/>
  <c r="L4" i="4"/>
  <c r="M3" i="4"/>
  <c r="M4" i="4" s="1"/>
  <c r="J46" i="4"/>
  <c r="J83" i="4" s="1"/>
  <c r="J27" i="4"/>
  <c r="H52" i="4"/>
  <c r="I55" i="4"/>
  <c r="I47" i="4"/>
  <c r="I84" i="4" s="1"/>
  <c r="I40" i="4"/>
  <c r="I39" i="4"/>
  <c r="I56" i="4" s="1"/>
  <c r="I86" i="4" s="1"/>
  <c r="L11" i="4"/>
  <c r="L31" i="4" s="1"/>
  <c r="L25" i="4"/>
  <c r="K13" i="4"/>
  <c r="K32" i="4" s="1"/>
  <c r="K10" i="4"/>
  <c r="K30" i="4" s="1"/>
  <c r="K24" i="4"/>
  <c r="K3" i="2"/>
  <c r="J3" i="2"/>
  <c r="M3" i="2" s="1"/>
  <c r="I4" i="2" s="1"/>
  <c r="F26" i="3"/>
  <c r="F27" i="3" s="1"/>
  <c r="D30" i="6"/>
  <c r="F11" i="6"/>
  <c r="E4" i="6"/>
  <c r="G14" i="6"/>
  <c r="D27" i="6"/>
  <c r="D63" i="6"/>
  <c r="D7" i="6"/>
  <c r="D71" i="6"/>
  <c r="I74" i="4" l="1"/>
  <c r="I75" i="4" s="1"/>
  <c r="I94" i="4" s="1"/>
  <c r="I95" i="4" s="1"/>
  <c r="H95" i="4"/>
  <c r="J55" i="4"/>
  <c r="J47" i="4"/>
  <c r="J84" i="4" s="1"/>
  <c r="J38" i="4"/>
  <c r="L24" i="4"/>
  <c r="L10" i="4"/>
  <c r="L30" i="4" s="1"/>
  <c r="L13" i="4"/>
  <c r="L32" i="4" s="1"/>
  <c r="M13" i="4"/>
  <c r="M32" i="4" s="1"/>
  <c r="M24" i="4"/>
  <c r="M10" i="4"/>
  <c r="M30" i="4" s="1"/>
  <c r="K69" i="4"/>
  <c r="K71" i="4" s="1"/>
  <c r="K38" i="4"/>
  <c r="K27" i="4"/>
  <c r="K46" i="4"/>
  <c r="K83" i="4" s="1"/>
  <c r="I85" i="4"/>
  <c r="J69" i="4"/>
  <c r="J71" i="4" s="1"/>
  <c r="I52" i="4"/>
  <c r="H62" i="4"/>
  <c r="G64" i="4"/>
  <c r="G65" i="4" s="1"/>
  <c r="K50" i="4"/>
  <c r="J52" i="4"/>
  <c r="D62" i="6"/>
  <c r="K4" i="2"/>
  <c r="J4" i="2" s="1"/>
  <c r="M4" i="2"/>
  <c r="I5" i="2" s="1"/>
  <c r="G11" i="6"/>
  <c r="G12" i="6"/>
  <c r="D35" i="6"/>
  <c r="D64" i="6"/>
  <c r="E26" i="6"/>
  <c r="D32" i="6"/>
  <c r="E30" i="6"/>
  <c r="F5" i="6"/>
  <c r="E7" i="6"/>
  <c r="E32" i="6"/>
  <c r="E71" i="6"/>
  <c r="D54" i="6"/>
  <c r="I62" i="4" l="1"/>
  <c r="H64" i="4"/>
  <c r="H65" i="4" s="1"/>
  <c r="J39" i="4"/>
  <c r="J56" i="4" s="1"/>
  <c r="J86" i="4" s="1"/>
  <c r="L50" i="4"/>
  <c r="K39" i="4"/>
  <c r="K56" i="4" s="1"/>
  <c r="K40" i="4"/>
  <c r="L38" i="4"/>
  <c r="L27" i="4"/>
  <c r="L46" i="4"/>
  <c r="L83" i="4" s="1"/>
  <c r="K72" i="4"/>
  <c r="K73" i="4" s="1"/>
  <c r="J72" i="4"/>
  <c r="J73" i="4" s="1"/>
  <c r="K55" i="4"/>
  <c r="K47" i="4"/>
  <c r="K84" i="4" s="1"/>
  <c r="M38" i="4"/>
  <c r="M27" i="4"/>
  <c r="M46" i="4"/>
  <c r="J85" i="4"/>
  <c r="E62" i="6"/>
  <c r="K5" i="2"/>
  <c r="F54" i="6"/>
  <c r="F30" i="6"/>
  <c r="F26" i="6"/>
  <c r="E64" i="6"/>
  <c r="E35" i="6"/>
  <c r="F32" i="6"/>
  <c r="F7" i="6"/>
  <c r="G5" i="6"/>
  <c r="E63" i="6"/>
  <c r="E27" i="6"/>
  <c r="G71" i="6"/>
  <c r="F71" i="6"/>
  <c r="E54" i="6"/>
  <c r="K74" i="4" l="1"/>
  <c r="K75" i="4" s="1"/>
  <c r="K94" i="4" s="1"/>
  <c r="K95" i="4" s="1"/>
  <c r="J74" i="4"/>
  <c r="J75" i="4"/>
  <c r="J94" i="4" s="1"/>
  <c r="J95" i="4" s="1"/>
  <c r="M39" i="4"/>
  <c r="M56" i="4" s="1"/>
  <c r="M55" i="4"/>
  <c r="M47" i="4"/>
  <c r="K85" i="4"/>
  <c r="L55" i="4"/>
  <c r="L47" i="4"/>
  <c r="L84" i="4" s="1"/>
  <c r="L40" i="4"/>
  <c r="L39" i="4"/>
  <c r="L56" i="4" s="1"/>
  <c r="L86" i="4" s="1"/>
  <c r="M69" i="4"/>
  <c r="M71" i="4" s="1"/>
  <c r="K52" i="4"/>
  <c r="M50" i="4"/>
  <c r="M89" i="4"/>
  <c r="M83" i="4"/>
  <c r="L69" i="4"/>
  <c r="L71" i="4" s="1"/>
  <c r="K86" i="4"/>
  <c r="J40" i="4"/>
  <c r="J62" i="4"/>
  <c r="I64" i="4"/>
  <c r="I65" i="4" s="1"/>
  <c r="F62" i="6"/>
  <c r="J5" i="2"/>
  <c r="M5" i="2" s="1"/>
  <c r="I6" i="2" s="1"/>
  <c r="G26" i="6"/>
  <c r="G30" i="6"/>
  <c r="G7" i="6"/>
  <c r="F63" i="6"/>
  <c r="F27" i="6"/>
  <c r="F64" i="6"/>
  <c r="F35" i="6"/>
  <c r="M84" i="4" l="1"/>
  <c r="M90" i="4"/>
  <c r="M73" i="4"/>
  <c r="M72" i="4"/>
  <c r="L85" i="4"/>
  <c r="M91" i="4"/>
  <c r="M85" i="4"/>
  <c r="P81" i="4"/>
  <c r="P82" i="4" s="1"/>
  <c r="M80" i="4" s="1"/>
  <c r="M52" i="4"/>
  <c r="M40" i="4"/>
  <c r="K62" i="4"/>
  <c r="J64" i="4"/>
  <c r="J65" i="4" s="1"/>
  <c r="L72" i="4"/>
  <c r="L73" i="4" s="1"/>
  <c r="L52" i="4"/>
  <c r="M86" i="4"/>
  <c r="M92" i="4"/>
  <c r="G62" i="6"/>
  <c r="K6" i="2"/>
  <c r="G64" i="6"/>
  <c r="G35" i="6"/>
  <c r="G63" i="6"/>
  <c r="G27" i="6"/>
  <c r="G32" i="6"/>
  <c r="L74" i="4" l="1"/>
  <c r="L75" i="4" s="1"/>
  <c r="L94" i="4" s="1"/>
  <c r="L95" i="4" s="1"/>
  <c r="M74" i="4"/>
  <c r="M75" i="4"/>
  <c r="M94" i="4" s="1"/>
  <c r="L62" i="4"/>
  <c r="K64" i="4"/>
  <c r="K65" i="4" s="1"/>
  <c r="J6" i="2"/>
  <c r="M6" i="2" s="1"/>
  <c r="I7" i="2" s="1"/>
  <c r="G54" i="6"/>
  <c r="M62" i="4" l="1"/>
  <c r="L64" i="4"/>
  <c r="L65" i="4" s="1"/>
  <c r="M95" i="4"/>
  <c r="C98" i="4" s="1"/>
  <c r="C99" i="4"/>
  <c r="K7" i="2"/>
  <c r="M64" i="4" l="1"/>
  <c r="M65" i="4" s="1"/>
  <c r="O62" i="4"/>
  <c r="O64" i="4" s="1"/>
  <c r="J7" i="2"/>
  <c r="M7" i="2" s="1"/>
  <c r="I8" i="2" s="1"/>
  <c r="P61" i="4" l="1"/>
  <c r="S61" i="4" s="1"/>
  <c r="P59" i="4"/>
  <c r="S59" i="4" s="1"/>
  <c r="P58" i="4"/>
  <c r="K8" i="2"/>
  <c r="J8" i="2" s="1"/>
  <c r="M8" i="2" s="1"/>
  <c r="I9" i="2" s="1"/>
  <c r="P60" i="4" l="1"/>
  <c r="S58" i="4"/>
  <c r="S63" i="4" s="1"/>
  <c r="K9" i="2"/>
  <c r="J9" i="2" s="1"/>
  <c r="M9" i="2" s="1"/>
  <c r="I10" i="2" s="1"/>
  <c r="K10" i="2" l="1"/>
  <c r="J10" i="2" s="1"/>
  <c r="M10" i="2" s="1"/>
  <c r="I11" i="2" s="1"/>
  <c r="K11" i="2" l="1"/>
  <c r="J11" i="2" s="1"/>
  <c r="M11" i="2" s="1"/>
  <c r="I12" i="2" s="1"/>
  <c r="K12" i="2" l="1"/>
  <c r="J12" i="2" s="1"/>
  <c r="M12" i="2" s="1"/>
  <c r="I13" i="2" s="1"/>
  <c r="K13" i="2" l="1"/>
  <c r="J13" i="2" l="1"/>
  <c r="M13" i="2" s="1"/>
  <c r="K14" i="2"/>
  <c r="D15" i="6" l="1"/>
  <c r="I17" i="2"/>
  <c r="K17" i="2" l="1"/>
  <c r="D18" i="6"/>
  <c r="D38" i="6"/>
  <c r="D20" i="6" l="1"/>
  <c r="D19" i="6"/>
  <c r="J17" i="2"/>
  <c r="M17" i="2" s="1"/>
  <c r="I18" i="2" s="1"/>
  <c r="K18" i="2" l="1"/>
  <c r="D42" i="6"/>
  <c r="D36" i="6"/>
  <c r="D65" i="6" l="1"/>
  <c r="D44" i="6"/>
  <c r="J18" i="2"/>
  <c r="M18" i="2" s="1"/>
  <c r="I19" i="2" s="1"/>
  <c r="D73" i="6" l="1"/>
  <c r="D74" i="6"/>
  <c r="K19" i="2"/>
  <c r="J19" i="2" l="1"/>
  <c r="M19" i="2" s="1"/>
  <c r="I20" i="2" s="1"/>
  <c r="K20" i="2" l="1"/>
  <c r="J20" i="2" l="1"/>
  <c r="M20" i="2" s="1"/>
  <c r="I21" i="2" s="1"/>
  <c r="K21" i="2" l="1"/>
  <c r="J21" i="2" l="1"/>
  <c r="M21" i="2" s="1"/>
  <c r="I22" i="2" s="1"/>
  <c r="K22" i="2" l="1"/>
  <c r="J22" i="2" s="1"/>
  <c r="M22" i="2"/>
  <c r="I23" i="2" s="1"/>
  <c r="K23" i="2" l="1"/>
  <c r="J23" i="2" s="1"/>
  <c r="M23" i="2"/>
  <c r="I24" i="2" s="1"/>
  <c r="K24" i="2" l="1"/>
  <c r="J24" i="2" s="1"/>
  <c r="M24" i="2"/>
  <c r="I25" i="2" s="1"/>
  <c r="K25" i="2" l="1"/>
  <c r="J25" i="2" s="1"/>
  <c r="M25" i="2"/>
  <c r="I26" i="2" s="1"/>
  <c r="K26" i="2" l="1"/>
  <c r="J26" i="2" s="1"/>
  <c r="M26" i="2"/>
  <c r="I27" i="2" s="1"/>
  <c r="K27" i="2" l="1"/>
  <c r="J27" i="2" s="1"/>
  <c r="M27" i="2" s="1"/>
  <c r="I28" i="2" s="1"/>
  <c r="K28" i="2" l="1"/>
  <c r="J28" i="2" l="1"/>
  <c r="M28" i="2" s="1"/>
  <c r="K29" i="2"/>
  <c r="E15" i="6" l="1"/>
  <c r="I32" i="2"/>
  <c r="E18" i="6" l="1"/>
  <c r="E38" i="6"/>
  <c r="K32" i="2"/>
  <c r="E20" i="6" l="1"/>
  <c r="J32" i="2"/>
  <c r="M32" i="2" s="1"/>
  <c r="I33" i="2" s="1"/>
  <c r="E19" i="6"/>
  <c r="K33" i="2" l="1"/>
  <c r="E36" i="6"/>
  <c r="E42" i="6"/>
  <c r="E65" i="6" l="1"/>
  <c r="E44" i="6"/>
  <c r="J33" i="2"/>
  <c r="M33" i="2" s="1"/>
  <c r="I34" i="2" s="1"/>
  <c r="K34" i="2" l="1"/>
  <c r="E73" i="6"/>
  <c r="E74" i="6"/>
  <c r="J34" i="2" l="1"/>
  <c r="M34" i="2" s="1"/>
  <c r="I35" i="2" s="1"/>
  <c r="K35" i="2" l="1"/>
  <c r="J35" i="2" l="1"/>
  <c r="M35" i="2" s="1"/>
  <c r="I36" i="2" s="1"/>
  <c r="K36" i="2" l="1"/>
  <c r="J36" i="2" l="1"/>
  <c r="M36" i="2" s="1"/>
  <c r="I37" i="2" s="1"/>
  <c r="K37" i="2" l="1"/>
  <c r="J37" i="2" s="1"/>
  <c r="M37" i="2" s="1"/>
  <c r="I38" i="2" s="1"/>
  <c r="K38" i="2" l="1"/>
  <c r="J38" i="2" s="1"/>
  <c r="M38" i="2"/>
  <c r="I39" i="2" s="1"/>
  <c r="K39" i="2" l="1"/>
  <c r="J39" i="2" s="1"/>
  <c r="M39" i="2"/>
  <c r="I40" i="2" s="1"/>
  <c r="K40" i="2" l="1"/>
  <c r="J40" i="2" s="1"/>
  <c r="M40" i="2"/>
  <c r="I41" i="2" s="1"/>
  <c r="K41" i="2" l="1"/>
  <c r="J41" i="2" s="1"/>
  <c r="M41" i="2"/>
  <c r="I42" i="2" s="1"/>
  <c r="K42" i="2" l="1"/>
  <c r="J42" i="2" s="1"/>
  <c r="M42" i="2" s="1"/>
  <c r="I43" i="2" s="1"/>
  <c r="K43" i="2" l="1"/>
  <c r="J43" i="2" l="1"/>
  <c r="M43" i="2" s="1"/>
  <c r="K44" i="2"/>
  <c r="F15" i="6" l="1"/>
  <c r="I47" i="2"/>
  <c r="K47" i="2" l="1"/>
  <c r="F18" i="6"/>
  <c r="F38" i="6"/>
  <c r="J47" i="2" l="1"/>
  <c r="M47" i="2" s="1"/>
  <c r="I48" i="2" s="1"/>
  <c r="F20" i="6"/>
  <c r="F19" i="6"/>
  <c r="F36" i="6" l="1"/>
  <c r="F42" i="6"/>
  <c r="K48" i="2"/>
  <c r="F44" i="6" l="1"/>
  <c r="J48" i="2"/>
  <c r="M48" i="2" s="1"/>
  <c r="I49" i="2" s="1"/>
  <c r="F65" i="6"/>
  <c r="K49" i="2" l="1"/>
  <c r="F73" i="6"/>
  <c r="F74" i="6"/>
  <c r="J49" i="2" l="1"/>
  <c r="M49" i="2" s="1"/>
  <c r="I50" i="2" s="1"/>
  <c r="K50" i="2" l="1"/>
  <c r="J50" i="2" l="1"/>
  <c r="M50" i="2" s="1"/>
  <c r="I51" i="2" s="1"/>
  <c r="K51" i="2" l="1"/>
  <c r="J51" i="2" l="1"/>
  <c r="M51" i="2" s="1"/>
  <c r="I52" i="2" s="1"/>
  <c r="K52" i="2" l="1"/>
  <c r="J52" i="2" s="1"/>
  <c r="M52" i="2" s="1"/>
  <c r="I53" i="2" s="1"/>
  <c r="K53" i="2" l="1"/>
  <c r="J53" i="2" s="1"/>
  <c r="M53" i="2"/>
  <c r="I54" i="2" s="1"/>
  <c r="K54" i="2" l="1"/>
  <c r="J54" i="2" s="1"/>
  <c r="M54" i="2"/>
  <c r="I55" i="2" s="1"/>
  <c r="K55" i="2" l="1"/>
  <c r="J55" i="2" s="1"/>
  <c r="M55" i="2"/>
  <c r="I56" i="2" s="1"/>
  <c r="K56" i="2" l="1"/>
  <c r="J56" i="2" s="1"/>
  <c r="M56" i="2"/>
  <c r="I57" i="2" s="1"/>
  <c r="K57" i="2" l="1"/>
  <c r="J57" i="2" s="1"/>
  <c r="M57" i="2"/>
  <c r="I58" i="2" s="1"/>
  <c r="K58" i="2" l="1"/>
  <c r="J58" i="2" l="1"/>
  <c r="M58" i="2" s="1"/>
  <c r="K59" i="2"/>
  <c r="G15" i="6" l="1"/>
  <c r="I61" i="2"/>
  <c r="K61" i="2" l="1"/>
  <c r="G38" i="6"/>
  <c r="G18" i="6"/>
  <c r="G20" i="6" l="1"/>
  <c r="G19" i="6"/>
  <c r="J61" i="2"/>
  <c r="M61" i="2" s="1"/>
  <c r="I62" i="2" s="1"/>
  <c r="G42" i="6" l="1"/>
  <c r="G36" i="6"/>
  <c r="K62" i="2"/>
  <c r="J62" i="2" l="1"/>
  <c r="M62" i="2" s="1"/>
  <c r="I63" i="2" s="1"/>
  <c r="G44" i="6"/>
  <c r="G65" i="6"/>
  <c r="G73" i="6" l="1"/>
  <c r="G74" i="6"/>
  <c r="K63" i="2"/>
  <c r="J63" i="2" l="1"/>
  <c r="M63" i="2" s="1"/>
  <c r="I64" i="2" s="1"/>
  <c r="K64" i="2" l="1"/>
  <c r="J64" i="2" l="1"/>
  <c r="M64" i="2" s="1"/>
  <c r="I65" i="2" s="1"/>
  <c r="K65" i="2" l="1"/>
  <c r="J65" i="2" l="1"/>
  <c r="M65" i="2" s="1"/>
  <c r="I66" i="2" s="1"/>
  <c r="K66" i="2" l="1"/>
  <c r="J66" i="2" s="1"/>
  <c r="M66" i="2"/>
  <c r="I67" i="2" s="1"/>
  <c r="K67" i="2" l="1"/>
  <c r="J67" i="2" s="1"/>
  <c r="M67" i="2"/>
  <c r="I68" i="2" s="1"/>
  <c r="K68" i="2" l="1"/>
  <c r="J68" i="2" s="1"/>
  <c r="M68" i="2"/>
  <c r="I69" i="2" s="1"/>
  <c r="K69" i="2" l="1"/>
  <c r="J69" i="2" s="1"/>
  <c r="M69" i="2"/>
  <c r="I70" i="2" s="1"/>
  <c r="K70" i="2" l="1"/>
  <c r="J70" i="2" s="1"/>
  <c r="M70" i="2" s="1"/>
  <c r="I71" i="2" s="1"/>
  <c r="K71" i="2" l="1"/>
  <c r="J71" i="2" s="1"/>
  <c r="M71" i="2" s="1"/>
  <c r="I72" i="2" s="1"/>
  <c r="K72" i="2" l="1"/>
  <c r="J72" i="2" l="1"/>
  <c r="M72" i="2" s="1"/>
  <c r="K73" i="2"/>
  <c r="I75" i="2" l="1"/>
  <c r="K75" i="2" l="1"/>
  <c r="J75" i="2" l="1"/>
  <c r="M75" i="2" s="1"/>
  <c r="I76" i="2" s="1"/>
  <c r="K76" i="2" l="1"/>
  <c r="J76" i="2" l="1"/>
  <c r="M76" i="2" s="1"/>
  <c r="I77" i="2" s="1"/>
  <c r="K77" i="2" l="1"/>
  <c r="J77" i="2" l="1"/>
  <c r="M77" i="2" s="1"/>
  <c r="I78" i="2" s="1"/>
  <c r="K78" i="2" l="1"/>
  <c r="J78" i="2" l="1"/>
  <c r="M78" i="2" s="1"/>
  <c r="I79" i="2" s="1"/>
  <c r="K79" i="2" l="1"/>
  <c r="J79" i="2" l="1"/>
  <c r="M79" i="2" s="1"/>
  <c r="I80" i="2" s="1"/>
  <c r="K80" i="2" l="1"/>
  <c r="J80" i="2" s="1"/>
  <c r="M80" i="2"/>
  <c r="I81" i="2" s="1"/>
  <c r="K81" i="2" l="1"/>
  <c r="J81" i="2" s="1"/>
  <c r="M81" i="2"/>
  <c r="I82" i="2" s="1"/>
  <c r="K82" i="2" l="1"/>
  <c r="J82" i="2" s="1"/>
  <c r="M82" i="2"/>
  <c r="I83" i="2" s="1"/>
  <c r="K83" i="2" l="1"/>
  <c r="J83" i="2" s="1"/>
  <c r="M83" i="2"/>
  <c r="I84" i="2" s="1"/>
  <c r="K84" i="2" l="1"/>
  <c r="J84" i="2" s="1"/>
  <c r="M84" i="2"/>
  <c r="I85" i="2" s="1"/>
  <c r="K85" i="2" l="1"/>
  <c r="J85" i="2" s="1"/>
  <c r="M85" i="2" s="1"/>
  <c r="I86" i="2" s="1"/>
  <c r="K86" i="2" l="1"/>
  <c r="J86" i="2" l="1"/>
  <c r="M86" i="2" s="1"/>
  <c r="K87" i="2"/>
  <c r="I89" i="2" l="1"/>
  <c r="K89" i="2" l="1"/>
  <c r="J89" i="2" l="1"/>
  <c r="M89" i="2" s="1"/>
  <c r="I90" i="2" s="1"/>
  <c r="K90" i="2" l="1"/>
  <c r="J90" i="2" l="1"/>
  <c r="M90" i="2" s="1"/>
  <c r="I91" i="2" s="1"/>
  <c r="K91" i="2" l="1"/>
  <c r="J91" i="2" l="1"/>
  <c r="M91" i="2" s="1"/>
  <c r="I92" i="2" s="1"/>
  <c r="K92" i="2" l="1"/>
  <c r="J92" i="2" l="1"/>
  <c r="M92" i="2" s="1"/>
  <c r="I93" i="2" s="1"/>
  <c r="K93" i="2" l="1"/>
  <c r="J93" i="2" l="1"/>
  <c r="M93" i="2" s="1"/>
  <c r="I94" i="2" s="1"/>
  <c r="K94" i="2" l="1"/>
  <c r="J94" i="2" s="1"/>
  <c r="M94" i="2" s="1"/>
  <c r="I95" i="2" s="1"/>
  <c r="K95" i="2" l="1"/>
  <c r="J95" i="2" s="1"/>
  <c r="M95" i="2"/>
  <c r="I96" i="2" s="1"/>
  <c r="K96" i="2" l="1"/>
  <c r="J96" i="2" s="1"/>
  <c r="M96" i="2"/>
  <c r="I97" i="2" s="1"/>
  <c r="K97" i="2" l="1"/>
  <c r="J97" i="2" s="1"/>
  <c r="M97" i="2"/>
  <c r="I98" i="2" s="1"/>
  <c r="K98" i="2" l="1"/>
  <c r="J98" i="2" s="1"/>
  <c r="M98" i="2" s="1"/>
  <c r="I99" i="2" s="1"/>
  <c r="K99" i="2" l="1"/>
  <c r="J99" i="2" s="1"/>
  <c r="M99" i="2" s="1"/>
  <c r="I100" i="2" s="1"/>
  <c r="K100" i="2" l="1"/>
  <c r="J100" i="2" l="1"/>
  <c r="M100" i="2" s="1"/>
  <c r="K101" i="2"/>
  <c r="I103" i="2" l="1"/>
  <c r="K103" i="2" l="1"/>
  <c r="J103" i="2" l="1"/>
  <c r="M103" i="2" s="1"/>
  <c r="I104" i="2" s="1"/>
  <c r="K104" i="2" l="1"/>
  <c r="J104" i="2" l="1"/>
  <c r="M104" i="2" s="1"/>
  <c r="I105" i="2" s="1"/>
  <c r="K105" i="2" l="1"/>
  <c r="J105" i="2" l="1"/>
  <c r="M105" i="2" s="1"/>
  <c r="I106" i="2" s="1"/>
  <c r="K106" i="2" l="1"/>
  <c r="J106" i="2" l="1"/>
  <c r="M106" i="2" s="1"/>
  <c r="I107" i="2" s="1"/>
  <c r="K107" i="2" l="1"/>
  <c r="J107" i="2" l="1"/>
  <c r="M107" i="2" s="1"/>
  <c r="I108" i="2" s="1"/>
  <c r="K108" i="2" l="1"/>
  <c r="J108" i="2" s="1"/>
  <c r="M108" i="2" s="1"/>
  <c r="I109" i="2" s="1"/>
  <c r="K109" i="2" l="1"/>
  <c r="J109" i="2" s="1"/>
  <c r="M109" i="2" s="1"/>
  <c r="I110" i="2" s="1"/>
  <c r="K110" i="2" l="1"/>
  <c r="J110" i="2" s="1"/>
  <c r="M110" i="2"/>
  <c r="I111" i="2" s="1"/>
  <c r="K111" i="2" l="1"/>
  <c r="J111" i="2" s="1"/>
  <c r="M111" i="2"/>
  <c r="I112" i="2" s="1"/>
  <c r="K112" i="2" l="1"/>
  <c r="J112" i="2" s="1"/>
  <c r="M112" i="2" s="1"/>
  <c r="I113" i="2" s="1"/>
  <c r="K113" i="2" l="1"/>
  <c r="J113" i="2" s="1"/>
  <c r="M113" i="2" s="1"/>
  <c r="I114" i="2" s="1"/>
  <c r="K114" i="2" l="1"/>
  <c r="J114" i="2" l="1"/>
  <c r="M114" i="2" s="1"/>
  <c r="K115" i="2"/>
  <c r="I117" i="2" l="1"/>
  <c r="K117" i="2" l="1"/>
  <c r="J117" i="2" l="1"/>
  <c r="M117" i="2" s="1"/>
  <c r="I118" i="2" s="1"/>
  <c r="K118" i="2" l="1"/>
  <c r="J118" i="2" l="1"/>
  <c r="M118" i="2" s="1"/>
  <c r="I119" i="2" s="1"/>
  <c r="K119" i="2" l="1"/>
  <c r="J119" i="2" l="1"/>
  <c r="M119" i="2" s="1"/>
  <c r="I120" i="2" s="1"/>
  <c r="K120" i="2" l="1"/>
  <c r="J120" i="2" l="1"/>
  <c r="M120" i="2" s="1"/>
  <c r="I121" i="2" s="1"/>
  <c r="K121" i="2" l="1"/>
  <c r="J121" i="2" l="1"/>
  <c r="M121" i="2" s="1"/>
  <c r="I122" i="2" s="1"/>
  <c r="K122" i="2" l="1"/>
  <c r="J122" i="2" s="1"/>
  <c r="M122" i="2" s="1"/>
  <c r="I123" i="2" s="1"/>
  <c r="K123" i="2" l="1"/>
  <c r="J123" i="2" s="1"/>
  <c r="M123" i="2" s="1"/>
  <c r="I124" i="2" s="1"/>
  <c r="K124" i="2" l="1"/>
  <c r="J124" i="2" s="1"/>
  <c r="M124" i="2"/>
  <c r="I125" i="2" s="1"/>
  <c r="K125" i="2" l="1"/>
  <c r="J125" i="2" s="1"/>
  <c r="M125" i="2"/>
  <c r="I126" i="2" s="1"/>
  <c r="K126" i="2" l="1"/>
  <c r="J126" i="2" s="1"/>
  <c r="M126" i="2"/>
  <c r="I127" i="2" s="1"/>
  <c r="K127" i="2" l="1"/>
  <c r="J127" i="2" s="1"/>
  <c r="M127" i="2" s="1"/>
  <c r="I128" i="2" s="1"/>
  <c r="K128" i="2" l="1"/>
  <c r="J128" i="2" l="1"/>
  <c r="M128" i="2" s="1"/>
  <c r="K129" i="2"/>
  <c r="I131" i="2" l="1"/>
  <c r="K131" i="2" l="1"/>
  <c r="J131" i="2" l="1"/>
  <c r="M131" i="2" s="1"/>
  <c r="I132" i="2" s="1"/>
  <c r="K132" i="2" l="1"/>
  <c r="J132" i="2" l="1"/>
  <c r="M132" i="2" s="1"/>
  <c r="I133" i="2" s="1"/>
  <c r="K133" i="2" l="1"/>
  <c r="J133" i="2" l="1"/>
  <c r="M133" i="2" s="1"/>
  <c r="I134" i="2" s="1"/>
  <c r="K134" i="2" l="1"/>
  <c r="J134" i="2" l="1"/>
  <c r="M134" i="2" s="1"/>
  <c r="I135" i="2" s="1"/>
  <c r="K135" i="2" l="1"/>
  <c r="J135" i="2" l="1"/>
  <c r="M135" i="2" s="1"/>
  <c r="I136" i="2" s="1"/>
  <c r="K136" i="2" l="1"/>
  <c r="J136" i="2" s="1"/>
  <c r="M136" i="2" s="1"/>
  <c r="I137" i="2" s="1"/>
  <c r="K137" i="2" l="1"/>
  <c r="J137" i="2" s="1"/>
  <c r="M137" i="2" s="1"/>
  <c r="I138" i="2" s="1"/>
  <c r="K138" i="2" l="1"/>
  <c r="J138" i="2" s="1"/>
  <c r="M138" i="2" s="1"/>
  <c r="I139" i="2" s="1"/>
  <c r="K139" i="2" l="1"/>
  <c r="J139" i="2" s="1"/>
  <c r="M139" i="2"/>
  <c r="I140" i="2" s="1"/>
  <c r="K140" i="2" l="1"/>
  <c r="J140" i="2" s="1"/>
  <c r="M140" i="2"/>
  <c r="I141" i="2" s="1"/>
  <c r="K141" i="2" l="1"/>
  <c r="J141" i="2" s="1"/>
  <c r="M141" i="2"/>
  <c r="I142" i="2" s="1"/>
  <c r="K142" i="2" l="1"/>
  <c r="J142" i="2" l="1"/>
  <c r="M142" i="2" s="1"/>
  <c r="K143" i="2"/>
</calcChain>
</file>

<file path=xl/sharedStrings.xml><?xml version="1.0" encoding="utf-8"?>
<sst xmlns="http://schemas.openxmlformats.org/spreadsheetml/2006/main" count="432" uniqueCount="179">
  <si>
    <t>INCOME STATEMENT</t>
  </si>
  <si>
    <t>Revenue</t>
  </si>
  <si>
    <t>Swimming Revenue</t>
  </si>
  <si>
    <t>Board Game Revenue</t>
  </si>
  <si>
    <t>Cost of Goods Sold</t>
  </si>
  <si>
    <t>Operating Expenses</t>
  </si>
  <si>
    <t>Swimming Labor</t>
  </si>
  <si>
    <t>Board Game Labor</t>
  </si>
  <si>
    <t>General and Admin</t>
  </si>
  <si>
    <t>Depreciation</t>
  </si>
  <si>
    <t>Mortgage Loan Interest</t>
  </si>
  <si>
    <t>Extra Bank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</si>
  <si>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</si>
  <si>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</si>
  <si>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</si>
  <si>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</si>
  <si>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</si>
  <si>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</si>
  <si>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</si>
  <si>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</si>
  <si>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</si>
  <si>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Buildings</t>
  </si>
  <si>
    <t>Accumulated Depreciation</t>
  </si>
  <si>
    <t>Total Assets</t>
  </si>
  <si>
    <t>Liabilities and Owners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</si>
  <si>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</si>
  <si>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</si>
  <si>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</si>
  <si>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</si>
  <si>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</si>
  <si>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</si>
  <si>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Owners Equity</t>
  </si>
  <si>
    <t>FCF, NPV, IRR</t>
  </si>
  <si>
    <t>Cash from Operations</t>
  </si>
  <si>
    <t>Total Cash from Operations</t>
  </si>
  <si>
    <t>Cash in/out from Capital Expenditures</t>
  </si>
  <si>
    <t>Buy Building</t>
  </si>
  <si>
    <t>Sell Building</t>
  </si>
  <si>
    <t>Taxes on Sale of Building</t>
  </si>
  <si>
    <t>Cash in/out from Changes in Working Capital</t>
  </si>
  <si>
    <t>Cash in/out from Liquidation of Working Capital</t>
  </si>
  <si>
    <t>Total Free Cash Flows</t>
  </si>
  <si>
    <t>Present Value of Total Free Cash Flows</t>
  </si>
  <si>
    <t>NPV of Total Free Cash Flows</t>
  </si>
  <si>
    <t>IRR</t>
  </si>
  <si>
    <t>Jan 2014</t>
  </si>
  <si>
    <t>TOTALS</t>
  </si>
  <si>
    <t>Jan 2015</t>
  </si>
  <si>
    <t>Jan 2016</t>
  </si>
  <si>
    <t>Jan 2017</t>
  </si>
  <si>
    <t>Price</t>
  </si>
  <si>
    <t xml:space="preserve">Revenue </t>
  </si>
  <si>
    <t>Admin</t>
  </si>
  <si>
    <t>cost of building</t>
  </si>
  <si>
    <t>Mortgage</t>
  </si>
  <si>
    <t>Int rate</t>
  </si>
  <si>
    <t>Period</t>
  </si>
  <si>
    <t>org cost</t>
  </si>
  <si>
    <t>cost of build</t>
  </si>
  <si>
    <t xml:space="preserve">dep </t>
  </si>
  <si>
    <t>build</t>
  </si>
  <si>
    <t>land</t>
  </si>
  <si>
    <t>tax rate</t>
  </si>
  <si>
    <t>Sales tax</t>
  </si>
  <si>
    <t>Land</t>
  </si>
  <si>
    <t>building</t>
  </si>
  <si>
    <t>Sal value</t>
  </si>
  <si>
    <t>Tax building</t>
  </si>
  <si>
    <t>Total Tax</t>
  </si>
  <si>
    <t>Oper income</t>
  </si>
  <si>
    <t>dep</t>
  </si>
  <si>
    <t>tax</t>
  </si>
  <si>
    <t>for 5 years dep</t>
  </si>
  <si>
    <t>Operating income</t>
  </si>
  <si>
    <t>less: Dep</t>
  </si>
  <si>
    <t>Taxable Oper income</t>
  </si>
  <si>
    <t>Taxes</t>
  </si>
  <si>
    <t>After Tax oper only</t>
  </si>
  <si>
    <t>of both sales</t>
  </si>
  <si>
    <t>monthly rate</t>
  </si>
  <si>
    <t>No. of months</t>
  </si>
  <si>
    <t>payment</t>
  </si>
  <si>
    <t>Beg Balance</t>
  </si>
  <si>
    <t>Principal</t>
  </si>
  <si>
    <t xml:space="preserve">Interest </t>
  </si>
  <si>
    <t>Payment</t>
  </si>
  <si>
    <t>End Balance</t>
  </si>
  <si>
    <t>Jan Year 1</t>
  </si>
  <si>
    <t>Dec Year 1</t>
  </si>
  <si>
    <t>Total</t>
  </si>
  <si>
    <t>Jan Year 2</t>
  </si>
  <si>
    <t>Dec Year 2</t>
  </si>
  <si>
    <t>Jan Year 3</t>
  </si>
  <si>
    <t>Dec Year 3</t>
  </si>
  <si>
    <t>Jan Year 4</t>
  </si>
  <si>
    <t>Dec Year 4</t>
  </si>
  <si>
    <t>Extra Loan Interest Rate</t>
  </si>
  <si>
    <t>Days of Accounts Receivable (Swim only)</t>
  </si>
  <si>
    <t>Day of Inventory</t>
  </si>
  <si>
    <t>Days of Accounts Payable (COGS)</t>
  </si>
  <si>
    <t>yearly charge</t>
  </si>
  <si>
    <t>Selling price</t>
  </si>
  <si>
    <t>Cellar</t>
  </si>
  <si>
    <t>Lunch</t>
  </si>
  <si>
    <t>Dinner</t>
  </si>
  <si>
    <t>Lunch labor</t>
  </si>
  <si>
    <t>Dinner Labor</t>
  </si>
  <si>
    <t>Lunch Revenue</t>
  </si>
  <si>
    <t>Dinner Revenue</t>
  </si>
  <si>
    <t>Lunch Labor</t>
  </si>
  <si>
    <t>Jan Year 5</t>
  </si>
  <si>
    <t>Dec Year 5</t>
  </si>
  <si>
    <t>Jan Year 6</t>
  </si>
  <si>
    <t>Dec Year 6</t>
  </si>
  <si>
    <t>Jan Year 7</t>
  </si>
  <si>
    <t>Dec Year 7</t>
  </si>
  <si>
    <t>Jan Year 8</t>
  </si>
  <si>
    <t>Dec Year 8</t>
  </si>
  <si>
    <t>Jan Year 9</t>
  </si>
  <si>
    <t>Dec Year 9</t>
  </si>
  <si>
    <t>Jan Year 10</t>
  </si>
  <si>
    <t>Dec Year 10</t>
  </si>
  <si>
    <t>Add back: Dep</t>
  </si>
  <si>
    <t>-</t>
  </si>
  <si>
    <t>+</t>
  </si>
  <si>
    <t>Year</t>
  </si>
  <si>
    <t>sold for</t>
  </si>
  <si>
    <t>book value</t>
  </si>
  <si>
    <t>gain</t>
  </si>
  <si>
    <t>Return Equity Holders Want (CAPM)</t>
  </si>
  <si>
    <t>Beta</t>
  </si>
  <si>
    <t>Tbill</t>
  </si>
  <si>
    <t>S&amp;P 500</t>
  </si>
  <si>
    <t>Average</t>
  </si>
  <si>
    <t>Proportion</t>
  </si>
  <si>
    <t>Rate</t>
  </si>
  <si>
    <t>After Tax</t>
  </si>
  <si>
    <t>Weighted</t>
  </si>
  <si>
    <t>WACC</t>
  </si>
  <si>
    <t>Equity Holders Return</t>
  </si>
  <si>
    <t>Relevered data</t>
  </si>
  <si>
    <t>Relevered Beta</t>
  </si>
  <si>
    <t>Debt</t>
  </si>
  <si>
    <t>Euiqty</t>
  </si>
  <si>
    <t>Unlevered dat</t>
  </si>
  <si>
    <t>Relevred beta</t>
  </si>
  <si>
    <t>.</t>
  </si>
  <si>
    <t>unlevered beta</t>
  </si>
  <si>
    <t>regular business</t>
  </si>
  <si>
    <t xml:space="preserve"> </t>
  </si>
  <si>
    <t>Catering business</t>
  </si>
  <si>
    <t>Good option</t>
  </si>
  <si>
    <t>Total FCF from Operations</t>
  </si>
  <si>
    <t>Total FCF from Capital Exp</t>
  </si>
  <si>
    <t>Total FCF from WC Changes</t>
  </si>
  <si>
    <t>Total FCF from WC Liquid</t>
  </si>
  <si>
    <t>PV</t>
  </si>
  <si>
    <t>NPV</t>
  </si>
  <si>
    <t>mortgage loan</t>
  </si>
  <si>
    <t>sell secured</t>
  </si>
  <si>
    <t>sell unsecured</t>
  </si>
  <si>
    <t>leftover</t>
  </si>
  <si>
    <t>total proceeds</t>
  </si>
  <si>
    <t>remain</t>
  </si>
  <si>
    <t>Portion Paid</t>
  </si>
  <si>
    <t>total paid</t>
  </si>
  <si>
    <t>percent paid</t>
  </si>
  <si>
    <t>PAID</t>
  </si>
  <si>
    <t>PROMISED AND EXPECTED DEBT RETURNS</t>
  </si>
  <si>
    <t>Probability</t>
  </si>
  <si>
    <t>Balance Changes</t>
  </si>
  <si>
    <t>Paid in Bankruptcy</t>
  </si>
  <si>
    <t>Interest Payments</t>
  </si>
  <si>
    <t>IRR in Bankruptcy</t>
  </si>
  <si>
    <t>IRR outside Bankruptcy</t>
  </si>
  <si>
    <t>Expected Reutrn</t>
  </si>
  <si>
    <t>Outside Numbers</t>
  </si>
  <si>
    <t>Forecast</t>
  </si>
  <si>
    <t>Buy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</si>
</sst>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0.0%"/>
    <numFmt numFmtId="167" formatCode="[$$-409]#,##0.00;[Red]\-[$$-409]#,##0.00"/>
    <numFmt numFmtId="168" formatCode="_(* #,##0.00_);_(* \(#,##0.00\);_(* \-??_);_(@_)"/>
    <numFmt numFmtId="169" formatCode="_(* #,##0.0000_);_(* \(#,##0.0000\);_(* \-??_);_(@_)"/>
    <numFmt numFmtId="170" formatCode="[$$-409]#,##0;[Red]\-[$$-409]#,##0"/>
    <numFmt numFmtId="171" formatCode="0.000%"/>
    <numFmt numFmtId="172" formatCode="[$$-409]#,##0.00;[Red][$$-409]#,##0.00"/>
    <numFmt numFmtId="173" formatCode="_(* #,##0.0_);_(* \(#,##0.0\);_(* \-??_);_(@_)"/>
    <numFmt numFmtId="174" formatCode="_(* #,##0_);_(* \(#,##0\);_(* &quot;-&quot;??_);_(@_)"/>
    <numFmt numFmtId="175" formatCode="0.0"/>
    <numFmt numFmtId="176" formatCode="0.00000000000000%"/>
    <numFmt numFmtId="177" formatCode="_(* #,##0_);_(* \(#,##0\);_(* \-??_);_(@_)"/>
    <numFmt numFmtId="178" formatCode="_(* #,##0.0_);_(* \(#,##0.0\);_(* &quot;-&quot;??_);_(@_)"/>
    <numFmt numFmtId="179" formatCode="0.00000"/>
    <numFmt numFmtId="180" formatCode="0.000000%"/>
    <numFmt numFmtId="181" formatCode="0.000"/>
  </numFmts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11"/>
      <color indexed="8"/>
      <name val="Calibri"/>
      <family val="2"/>
      <charset val="1"/>
    </font>
    <font>
      <b/>
      <sz val="1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8" fontId="1" fillId="0" borderId="0"/>
    <xf numFmtId="164" fontId="1" fillId="0" borderId="0"/>
    <xf numFmtId="0" fontId="1" fillId="0" borderId="0"/>
    <xf numFmtId="0" fontId="2" fillId="0" borderId="0"/>
    <xf numFmtId="9" fontId="2" fillId="0" borderId="0"/>
  </cellStyleXfs>
  <cellXfs count="219">
    <xf numFmtId="0" fontId="0" fillId="0" borderId="0" xfId="0"/>
    <xf numFmtId="0" fontId="1" fillId="0" borderId="0" xfId="3"/>
    <xf numFmtId="0" fontId="1" fillId="2" borderId="0" xfId="3" applyFont="1" applyFill="1"/>
    <xf numFmtId="0" fontId="1" fillId="0" borderId="0" xfId="3" applyFont="1"/>
    <xf numFmtId="166" fontId="3" fillId="0" borderId="0" xfId="5" applyNumberFormat="1" applyFont="1" applyFill="1" applyBorder="1" applyAlignment="1" applyProtection="1"/>
    <xf numFmtId="166" fontId="1" fillId="0" borderId="0" xfId="3" applyNumberFormat="1" applyFont="1"/>
    <xf numFmtId="0" fontId="4" fillId="2" borderId="0" xfId="3" applyFont="1" applyFill="1"/>
    <xf numFmtId="0" fontId="1" fillId="2" borderId="0" xfId="3" applyFill="1"/>
    <xf numFmtId="0" fontId="1" fillId="2" borderId="1" xfId="3" applyFill="1" applyBorder="1"/>
    <xf numFmtId="0" fontId="2" fillId="0" borderId="0" xfId="4"/>
    <xf numFmtId="17" fontId="2" fillId="0" borderId="0" xfId="4" applyNumberFormat="1" applyFont="1" applyAlignment="1">
      <alignment wrapText="1"/>
    </xf>
    <xf numFmtId="167" fontId="2" fillId="0" borderId="0" xfId="4" applyNumberFormat="1" applyFont="1" applyAlignment="1">
      <alignment wrapText="1"/>
    </xf>
    <xf numFmtId="0" fontId="2" fillId="0" borderId="0" xfId="4" applyFont="1" applyAlignment="1">
      <alignment wrapText="1"/>
    </xf>
    <xf numFmtId="167" fontId="2" fillId="0" borderId="0" xfId="4" applyNumberFormat="1"/>
    <xf numFmtId="167" fontId="5" fillId="0" borderId="0" xfId="4" applyNumberFormat="1" applyFont="1" applyAlignment="1">
      <alignment wrapText="1"/>
    </xf>
    <xf numFmtId="0" fontId="5" fillId="0" borderId="0" xfId="4" applyFont="1" applyAlignment="1">
      <alignment wrapText="1"/>
    </xf>
    <xf numFmtId="0" fontId="5" fillId="0" borderId="0" xfId="4" applyFont="1"/>
    <xf numFmtId="165" fontId="1" fillId="2" borderId="0" xfId="2" applyNumberFormat="1" applyFont="1" applyFill="1" applyBorder="1" applyAlignment="1" applyProtection="1"/>
    <xf numFmtId="169" fontId="1" fillId="0" borderId="0" xfId="1" applyNumberFormat="1" applyFont="1" applyFill="1" applyBorder="1" applyAlignment="1" applyProtection="1"/>
    <xf numFmtId="9" fontId="2" fillId="0" borderId="0" xfId="5"/>
    <xf numFmtId="165" fontId="1" fillId="0" borderId="0" xfId="2" applyNumberFormat="1"/>
    <xf numFmtId="0" fontId="6" fillId="0" borderId="0" xfId="3" applyFont="1"/>
    <xf numFmtId="1" fontId="6" fillId="0" borderId="0" xfId="3" applyNumberFormat="1" applyFont="1"/>
    <xf numFmtId="165" fontId="1" fillId="0" borderId="2" xfId="2" applyNumberFormat="1" applyBorder="1"/>
    <xf numFmtId="1" fontId="2" fillId="0" borderId="0" xfId="4" applyNumberFormat="1" applyFont="1" applyAlignment="1">
      <alignment wrapText="1"/>
    </xf>
    <xf numFmtId="170" fontId="5" fillId="0" borderId="0" xfId="4" applyNumberFormat="1" applyFont="1" applyAlignment="1">
      <alignment wrapText="1"/>
    </xf>
    <xf numFmtId="170" fontId="2" fillId="0" borderId="0" xfId="4" applyNumberFormat="1" applyFont="1" applyAlignment="1">
      <alignment wrapText="1"/>
    </xf>
    <xf numFmtId="2" fontId="1" fillId="0" borderId="0" xfId="3" applyNumberFormat="1" applyFont="1"/>
    <xf numFmtId="1" fontId="1" fillId="0" borderId="0" xfId="3" applyNumberFormat="1" applyFont="1"/>
    <xf numFmtId="165" fontId="1" fillId="2" borderId="0" xfId="3" applyNumberFormat="1" applyFill="1"/>
    <xf numFmtId="0" fontId="7" fillId="0" borderId="0" xfId="4" applyFont="1"/>
    <xf numFmtId="43" fontId="1" fillId="2" borderId="0" xfId="3" applyNumberFormat="1" applyFill="1"/>
    <xf numFmtId="166" fontId="2" fillId="0" borderId="0" xfId="5" applyNumberFormat="1"/>
    <xf numFmtId="171" fontId="2" fillId="0" borderId="0" xfId="4" applyNumberFormat="1" applyFont="1" applyAlignment="1">
      <alignment wrapText="1"/>
    </xf>
    <xf numFmtId="1" fontId="5" fillId="0" borderId="0" xfId="4" applyNumberFormat="1" applyFont="1" applyAlignment="1">
      <alignment wrapText="1"/>
    </xf>
    <xf numFmtId="0" fontId="0" fillId="0" borderId="0" xfId="0" applyFont="1"/>
    <xf numFmtId="164" fontId="1" fillId="0" borderId="0" xfId="2"/>
    <xf numFmtId="43" fontId="2" fillId="0" borderId="0" xfId="4" applyNumberFormat="1"/>
    <xf numFmtId="172" fontId="2" fillId="0" borderId="0" xfId="4" applyNumberFormat="1"/>
    <xf numFmtId="16" fontId="2" fillId="0" borderId="0" xfId="4" applyNumberFormat="1"/>
    <xf numFmtId="43" fontId="7" fillId="0" borderId="0" xfId="4" applyNumberFormat="1" applyFont="1"/>
    <xf numFmtId="164" fontId="7" fillId="0" borderId="0" xfId="4" applyNumberFormat="1" applyFont="1"/>
    <xf numFmtId="173" fontId="1" fillId="2" borderId="0" xfId="1" applyNumberFormat="1" applyFill="1"/>
    <xf numFmtId="1" fontId="1" fillId="2" borderId="0" xfId="3" applyNumberFormat="1" applyFont="1" applyFill="1"/>
    <xf numFmtId="165" fontId="1" fillId="0" borderId="0" xfId="2" applyNumberFormat="1" applyBorder="1"/>
    <xf numFmtId="0" fontId="1" fillId="2" borderId="0" xfId="3" applyFont="1" applyFill="1" applyBorder="1"/>
    <xf numFmtId="165" fontId="1" fillId="2" borderId="0" xfId="2" applyNumberFormat="1" applyFont="1" applyFill="1" applyBorder="1"/>
    <xf numFmtId="164" fontId="1" fillId="3" borderId="0" xfId="2" applyFill="1" applyBorder="1"/>
    <xf numFmtId="174" fontId="1" fillId="2" borderId="0" xfId="2" applyNumberFormat="1" applyFont="1" applyFill="1" applyBorder="1"/>
    <xf numFmtId="165" fontId="1" fillId="2" borderId="0" xfId="3" applyNumberFormat="1" applyFill="1" applyBorder="1"/>
    <xf numFmtId="9" fontId="2" fillId="0" borderId="0" xfId="5" applyBorder="1"/>
    <xf numFmtId="173" fontId="1" fillId="2" borderId="0" xfId="1" applyNumberFormat="1" applyFill="1" applyBorder="1"/>
    <xf numFmtId="9" fontId="2" fillId="0" borderId="3" xfId="5" applyBorder="1"/>
    <xf numFmtId="173" fontId="1" fillId="2" borderId="3" xfId="1" applyNumberFormat="1" applyFill="1" applyBorder="1"/>
    <xf numFmtId="165" fontId="1" fillId="0" borderId="0" xfId="3" applyNumberFormat="1"/>
    <xf numFmtId="9" fontId="1" fillId="2" borderId="0" xfId="3" applyNumberFormat="1" applyFill="1"/>
    <xf numFmtId="8" fontId="1" fillId="2" borderId="0" xfId="3" applyNumberFormat="1" applyFill="1"/>
    <xf numFmtId="165" fontId="1" fillId="0" borderId="0" xfId="2" applyNumberFormat="1" applyFill="1" applyBorder="1"/>
    <xf numFmtId="3" fontId="1" fillId="0" borderId="0" xfId="1" applyNumberFormat="1" applyFont="1" applyFill="1" applyBorder="1"/>
    <xf numFmtId="3" fontId="1" fillId="0" borderId="3" xfId="1" applyNumberFormat="1" applyFont="1" applyFill="1" applyBorder="1"/>
    <xf numFmtId="165" fontId="1" fillId="3" borderId="0" xfId="2" applyNumberFormat="1" applyFill="1" applyBorder="1"/>
    <xf numFmtId="43" fontId="1" fillId="2" borderId="0" xfId="2" applyNumberFormat="1" applyFont="1" applyFill="1" applyBorder="1"/>
    <xf numFmtId="0" fontId="1" fillId="0" borderId="0" xfId="3" applyFont="1" applyFill="1" applyBorder="1"/>
    <xf numFmtId="6" fontId="1" fillId="2" borderId="0" xfId="3" applyNumberFormat="1" applyFill="1"/>
    <xf numFmtId="6" fontId="1" fillId="2" borderId="0" xfId="3" applyNumberFormat="1" applyFill="1" applyBorder="1"/>
    <xf numFmtId="10" fontId="1" fillId="2" borderId="0" xfId="3" applyNumberFormat="1" applyFill="1"/>
    <xf numFmtId="6" fontId="1" fillId="0" borderId="0" xfId="3" applyNumberFormat="1"/>
    <xf numFmtId="9" fontId="1" fillId="0" borderId="0" xfId="3" applyNumberFormat="1"/>
    <xf numFmtId="0" fontId="1" fillId="0" borderId="0" xfId="3" applyFont="1" applyFill="1"/>
    <xf numFmtId="0" fontId="1" fillId="0" borderId="0" xfId="3" applyFill="1"/>
    <xf numFmtId="10" fontId="1" fillId="0" borderId="0" xfId="3" applyNumberFormat="1" applyFill="1"/>
    <xf numFmtId="0" fontId="6" fillId="0" borderId="0" xfId="3" applyFont="1" applyFill="1"/>
    <xf numFmtId="165" fontId="1" fillId="0" borderId="0" xfId="3" applyNumberFormat="1" applyFill="1"/>
    <xf numFmtId="166" fontId="2" fillId="0" borderId="0" xfId="5" applyNumberFormat="1" applyFill="1"/>
    <xf numFmtId="9" fontId="1" fillId="0" borderId="0" xfId="3" applyNumberFormat="1" applyFill="1"/>
    <xf numFmtId="166" fontId="1" fillId="0" borderId="0" xfId="3" applyNumberFormat="1" applyFill="1"/>
    <xf numFmtId="0" fontId="6" fillId="4" borderId="0" xfId="3" applyFont="1" applyFill="1"/>
    <xf numFmtId="10" fontId="6" fillId="4" borderId="0" xfId="3" applyNumberFormat="1" applyFont="1" applyFill="1"/>
    <xf numFmtId="2" fontId="1" fillId="0" borderId="0" xfId="3" applyNumberFormat="1"/>
    <xf numFmtId="175" fontId="2" fillId="0" borderId="0" xfId="5" applyNumberFormat="1"/>
    <xf numFmtId="176" fontId="1" fillId="0" borderId="0" xfId="3" applyNumberFormat="1"/>
    <xf numFmtId="177" fontId="1" fillId="0" borderId="0" xfId="1" applyNumberFormat="1"/>
    <xf numFmtId="10" fontId="1" fillId="0" borderId="0" xfId="1" applyNumberFormat="1"/>
    <xf numFmtId="9" fontId="1" fillId="0" borderId="0" xfId="1" applyNumberFormat="1"/>
    <xf numFmtId="9" fontId="1" fillId="0" borderId="4" xfId="1" applyNumberFormat="1" applyBorder="1"/>
    <xf numFmtId="177" fontId="1" fillId="0" borderId="4" xfId="1" applyNumberFormat="1" applyBorder="1"/>
    <xf numFmtId="178" fontId="1" fillId="0" borderId="4" xfId="1" applyNumberFormat="1" applyBorder="1"/>
    <xf numFmtId="177" fontId="6" fillId="5" borderId="5" xfId="1" applyNumberFormat="1" applyFont="1" applyFill="1" applyBorder="1"/>
    <xf numFmtId="177" fontId="1" fillId="0" borderId="6" xfId="1" applyNumberFormat="1" applyBorder="1"/>
    <xf numFmtId="177" fontId="1" fillId="0" borderId="7" xfId="1" applyNumberFormat="1" applyBorder="1"/>
    <xf numFmtId="177" fontId="1" fillId="0" borderId="8" xfId="1" applyNumberFormat="1" applyBorder="1"/>
    <xf numFmtId="177" fontId="1" fillId="0" borderId="9" xfId="1" applyNumberFormat="1" applyBorder="1"/>
    <xf numFmtId="178" fontId="1" fillId="0" borderId="9" xfId="1" applyNumberFormat="1" applyBorder="1"/>
    <xf numFmtId="177" fontId="1" fillId="0" borderId="10" xfId="1" applyNumberFormat="1" applyBorder="1"/>
    <xf numFmtId="177" fontId="1" fillId="0" borderId="11" xfId="1" applyNumberFormat="1" applyBorder="1"/>
    <xf numFmtId="177" fontId="1" fillId="5" borderId="11" xfId="1" applyNumberFormat="1" applyFill="1" applyBorder="1"/>
    <xf numFmtId="9" fontId="1" fillId="5" borderId="11" xfId="1" applyNumberFormat="1" applyFill="1" applyBorder="1"/>
    <xf numFmtId="177" fontId="1" fillId="0" borderId="12" xfId="1" applyNumberFormat="1" applyBorder="1"/>
    <xf numFmtId="177" fontId="1" fillId="0" borderId="0" xfId="1" applyNumberFormat="1" applyBorder="1"/>
    <xf numFmtId="177" fontId="1" fillId="0" borderId="0" xfId="1" applyNumberFormat="1" applyFill="1" applyBorder="1"/>
    <xf numFmtId="9" fontId="1" fillId="0" borderId="0" xfId="1" applyNumberFormat="1" applyFill="1" applyBorder="1"/>
    <xf numFmtId="0" fontId="1" fillId="0" borderId="0" xfId="3" applyFill="1" applyBorder="1"/>
    <xf numFmtId="164" fontId="1" fillId="0" borderId="0" xfId="2" applyFill="1" applyBorder="1"/>
    <xf numFmtId="1" fontId="1" fillId="0" borderId="0" xfId="3" applyNumberFormat="1" applyFont="1" applyFill="1" applyBorder="1"/>
    <xf numFmtId="173" fontId="1" fillId="0" borderId="0" xfId="1" applyNumberFormat="1" applyFill="1" applyBorder="1"/>
    <xf numFmtId="165" fontId="1" fillId="0" borderId="0" xfId="2" applyNumberFormat="1" applyFont="1" applyFill="1" applyBorder="1"/>
    <xf numFmtId="9" fontId="1" fillId="0" borderId="0" xfId="3" applyNumberFormat="1" applyFont="1"/>
    <xf numFmtId="9" fontId="1" fillId="0" borderId="0" xfId="5" applyFont="1" applyFill="1" applyBorder="1"/>
    <xf numFmtId="174" fontId="1" fillId="0" borderId="0" xfId="2" applyNumberFormat="1" applyFont="1" applyFill="1" applyBorder="1"/>
    <xf numFmtId="43" fontId="1" fillId="0" borderId="0" xfId="2" applyNumberFormat="1" applyFont="1" applyFill="1" applyBorder="1"/>
    <xf numFmtId="165" fontId="1" fillId="0" borderId="3" xfId="2" applyNumberFormat="1" applyFont="1" applyFill="1" applyBorder="1"/>
    <xf numFmtId="165" fontId="1" fillId="0" borderId="13" xfId="2" applyNumberFormat="1" applyFont="1" applyFill="1" applyBorder="1"/>
    <xf numFmtId="10" fontId="1" fillId="0" borderId="0" xfId="5" applyNumberFormat="1" applyFont="1" applyFill="1" applyBorder="1"/>
    <xf numFmtId="165" fontId="1" fillId="0" borderId="0" xfId="3" applyNumberFormat="1" applyFill="1" applyBorder="1"/>
    <xf numFmtId="0" fontId="6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1" fillId="0" borderId="3" xfId="3" applyBorder="1"/>
    <xf numFmtId="10" fontId="2" fillId="0" borderId="0" xfId="5" applyNumberFormat="1"/>
    <xf numFmtId="165" fontId="6" fillId="0" borderId="0" xfId="3" applyNumberFormat="1" applyFont="1"/>
    <xf numFmtId="10" fontId="1" fillId="0" borderId="0" xfId="3" applyNumberFormat="1"/>
    <xf numFmtId="166" fontId="1" fillId="0" borderId="0" xfId="3" applyNumberFormat="1"/>
    <xf numFmtId="165" fontId="1" fillId="0" borderId="0" xfId="3" applyNumberFormat="1" applyFont="1" applyFill="1" applyBorder="1"/>
    <xf numFmtId="179" fontId="1" fillId="0" borderId="0" xfId="3" applyNumberFormat="1" applyFont="1" applyFill="1" applyBorder="1"/>
    <xf numFmtId="10" fontId="1" fillId="0" borderId="0" xfId="3" applyNumberFormat="1" applyFont="1" applyFill="1" applyBorder="1"/>
    <xf numFmtId="180" fontId="1" fillId="0" borderId="0" xfId="3" applyNumberFormat="1" applyFont="1" applyFill="1" applyBorder="1"/>
    <xf numFmtId="181" fontId="1" fillId="0" borderId="0" xfId="3" applyNumberFormat="1" applyFont="1" applyFill="1" applyBorder="1"/>
    <xf numFmtId="9" fontId="1" fillId="0" borderId="0" xfId="3" applyNumberFormat="1" applyFont="1" applyFill="1" applyBorder="1"/>
    <xf numFmtId="171" fontId="2" fillId="0" borderId="0" xfId="5" applyNumberFormat="1" applyFill="1" applyBorder="1"/>
    <xf numFmtId="10" fontId="2" fillId="0" borderId="0" xfId="5" applyNumberFormat="1" applyFill="1" applyBorder="1"/>
    <xf numFmtId="166" fontId="1" fillId="0" borderId="0" xfId="3" applyNumberFormat="1" applyFont="1" applyFill="1" applyBorder="1"/>
    <xf numFmtId="181" fontId="1" fillId="0" borderId="0" xfId="1" applyNumberFormat="1" applyFill="1" applyBorder="1"/>
    <xf numFmtId="171" fontId="1" fillId="0" borderId="0" xfId="3" applyNumberFormat="1" applyFont="1" applyFill="1" applyBorder="1"/>
    <xf numFmtId="0" fontId="6" fillId="0" borderId="0" xfId="3" applyFont="1" applyFill="1" applyBorder="1"/>
    <xf numFmtId="0" fontId="1" fillId="6" borderId="0" xfId="3" applyFont="1" applyFill="1"/>
    <xf numFmtId="0" fontId="1" fillId="6" borderId="0" xfId="3" applyFill="1"/>
    <xf numFmtId="9" fontId="1" fillId="6" borderId="0" xfId="3" applyNumberFormat="1" applyFill="1"/>
    <xf numFmtId="2" fontId="1" fillId="6" borderId="0" xfId="3" applyNumberFormat="1" applyFill="1"/>
    <xf numFmtId="175" fontId="2" fillId="6" borderId="0" xfId="5" applyNumberFormat="1" applyFill="1"/>
    <xf numFmtId="9" fontId="2" fillId="6" borderId="0" xfId="5" applyFill="1"/>
    <xf numFmtId="165" fontId="1" fillId="6" borderId="0" xfId="3" applyNumberFormat="1" applyFill="1"/>
    <xf numFmtId="166" fontId="1" fillId="6" borderId="0" xfId="3" applyNumberFormat="1" applyFill="1"/>
    <xf numFmtId="0" fontId="6" fillId="6" borderId="0" xfId="3" applyFont="1" applyFill="1"/>
    <xf numFmtId="0" fontId="6" fillId="6" borderId="4" xfId="3" applyFont="1" applyFill="1" applyBorder="1"/>
    <xf numFmtId="166" fontId="2" fillId="6" borderId="4" xfId="5" applyNumberFormat="1" applyFill="1" applyBorder="1"/>
    <xf numFmtId="9" fontId="1" fillId="6" borderId="4" xfId="3" applyNumberFormat="1" applyFill="1" applyBorder="1"/>
    <xf numFmtId="166" fontId="1" fillId="6" borderId="4" xfId="3" applyNumberFormat="1" applyFill="1" applyBorder="1"/>
    <xf numFmtId="0" fontId="1" fillId="6" borderId="4" xfId="3" applyFill="1" applyBorder="1"/>
    <xf numFmtId="10" fontId="1" fillId="6" borderId="4" xfId="3" applyNumberFormat="1" applyFill="1" applyBorder="1"/>
    <xf numFmtId="10" fontId="6" fillId="6" borderId="14" xfId="3" applyNumberFormat="1" applyFont="1" applyFill="1" applyBorder="1"/>
    <xf numFmtId="0" fontId="1" fillId="7" borderId="0" xfId="3" applyFill="1"/>
    <xf numFmtId="6" fontId="1" fillId="7" borderId="0" xfId="3" applyNumberFormat="1" applyFill="1"/>
    <xf numFmtId="165" fontId="1" fillId="7" borderId="0" xfId="3" applyNumberFormat="1" applyFill="1"/>
    <xf numFmtId="0" fontId="1" fillId="7" borderId="0" xfId="3" applyFont="1" applyFill="1"/>
    <xf numFmtId="9" fontId="2" fillId="7" borderId="0" xfId="5" applyFill="1"/>
    <xf numFmtId="2" fontId="1" fillId="7" borderId="0" xfId="3" applyNumberFormat="1" applyFont="1" applyFill="1"/>
    <xf numFmtId="9" fontId="1" fillId="7" borderId="0" xfId="3" applyNumberFormat="1" applyFill="1"/>
    <xf numFmtId="166" fontId="3" fillId="7" borderId="0" xfId="5" applyNumberFormat="1" applyFont="1" applyFill="1" applyBorder="1" applyAlignment="1" applyProtection="1"/>
    <xf numFmtId="1" fontId="1" fillId="7" borderId="0" xfId="3" applyNumberFormat="1" applyFont="1" applyFill="1"/>
    <xf numFmtId="165" fontId="1" fillId="9" borderId="2" xfId="2" applyNumberFormat="1" applyFill="1" applyBorder="1"/>
    <xf numFmtId="165" fontId="1" fillId="9" borderId="0" xfId="2" applyNumberFormat="1" applyFill="1" applyBorder="1"/>
    <xf numFmtId="3" fontId="1" fillId="9" borderId="3" xfId="1" applyNumberFormat="1" applyFont="1" applyFill="1" applyBorder="1"/>
    <xf numFmtId="9" fontId="2" fillId="9" borderId="0" xfId="5" applyFill="1" applyBorder="1"/>
    <xf numFmtId="0" fontId="1" fillId="2" borderId="0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" fillId="9" borderId="15" xfId="3" applyFill="1" applyBorder="1"/>
    <xf numFmtId="0" fontId="1" fillId="9" borderId="0" xfId="3" applyFill="1" applyBorder="1"/>
    <xf numFmtId="165" fontId="1" fillId="9" borderId="16" xfId="2" applyNumberFormat="1" applyFill="1" applyBorder="1"/>
    <xf numFmtId="0" fontId="1" fillId="9" borderId="16" xfId="3" applyFill="1" applyBorder="1"/>
    <xf numFmtId="165" fontId="1" fillId="9" borderId="17" xfId="2" applyNumberFormat="1" applyFill="1" applyBorder="1"/>
    <xf numFmtId="3" fontId="1" fillId="9" borderId="18" xfId="1" applyNumberFormat="1" applyFont="1" applyFill="1" applyBorder="1"/>
    <xf numFmtId="166" fontId="2" fillId="9" borderId="0" xfId="5" applyNumberFormat="1" applyFill="1" applyBorder="1"/>
    <xf numFmtId="164" fontId="1" fillId="9" borderId="0" xfId="2" applyFill="1" applyBorder="1"/>
    <xf numFmtId="164" fontId="1" fillId="9" borderId="16" xfId="2" applyFill="1" applyBorder="1"/>
    <xf numFmtId="0" fontId="1" fillId="8" borderId="0" xfId="3" applyFont="1" applyFill="1" applyBorder="1"/>
    <xf numFmtId="0" fontId="1" fillId="8" borderId="16" xfId="3" applyFont="1" applyFill="1" applyBorder="1"/>
    <xf numFmtId="1" fontId="1" fillId="8" borderId="0" xfId="3" applyNumberFormat="1" applyFont="1" applyFill="1" applyBorder="1"/>
    <xf numFmtId="1" fontId="1" fillId="8" borderId="16" xfId="3" applyNumberFormat="1" applyFont="1" applyFill="1" applyBorder="1"/>
    <xf numFmtId="0" fontId="1" fillId="9" borderId="19" xfId="3" applyFill="1" applyBorder="1"/>
    <xf numFmtId="0" fontId="1" fillId="8" borderId="20" xfId="3" applyFont="1" applyFill="1" applyBorder="1"/>
    <xf numFmtId="173" fontId="1" fillId="8" borderId="20" xfId="1" applyNumberFormat="1" applyFill="1" applyBorder="1"/>
    <xf numFmtId="0" fontId="1" fillId="8" borderId="21" xfId="3" applyFont="1" applyFill="1" applyBorder="1"/>
    <xf numFmtId="0" fontId="1" fillId="6" borderId="25" xfId="3" applyFill="1" applyBorder="1"/>
    <xf numFmtId="0" fontId="6" fillId="6" borderId="25" xfId="3" applyFont="1" applyFill="1" applyBorder="1"/>
    <xf numFmtId="165" fontId="1" fillId="6" borderId="25" xfId="3" applyNumberFormat="1" applyFill="1" applyBorder="1"/>
    <xf numFmtId="0" fontId="1" fillId="2" borderId="15" xfId="3" applyFont="1" applyFill="1" applyBorder="1"/>
    <xf numFmtId="0" fontId="8" fillId="2" borderId="16" xfId="3" applyFont="1" applyFill="1" applyBorder="1" applyAlignment="1">
      <alignment horizontal="center"/>
    </xf>
    <xf numFmtId="0" fontId="1" fillId="2" borderId="16" xfId="3" applyFont="1" applyFill="1" applyBorder="1" applyAlignment="1">
      <alignment horizontal="center"/>
    </xf>
    <xf numFmtId="0" fontId="1" fillId="2" borderId="16" xfId="3" applyFont="1" applyFill="1" applyBorder="1"/>
    <xf numFmtId="165" fontId="1" fillId="2" borderId="16" xfId="2" applyNumberFormat="1" applyFont="1" applyFill="1" applyBorder="1"/>
    <xf numFmtId="164" fontId="1" fillId="3" borderId="16" xfId="2" applyFill="1" applyBorder="1"/>
    <xf numFmtId="43" fontId="1" fillId="2" borderId="16" xfId="2" applyNumberFormat="1" applyFont="1" applyFill="1" applyBorder="1"/>
    <xf numFmtId="0" fontId="1" fillId="0" borderId="15" xfId="3" applyBorder="1"/>
    <xf numFmtId="165" fontId="1" fillId="0" borderId="16" xfId="3" applyNumberFormat="1" applyBorder="1"/>
    <xf numFmtId="0" fontId="4" fillId="2" borderId="15" xfId="3" applyFont="1" applyFill="1" applyBorder="1"/>
    <xf numFmtId="0" fontId="1" fillId="2" borderId="0" xfId="3" applyFill="1" applyBorder="1"/>
    <xf numFmtId="0" fontId="1" fillId="2" borderId="16" xfId="3" applyFill="1" applyBorder="1"/>
    <xf numFmtId="0" fontId="1" fillId="2" borderId="15" xfId="3" applyFill="1" applyBorder="1"/>
    <xf numFmtId="6" fontId="1" fillId="2" borderId="16" xfId="3" applyNumberFormat="1" applyFill="1" applyBorder="1"/>
    <xf numFmtId="0" fontId="4" fillId="2" borderId="0" xfId="3" applyFont="1" applyFill="1" applyBorder="1"/>
    <xf numFmtId="8" fontId="1" fillId="2" borderId="16" xfId="3" applyNumberFormat="1" applyFill="1" applyBorder="1"/>
    <xf numFmtId="165" fontId="1" fillId="2" borderId="16" xfId="3" applyNumberFormat="1" applyFill="1" applyBorder="1"/>
    <xf numFmtId="43" fontId="1" fillId="2" borderId="0" xfId="3" applyNumberFormat="1" applyFill="1" applyBorder="1"/>
    <xf numFmtId="43" fontId="1" fillId="2" borderId="16" xfId="3" applyNumberFormat="1" applyFill="1" applyBorder="1"/>
    <xf numFmtId="8" fontId="1" fillId="2" borderId="0" xfId="3" applyNumberFormat="1" applyFill="1" applyBorder="1"/>
    <xf numFmtId="9" fontId="1" fillId="2" borderId="0" xfId="3" applyNumberFormat="1" applyFill="1" applyBorder="1"/>
    <xf numFmtId="10" fontId="1" fillId="2" borderId="0" xfId="3" applyNumberFormat="1" applyFill="1" applyBorder="1"/>
    <xf numFmtId="0" fontId="1" fillId="0" borderId="16" xfId="3" applyBorder="1"/>
    <xf numFmtId="0" fontId="4" fillId="2" borderId="19" xfId="3" applyFont="1" applyFill="1" applyBorder="1"/>
    <xf numFmtId="0" fontId="1" fillId="2" borderId="20" xfId="3" applyFill="1" applyBorder="1"/>
    <xf numFmtId="10" fontId="1" fillId="2" borderId="20" xfId="3" applyNumberFormat="1" applyFill="1" applyBorder="1"/>
    <xf numFmtId="0" fontId="1" fillId="2" borderId="21" xfId="3" applyFill="1" applyBorder="1"/>
    <xf numFmtId="10" fontId="1" fillId="0" borderId="0" xfId="3" applyNumberFormat="1" applyFont="1" applyFill="1"/>
    <xf numFmtId="0" fontId="9" fillId="9" borderId="22" xfId="3" applyFont="1" applyFill="1" applyBorder="1" applyAlignment="1">
      <alignment horizontal="center" vertical="center"/>
    </xf>
    <xf numFmtId="0" fontId="9" fillId="9" borderId="23" xfId="3" applyFont="1" applyFill="1" applyBorder="1" applyAlignment="1">
      <alignment horizontal="center" vertical="center"/>
    </xf>
    <xf numFmtId="0" fontId="9" fillId="9" borderId="24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Excel Built-in Normal 1" xfId="3"/>
    <cellStyle name="Excel Built-in Normal 2" xfId="4"/>
    <cellStyle name="Normal" xfId="0" builtinId="0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591552</xdr:colOff>
      <xdr:row>22</xdr:row>
      <xdr:rowOff>110289</xdr:rowOff>
    </xdr:from>
    <xdr:to>
      <xdr:col>7</xdr:col>
      <xdr:colOff>531394</xdr:colOff>
      <xdr:row>26</xdr:row>
      <xdr:rowOff>50131</xdr:rowOff>
    </xdr:to>
    <xdr:sp macro="" textlink="">
      <xdr:nvSpPr>
        <xdr:cNvPr id="2" name="TextBox 1"/>
        <xdr:cNvSpPr txBox="1"/>
      </xdr:nvSpPr>
      <xdr:spPr>
        <a:xfrm>
          <a:off x="1754605" y="4130842"/>
          <a:ext cx="5785184" cy="511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Good</a:t>
          </a:r>
          <a:r>
            <a:rPr lang="en-US" sz="1100" baseline="0"/>
            <a:t> Market scenario we assume to exercise the Option of having a Catering business and we require more capital investment like delivery van, an extra office space along with other equipments.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2/AppData/Local/Temp/The%20Cellar%20-%20Forecast-WACC-Unlev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Relevered"/>
      <sheetName val="Expected Value"/>
      <sheetName val="Expected V. His"/>
      <sheetName val="K"/>
      <sheetName val="Sheet3"/>
      <sheetName val="Fail"/>
      <sheetName val="Fail2"/>
      <sheetName val="Mortgage"/>
      <sheetName val="Mortgag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M13">
            <v>991646.3601902934</v>
          </cell>
        </row>
        <row r="14">
          <cell r="K14">
            <v>79698.109055818641</v>
          </cell>
        </row>
        <row r="28">
          <cell r="M28">
            <v>982599.37239633361</v>
          </cell>
        </row>
        <row r="29">
          <cell r="K29">
            <v>79004.761071565401</v>
          </cell>
        </row>
        <row r="43">
          <cell r="M43">
            <v>972801.48907738156</v>
          </cell>
        </row>
        <row r="44">
          <cell r="K44">
            <v>78253.865546573157</v>
          </cell>
        </row>
        <row r="58">
          <cell r="M58">
            <v>962190.38627519901</v>
          </cell>
        </row>
        <row r="59">
          <cell r="K59">
            <v>77440.646063342618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tabSelected="1" zoomScale="70" zoomScaleNormal="70" workbookViewId="0">
      <selection activeCell="R57" sqref="R57"/>
    </sheetView>
  </sheetViews>
  <sheetFormatPr defaultColWidth="9.42578125" defaultRowHeight="15" x14ac:dyDescent="0.25"/>
  <cols>
    <col min="1" max="1" width="5.5703125" style="1" customWidth="1"/>
    <col min="2" max="2" width="41.140625" style="1" customWidth="1"/>
    <col min="3" max="3" width="17.5703125" style="1" customWidth="1"/>
    <col min="4" max="4" width="18.7109375" style="1" customWidth="1"/>
    <col min="5" max="5" width="20.7109375" style="1" bestFit="1" customWidth="1"/>
    <col min="6" max="6" width="15" style="1" customWidth="1"/>
    <col min="7" max="13" width="14.28515625" style="1" customWidth="1"/>
    <col min="14" max="14" width="17" style="1" customWidth="1"/>
    <col min="15" max="15" width="19.5703125" style="1" customWidth="1"/>
    <col min="16" max="16" width="19.28515625" style="1" customWidth="1"/>
    <col min="17" max="17" width="9.42578125" style="1"/>
    <col min="18" max="18" width="12.42578125" style="1" bestFit="1" customWidth="1"/>
    <col min="19" max="20" width="9.42578125" style="1"/>
    <col min="21" max="21" width="22.140625" style="1" hidden="1" customWidth="1"/>
    <col min="22" max="25" width="0" style="1" hidden="1" customWidth="1"/>
    <col min="26" max="16384" width="9.42578125" style="1"/>
  </cols>
  <sheetData>
    <row r="1" spans="1:25" ht="24" thickBot="1" x14ac:dyDescent="0.3">
      <c r="A1" s="213" t="s">
        <v>176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5"/>
    </row>
    <row r="2" spans="1:25" x14ac:dyDescent="0.25">
      <c r="A2" s="165"/>
      <c r="B2" s="166" t="s">
        <v>50</v>
      </c>
      <c r="C2" s="162">
        <v>0.1</v>
      </c>
      <c r="D2" s="160">
        <v>15</v>
      </c>
      <c r="E2" s="160">
        <v>15</v>
      </c>
      <c r="F2" s="160">
        <v>15</v>
      </c>
      <c r="G2" s="160">
        <v>15</v>
      </c>
      <c r="H2" s="160">
        <v>15</v>
      </c>
      <c r="I2" s="160">
        <v>15</v>
      </c>
      <c r="J2" s="160">
        <v>15</v>
      </c>
      <c r="K2" s="160">
        <v>15</v>
      </c>
      <c r="L2" s="160">
        <v>15</v>
      </c>
      <c r="M2" s="167">
        <v>15</v>
      </c>
    </row>
    <row r="3" spans="1:25" x14ac:dyDescent="0.25">
      <c r="A3" s="165"/>
      <c r="B3" s="166" t="s">
        <v>103</v>
      </c>
      <c r="C3" s="166"/>
      <c r="D3" s="166">
        <v>45000</v>
      </c>
      <c r="E3" s="166">
        <f t="shared" ref="E3:M3" si="0">(1+$C$2)*D3</f>
        <v>49500.000000000007</v>
      </c>
      <c r="F3" s="166">
        <f t="shared" si="0"/>
        <v>54450.000000000015</v>
      </c>
      <c r="G3" s="166">
        <f t="shared" si="0"/>
        <v>59895.000000000022</v>
      </c>
      <c r="H3" s="166">
        <f t="shared" si="0"/>
        <v>65884.500000000029</v>
      </c>
      <c r="I3" s="166">
        <f t="shared" si="0"/>
        <v>72472.950000000041</v>
      </c>
      <c r="J3" s="166">
        <f t="shared" si="0"/>
        <v>79720.245000000054</v>
      </c>
      <c r="K3" s="166">
        <f t="shared" si="0"/>
        <v>87692.269500000068</v>
      </c>
      <c r="L3" s="166">
        <f t="shared" si="0"/>
        <v>96461.496450000079</v>
      </c>
      <c r="M3" s="168">
        <f t="shared" si="0"/>
        <v>106107.64609500009</v>
      </c>
    </row>
    <row r="4" spans="1:25" x14ac:dyDescent="0.25">
      <c r="A4" s="165"/>
      <c r="B4" s="166" t="s">
        <v>51</v>
      </c>
      <c r="C4" s="166"/>
      <c r="D4" s="159">
        <f>+D2*D3</f>
        <v>675000</v>
      </c>
      <c r="E4" s="159">
        <f>+E2*E3</f>
        <v>742500.00000000012</v>
      </c>
      <c r="F4" s="159">
        <f>+F2*F3</f>
        <v>816750.00000000023</v>
      </c>
      <c r="G4" s="159">
        <f>+G2*G3</f>
        <v>898425.00000000035</v>
      </c>
      <c r="H4" s="159">
        <f t="shared" ref="H4:M4" si="1">+H2*H3</f>
        <v>988267.50000000047</v>
      </c>
      <c r="I4" s="159">
        <f t="shared" si="1"/>
        <v>1087094.2500000007</v>
      </c>
      <c r="J4" s="159">
        <f t="shared" si="1"/>
        <v>1195803.6750000007</v>
      </c>
      <c r="K4" s="159">
        <f t="shared" si="1"/>
        <v>1315384.0425000009</v>
      </c>
      <c r="L4" s="159">
        <f t="shared" si="1"/>
        <v>1446922.4467500013</v>
      </c>
      <c r="M4" s="169">
        <f t="shared" si="1"/>
        <v>1591614.6914250012</v>
      </c>
    </row>
    <row r="5" spans="1:25" x14ac:dyDescent="0.25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8"/>
    </row>
    <row r="6" spans="1:25" x14ac:dyDescent="0.25">
      <c r="A6" s="165"/>
      <c r="B6" s="166" t="s">
        <v>50</v>
      </c>
      <c r="C6" s="162">
        <v>0.2</v>
      </c>
      <c r="D6" s="160">
        <v>20</v>
      </c>
      <c r="E6" s="160">
        <v>20</v>
      </c>
      <c r="F6" s="160">
        <v>20</v>
      </c>
      <c r="G6" s="160">
        <v>20</v>
      </c>
      <c r="H6" s="160">
        <v>20</v>
      </c>
      <c r="I6" s="160">
        <v>20</v>
      </c>
      <c r="J6" s="160">
        <v>20</v>
      </c>
      <c r="K6" s="160">
        <v>20</v>
      </c>
      <c r="L6" s="160">
        <v>20</v>
      </c>
      <c r="M6" s="167">
        <v>20</v>
      </c>
      <c r="U6" s="21">
        <f>9.5*2</f>
        <v>19</v>
      </c>
    </row>
    <row r="7" spans="1:25" x14ac:dyDescent="0.25">
      <c r="A7" s="165"/>
      <c r="B7" s="166" t="s">
        <v>104</v>
      </c>
      <c r="C7" s="166"/>
      <c r="D7" s="166">
        <v>10000</v>
      </c>
      <c r="E7" s="161">
        <f t="shared" ref="E7:M7" si="2">(1+$C$6)*D7</f>
        <v>12000</v>
      </c>
      <c r="F7" s="161">
        <f t="shared" si="2"/>
        <v>14400</v>
      </c>
      <c r="G7" s="161">
        <f t="shared" si="2"/>
        <v>17280</v>
      </c>
      <c r="H7" s="161">
        <f t="shared" si="2"/>
        <v>20736</v>
      </c>
      <c r="I7" s="161">
        <f t="shared" si="2"/>
        <v>24883.200000000001</v>
      </c>
      <c r="J7" s="161">
        <f t="shared" si="2"/>
        <v>29859.84</v>
      </c>
      <c r="K7" s="161">
        <f t="shared" si="2"/>
        <v>35831.807999999997</v>
      </c>
      <c r="L7" s="161">
        <f t="shared" si="2"/>
        <v>42998.169599999994</v>
      </c>
      <c r="M7" s="170">
        <f t="shared" si="2"/>
        <v>51597.803519999994</v>
      </c>
      <c r="U7" s="1">
        <f>9.5*0.05</f>
        <v>0.47500000000000003</v>
      </c>
      <c r="V7" s="1">
        <f>9.5-U7</f>
        <v>9.0250000000000004</v>
      </c>
      <c r="W7" s="22">
        <f>+V7*2</f>
        <v>18.05</v>
      </c>
    </row>
    <row r="8" spans="1:25" x14ac:dyDescent="0.25">
      <c r="A8" s="165"/>
      <c r="B8" s="166" t="s">
        <v>51</v>
      </c>
      <c r="C8" s="166"/>
      <c r="D8" s="159">
        <f>+D6*D7</f>
        <v>200000</v>
      </c>
      <c r="E8" s="160">
        <f>+E6*E7</f>
        <v>240000</v>
      </c>
      <c r="F8" s="160">
        <f>+F6*F7</f>
        <v>288000</v>
      </c>
      <c r="G8" s="160">
        <f>+G6*G7</f>
        <v>345600</v>
      </c>
      <c r="H8" s="160">
        <f t="shared" ref="H8:M8" si="3">+H6*H7</f>
        <v>414720</v>
      </c>
      <c r="I8" s="160">
        <f t="shared" si="3"/>
        <v>497664</v>
      </c>
      <c r="J8" s="160">
        <f t="shared" si="3"/>
        <v>597196.80000000005</v>
      </c>
      <c r="K8" s="160">
        <f t="shared" si="3"/>
        <v>716636.15999999992</v>
      </c>
      <c r="L8" s="160">
        <f t="shared" si="3"/>
        <v>859963.39199999988</v>
      </c>
      <c r="M8" s="167">
        <f t="shared" si="3"/>
        <v>1031956.0703999999</v>
      </c>
      <c r="W8" s="1">
        <f>V7*0.05</f>
        <v>0.45125000000000004</v>
      </c>
      <c r="X8" s="1">
        <f>+V7-W8</f>
        <v>8.5737500000000004</v>
      </c>
      <c r="Y8" s="22">
        <f>+X8*2</f>
        <v>17.147500000000001</v>
      </c>
    </row>
    <row r="9" spans="1:25" x14ac:dyDescent="0.25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8"/>
    </row>
    <row r="10" spans="1:25" x14ac:dyDescent="0.25">
      <c r="A10" s="165"/>
      <c r="B10" s="166" t="s">
        <v>105</v>
      </c>
      <c r="C10" s="162">
        <f>D10/D4</f>
        <v>8.8888888888888892E-2</v>
      </c>
      <c r="D10" s="160">
        <v>60000</v>
      </c>
      <c r="E10" s="160">
        <f t="shared" ref="E10:M10" si="4">E4*$C$10</f>
        <v>66000.000000000015</v>
      </c>
      <c r="F10" s="160">
        <f t="shared" si="4"/>
        <v>72600.000000000029</v>
      </c>
      <c r="G10" s="160">
        <f t="shared" si="4"/>
        <v>79860.000000000029</v>
      </c>
      <c r="H10" s="160">
        <f t="shared" si="4"/>
        <v>87846.000000000044</v>
      </c>
      <c r="I10" s="160">
        <f t="shared" si="4"/>
        <v>96630.600000000064</v>
      </c>
      <c r="J10" s="160">
        <f t="shared" si="4"/>
        <v>106293.66000000008</v>
      </c>
      <c r="K10" s="160">
        <f t="shared" si="4"/>
        <v>116923.02600000009</v>
      </c>
      <c r="L10" s="160">
        <f t="shared" si="4"/>
        <v>128615.32860000012</v>
      </c>
      <c r="M10" s="167">
        <f t="shared" si="4"/>
        <v>141476.8614600001</v>
      </c>
    </row>
    <row r="11" spans="1:25" x14ac:dyDescent="0.25">
      <c r="A11" s="165"/>
      <c r="B11" s="166" t="s">
        <v>106</v>
      </c>
      <c r="C11" s="162">
        <v>0.4</v>
      </c>
      <c r="D11" s="160">
        <v>8000</v>
      </c>
      <c r="E11" s="160">
        <f t="shared" ref="E11:M11" si="5">E8*$C$11</f>
        <v>96000</v>
      </c>
      <c r="F11" s="160">
        <f t="shared" si="5"/>
        <v>115200</v>
      </c>
      <c r="G11" s="160">
        <f t="shared" si="5"/>
        <v>138240</v>
      </c>
      <c r="H11" s="160">
        <f t="shared" si="5"/>
        <v>165888</v>
      </c>
      <c r="I11" s="160">
        <f t="shared" si="5"/>
        <v>199065.60000000001</v>
      </c>
      <c r="J11" s="160">
        <f t="shared" si="5"/>
        <v>238878.72000000003</v>
      </c>
      <c r="K11" s="160">
        <f t="shared" si="5"/>
        <v>286654.46399999998</v>
      </c>
      <c r="L11" s="160">
        <f t="shared" si="5"/>
        <v>343985.35679999995</v>
      </c>
      <c r="M11" s="167">
        <f t="shared" si="5"/>
        <v>412782.42815999995</v>
      </c>
    </row>
    <row r="12" spans="1:25" x14ac:dyDescent="0.25">
      <c r="A12" s="165"/>
      <c r="B12" s="166"/>
      <c r="C12" s="162"/>
      <c r="D12" s="160"/>
      <c r="E12" s="160"/>
      <c r="F12" s="160"/>
      <c r="G12" s="160"/>
      <c r="H12" s="160"/>
      <c r="I12" s="160"/>
      <c r="J12" s="160"/>
      <c r="K12" s="160"/>
      <c r="L12" s="160"/>
      <c r="M12" s="167"/>
    </row>
    <row r="13" spans="1:25" x14ac:dyDescent="0.25">
      <c r="A13" s="165"/>
      <c r="B13" s="166" t="s">
        <v>52</v>
      </c>
      <c r="C13" s="171">
        <f>D13/(D4+D8)</f>
        <v>1.1428571428571429E-2</v>
      </c>
      <c r="D13" s="160">
        <v>10000</v>
      </c>
      <c r="E13" s="160">
        <f t="shared" ref="E13:M13" si="6">(E4+E8)*$C$13</f>
        <v>11228.571428571429</v>
      </c>
      <c r="F13" s="160">
        <f t="shared" si="6"/>
        <v>12625.714285714288</v>
      </c>
      <c r="G13" s="160">
        <f t="shared" si="6"/>
        <v>14217.428571428576</v>
      </c>
      <c r="H13" s="160">
        <f t="shared" si="6"/>
        <v>16034.142857142862</v>
      </c>
      <c r="I13" s="160">
        <f t="shared" si="6"/>
        <v>18111.522857142863</v>
      </c>
      <c r="J13" s="160">
        <f t="shared" si="6"/>
        <v>20491.434000000008</v>
      </c>
      <c r="K13" s="160">
        <f t="shared" si="6"/>
        <v>23223.088028571437</v>
      </c>
      <c r="L13" s="160">
        <f t="shared" si="6"/>
        <v>26364.409585714297</v>
      </c>
      <c r="M13" s="167">
        <f t="shared" si="6"/>
        <v>29983.66584942858</v>
      </c>
    </row>
    <row r="14" spans="1:25" x14ac:dyDescent="0.25">
      <c r="A14" s="165"/>
      <c r="B14" s="166"/>
      <c r="C14" s="162"/>
      <c r="D14" s="172"/>
      <c r="E14" s="172"/>
      <c r="F14" s="172"/>
      <c r="G14" s="172"/>
      <c r="H14" s="172"/>
      <c r="I14" s="172"/>
      <c r="J14" s="172"/>
      <c r="K14" s="172"/>
      <c r="L14" s="172"/>
      <c r="M14" s="173"/>
    </row>
    <row r="15" spans="1:25" x14ac:dyDescent="0.25">
      <c r="A15" s="165"/>
      <c r="B15" s="174" t="s">
        <v>97</v>
      </c>
      <c r="C15" s="162">
        <v>0.05</v>
      </c>
      <c r="D15" s="174">
        <v>3</v>
      </c>
      <c r="E15" s="174">
        <v>3</v>
      </c>
      <c r="F15" s="174">
        <v>3</v>
      </c>
      <c r="G15" s="174">
        <v>3</v>
      </c>
      <c r="H15" s="174">
        <v>3</v>
      </c>
      <c r="I15" s="174">
        <v>3</v>
      </c>
      <c r="J15" s="174">
        <v>3</v>
      </c>
      <c r="K15" s="174">
        <v>3</v>
      </c>
      <c r="L15" s="174">
        <v>3</v>
      </c>
      <c r="M15" s="175">
        <v>3</v>
      </c>
    </row>
    <row r="16" spans="1:25" x14ac:dyDescent="0.25">
      <c r="A16" s="165"/>
      <c r="B16" s="174" t="s">
        <v>98</v>
      </c>
      <c r="C16" s="162">
        <v>-0.05</v>
      </c>
      <c r="D16" s="174">
        <v>30</v>
      </c>
      <c r="E16" s="176">
        <v>30</v>
      </c>
      <c r="F16" s="176">
        <v>30</v>
      </c>
      <c r="G16" s="176">
        <v>30</v>
      </c>
      <c r="H16" s="176">
        <v>30</v>
      </c>
      <c r="I16" s="176">
        <v>30</v>
      </c>
      <c r="J16" s="176">
        <v>30</v>
      </c>
      <c r="K16" s="176">
        <v>30</v>
      </c>
      <c r="L16" s="176">
        <v>30</v>
      </c>
      <c r="M16" s="177">
        <v>30</v>
      </c>
    </row>
    <row r="17" spans="1:18" ht="15.75" thickBot="1" x14ac:dyDescent="0.3">
      <c r="A17" s="178"/>
      <c r="B17" s="179" t="s">
        <v>99</v>
      </c>
      <c r="C17" s="180"/>
      <c r="D17" s="179">
        <v>20</v>
      </c>
      <c r="E17" s="179">
        <v>20</v>
      </c>
      <c r="F17" s="179">
        <v>20</v>
      </c>
      <c r="G17" s="179">
        <v>20</v>
      </c>
      <c r="H17" s="179">
        <v>20</v>
      </c>
      <c r="I17" s="179">
        <v>20</v>
      </c>
      <c r="J17" s="179">
        <v>20</v>
      </c>
      <c r="K17" s="179">
        <v>20</v>
      </c>
      <c r="L17" s="179">
        <v>20</v>
      </c>
      <c r="M17" s="181">
        <v>20</v>
      </c>
    </row>
    <row r="18" spans="1:18" s="69" customFormat="1" ht="15.75" thickBot="1" x14ac:dyDescent="0.3">
      <c r="A18" s="101"/>
      <c r="B18" s="62"/>
      <c r="C18" s="104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8" ht="24" thickBot="1" x14ac:dyDescent="0.3">
      <c r="A19" s="216" t="s">
        <v>177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8"/>
      <c r="N19" s="3"/>
      <c r="O19" s="3"/>
      <c r="P19" s="3"/>
      <c r="Q19" s="3"/>
      <c r="R19" s="3"/>
    </row>
    <row r="20" spans="1:18" x14ac:dyDescent="0.25">
      <c r="A20" s="185"/>
      <c r="B20" s="45" t="s">
        <v>125</v>
      </c>
      <c r="C20" s="45"/>
      <c r="D20" s="164">
        <v>2014</v>
      </c>
      <c r="E20" s="164">
        <v>2015</v>
      </c>
      <c r="F20" s="164">
        <v>2016</v>
      </c>
      <c r="G20" s="164">
        <v>2017</v>
      </c>
      <c r="H20" s="164">
        <v>2018</v>
      </c>
      <c r="I20" s="164">
        <v>2019</v>
      </c>
      <c r="J20" s="164">
        <v>2020</v>
      </c>
      <c r="K20" s="164">
        <v>2021</v>
      </c>
      <c r="L20" s="164">
        <v>2022</v>
      </c>
      <c r="M20" s="186">
        <v>2023</v>
      </c>
      <c r="N20" s="3"/>
      <c r="O20" s="3"/>
      <c r="P20" s="3"/>
      <c r="Q20" s="3"/>
      <c r="R20" s="3"/>
    </row>
    <row r="21" spans="1:18" x14ac:dyDescent="0.25">
      <c r="A21" s="185"/>
      <c r="B21" s="45"/>
      <c r="C21" s="45"/>
      <c r="D21" s="163">
        <v>1</v>
      </c>
      <c r="E21" s="163">
        <v>2</v>
      </c>
      <c r="F21" s="163">
        <v>3</v>
      </c>
      <c r="G21" s="163">
        <v>4</v>
      </c>
      <c r="H21" s="163">
        <v>5</v>
      </c>
      <c r="I21" s="163">
        <v>6</v>
      </c>
      <c r="J21" s="163">
        <v>7</v>
      </c>
      <c r="K21" s="163">
        <v>8</v>
      </c>
      <c r="L21" s="163">
        <v>9</v>
      </c>
      <c r="M21" s="187">
        <v>10</v>
      </c>
      <c r="N21" s="3"/>
      <c r="O21" s="3"/>
      <c r="P21" s="3"/>
      <c r="Q21" s="3"/>
      <c r="R21" s="3"/>
    </row>
    <row r="22" spans="1:18" x14ac:dyDescent="0.25">
      <c r="A22" s="185" t="s">
        <v>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188"/>
      <c r="N22" s="3"/>
      <c r="O22" s="3"/>
      <c r="P22" s="3"/>
      <c r="Q22" s="3"/>
      <c r="R22" s="3"/>
    </row>
    <row r="23" spans="1:18" x14ac:dyDescent="0.25">
      <c r="A23" s="185" t="s">
        <v>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188"/>
      <c r="N23" s="3"/>
      <c r="O23" s="3"/>
      <c r="P23" s="3"/>
      <c r="Q23" s="3"/>
      <c r="R23" s="3"/>
    </row>
    <row r="24" spans="1:18" x14ac:dyDescent="0.25">
      <c r="A24" s="185"/>
      <c r="B24" s="45" t="s">
        <v>107</v>
      </c>
      <c r="C24" s="46"/>
      <c r="D24" s="46">
        <f t="shared" ref="D24:M24" si="7">+D4</f>
        <v>675000</v>
      </c>
      <c r="E24" s="46">
        <f t="shared" si="7"/>
        <v>742500.00000000012</v>
      </c>
      <c r="F24" s="46">
        <f t="shared" si="7"/>
        <v>816750.00000000023</v>
      </c>
      <c r="G24" s="46">
        <f t="shared" si="7"/>
        <v>898425.00000000035</v>
      </c>
      <c r="H24" s="46">
        <f t="shared" si="7"/>
        <v>988267.50000000047</v>
      </c>
      <c r="I24" s="46">
        <f t="shared" si="7"/>
        <v>1087094.2500000007</v>
      </c>
      <c r="J24" s="46">
        <f t="shared" si="7"/>
        <v>1195803.6750000007</v>
      </c>
      <c r="K24" s="46">
        <f t="shared" si="7"/>
        <v>1315384.0425000009</v>
      </c>
      <c r="L24" s="46">
        <f t="shared" si="7"/>
        <v>1446922.4467500013</v>
      </c>
      <c r="M24" s="189">
        <f t="shared" si="7"/>
        <v>1591614.6914250012</v>
      </c>
      <c r="N24" s="3"/>
      <c r="O24" s="3"/>
      <c r="P24" s="3"/>
      <c r="Q24" s="3"/>
      <c r="R24" s="3"/>
    </row>
    <row r="25" spans="1:18" x14ac:dyDescent="0.25">
      <c r="A25" s="185"/>
      <c r="B25" s="45" t="s">
        <v>108</v>
      </c>
      <c r="C25" s="46"/>
      <c r="D25" s="46">
        <f t="shared" ref="D25:M25" si="8">D8</f>
        <v>200000</v>
      </c>
      <c r="E25" s="46">
        <f t="shared" si="8"/>
        <v>240000</v>
      </c>
      <c r="F25" s="46">
        <f t="shared" si="8"/>
        <v>288000</v>
      </c>
      <c r="G25" s="46">
        <f t="shared" si="8"/>
        <v>345600</v>
      </c>
      <c r="H25" s="46">
        <f t="shared" si="8"/>
        <v>414720</v>
      </c>
      <c r="I25" s="46">
        <f t="shared" si="8"/>
        <v>497664</v>
      </c>
      <c r="J25" s="46">
        <f t="shared" si="8"/>
        <v>597196.80000000005</v>
      </c>
      <c r="K25" s="46">
        <f t="shared" si="8"/>
        <v>716636.15999999992</v>
      </c>
      <c r="L25" s="46">
        <f t="shared" si="8"/>
        <v>859963.39199999988</v>
      </c>
      <c r="M25" s="189">
        <f t="shared" si="8"/>
        <v>1031956.0703999999</v>
      </c>
      <c r="N25" s="3"/>
      <c r="O25" s="3"/>
      <c r="P25" s="3"/>
      <c r="Q25" s="3"/>
      <c r="R25" s="3"/>
    </row>
    <row r="26" spans="1:18" x14ac:dyDescent="0.25">
      <c r="A26" s="185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89"/>
      <c r="N26" s="3"/>
      <c r="O26" s="3"/>
      <c r="P26" s="3"/>
      <c r="Q26" s="3"/>
      <c r="R26" s="3"/>
    </row>
    <row r="27" spans="1:18" x14ac:dyDescent="0.25">
      <c r="A27" s="185" t="s">
        <v>4</v>
      </c>
      <c r="B27" s="45"/>
      <c r="C27" s="46"/>
      <c r="D27" s="46">
        <f>$N$27*(D24+D25)</f>
        <v>612500</v>
      </c>
      <c r="E27" s="46">
        <f t="shared" ref="E27:M27" si="9">$N$27*(E24+E25)</f>
        <v>687750</v>
      </c>
      <c r="F27" s="46">
        <f t="shared" si="9"/>
        <v>773325.00000000012</v>
      </c>
      <c r="G27" s="46">
        <f t="shared" si="9"/>
        <v>870817.50000000023</v>
      </c>
      <c r="H27" s="46">
        <f t="shared" si="9"/>
        <v>982091.25000000023</v>
      </c>
      <c r="I27" s="46">
        <f t="shared" si="9"/>
        <v>1109330.7750000004</v>
      </c>
      <c r="J27" s="46">
        <f t="shared" si="9"/>
        <v>1255100.3325000005</v>
      </c>
      <c r="K27" s="46">
        <f t="shared" si="9"/>
        <v>1422414.1417500004</v>
      </c>
      <c r="L27" s="46">
        <f t="shared" si="9"/>
        <v>1614820.0871250005</v>
      </c>
      <c r="M27" s="189">
        <f t="shared" si="9"/>
        <v>1836499.5332775004</v>
      </c>
      <c r="N27" s="153">
        <v>0.7</v>
      </c>
      <c r="O27" s="3"/>
      <c r="P27" s="3"/>
      <c r="Q27" s="3"/>
      <c r="R27" s="3"/>
    </row>
    <row r="28" spans="1:18" x14ac:dyDescent="0.25">
      <c r="A28" s="185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189"/>
      <c r="N28" s="3"/>
      <c r="O28" s="3"/>
      <c r="P28" s="3"/>
      <c r="Q28" s="3"/>
      <c r="R28" s="3"/>
    </row>
    <row r="29" spans="1:18" x14ac:dyDescent="0.25">
      <c r="A29" s="185" t="s">
        <v>5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89"/>
      <c r="N29" s="3"/>
      <c r="O29" s="3"/>
      <c r="P29" s="3"/>
      <c r="Q29" s="3"/>
      <c r="R29" s="3"/>
    </row>
    <row r="30" spans="1:18" x14ac:dyDescent="0.25">
      <c r="A30" s="185"/>
      <c r="B30" s="45" t="s">
        <v>109</v>
      </c>
      <c r="C30" s="46"/>
      <c r="D30" s="46">
        <f t="shared" ref="D30:M30" si="10">D10</f>
        <v>60000</v>
      </c>
      <c r="E30" s="46">
        <f t="shared" si="10"/>
        <v>66000.000000000015</v>
      </c>
      <c r="F30" s="46">
        <f t="shared" si="10"/>
        <v>72600.000000000029</v>
      </c>
      <c r="G30" s="46">
        <f t="shared" si="10"/>
        <v>79860.000000000029</v>
      </c>
      <c r="H30" s="46">
        <f t="shared" si="10"/>
        <v>87846.000000000044</v>
      </c>
      <c r="I30" s="46">
        <f t="shared" si="10"/>
        <v>96630.600000000064</v>
      </c>
      <c r="J30" s="46">
        <f t="shared" si="10"/>
        <v>106293.66000000008</v>
      </c>
      <c r="K30" s="46">
        <f t="shared" si="10"/>
        <v>116923.02600000009</v>
      </c>
      <c r="L30" s="46">
        <f t="shared" si="10"/>
        <v>128615.32860000012</v>
      </c>
      <c r="M30" s="189">
        <f t="shared" si="10"/>
        <v>141476.8614600001</v>
      </c>
      <c r="N30" s="3"/>
      <c r="O30" s="4"/>
      <c r="P30" s="3"/>
      <c r="Q30" s="3"/>
      <c r="R30" s="3"/>
    </row>
    <row r="31" spans="1:18" x14ac:dyDescent="0.25">
      <c r="A31" s="185"/>
      <c r="B31" s="45" t="s">
        <v>106</v>
      </c>
      <c r="C31" s="46"/>
      <c r="D31" s="46">
        <f t="shared" ref="D31:M31" si="11">D11</f>
        <v>8000</v>
      </c>
      <c r="E31" s="46">
        <f t="shared" si="11"/>
        <v>96000</v>
      </c>
      <c r="F31" s="46">
        <f t="shared" si="11"/>
        <v>115200</v>
      </c>
      <c r="G31" s="46">
        <f t="shared" si="11"/>
        <v>138240</v>
      </c>
      <c r="H31" s="46">
        <f t="shared" si="11"/>
        <v>165888</v>
      </c>
      <c r="I31" s="46">
        <f t="shared" si="11"/>
        <v>199065.60000000001</v>
      </c>
      <c r="J31" s="46">
        <f t="shared" si="11"/>
        <v>238878.72000000003</v>
      </c>
      <c r="K31" s="46">
        <f t="shared" si="11"/>
        <v>286654.46399999998</v>
      </c>
      <c r="L31" s="46">
        <f t="shared" si="11"/>
        <v>343985.35679999995</v>
      </c>
      <c r="M31" s="189">
        <f t="shared" si="11"/>
        <v>412782.42815999995</v>
      </c>
      <c r="N31" s="3"/>
      <c r="O31" s="4"/>
      <c r="P31" s="3"/>
      <c r="Q31" s="3"/>
      <c r="R31" s="3"/>
    </row>
    <row r="32" spans="1:18" x14ac:dyDescent="0.25">
      <c r="A32" s="185"/>
      <c r="B32" s="45" t="s">
        <v>8</v>
      </c>
      <c r="C32" s="46"/>
      <c r="D32" s="46">
        <f t="shared" ref="D32:M32" si="12">D13</f>
        <v>10000</v>
      </c>
      <c r="E32" s="46">
        <f t="shared" si="12"/>
        <v>11228.571428571429</v>
      </c>
      <c r="F32" s="46">
        <f t="shared" si="12"/>
        <v>12625.714285714288</v>
      </c>
      <c r="G32" s="46">
        <f t="shared" si="12"/>
        <v>14217.428571428576</v>
      </c>
      <c r="H32" s="46">
        <f t="shared" si="12"/>
        <v>16034.142857142862</v>
      </c>
      <c r="I32" s="46">
        <f t="shared" si="12"/>
        <v>18111.522857142863</v>
      </c>
      <c r="J32" s="46">
        <f t="shared" si="12"/>
        <v>20491.434000000008</v>
      </c>
      <c r="K32" s="46">
        <f t="shared" si="12"/>
        <v>23223.088028571437</v>
      </c>
      <c r="L32" s="46">
        <f t="shared" si="12"/>
        <v>26364.409585714297</v>
      </c>
      <c r="M32" s="189">
        <f t="shared" si="12"/>
        <v>29983.66584942858</v>
      </c>
      <c r="N32" s="3"/>
      <c r="O32" s="4"/>
      <c r="P32" s="3"/>
      <c r="Q32" s="3"/>
      <c r="R32" s="3"/>
    </row>
    <row r="33" spans="1:20" x14ac:dyDescent="0.25">
      <c r="A33" s="185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189"/>
      <c r="N33" s="3"/>
      <c r="O33" s="3"/>
      <c r="P33" s="3"/>
      <c r="Q33" s="3"/>
      <c r="R33" s="3"/>
    </row>
    <row r="34" spans="1:20" x14ac:dyDescent="0.25">
      <c r="A34" s="185" t="s">
        <v>9</v>
      </c>
      <c r="B34" s="45"/>
      <c r="C34" s="46"/>
      <c r="D34" s="46">
        <f t="shared" ref="D34:M34" si="13">$O$34</f>
        <v>46666.666666666664</v>
      </c>
      <c r="E34" s="46">
        <f t="shared" si="13"/>
        <v>46666.666666666664</v>
      </c>
      <c r="F34" s="46">
        <f t="shared" si="13"/>
        <v>46666.666666666664</v>
      </c>
      <c r="G34" s="46">
        <f t="shared" si="13"/>
        <v>46666.666666666664</v>
      </c>
      <c r="H34" s="46">
        <f t="shared" si="13"/>
        <v>46666.666666666664</v>
      </c>
      <c r="I34" s="46">
        <f t="shared" si="13"/>
        <v>46666.666666666664</v>
      </c>
      <c r="J34" s="46">
        <f t="shared" si="13"/>
        <v>46666.666666666664</v>
      </c>
      <c r="K34" s="46">
        <f t="shared" si="13"/>
        <v>46666.666666666664</v>
      </c>
      <c r="L34" s="46">
        <f t="shared" si="13"/>
        <v>46666.666666666664</v>
      </c>
      <c r="M34" s="189">
        <f t="shared" si="13"/>
        <v>46666.666666666664</v>
      </c>
      <c r="N34" s="155">
        <f>1/30</f>
        <v>3.3333333333333333E-2</v>
      </c>
      <c r="O34" s="158">
        <f>1400000*N34</f>
        <v>46666.666666666664</v>
      </c>
      <c r="P34" s="3"/>
      <c r="Q34" s="3"/>
      <c r="R34" s="3"/>
    </row>
    <row r="35" spans="1:20" x14ac:dyDescent="0.25">
      <c r="A35" s="185" t="s">
        <v>10</v>
      </c>
      <c r="B35" s="45"/>
      <c r="C35" s="46"/>
      <c r="D35" s="46">
        <f>Mortgage!K14</f>
        <v>79698.109055818641</v>
      </c>
      <c r="E35" s="46">
        <f>Mortgage!K29</f>
        <v>79004.761071565401</v>
      </c>
      <c r="F35" s="46">
        <f>Mortgage!K44</f>
        <v>78253.865546573157</v>
      </c>
      <c r="G35" s="46">
        <f>Mortgage!K59</f>
        <v>77440.646063342618</v>
      </c>
      <c r="H35" s="46">
        <f>Mortgage!K73</f>
        <v>76559.929764077664</v>
      </c>
      <c r="I35" s="46">
        <f>Mortgage!K87</f>
        <v>75606.114446336403</v>
      </c>
      <c r="J35" s="46">
        <f>Mortgage!K101</f>
        <v>74573.132927637154</v>
      </c>
      <c r="K35" s="46">
        <f>Mortgage!K115</f>
        <v>73454.414452344616</v>
      </c>
      <c r="L35" s="46">
        <f>Mortgage!K129</f>
        <v>72242.842895346315</v>
      </c>
      <c r="M35" s="189">
        <f>Mortgage!K143</f>
        <v>70930.71149665516</v>
      </c>
      <c r="N35" s="156">
        <v>0.08</v>
      </c>
      <c r="P35" s="3"/>
      <c r="Q35" s="3"/>
      <c r="R35" s="3"/>
    </row>
    <row r="36" spans="1:20" x14ac:dyDescent="0.25">
      <c r="A36" s="185" t="s">
        <v>11</v>
      </c>
      <c r="B36" s="45"/>
      <c r="C36" s="46"/>
      <c r="D36" s="46">
        <f>D60*$N$36</f>
        <v>70449.459648917502</v>
      </c>
      <c r="E36" s="46">
        <f>E60*$N$36</f>
        <v>51618.64978193889</v>
      </c>
      <c r="F36" s="46">
        <f>F60*$N$36</f>
        <v>53091.901849868984</v>
      </c>
      <c r="G36" s="46">
        <f t="shared" ref="G36:M36" si="14">G60*$N$36</f>
        <v>53580.704784657246</v>
      </c>
      <c r="H36" s="46">
        <f t="shared" si="14"/>
        <v>52929.211787178749</v>
      </c>
      <c r="I36" s="46">
        <f t="shared" si="14"/>
        <v>50975.392830492048</v>
      </c>
      <c r="J36" s="46">
        <f t="shared" si="14"/>
        <v>47554.877527721757</v>
      </c>
      <c r="K36" s="46">
        <f t="shared" si="14"/>
        <v>42591.468040977627</v>
      </c>
      <c r="L36" s="46">
        <f t="shared" si="14"/>
        <v>36271.510168438879</v>
      </c>
      <c r="M36" s="189">
        <f t="shared" si="14"/>
        <v>28546.163649824219</v>
      </c>
      <c r="N36" s="157">
        <v>0.11</v>
      </c>
      <c r="O36" s="3"/>
      <c r="P36" s="3"/>
      <c r="Q36" s="3"/>
      <c r="R36" s="3"/>
    </row>
    <row r="37" spans="1:20" x14ac:dyDescent="0.25">
      <c r="A37" s="18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189"/>
      <c r="N37" s="3"/>
      <c r="O37" s="5"/>
      <c r="P37" s="3"/>
      <c r="Q37" s="3"/>
      <c r="R37" s="3"/>
    </row>
    <row r="38" spans="1:20" x14ac:dyDescent="0.25">
      <c r="A38" s="185" t="s">
        <v>12</v>
      </c>
      <c r="B38" s="45"/>
      <c r="C38" s="46"/>
      <c r="D38" s="47">
        <f>SUM(D24:D25)-SUM(D27:D36)</f>
        <v>-12314.235371402814</v>
      </c>
      <c r="E38" s="47">
        <f>SUM(E24:E25)-SUM(E27:E36)</f>
        <v>-55768.64894874231</v>
      </c>
      <c r="F38" s="60">
        <f>SUM(F24:F25)-SUM(F27:F36)</f>
        <v>-47013.148348822957</v>
      </c>
      <c r="G38" s="47">
        <f>SUM(G24:G25)-SUM(G27:G36)</f>
        <v>-36797.94608609518</v>
      </c>
      <c r="H38" s="47">
        <f t="shared" ref="H38:M38" si="15">SUM(H24:H25)-SUM(H27:H36)</f>
        <v>-25027.701075065881</v>
      </c>
      <c r="I38" s="47">
        <f t="shared" si="15"/>
        <v>-11628.421800637851</v>
      </c>
      <c r="J38" s="47">
        <f t="shared" si="15"/>
        <v>3441.6513779745437</v>
      </c>
      <c r="K38" s="47">
        <f t="shared" si="15"/>
        <v>20092.933561440092</v>
      </c>
      <c r="L38" s="47">
        <f t="shared" si="15"/>
        <v>37919.6369088348</v>
      </c>
      <c r="M38" s="190">
        <f t="shared" si="15"/>
        <v>56684.731264925562</v>
      </c>
      <c r="N38" s="3"/>
      <c r="O38" s="5"/>
      <c r="P38" s="3"/>
      <c r="Q38" s="3"/>
      <c r="R38" s="3"/>
    </row>
    <row r="39" spans="1:20" x14ac:dyDescent="0.25">
      <c r="A39" s="185" t="s">
        <v>13</v>
      </c>
      <c r="B39" s="45"/>
      <c r="C39" s="46"/>
      <c r="D39" s="46">
        <f>IF(D38&lt;0,0,D38*$N$39)</f>
        <v>0</v>
      </c>
      <c r="E39" s="46">
        <f>IF(E38&lt;0,0,E38*$N$39)</f>
        <v>0</v>
      </c>
      <c r="F39" s="46">
        <f>IF(F38&lt;0,0,F38*$N$39)</f>
        <v>0</v>
      </c>
      <c r="G39" s="46">
        <f>IF(G38&lt;0,0,G38*$N$39)</f>
        <v>0</v>
      </c>
      <c r="H39" s="46">
        <f t="shared" ref="H39:M39" si="16">IF(H38&lt;0,0,H38*$N$39)</f>
        <v>0</v>
      </c>
      <c r="I39" s="46">
        <f t="shared" si="16"/>
        <v>0</v>
      </c>
      <c r="J39" s="46">
        <f t="shared" si="16"/>
        <v>688.33027559490881</v>
      </c>
      <c r="K39" s="46">
        <f t="shared" si="16"/>
        <v>4018.5867122880186</v>
      </c>
      <c r="L39" s="46">
        <f t="shared" si="16"/>
        <v>7583.92738176696</v>
      </c>
      <c r="M39" s="189">
        <f t="shared" si="16"/>
        <v>11336.946252985113</v>
      </c>
      <c r="N39" s="154">
        <v>0.2</v>
      </c>
      <c r="O39" s="4"/>
      <c r="P39" s="3"/>
      <c r="Q39" s="3"/>
      <c r="R39" s="3"/>
    </row>
    <row r="40" spans="1:20" x14ac:dyDescent="0.25">
      <c r="A40" s="185" t="s">
        <v>14</v>
      </c>
      <c r="B40" s="45"/>
      <c r="C40" s="46"/>
      <c r="D40" s="46">
        <f>D38-D39</f>
        <v>-12314.235371402814</v>
      </c>
      <c r="E40" s="46">
        <f>E38-E39</f>
        <v>-55768.64894874231</v>
      </c>
      <c r="F40" s="46">
        <f>F38-F39</f>
        <v>-47013.148348822957</v>
      </c>
      <c r="G40" s="46">
        <f>G38-G39</f>
        <v>-36797.94608609518</v>
      </c>
      <c r="H40" s="46">
        <f t="shared" ref="H40:M40" si="17">H38-H39</f>
        <v>-25027.701075065881</v>
      </c>
      <c r="I40" s="46">
        <f t="shared" si="17"/>
        <v>-11628.421800637851</v>
      </c>
      <c r="J40" s="46">
        <f t="shared" si="17"/>
        <v>2753.3211023796348</v>
      </c>
      <c r="K40" s="46">
        <f t="shared" si="17"/>
        <v>16074.346849152073</v>
      </c>
      <c r="L40" s="46">
        <f t="shared" si="17"/>
        <v>30335.70952706784</v>
      </c>
      <c r="M40" s="189">
        <f t="shared" si="17"/>
        <v>45347.785011940447</v>
      </c>
      <c r="N40" s="3"/>
      <c r="O40" s="3"/>
      <c r="P40" s="3"/>
      <c r="Q40" s="3"/>
      <c r="R40" s="3"/>
    </row>
    <row r="41" spans="1:20" x14ac:dyDescent="0.25">
      <c r="A41" s="185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189"/>
      <c r="N41" s="3"/>
      <c r="O41" s="3"/>
      <c r="P41" s="3"/>
      <c r="Q41" s="3"/>
      <c r="R41" s="3"/>
    </row>
    <row r="42" spans="1:20" x14ac:dyDescent="0.25">
      <c r="A42" s="185" t="s">
        <v>15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189"/>
      <c r="N42" s="3"/>
      <c r="O42" s="3"/>
      <c r="P42" s="3"/>
      <c r="Q42" s="3"/>
      <c r="R42" s="3"/>
    </row>
    <row r="43" spans="1:20" x14ac:dyDescent="0.25">
      <c r="A43" s="185" t="s">
        <v>16</v>
      </c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189"/>
      <c r="N43" s="3"/>
      <c r="O43" s="3"/>
      <c r="P43" s="3"/>
      <c r="Q43" s="3"/>
      <c r="R43" s="3"/>
    </row>
    <row r="44" spans="1:20" x14ac:dyDescent="0.25">
      <c r="A44" s="185" t="s">
        <v>17</v>
      </c>
      <c r="B44" s="45"/>
      <c r="C44" s="46"/>
      <c r="D44" s="46">
        <v>1000</v>
      </c>
      <c r="E44" s="46">
        <v>1000</v>
      </c>
      <c r="F44" s="46">
        <v>1000</v>
      </c>
      <c r="G44" s="46">
        <v>1000</v>
      </c>
      <c r="H44" s="46">
        <v>1000</v>
      </c>
      <c r="I44" s="46">
        <v>1000</v>
      </c>
      <c r="J44" s="46">
        <v>1000</v>
      </c>
      <c r="K44" s="46">
        <v>1000</v>
      </c>
      <c r="L44" s="46">
        <v>1000</v>
      </c>
      <c r="M44" s="189">
        <v>1000</v>
      </c>
      <c r="N44" s="3"/>
      <c r="O44" s="3"/>
      <c r="P44" s="3"/>
      <c r="Q44" s="3"/>
      <c r="R44" s="3"/>
    </row>
    <row r="45" spans="1:20" x14ac:dyDescent="0.25">
      <c r="A45" s="185" t="s">
        <v>18</v>
      </c>
      <c r="B45" s="45"/>
      <c r="C45" s="46"/>
      <c r="D45" s="46">
        <v>192195</v>
      </c>
      <c r="E45" s="46"/>
      <c r="F45" s="46"/>
      <c r="G45" s="46"/>
      <c r="H45" s="46"/>
      <c r="I45" s="46"/>
      <c r="J45" s="46"/>
      <c r="K45" s="46"/>
      <c r="L45" s="46"/>
      <c r="M45" s="189"/>
      <c r="N45" s="3"/>
      <c r="O45" s="3"/>
      <c r="P45" s="3"/>
      <c r="Q45" s="3"/>
      <c r="R45" s="3"/>
    </row>
    <row r="46" spans="1:20" x14ac:dyDescent="0.25">
      <c r="A46" s="185" t="s">
        <v>19</v>
      </c>
      <c r="B46" s="45"/>
      <c r="C46" s="46"/>
      <c r="D46" s="46">
        <f>((D15/365)*($N$46*(D24+D25)))</f>
        <v>6472.6027397260268</v>
      </c>
      <c r="E46" s="46">
        <f t="shared" ref="E46:M46" si="18">((E15/365)*($N$46*(E24+E25)))</f>
        <v>7267.8082191780823</v>
      </c>
      <c r="F46" s="46">
        <f t="shared" si="18"/>
        <v>8172.1232876712338</v>
      </c>
      <c r="G46" s="46">
        <f t="shared" si="18"/>
        <v>9202.3767123287707</v>
      </c>
      <c r="H46" s="46">
        <f t="shared" si="18"/>
        <v>10378.26369863014</v>
      </c>
      <c r="I46" s="46">
        <f t="shared" si="18"/>
        <v>11722.869246575347</v>
      </c>
      <c r="J46" s="46">
        <f t="shared" si="18"/>
        <v>13263.291184931511</v>
      </c>
      <c r="K46" s="46">
        <f t="shared" si="18"/>
        <v>15031.382319863018</v>
      </c>
      <c r="L46" s="46">
        <f t="shared" si="18"/>
        <v>17064.634971575349</v>
      </c>
      <c r="M46" s="189">
        <f t="shared" si="18"/>
        <v>19407.235772404114</v>
      </c>
      <c r="N46" s="153">
        <v>0.9</v>
      </c>
      <c r="O46" s="3"/>
      <c r="P46" s="3"/>
      <c r="Q46" s="3"/>
      <c r="R46" s="3"/>
    </row>
    <row r="47" spans="1:20" x14ac:dyDescent="0.25">
      <c r="A47" s="185" t="s">
        <v>20</v>
      </c>
      <c r="B47" s="45"/>
      <c r="C47" s="46"/>
      <c r="D47" s="46">
        <f>+D27/365*D16</f>
        <v>50342.465753424658</v>
      </c>
      <c r="E47" s="46">
        <f>+E27/365*E16</f>
        <v>56527.397260273974</v>
      </c>
      <c r="F47" s="46">
        <f>+F27/365*F16</f>
        <v>63560.958904109597</v>
      </c>
      <c r="G47" s="46">
        <f>+G27/365*G16</f>
        <v>71574.041095890425</v>
      </c>
      <c r="H47" s="46">
        <f t="shared" ref="H47:M47" si="19">+H27/365*H16</f>
        <v>80719.828767123312</v>
      </c>
      <c r="I47" s="46">
        <f t="shared" si="19"/>
        <v>91177.871917808254</v>
      </c>
      <c r="J47" s="46">
        <f t="shared" si="19"/>
        <v>103158.9314383562</v>
      </c>
      <c r="K47" s="46">
        <f t="shared" si="19"/>
        <v>116910.75137671236</v>
      </c>
      <c r="L47" s="46">
        <f t="shared" si="19"/>
        <v>132724.93866780828</v>
      </c>
      <c r="M47" s="189">
        <f t="shared" si="19"/>
        <v>150945.16711869865</v>
      </c>
      <c r="N47" s="19"/>
      <c r="O47" s="3"/>
      <c r="P47" s="3"/>
      <c r="Q47" s="3"/>
      <c r="R47" s="3"/>
    </row>
    <row r="48" spans="1:20" x14ac:dyDescent="0.25">
      <c r="A48" s="18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189"/>
      <c r="N48" s="134"/>
      <c r="O48" s="134"/>
      <c r="P48" s="134" t="s">
        <v>147</v>
      </c>
      <c r="Q48" s="134"/>
      <c r="R48" s="134"/>
      <c r="S48" s="135" t="s">
        <v>141</v>
      </c>
      <c r="T48" s="135"/>
    </row>
    <row r="49" spans="1:21" x14ac:dyDescent="0.25">
      <c r="A49" s="185" t="s">
        <v>64</v>
      </c>
      <c r="B49" s="45"/>
      <c r="C49" s="46"/>
      <c r="D49" s="46">
        <v>600000</v>
      </c>
      <c r="E49" s="46">
        <v>600000</v>
      </c>
      <c r="F49" s="46">
        <v>600000</v>
      </c>
      <c r="G49" s="46">
        <v>600000</v>
      </c>
      <c r="H49" s="46">
        <v>600000</v>
      </c>
      <c r="I49" s="46">
        <v>600000</v>
      </c>
      <c r="J49" s="46">
        <v>600000</v>
      </c>
      <c r="K49" s="46">
        <v>600000</v>
      </c>
      <c r="L49" s="46">
        <v>600000</v>
      </c>
      <c r="M49" s="46">
        <v>600000</v>
      </c>
      <c r="N49" s="134"/>
      <c r="O49" s="134"/>
      <c r="P49" s="134"/>
      <c r="Q49" s="134"/>
      <c r="R49" s="134"/>
      <c r="S49" s="135"/>
      <c r="T49" s="135"/>
    </row>
    <row r="50" spans="1:21" x14ac:dyDescent="0.25">
      <c r="A50" s="185" t="s">
        <v>21</v>
      </c>
      <c r="B50" s="45"/>
      <c r="C50" s="46"/>
      <c r="D50" s="46">
        <v>1400000</v>
      </c>
      <c r="E50" s="46">
        <v>1400000</v>
      </c>
      <c r="F50" s="46">
        <v>1400000</v>
      </c>
      <c r="G50" s="46">
        <v>1400000</v>
      </c>
      <c r="H50" s="46">
        <v>1400000</v>
      </c>
      <c r="I50" s="46">
        <v>1400000</v>
      </c>
      <c r="J50" s="46">
        <v>1400000</v>
      </c>
      <c r="K50" s="46">
        <v>1400000</v>
      </c>
      <c r="L50" s="46">
        <v>1400000</v>
      </c>
      <c r="M50" s="189">
        <v>1400000</v>
      </c>
      <c r="N50" s="182" t="s">
        <v>129</v>
      </c>
      <c r="O50" s="147"/>
      <c r="P50" s="147">
        <v>0.59</v>
      </c>
      <c r="Q50" s="135"/>
      <c r="R50" s="135" t="s">
        <v>62</v>
      </c>
      <c r="S50" s="136">
        <v>0.2</v>
      </c>
      <c r="T50" s="137"/>
      <c r="U50" s="67"/>
    </row>
    <row r="51" spans="1:21" x14ac:dyDescent="0.25">
      <c r="A51" s="185" t="s">
        <v>22</v>
      </c>
      <c r="B51" s="45"/>
      <c r="C51" s="46"/>
      <c r="D51" s="46">
        <f>D34</f>
        <v>46666.666666666664</v>
      </c>
      <c r="E51" s="46">
        <f>D51+E34</f>
        <v>93333.333333333328</v>
      </c>
      <c r="F51" s="46">
        <f>E51+F34</f>
        <v>140000</v>
      </c>
      <c r="G51" s="46">
        <f>F51+G34</f>
        <v>186666.66666666666</v>
      </c>
      <c r="H51" s="46">
        <f t="shared" ref="H51:M51" si="20">G51+H34</f>
        <v>233333.33333333331</v>
      </c>
      <c r="I51" s="46">
        <f t="shared" si="20"/>
        <v>280000</v>
      </c>
      <c r="J51" s="46">
        <f t="shared" si="20"/>
        <v>326666.66666666669</v>
      </c>
      <c r="K51" s="46">
        <f t="shared" si="20"/>
        <v>373333.33333333337</v>
      </c>
      <c r="L51" s="46">
        <f t="shared" si="20"/>
        <v>420000.00000000006</v>
      </c>
      <c r="M51" s="189">
        <f t="shared" si="20"/>
        <v>466666.66666666674</v>
      </c>
      <c r="N51" s="182" t="s">
        <v>130</v>
      </c>
      <c r="O51" s="147"/>
      <c r="P51" s="147">
        <v>1.8870994126386569</v>
      </c>
      <c r="Q51" s="136"/>
      <c r="R51" s="138" t="s">
        <v>142</v>
      </c>
      <c r="S51" s="139">
        <v>0.72</v>
      </c>
      <c r="T51" s="137" t="s">
        <v>146</v>
      </c>
      <c r="U51" s="80"/>
    </row>
    <row r="52" spans="1:21" x14ac:dyDescent="0.25">
      <c r="A52" s="185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189"/>
      <c r="N52" s="182" t="s">
        <v>131</v>
      </c>
      <c r="O52" s="147"/>
      <c r="P52" s="148">
        <v>3.78E-2</v>
      </c>
      <c r="Q52" s="135"/>
      <c r="R52" s="140" t="s">
        <v>143</v>
      </c>
      <c r="S52" s="136">
        <f>1-S51</f>
        <v>0.28000000000000003</v>
      </c>
      <c r="T52" s="135"/>
      <c r="U52" s="80"/>
    </row>
    <row r="53" spans="1:21" x14ac:dyDescent="0.25">
      <c r="A53" s="185" t="s">
        <v>23</v>
      </c>
      <c r="B53" s="45"/>
      <c r="C53" s="46"/>
      <c r="D53" s="46">
        <f>SUM(D44:D50)-D51</f>
        <v>2203343.4018264841</v>
      </c>
      <c r="E53" s="46">
        <f>SUM(E44:E50)-E51</f>
        <v>1971461.8721461187</v>
      </c>
      <c r="F53" s="46">
        <f>SUM(F44:F50)-F51</f>
        <v>1932733.0821917807</v>
      </c>
      <c r="G53" s="46">
        <f>SUM(G44:G50)-G51</f>
        <v>1895109.7511415526</v>
      </c>
      <c r="H53" s="46">
        <f t="shared" ref="H53:M53" si="21">SUM(H44:H50)-H51</f>
        <v>1858764.7591324202</v>
      </c>
      <c r="I53" s="46">
        <f t="shared" si="21"/>
        <v>1823900.7411643835</v>
      </c>
      <c r="J53" s="46">
        <f t="shared" si="21"/>
        <v>1790755.555956621</v>
      </c>
      <c r="K53" s="46">
        <f t="shared" si="21"/>
        <v>1759608.8003632422</v>
      </c>
      <c r="L53" s="46">
        <f t="shared" si="21"/>
        <v>1730789.5736393835</v>
      </c>
      <c r="M53" s="189">
        <f t="shared" si="21"/>
        <v>1704685.736224436</v>
      </c>
      <c r="N53" s="182" t="s">
        <v>132</v>
      </c>
      <c r="O53" s="147"/>
      <c r="P53" s="148">
        <v>0.13</v>
      </c>
      <c r="Q53" s="135"/>
      <c r="R53" s="140" t="s">
        <v>144</v>
      </c>
      <c r="S53" s="135">
        <v>0.32710280373831774</v>
      </c>
      <c r="T53" s="135"/>
    </row>
    <row r="54" spans="1:21" x14ac:dyDescent="0.25">
      <c r="A54" s="185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189"/>
      <c r="N54" s="182" t="s">
        <v>139</v>
      </c>
      <c r="O54" s="147"/>
      <c r="P54" s="146">
        <f>P51*(P53-P52)+P52</f>
        <v>0.21179056584528416</v>
      </c>
      <c r="Q54" s="135"/>
      <c r="R54" s="135" t="s">
        <v>145</v>
      </c>
      <c r="S54" s="135">
        <f>(1+((1-S50)*(S51/S52)))*S53</f>
        <v>0.99999999999999989</v>
      </c>
      <c r="T54" s="135"/>
    </row>
    <row r="55" spans="1:21" x14ac:dyDescent="0.25">
      <c r="A55" s="185" t="s">
        <v>24</v>
      </c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189"/>
      <c r="N55" s="135"/>
      <c r="O55" s="135"/>
      <c r="P55" s="135"/>
      <c r="Q55" s="135"/>
      <c r="R55" s="135"/>
      <c r="S55" s="135"/>
      <c r="T55" s="135"/>
    </row>
    <row r="56" spans="1:21" x14ac:dyDescent="0.25">
      <c r="A56" s="185" t="s">
        <v>25</v>
      </c>
      <c r="B56" s="45"/>
      <c r="C56" s="46"/>
      <c r="D56" s="61">
        <f>(D17/365)*D27</f>
        <v>33561.643835616436</v>
      </c>
      <c r="E56" s="61">
        <f t="shared" ref="E56:M56" si="22">(E17/365)*E27</f>
        <v>37684.931506849316</v>
      </c>
      <c r="F56" s="61">
        <f t="shared" si="22"/>
        <v>42373.972602739726</v>
      </c>
      <c r="G56" s="61">
        <f t="shared" si="22"/>
        <v>47716.027397260281</v>
      </c>
      <c r="H56" s="61">
        <f t="shared" si="22"/>
        <v>53813.219178082203</v>
      </c>
      <c r="I56" s="61">
        <f t="shared" si="22"/>
        <v>60785.247945205498</v>
      </c>
      <c r="J56" s="61">
        <f t="shared" si="22"/>
        <v>68772.620958904139</v>
      </c>
      <c r="K56" s="61">
        <f t="shared" si="22"/>
        <v>77940.50091780824</v>
      </c>
      <c r="L56" s="61">
        <f t="shared" si="22"/>
        <v>88483.292445205501</v>
      </c>
      <c r="M56" s="191">
        <f t="shared" si="22"/>
        <v>100630.11141246578</v>
      </c>
      <c r="N56" s="135"/>
      <c r="O56" s="135"/>
      <c r="P56" s="135"/>
      <c r="Q56" s="135"/>
      <c r="R56" s="135"/>
      <c r="S56" s="135"/>
      <c r="T56" s="135"/>
    </row>
    <row r="57" spans="1:21" x14ac:dyDescent="0.25">
      <c r="A57" s="185" t="s">
        <v>26</v>
      </c>
      <c r="B57" s="45"/>
      <c r="C57" s="46"/>
      <c r="D57" s="46">
        <f>D39</f>
        <v>0</v>
      </c>
      <c r="E57" s="46">
        <f t="shared" ref="E57:M57" si="23">E39</f>
        <v>0</v>
      </c>
      <c r="F57" s="46">
        <f t="shared" si="23"/>
        <v>0</v>
      </c>
      <c r="G57" s="46">
        <f t="shared" si="23"/>
        <v>0</v>
      </c>
      <c r="H57" s="46">
        <f t="shared" si="23"/>
        <v>0</v>
      </c>
      <c r="I57" s="46">
        <f t="shared" si="23"/>
        <v>0</v>
      </c>
      <c r="J57" s="46">
        <f t="shared" si="23"/>
        <v>688.33027559490881</v>
      </c>
      <c r="K57" s="46">
        <f t="shared" si="23"/>
        <v>4018.5867122880186</v>
      </c>
      <c r="L57" s="46">
        <f t="shared" si="23"/>
        <v>7583.92738176696</v>
      </c>
      <c r="M57" s="189">
        <f t="shared" si="23"/>
        <v>11336.946252985113</v>
      </c>
      <c r="N57" s="135"/>
      <c r="O57" s="135"/>
      <c r="P57" s="135"/>
      <c r="Q57" s="135"/>
      <c r="R57" s="135"/>
      <c r="S57" s="135"/>
      <c r="T57" s="135"/>
    </row>
    <row r="58" spans="1:21" x14ac:dyDescent="0.25">
      <c r="A58" s="185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189"/>
      <c r="N58" s="183" t="s">
        <v>133</v>
      </c>
      <c r="O58" s="143" t="s">
        <v>134</v>
      </c>
      <c r="P58" s="143" t="s">
        <v>135</v>
      </c>
      <c r="Q58" s="143" t="s">
        <v>136</v>
      </c>
      <c r="R58" s="143" t="s">
        <v>137</v>
      </c>
      <c r="S58" s="135"/>
      <c r="T58" s="135"/>
    </row>
    <row r="59" spans="1:21" x14ac:dyDescent="0.25">
      <c r="A59" s="185" t="s">
        <v>27</v>
      </c>
      <c r="B59" s="45"/>
      <c r="C59" s="46"/>
      <c r="D59" s="46">
        <f>Mortgage!M13</f>
        <v>991646.3601902934</v>
      </c>
      <c r="E59" s="46">
        <f>Mortgage!M28</f>
        <v>982599.37239633361</v>
      </c>
      <c r="F59" s="46">
        <f>Mortgage!M43</f>
        <v>972801.48907738156</v>
      </c>
      <c r="G59" s="46">
        <f>Mortgage!M58</f>
        <v>962190.38627519901</v>
      </c>
      <c r="H59" s="46">
        <f>Mortgage!M72</f>
        <v>950698.56717375165</v>
      </c>
      <c r="I59" s="46">
        <f>Mortgage!M86</f>
        <v>938252.93275456282</v>
      </c>
      <c r="J59" s="46">
        <f>Mortgage!M100</f>
        <v>924774.31681667489</v>
      </c>
      <c r="K59" s="46">
        <f>Mortgage!M114</f>
        <v>910176.9824034943</v>
      </c>
      <c r="L59" s="46">
        <f>Mortgage!M128</f>
        <v>894368.07643331552</v>
      </c>
      <c r="M59" s="189">
        <f>Mortgage!M142</f>
        <v>877247.03906444553</v>
      </c>
      <c r="N59" s="184">
        <f>AVERAGE(D59:M59)</f>
        <v>940475.55225854518</v>
      </c>
      <c r="O59" s="144">
        <f>N59/N65</f>
        <v>0.52145035646550308</v>
      </c>
      <c r="P59" s="145">
        <f>N35</f>
        <v>0.08</v>
      </c>
      <c r="Q59" s="144">
        <f>P59*(1-0.2)</f>
        <v>6.4000000000000001E-2</v>
      </c>
      <c r="R59" s="144">
        <f>O59*Q59</f>
        <v>3.3372822813792197E-2</v>
      </c>
      <c r="S59" s="135"/>
      <c r="T59" s="135"/>
    </row>
    <row r="60" spans="1:21" x14ac:dyDescent="0.25">
      <c r="A60" s="185" t="s">
        <v>28</v>
      </c>
      <c r="B60" s="45"/>
      <c r="C60" s="46"/>
      <c r="D60" s="46">
        <v>640449.63317197724</v>
      </c>
      <c r="E60" s="46">
        <v>469260.45256308082</v>
      </c>
      <c r="F60" s="46">
        <v>482653.65318062715</v>
      </c>
      <c r="G60" s="46">
        <v>487097.31622415676</v>
      </c>
      <c r="H60" s="46">
        <v>481174.65261071589</v>
      </c>
      <c r="I60" s="46">
        <v>463412.66209538229</v>
      </c>
      <c r="J60" s="46">
        <v>432317.06843383412</v>
      </c>
      <c r="K60" s="46">
        <v>387195.16400888748</v>
      </c>
      <c r="L60" s="46">
        <v>329741.00153126253</v>
      </c>
      <c r="M60" s="189">
        <v>259510.57863476564</v>
      </c>
      <c r="N60" s="184">
        <f t="shared" ref="N60:N63" si="24">AVERAGE(D60:M60)</f>
        <v>443281.21824546903</v>
      </c>
      <c r="O60" s="144">
        <f>N60/N65</f>
        <v>0.24577900904862363</v>
      </c>
      <c r="P60" s="145">
        <f>N36</f>
        <v>0.11</v>
      </c>
      <c r="Q60" s="144">
        <f>P60*(1-0.2)</f>
        <v>8.8000000000000009E-2</v>
      </c>
      <c r="R60" s="144">
        <f>O60*Q60</f>
        <v>2.1628552796278882E-2</v>
      </c>
      <c r="S60" s="135"/>
      <c r="T60" s="135"/>
    </row>
    <row r="61" spans="1:21" x14ac:dyDescent="0.25">
      <c r="A61" s="185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189"/>
      <c r="N61" s="184"/>
      <c r="O61" s="146">
        <f>O59+O60</f>
        <v>0.76722936551412668</v>
      </c>
      <c r="P61" s="147"/>
      <c r="Q61" s="147"/>
      <c r="R61" s="144"/>
      <c r="S61" s="135"/>
      <c r="T61" s="135"/>
    </row>
    <row r="62" spans="1:21" x14ac:dyDescent="0.25">
      <c r="A62" s="185" t="s">
        <v>29</v>
      </c>
      <c r="B62" s="45"/>
      <c r="C62" s="46"/>
      <c r="D62" s="46">
        <v>550000</v>
      </c>
      <c r="E62" s="46">
        <v>550000</v>
      </c>
      <c r="F62" s="46">
        <v>550000</v>
      </c>
      <c r="G62" s="46">
        <v>550000</v>
      </c>
      <c r="H62" s="46">
        <v>550000</v>
      </c>
      <c r="I62" s="46">
        <v>550000</v>
      </c>
      <c r="J62" s="46">
        <v>550000</v>
      </c>
      <c r="K62" s="46">
        <v>550000</v>
      </c>
      <c r="L62" s="46">
        <v>550000</v>
      </c>
      <c r="M62" s="46">
        <v>550000</v>
      </c>
      <c r="N62" s="184">
        <f t="shared" si="24"/>
        <v>550000</v>
      </c>
      <c r="O62" s="144">
        <f>SUM(N62:N63)/N65</f>
        <v>0.23277063448587335</v>
      </c>
      <c r="P62" s="148">
        <f>P54</f>
        <v>0.21179056584528416</v>
      </c>
      <c r="Q62" s="148">
        <f>P62</f>
        <v>0.21179056584528416</v>
      </c>
      <c r="R62" s="144">
        <f>O62*Q62</f>
        <v>4.9298624389928929E-2</v>
      </c>
      <c r="S62" s="135"/>
      <c r="T62" s="135"/>
    </row>
    <row r="63" spans="1:21" ht="15.75" thickBot="1" x14ac:dyDescent="0.3">
      <c r="A63" s="185" t="s">
        <v>30</v>
      </c>
      <c r="B63" s="45"/>
      <c r="C63" s="46"/>
      <c r="D63" s="46">
        <f>C63+D40</f>
        <v>-12314.235371402814</v>
      </c>
      <c r="E63" s="46">
        <f>D63+E40</f>
        <v>-68082.884320145124</v>
      </c>
      <c r="F63" s="46">
        <f>E63+F40</f>
        <v>-115096.03266896808</v>
      </c>
      <c r="G63" s="46">
        <f>F63+G40</f>
        <v>-151893.97875506326</v>
      </c>
      <c r="H63" s="46">
        <f t="shared" ref="H63:M63" si="25">G63+H40</f>
        <v>-176921.67983012914</v>
      </c>
      <c r="I63" s="46">
        <f t="shared" si="25"/>
        <v>-188550.10163076699</v>
      </c>
      <c r="J63" s="46">
        <f t="shared" si="25"/>
        <v>-185796.78052838735</v>
      </c>
      <c r="K63" s="46">
        <f t="shared" si="25"/>
        <v>-169722.43367923528</v>
      </c>
      <c r="L63" s="46">
        <f t="shared" si="25"/>
        <v>-139386.72415216744</v>
      </c>
      <c r="M63" s="189">
        <f t="shared" si="25"/>
        <v>-94038.939140226998</v>
      </c>
      <c r="N63" s="140">
        <f t="shared" si="24"/>
        <v>-130180.37900764922</v>
      </c>
      <c r="O63" s="135"/>
      <c r="P63" s="135"/>
      <c r="Q63" s="135"/>
      <c r="R63" s="135"/>
      <c r="S63" s="135"/>
      <c r="T63" s="135"/>
    </row>
    <row r="64" spans="1:21" ht="15.75" thickBot="1" x14ac:dyDescent="0.3">
      <c r="A64" s="185"/>
      <c r="B64" s="45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189"/>
      <c r="N64" s="140"/>
      <c r="O64" s="141"/>
      <c r="P64" s="135"/>
      <c r="Q64" s="142" t="s">
        <v>138</v>
      </c>
      <c r="R64" s="149">
        <f>SUM(R59:R62)</f>
        <v>0.1043</v>
      </c>
      <c r="S64" s="142"/>
      <c r="T64" s="135"/>
    </row>
    <row r="65" spans="1:20" x14ac:dyDescent="0.25">
      <c r="A65" s="185" t="s">
        <v>31</v>
      </c>
      <c r="B65" s="45"/>
      <c r="C65" s="45"/>
      <c r="D65" s="46">
        <f>SUM(D56:D63)</f>
        <v>2203343.4018264841</v>
      </c>
      <c r="E65" s="46">
        <f>SUM(E56:E63)</f>
        <v>1971461.8721461189</v>
      </c>
      <c r="F65" s="46">
        <f>SUM(F56:F63)</f>
        <v>1932733.0821917802</v>
      </c>
      <c r="G65" s="46">
        <f>SUM(G56:G63)</f>
        <v>1895109.7511415528</v>
      </c>
      <c r="H65" s="46">
        <f t="shared" ref="H65:M65" si="26">SUM(H56:H63)</f>
        <v>1858764.7591324206</v>
      </c>
      <c r="I65" s="46">
        <f t="shared" si="26"/>
        <v>1823900.7411643835</v>
      </c>
      <c r="J65" s="46">
        <f t="shared" si="26"/>
        <v>1790755.555956621</v>
      </c>
      <c r="K65" s="46">
        <f t="shared" si="26"/>
        <v>1759608.8003632426</v>
      </c>
      <c r="L65" s="46">
        <f t="shared" si="26"/>
        <v>1730789.5736393831</v>
      </c>
      <c r="M65" s="189">
        <f t="shared" si="26"/>
        <v>1704685.736224435</v>
      </c>
      <c r="N65" s="140">
        <f>SUM(N59:N63)</f>
        <v>1803576.391496365</v>
      </c>
      <c r="O65" s="135"/>
      <c r="P65" s="135"/>
      <c r="Q65" s="135"/>
      <c r="R65" s="135"/>
      <c r="S65" s="135"/>
      <c r="T65" s="135"/>
    </row>
    <row r="66" spans="1:20" x14ac:dyDescent="0.25">
      <c r="A66" s="192"/>
      <c r="B66" s="115"/>
      <c r="C66" s="115"/>
      <c r="D66" s="116">
        <f>D53-D65</f>
        <v>0</v>
      </c>
      <c r="E66" s="116">
        <f>E53-E65</f>
        <v>0</v>
      </c>
      <c r="F66" s="116">
        <f t="shared" ref="F66:M66" si="27">F53-F65</f>
        <v>0</v>
      </c>
      <c r="G66" s="116">
        <f t="shared" si="27"/>
        <v>0</v>
      </c>
      <c r="H66" s="116">
        <f t="shared" si="27"/>
        <v>0</v>
      </c>
      <c r="I66" s="116">
        <f t="shared" si="27"/>
        <v>0</v>
      </c>
      <c r="J66" s="116">
        <f t="shared" si="27"/>
        <v>0</v>
      </c>
      <c r="K66" s="116">
        <f t="shared" si="27"/>
        <v>0</v>
      </c>
      <c r="L66" s="116">
        <f t="shared" si="27"/>
        <v>0</v>
      </c>
      <c r="M66" s="193">
        <f t="shared" si="27"/>
        <v>0</v>
      </c>
      <c r="N66" s="68"/>
      <c r="O66" s="68"/>
      <c r="P66" s="68"/>
      <c r="Q66" s="68"/>
      <c r="R66" s="212">
        <f>C104</f>
        <v>8.258347551563272E-2</v>
      </c>
      <c r="S66" s="69"/>
    </row>
    <row r="67" spans="1:20" x14ac:dyDescent="0.25">
      <c r="A67" s="194" t="s">
        <v>32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6"/>
    </row>
    <row r="68" spans="1:20" x14ac:dyDescent="0.25">
      <c r="A68" s="197"/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6"/>
    </row>
    <row r="69" spans="1:20" x14ac:dyDescent="0.25">
      <c r="A69" s="194" t="s">
        <v>33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6"/>
    </row>
    <row r="70" spans="1:20" x14ac:dyDescent="0.25">
      <c r="A70" s="197"/>
      <c r="B70" s="195" t="s">
        <v>73</v>
      </c>
      <c r="C70" s="49"/>
      <c r="D70" s="64">
        <f>(D24+D25)-(D30+D31+D32+D27)</f>
        <v>184500</v>
      </c>
      <c r="E70" s="64">
        <f t="shared" ref="E70:M70" si="28">(E24+E25)-(E30+E31+E32+E27)</f>
        <v>121521.42857142875</v>
      </c>
      <c r="F70" s="64">
        <f t="shared" si="28"/>
        <v>130999.2857142858</v>
      </c>
      <c r="G70" s="64">
        <f t="shared" si="28"/>
        <v>140890.07142857159</v>
      </c>
      <c r="H70" s="64">
        <f t="shared" si="28"/>
        <v>151128.10714285728</v>
      </c>
      <c r="I70" s="64">
        <f t="shared" si="28"/>
        <v>161619.75214285753</v>
      </c>
      <c r="J70" s="64">
        <f t="shared" si="28"/>
        <v>172236.32850000006</v>
      </c>
      <c r="K70" s="64">
        <f t="shared" si="28"/>
        <v>182805.48272142885</v>
      </c>
      <c r="L70" s="64">
        <f t="shared" si="28"/>
        <v>193100.65663928632</v>
      </c>
      <c r="M70" s="198">
        <f t="shared" si="28"/>
        <v>202828.27307807188</v>
      </c>
    </row>
    <row r="71" spans="1:20" x14ac:dyDescent="0.25">
      <c r="A71" s="197"/>
      <c r="B71" s="195" t="s">
        <v>74</v>
      </c>
      <c r="C71" s="49"/>
      <c r="D71" s="64">
        <f>D34</f>
        <v>46666.666666666664</v>
      </c>
      <c r="E71" s="64">
        <f t="shared" ref="E71:M71" si="29">E34</f>
        <v>46666.666666666664</v>
      </c>
      <c r="F71" s="64">
        <f t="shared" si="29"/>
        <v>46666.666666666664</v>
      </c>
      <c r="G71" s="64">
        <f t="shared" si="29"/>
        <v>46666.666666666664</v>
      </c>
      <c r="H71" s="64">
        <f t="shared" si="29"/>
        <v>46666.666666666664</v>
      </c>
      <c r="I71" s="64">
        <f t="shared" si="29"/>
        <v>46666.666666666664</v>
      </c>
      <c r="J71" s="64">
        <f t="shared" si="29"/>
        <v>46666.666666666664</v>
      </c>
      <c r="K71" s="64">
        <f t="shared" si="29"/>
        <v>46666.666666666664</v>
      </c>
      <c r="L71" s="64">
        <f t="shared" si="29"/>
        <v>46666.666666666664</v>
      </c>
      <c r="M71" s="198">
        <f t="shared" si="29"/>
        <v>46666.666666666664</v>
      </c>
    </row>
    <row r="72" spans="1:20" x14ac:dyDescent="0.25">
      <c r="A72" s="197"/>
      <c r="B72" s="195" t="s">
        <v>75</v>
      </c>
      <c r="C72" s="49"/>
      <c r="D72" s="64">
        <f>D70-D71</f>
        <v>137833.33333333334</v>
      </c>
      <c r="E72" s="64">
        <f t="shared" ref="E72:L72" si="30">E70-E71</f>
        <v>74854.761904762097</v>
      </c>
      <c r="F72" s="64">
        <f t="shared" si="30"/>
        <v>84332.61904761914</v>
      </c>
      <c r="G72" s="64">
        <f t="shared" si="30"/>
        <v>94223.404761904938</v>
      </c>
      <c r="H72" s="64">
        <f t="shared" si="30"/>
        <v>104461.44047619062</v>
      </c>
      <c r="I72" s="64">
        <f t="shared" si="30"/>
        <v>114953.08547619087</v>
      </c>
      <c r="J72" s="64">
        <f t="shared" si="30"/>
        <v>125569.6618333334</v>
      </c>
      <c r="K72" s="64">
        <f t="shared" si="30"/>
        <v>136138.8160547622</v>
      </c>
      <c r="L72" s="64">
        <f t="shared" si="30"/>
        <v>146433.98997261966</v>
      </c>
      <c r="M72" s="198">
        <f>M70-M71</f>
        <v>156161.60641140523</v>
      </c>
    </row>
    <row r="73" spans="1:20" x14ac:dyDescent="0.25">
      <c r="A73" s="197"/>
      <c r="B73" s="195" t="s">
        <v>76</v>
      </c>
      <c r="C73" s="49"/>
      <c r="D73" s="64">
        <f>D72*$N$83</f>
        <v>27566.666666666672</v>
      </c>
      <c r="E73" s="64">
        <f t="shared" ref="E73:M73" si="31">E72*$N$83</f>
        <v>14970.95238095242</v>
      </c>
      <c r="F73" s="64">
        <f t="shared" si="31"/>
        <v>16866.523809523827</v>
      </c>
      <c r="G73" s="64">
        <f t="shared" si="31"/>
        <v>18844.68095238099</v>
      </c>
      <c r="H73" s="64">
        <f t="shared" si="31"/>
        <v>20892.288095238124</v>
      </c>
      <c r="I73" s="64">
        <f t="shared" si="31"/>
        <v>22990.617095238176</v>
      </c>
      <c r="J73" s="64">
        <f t="shared" si="31"/>
        <v>25113.932366666682</v>
      </c>
      <c r="K73" s="64">
        <f t="shared" si="31"/>
        <v>27227.763210952442</v>
      </c>
      <c r="L73" s="64">
        <f t="shared" si="31"/>
        <v>29286.797994523935</v>
      </c>
      <c r="M73" s="198">
        <f t="shared" si="31"/>
        <v>31232.321282281046</v>
      </c>
    </row>
    <row r="74" spans="1:20" x14ac:dyDescent="0.25">
      <c r="A74" s="197"/>
      <c r="B74" s="195" t="s">
        <v>77</v>
      </c>
      <c r="C74" s="49">
        <f>C72-C73</f>
        <v>0</v>
      </c>
      <c r="D74" s="64">
        <f>D72-D73</f>
        <v>110266.66666666667</v>
      </c>
      <c r="E74" s="64">
        <f t="shared" ref="E74:M74" si="32">E72-E73</f>
        <v>59883.809523809679</v>
      </c>
      <c r="F74" s="64">
        <f t="shared" si="32"/>
        <v>67466.095238095309</v>
      </c>
      <c r="G74" s="64">
        <f t="shared" si="32"/>
        <v>75378.723809523945</v>
      </c>
      <c r="H74" s="64">
        <f t="shared" si="32"/>
        <v>83569.152380952495</v>
      </c>
      <c r="I74" s="64">
        <f t="shared" si="32"/>
        <v>91962.46838095269</v>
      </c>
      <c r="J74" s="64">
        <f t="shared" si="32"/>
        <v>100455.72946666673</v>
      </c>
      <c r="K74" s="64">
        <f t="shared" si="32"/>
        <v>108911.05284380975</v>
      </c>
      <c r="L74" s="64">
        <f t="shared" si="32"/>
        <v>117147.19197809573</v>
      </c>
      <c r="M74" s="198">
        <f t="shared" si="32"/>
        <v>124929.28512912418</v>
      </c>
      <c r="N74" s="150">
        <v>0.2</v>
      </c>
    </row>
    <row r="75" spans="1:20" x14ac:dyDescent="0.25">
      <c r="A75" s="197"/>
      <c r="B75" s="195" t="s">
        <v>122</v>
      </c>
      <c r="C75" s="49"/>
      <c r="D75" s="64">
        <f>D74+D71</f>
        <v>156933.33333333334</v>
      </c>
      <c r="E75" s="64">
        <f t="shared" ref="E75:M75" si="33">E74+E71</f>
        <v>106550.47619047634</v>
      </c>
      <c r="F75" s="64">
        <f t="shared" si="33"/>
        <v>114132.76190476198</v>
      </c>
      <c r="G75" s="64">
        <f t="shared" si="33"/>
        <v>122045.3904761906</v>
      </c>
      <c r="H75" s="64">
        <f t="shared" si="33"/>
        <v>130235.81904761915</v>
      </c>
      <c r="I75" s="64">
        <f t="shared" si="33"/>
        <v>138629.13504761935</v>
      </c>
      <c r="J75" s="64">
        <f t="shared" si="33"/>
        <v>147122.39613333339</v>
      </c>
      <c r="K75" s="64">
        <f t="shared" si="33"/>
        <v>155577.71951047643</v>
      </c>
      <c r="L75" s="64">
        <f t="shared" si="33"/>
        <v>163813.8586447624</v>
      </c>
      <c r="M75" s="198">
        <f t="shared" si="33"/>
        <v>171595.95179579084</v>
      </c>
    </row>
    <row r="76" spans="1:20" x14ac:dyDescent="0.25">
      <c r="A76" s="197"/>
      <c r="B76" s="199" t="s">
        <v>34</v>
      </c>
      <c r="C76" s="49"/>
      <c r="D76" s="64">
        <f>D74+D75</f>
        <v>267200</v>
      </c>
      <c r="E76" s="64">
        <f t="shared" ref="E76:M76" si="34">E74+E75</f>
        <v>166434.28571428603</v>
      </c>
      <c r="F76" s="64">
        <f t="shared" si="34"/>
        <v>181598.85714285728</v>
      </c>
      <c r="G76" s="64">
        <f t="shared" si="34"/>
        <v>197424.11428571455</v>
      </c>
      <c r="H76" s="64">
        <f t="shared" si="34"/>
        <v>213804.97142857165</v>
      </c>
      <c r="I76" s="64">
        <f t="shared" si="34"/>
        <v>230591.60342857204</v>
      </c>
      <c r="J76" s="64">
        <f t="shared" si="34"/>
        <v>247578.12560000012</v>
      </c>
      <c r="K76" s="64">
        <f t="shared" si="34"/>
        <v>264488.77235428616</v>
      </c>
      <c r="L76" s="64">
        <f t="shared" si="34"/>
        <v>280961.05062285811</v>
      </c>
      <c r="M76" s="198">
        <f t="shared" si="34"/>
        <v>296525.23692491499</v>
      </c>
    </row>
    <row r="77" spans="1:20" x14ac:dyDescent="0.25">
      <c r="A77" s="197"/>
      <c r="B77" s="195"/>
      <c r="C77" s="195"/>
      <c r="D77" s="64"/>
      <c r="E77" s="64"/>
      <c r="F77" s="64"/>
      <c r="G77" s="64"/>
      <c r="H77" s="64"/>
      <c r="I77" s="64"/>
      <c r="J77" s="64"/>
      <c r="K77" s="64"/>
      <c r="L77" s="64"/>
      <c r="M77" s="198"/>
    </row>
    <row r="78" spans="1:20" x14ac:dyDescent="0.25">
      <c r="A78" s="194" t="s">
        <v>35</v>
      </c>
      <c r="B78" s="195"/>
      <c r="C78" s="195"/>
      <c r="D78" s="64"/>
      <c r="E78" s="64"/>
      <c r="F78" s="64"/>
      <c r="G78" s="64"/>
      <c r="H78" s="64"/>
      <c r="I78" s="64"/>
      <c r="J78" s="64"/>
      <c r="K78" s="64"/>
      <c r="L78" s="64"/>
      <c r="M78" s="198"/>
    </row>
    <row r="79" spans="1:20" x14ac:dyDescent="0.25">
      <c r="A79" s="194"/>
      <c r="B79" s="195" t="s">
        <v>178</v>
      </c>
      <c r="C79" s="64">
        <v>-600000</v>
      </c>
      <c r="D79" s="64"/>
      <c r="E79" s="64"/>
      <c r="F79" s="64"/>
      <c r="G79" s="64"/>
      <c r="H79" s="64"/>
      <c r="I79" s="64"/>
      <c r="J79" s="64"/>
      <c r="K79" s="64"/>
      <c r="L79" s="64"/>
      <c r="M79" s="198">
        <v>600000</v>
      </c>
    </row>
    <row r="80" spans="1:20" x14ac:dyDescent="0.25">
      <c r="A80" s="197"/>
      <c r="B80" s="195" t="s">
        <v>36</v>
      </c>
      <c r="C80" s="64">
        <v>-1400000</v>
      </c>
      <c r="D80" s="64"/>
      <c r="E80" s="64"/>
      <c r="F80" s="64"/>
      <c r="G80" s="64"/>
      <c r="H80" s="64"/>
      <c r="I80" s="64"/>
      <c r="J80" s="64"/>
      <c r="K80" s="64"/>
      <c r="L80" s="64"/>
      <c r="M80" s="198"/>
    </row>
    <row r="81" spans="1:16" x14ac:dyDescent="0.25">
      <c r="A81" s="197"/>
      <c r="B81" s="195" t="s">
        <v>37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198">
        <v>1200000</v>
      </c>
      <c r="N81" s="150"/>
      <c r="O81" s="150"/>
      <c r="P81" s="150"/>
    </row>
    <row r="82" spans="1:16" x14ac:dyDescent="0.25">
      <c r="A82" s="197"/>
      <c r="B82" s="195" t="s">
        <v>38</v>
      </c>
      <c r="C82" s="195"/>
      <c r="D82" s="64"/>
      <c r="E82" s="64"/>
      <c r="F82" s="64"/>
      <c r="G82" s="64"/>
      <c r="H82" s="64"/>
      <c r="I82" s="64"/>
      <c r="J82" s="64"/>
      <c r="K82" s="64"/>
      <c r="L82" s="64"/>
      <c r="M82" s="200">
        <f>-N83*O84</f>
        <v>-53333.33333333335</v>
      </c>
      <c r="N82" s="150"/>
      <c r="O82" s="151">
        <f>M81</f>
        <v>1200000</v>
      </c>
      <c r="P82" s="150" t="s">
        <v>126</v>
      </c>
    </row>
    <row r="83" spans="1:16" x14ac:dyDescent="0.25">
      <c r="A83" s="197"/>
      <c r="B83" s="195"/>
      <c r="C83" s="195"/>
      <c r="D83" s="64"/>
      <c r="E83" s="64"/>
      <c r="F83" s="64"/>
      <c r="G83" s="64"/>
      <c r="H83" s="64"/>
      <c r="I83" s="64"/>
      <c r="J83" s="64"/>
      <c r="K83" s="64"/>
      <c r="L83" s="64"/>
      <c r="M83" s="198"/>
      <c r="N83" s="150">
        <v>0.2</v>
      </c>
      <c r="O83" s="152">
        <f>(-C80)-M51</f>
        <v>933333.33333333326</v>
      </c>
      <c r="P83" s="150" t="s">
        <v>127</v>
      </c>
    </row>
    <row r="84" spans="1:16" x14ac:dyDescent="0.25">
      <c r="A84" s="194" t="s">
        <v>39</v>
      </c>
      <c r="B84" s="195"/>
      <c r="C84" s="195"/>
      <c r="D84" s="64"/>
      <c r="E84" s="64"/>
      <c r="F84" s="64"/>
      <c r="G84" s="64"/>
      <c r="H84" s="64"/>
      <c r="I84" s="64"/>
      <c r="J84" s="64"/>
      <c r="K84" s="64"/>
      <c r="L84" s="64"/>
      <c r="M84" s="198"/>
      <c r="N84" s="150"/>
      <c r="O84" s="151">
        <f>O82-O83</f>
        <v>266666.66666666674</v>
      </c>
      <c r="P84" s="150" t="s">
        <v>128</v>
      </c>
    </row>
    <row r="85" spans="1:16" x14ac:dyDescent="0.25">
      <c r="A85" s="197" t="s">
        <v>123</v>
      </c>
      <c r="B85" s="195" t="s">
        <v>19</v>
      </c>
      <c r="C85" s="195"/>
      <c r="D85" s="64">
        <f>-D46</f>
        <v>-6472.6027397260268</v>
      </c>
      <c r="E85" s="49">
        <f t="shared" ref="E85:M85" si="35">-(E46-D46)</f>
        <v>-795.20547945205544</v>
      </c>
      <c r="F85" s="49">
        <f t="shared" si="35"/>
        <v>-904.31506849315156</v>
      </c>
      <c r="G85" s="49">
        <f t="shared" si="35"/>
        <v>-1030.2534246575369</v>
      </c>
      <c r="H85" s="49">
        <f t="shared" si="35"/>
        <v>-1175.8869863013697</v>
      </c>
      <c r="I85" s="49">
        <f t="shared" si="35"/>
        <v>-1344.6055479452061</v>
      </c>
      <c r="J85" s="49">
        <f t="shared" si="35"/>
        <v>-1540.4219383561649</v>
      </c>
      <c r="K85" s="49">
        <f t="shared" si="35"/>
        <v>-1768.0911349315065</v>
      </c>
      <c r="L85" s="49">
        <f t="shared" si="35"/>
        <v>-2033.2526517123315</v>
      </c>
      <c r="M85" s="201">
        <f t="shared" si="35"/>
        <v>-2342.6008008287645</v>
      </c>
    </row>
    <row r="86" spans="1:16" x14ac:dyDescent="0.25">
      <c r="A86" s="197" t="s">
        <v>123</v>
      </c>
      <c r="B86" s="195" t="s">
        <v>20</v>
      </c>
      <c r="C86" s="195"/>
      <c r="D86" s="64">
        <f>-D47</f>
        <v>-50342.465753424658</v>
      </c>
      <c r="E86" s="49">
        <f t="shared" ref="E86:M86" si="36">-(E47-D47)</f>
        <v>-6184.9315068493161</v>
      </c>
      <c r="F86" s="49">
        <f t="shared" si="36"/>
        <v>-7033.5616438356228</v>
      </c>
      <c r="G86" s="49">
        <f t="shared" si="36"/>
        <v>-8013.082191780828</v>
      </c>
      <c r="H86" s="49">
        <f t="shared" si="36"/>
        <v>-9145.7876712328871</v>
      </c>
      <c r="I86" s="49">
        <f t="shared" si="36"/>
        <v>-10458.043150684942</v>
      </c>
      <c r="J86" s="49">
        <f t="shared" si="36"/>
        <v>-11981.059520547948</v>
      </c>
      <c r="K86" s="49">
        <f t="shared" si="36"/>
        <v>-13751.819938356159</v>
      </c>
      <c r="L86" s="49">
        <f t="shared" si="36"/>
        <v>-15814.187291095921</v>
      </c>
      <c r="M86" s="201">
        <f t="shared" si="36"/>
        <v>-18220.228450890369</v>
      </c>
    </row>
    <row r="87" spans="1:16" x14ac:dyDescent="0.25">
      <c r="A87" s="197" t="s">
        <v>124</v>
      </c>
      <c r="B87" s="195" t="s">
        <v>25</v>
      </c>
      <c r="C87" s="195"/>
      <c r="D87" s="64">
        <f>D56</f>
        <v>33561.643835616436</v>
      </c>
      <c r="E87" s="202">
        <f t="shared" ref="E87:M87" si="37">E56-D56</f>
        <v>4123.2876712328798</v>
      </c>
      <c r="F87" s="202">
        <f t="shared" si="37"/>
        <v>4689.0410958904104</v>
      </c>
      <c r="G87" s="202">
        <f t="shared" si="37"/>
        <v>5342.0547945205544</v>
      </c>
      <c r="H87" s="202">
        <f t="shared" si="37"/>
        <v>6097.1917808219223</v>
      </c>
      <c r="I87" s="202">
        <f t="shared" si="37"/>
        <v>6972.0287671232945</v>
      </c>
      <c r="J87" s="202">
        <f t="shared" si="37"/>
        <v>7987.3730136986414</v>
      </c>
      <c r="K87" s="202">
        <f t="shared" si="37"/>
        <v>9167.8799589041009</v>
      </c>
      <c r="L87" s="202">
        <f t="shared" si="37"/>
        <v>10542.791527397261</v>
      </c>
      <c r="M87" s="203">
        <f t="shared" si="37"/>
        <v>12146.818967260275</v>
      </c>
    </row>
    <row r="88" spans="1:16" x14ac:dyDescent="0.25">
      <c r="A88" s="197" t="s">
        <v>124</v>
      </c>
      <c r="B88" s="195" t="s">
        <v>26</v>
      </c>
      <c r="C88" s="195"/>
      <c r="D88" s="64">
        <f>D57</f>
        <v>0</v>
      </c>
      <c r="E88" s="49">
        <f t="shared" ref="E88:M88" si="38">E57-D57</f>
        <v>0</v>
      </c>
      <c r="F88" s="49">
        <f t="shared" si="38"/>
        <v>0</v>
      </c>
      <c r="G88" s="49">
        <f t="shared" si="38"/>
        <v>0</v>
      </c>
      <c r="H88" s="49">
        <f t="shared" si="38"/>
        <v>0</v>
      </c>
      <c r="I88" s="49">
        <f t="shared" si="38"/>
        <v>0</v>
      </c>
      <c r="J88" s="49">
        <f t="shared" si="38"/>
        <v>688.33027559490881</v>
      </c>
      <c r="K88" s="49">
        <f t="shared" si="38"/>
        <v>3330.2564366931097</v>
      </c>
      <c r="L88" s="49">
        <f t="shared" si="38"/>
        <v>3565.3406694789414</v>
      </c>
      <c r="M88" s="201">
        <f t="shared" si="38"/>
        <v>3753.0188712181534</v>
      </c>
    </row>
    <row r="89" spans="1:16" x14ac:dyDescent="0.25">
      <c r="A89" s="197"/>
      <c r="B89" s="195"/>
      <c r="C89" s="195"/>
      <c r="D89" s="64"/>
      <c r="E89" s="64"/>
      <c r="F89" s="64"/>
      <c r="G89" s="64"/>
      <c r="H89" s="64"/>
      <c r="I89" s="64"/>
      <c r="J89" s="64"/>
      <c r="K89" s="64"/>
      <c r="L89" s="64"/>
      <c r="M89" s="198"/>
    </row>
    <row r="90" spans="1:16" x14ac:dyDescent="0.25">
      <c r="A90" s="194" t="s">
        <v>40</v>
      </c>
      <c r="B90" s="195"/>
      <c r="C90" s="195"/>
      <c r="D90" s="64"/>
      <c r="E90" s="64"/>
      <c r="F90" s="64"/>
      <c r="G90" s="64"/>
      <c r="H90" s="64"/>
      <c r="I90" s="64"/>
      <c r="J90" s="64"/>
      <c r="K90" s="64"/>
      <c r="L90" s="64"/>
      <c r="M90" s="198"/>
    </row>
    <row r="91" spans="1:16" x14ac:dyDescent="0.25">
      <c r="A91" s="197" t="s">
        <v>124</v>
      </c>
      <c r="B91" s="195" t="s">
        <v>19</v>
      </c>
      <c r="C91" s="195"/>
      <c r="D91" s="64"/>
      <c r="E91" s="64"/>
      <c r="F91" s="64"/>
      <c r="G91" s="64"/>
      <c r="H91" s="64"/>
      <c r="I91" s="64"/>
      <c r="J91" s="64"/>
      <c r="K91" s="64"/>
      <c r="L91" s="64"/>
      <c r="M91" s="201">
        <f>M46</f>
        <v>19407.235772404114</v>
      </c>
    </row>
    <row r="92" spans="1:16" x14ac:dyDescent="0.25">
      <c r="A92" s="197" t="s">
        <v>124</v>
      </c>
      <c r="B92" s="195" t="s">
        <v>20</v>
      </c>
      <c r="C92" s="195"/>
      <c r="D92" s="64"/>
      <c r="E92" s="64"/>
      <c r="F92" s="64"/>
      <c r="G92" s="64"/>
      <c r="H92" s="64"/>
      <c r="I92" s="64"/>
      <c r="J92" s="64"/>
      <c r="K92" s="64"/>
      <c r="L92" s="64"/>
      <c r="M92" s="198">
        <f t="shared" ref="M92" si="39">M47</f>
        <v>150945.16711869865</v>
      </c>
    </row>
    <row r="93" spans="1:16" x14ac:dyDescent="0.25">
      <c r="A93" s="197" t="s">
        <v>123</v>
      </c>
      <c r="B93" s="195" t="s">
        <v>25</v>
      </c>
      <c r="C93" s="195"/>
      <c r="D93" s="64"/>
      <c r="E93" s="64"/>
      <c r="F93" s="64"/>
      <c r="G93" s="64"/>
      <c r="H93" s="64"/>
      <c r="I93" s="64"/>
      <c r="J93" s="64"/>
      <c r="K93" s="64"/>
      <c r="L93" s="64"/>
      <c r="M93" s="198">
        <f>-M56</f>
        <v>-100630.11141246578</v>
      </c>
    </row>
    <row r="94" spans="1:16" x14ac:dyDescent="0.25">
      <c r="A94" s="197" t="s">
        <v>123</v>
      </c>
      <c r="B94" s="195" t="s">
        <v>26</v>
      </c>
      <c r="C94" s="195"/>
      <c r="D94" s="64"/>
      <c r="E94" s="64"/>
      <c r="F94" s="64"/>
      <c r="G94" s="64"/>
      <c r="H94" s="64"/>
      <c r="I94" s="64"/>
      <c r="J94" s="64"/>
      <c r="K94" s="64"/>
      <c r="L94" s="64"/>
      <c r="M94" s="198">
        <f>-M57</f>
        <v>-11336.946252985113</v>
      </c>
    </row>
    <row r="95" spans="1:16" x14ac:dyDescent="0.25">
      <c r="A95" s="197"/>
      <c r="B95" s="195"/>
      <c r="C95" s="195"/>
      <c r="D95" s="64"/>
      <c r="E95" s="64"/>
      <c r="F95" s="64"/>
      <c r="G95" s="64"/>
      <c r="H95" s="64"/>
      <c r="I95" s="64"/>
      <c r="J95" s="64"/>
      <c r="K95" s="64"/>
      <c r="L95" s="64"/>
      <c r="M95" s="198"/>
    </row>
    <row r="96" spans="1:16" x14ac:dyDescent="0.25">
      <c r="A96" s="194" t="s">
        <v>41</v>
      </c>
      <c r="B96" s="195"/>
      <c r="C96" s="49">
        <f>SUM(C76:C95)</f>
        <v>-2000000</v>
      </c>
      <c r="D96" s="64">
        <f>SUM(D76:D95)</f>
        <v>243946.57534246577</v>
      </c>
      <c r="E96" s="64">
        <f t="shared" ref="E96:M96" si="40">SUM(E76:E95)</f>
        <v>163577.43639921752</v>
      </c>
      <c r="F96" s="64">
        <f t="shared" si="40"/>
        <v>178350.02152641892</v>
      </c>
      <c r="G96" s="64">
        <f t="shared" si="40"/>
        <v>193722.83346379673</v>
      </c>
      <c r="H96" s="64">
        <f t="shared" si="40"/>
        <v>209580.48855185931</v>
      </c>
      <c r="I96" s="64">
        <f t="shared" si="40"/>
        <v>225760.98349706517</v>
      </c>
      <c r="J96" s="64">
        <f t="shared" si="40"/>
        <v>242732.34743038955</v>
      </c>
      <c r="K96" s="64">
        <f t="shared" si="40"/>
        <v>261466.99767659573</v>
      </c>
      <c r="L96" s="64">
        <f t="shared" si="40"/>
        <v>277221.74287692603</v>
      </c>
      <c r="M96" s="198">
        <f t="shared" si="40"/>
        <v>2096914.2574039933</v>
      </c>
    </row>
    <row r="97" spans="1:13" x14ac:dyDescent="0.25">
      <c r="A97" s="194" t="s">
        <v>42</v>
      </c>
      <c r="B97" s="195"/>
      <c r="C97" s="204">
        <f>-PV($C$99,C98,,C96)</f>
        <v>-2000000</v>
      </c>
      <c r="D97" s="64">
        <f>-PV($C$99,D98,,D96)</f>
        <v>225876.45865043125</v>
      </c>
      <c r="E97" s="64">
        <f t="shared" ref="E97:M97" si="41">-PV($C$99,E98,,E96)</f>
        <v>140241.28635049512</v>
      </c>
      <c r="F97" s="64">
        <f t="shared" si="41"/>
        <v>141579.99727431263</v>
      </c>
      <c r="G97" s="64">
        <f t="shared" si="41"/>
        <v>142392.06576420635</v>
      </c>
      <c r="H97" s="64">
        <f t="shared" si="41"/>
        <v>142636.95893452028</v>
      </c>
      <c r="I97" s="64">
        <f t="shared" si="41"/>
        <v>142267.71473510828</v>
      </c>
      <c r="J97" s="64">
        <f t="shared" si="41"/>
        <v>141631.99334506359</v>
      </c>
      <c r="K97" s="64">
        <f t="shared" si="41"/>
        <v>141262.48316881506</v>
      </c>
      <c r="L97" s="64">
        <f t="shared" si="41"/>
        <v>138679.89054056516</v>
      </c>
      <c r="M97" s="198">
        <f t="shared" si="41"/>
        <v>971277.02910146106</v>
      </c>
    </row>
    <row r="98" spans="1:13" x14ac:dyDescent="0.25">
      <c r="A98" s="197"/>
      <c r="B98" s="195"/>
      <c r="C98" s="195">
        <v>0</v>
      </c>
      <c r="D98" s="195">
        <v>1</v>
      </c>
      <c r="E98" s="195">
        <v>2</v>
      </c>
      <c r="F98" s="195">
        <v>3</v>
      </c>
      <c r="G98" s="195">
        <v>4</v>
      </c>
      <c r="H98" s="195">
        <v>5</v>
      </c>
      <c r="I98" s="195">
        <v>6</v>
      </c>
      <c r="J98" s="195">
        <v>7</v>
      </c>
      <c r="K98" s="195">
        <v>8</v>
      </c>
      <c r="L98" s="195">
        <v>9</v>
      </c>
      <c r="M98" s="196">
        <v>10</v>
      </c>
    </row>
    <row r="99" spans="1:13" x14ac:dyDescent="0.25">
      <c r="A99" s="197"/>
      <c r="B99" s="195"/>
      <c r="C99" s="205">
        <v>0.08</v>
      </c>
      <c r="D99" s="195"/>
      <c r="E99" s="195"/>
      <c r="F99" s="195"/>
      <c r="G99" s="195"/>
      <c r="H99" s="195"/>
      <c r="I99" s="195"/>
      <c r="J99" s="195"/>
      <c r="K99" s="195"/>
      <c r="L99" s="195"/>
      <c r="M99" s="196"/>
    </row>
    <row r="100" spans="1:13" x14ac:dyDescent="0.25">
      <c r="A100" s="194" t="s">
        <v>43</v>
      </c>
      <c r="B100" s="195"/>
      <c r="C100" s="64">
        <f>SUM(C97:M97)</f>
        <v>327845.87786497886</v>
      </c>
      <c r="D100" s="195"/>
      <c r="E100" s="195"/>
      <c r="F100" s="195"/>
      <c r="G100" s="195"/>
      <c r="H100" s="195"/>
      <c r="I100" s="195"/>
      <c r="J100" s="195"/>
      <c r="K100" s="195"/>
      <c r="L100" s="195"/>
      <c r="M100" s="196"/>
    </row>
    <row r="101" spans="1:13" x14ac:dyDescent="0.25">
      <c r="A101" s="194" t="s">
        <v>44</v>
      </c>
      <c r="B101" s="195"/>
      <c r="C101" s="206">
        <f>IRR(C96:M96)</f>
        <v>0.10432609047475272</v>
      </c>
      <c r="D101" s="195"/>
      <c r="E101" s="195"/>
      <c r="F101" s="195"/>
      <c r="G101" s="195"/>
      <c r="H101" s="195"/>
      <c r="I101" s="195"/>
      <c r="J101" s="195"/>
      <c r="K101" s="195"/>
      <c r="L101" s="195"/>
      <c r="M101" s="196"/>
    </row>
    <row r="102" spans="1:13" x14ac:dyDescent="0.25">
      <c r="A102" s="192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207"/>
    </row>
    <row r="103" spans="1:13" x14ac:dyDescent="0.25">
      <c r="A103" s="194" t="s">
        <v>41</v>
      </c>
      <c r="B103" s="195"/>
      <c r="C103" s="49">
        <v>-2000000</v>
      </c>
      <c r="D103" s="64">
        <v>253650</v>
      </c>
      <c r="E103" s="64">
        <v>153874</v>
      </c>
      <c r="F103" s="64">
        <v>178700</v>
      </c>
      <c r="G103" s="64">
        <v>196730</v>
      </c>
      <c r="H103" s="64">
        <v>211804</v>
      </c>
      <c r="I103" s="64">
        <v>228050</v>
      </c>
      <c r="J103" s="64">
        <v>244374</v>
      </c>
      <c r="K103" s="64">
        <v>260474</v>
      </c>
      <c r="L103" s="64">
        <v>275958</v>
      </c>
      <c r="M103" s="198">
        <v>1443499.0239914269</v>
      </c>
    </row>
    <row r="104" spans="1:13" ht="15.75" thickBot="1" x14ac:dyDescent="0.3">
      <c r="A104" s="208" t="s">
        <v>44</v>
      </c>
      <c r="B104" s="209"/>
      <c r="C104" s="210">
        <f>IRR(C103:M103)</f>
        <v>8.258347551563272E-2</v>
      </c>
      <c r="D104" s="209"/>
      <c r="E104" s="209"/>
      <c r="F104" s="209"/>
      <c r="G104" s="209"/>
      <c r="H104" s="209"/>
      <c r="I104" s="209"/>
      <c r="J104" s="209"/>
      <c r="K104" s="209"/>
      <c r="L104" s="209"/>
      <c r="M104" s="211"/>
    </row>
    <row r="105" spans="1:13" x14ac:dyDescent="0.25">
      <c r="C105" s="120"/>
    </row>
    <row r="107" spans="1:13" x14ac:dyDescent="0.25">
      <c r="M107" s="66"/>
    </row>
  </sheetData>
  <mergeCells count="2">
    <mergeCell ref="A1:M1"/>
    <mergeCell ref="A19:M19"/>
  </mergeCells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5" zoomScaleNormal="95" workbookViewId="0">
      <selection activeCell="F35" sqref="F35"/>
    </sheetView>
  </sheetViews>
  <sheetFormatPr defaultRowHeight="15" x14ac:dyDescent="0.25"/>
  <cols>
    <col min="1" max="1" width="17.42578125" style="81" customWidth="1"/>
    <col min="2" max="2" width="27.42578125" style="81" bestFit="1" customWidth="1"/>
    <col min="3" max="3" width="14" style="81" bestFit="1" customWidth="1"/>
    <col min="4" max="12" width="11.5703125" style="81" bestFit="1" customWidth="1"/>
    <col min="13" max="13" width="13.28515625" style="81" bestFit="1" customWidth="1"/>
    <col min="14" max="14" width="10.5703125" style="81" bestFit="1" customWidth="1"/>
    <col min="15" max="16384" width="9.140625" style="81"/>
  </cols>
  <sheetData>
    <row r="1" spans="1:13" x14ac:dyDescent="0.25">
      <c r="A1" s="81" t="s">
        <v>138</v>
      </c>
      <c r="B1" s="82">
        <v>0.13420000000000001</v>
      </c>
    </row>
    <row r="2" spans="1:13" x14ac:dyDescent="0.25">
      <c r="B2" s="81" t="s">
        <v>148</v>
      </c>
      <c r="C2" s="81">
        <v>0</v>
      </c>
      <c r="D2" s="81">
        <v>1</v>
      </c>
      <c r="E2" s="81">
        <v>2</v>
      </c>
      <c r="F2" s="81">
        <v>3</v>
      </c>
      <c r="G2" s="81">
        <v>4</v>
      </c>
      <c r="H2" s="81">
        <v>5</v>
      </c>
      <c r="I2" s="81">
        <v>6</v>
      </c>
      <c r="J2" s="81">
        <v>7</v>
      </c>
      <c r="K2" s="81">
        <v>8</v>
      </c>
      <c r="L2" s="81">
        <v>9</v>
      </c>
      <c r="M2" s="81">
        <v>10</v>
      </c>
    </row>
    <row r="3" spans="1:13" x14ac:dyDescent="0.25">
      <c r="C3" s="81">
        <v>-1400000</v>
      </c>
      <c r="D3" s="81">
        <v>253650.34624571333</v>
      </c>
      <c r="E3" s="81">
        <v>153873.66549596997</v>
      </c>
      <c r="F3" s="81">
        <v>178699.7526919739</v>
      </c>
      <c r="G3" s="81">
        <v>196729.6540379542</v>
      </c>
      <c r="H3" s="81">
        <v>211804.23895456942</v>
      </c>
      <c r="I3" s="81">
        <v>228050.07556061345</v>
      </c>
      <c r="J3" s="81">
        <v>244373.92872996308</v>
      </c>
      <c r="K3" s="81">
        <v>260474.31577924691</v>
      </c>
      <c r="L3" s="81">
        <v>275957.7513024183</v>
      </c>
      <c r="M3" s="81">
        <f>1090250-1000000</f>
        <v>90250</v>
      </c>
    </row>
    <row r="4" spans="1:13" x14ac:dyDescent="0.25">
      <c r="M4" s="81">
        <v>1000000</v>
      </c>
    </row>
    <row r="5" spans="1:13" x14ac:dyDescent="0.25">
      <c r="K5" s="81" t="s">
        <v>149</v>
      </c>
    </row>
    <row r="6" spans="1:13" x14ac:dyDescent="0.25">
      <c r="B6" s="81" t="s">
        <v>150</v>
      </c>
      <c r="G6" s="81">
        <v>-800000</v>
      </c>
      <c r="H6" s="81">
        <v>200000</v>
      </c>
      <c r="I6" s="81">
        <v>200000</v>
      </c>
      <c r="J6" s="81">
        <v>200000</v>
      </c>
      <c r="K6" s="81">
        <v>250000</v>
      </c>
      <c r="L6" s="81">
        <v>250000</v>
      </c>
      <c r="M6" s="81">
        <v>250000</v>
      </c>
    </row>
    <row r="7" spans="1:13" x14ac:dyDescent="0.25">
      <c r="C7" s="81" t="s">
        <v>149</v>
      </c>
      <c r="M7" s="81">
        <v>900000</v>
      </c>
    </row>
    <row r="9" spans="1:13" ht="15.75" thickBot="1" x14ac:dyDescent="0.3"/>
    <row r="10" spans="1:13" x14ac:dyDescent="0.25">
      <c r="A10" s="87" t="s">
        <v>151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A11" s="90" t="s">
        <v>152</v>
      </c>
      <c r="B11" s="85"/>
      <c r="C11" s="84"/>
      <c r="D11" s="85">
        <f>+D19+(-D13)+(-D15)</f>
        <v>298650.3462457133</v>
      </c>
      <c r="E11" s="85">
        <f t="shared" ref="E11:L11" si="0">+E19+(-E13)+(-E15)</f>
        <v>176373.66549596997</v>
      </c>
      <c r="F11" s="85">
        <f t="shared" si="0"/>
        <v>198949.7526919739</v>
      </c>
      <c r="G11" s="85">
        <f t="shared" si="0"/>
        <v>214954.65403795417</v>
      </c>
      <c r="H11" s="85">
        <f t="shared" si="0"/>
        <v>428206.73895456945</v>
      </c>
      <c r="I11" s="85">
        <f t="shared" si="0"/>
        <v>442812.32556061342</v>
      </c>
      <c r="J11" s="85">
        <f t="shared" si="0"/>
        <v>457659.9537299631</v>
      </c>
      <c r="K11" s="85">
        <f t="shared" si="0"/>
        <v>522431.7382792469</v>
      </c>
      <c r="L11" s="85">
        <f t="shared" si="0"/>
        <v>536719.43155241827</v>
      </c>
      <c r="M11" s="91">
        <v>349936</v>
      </c>
    </row>
    <row r="12" spans="1:13" x14ac:dyDescent="0.25">
      <c r="A12" s="90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91"/>
    </row>
    <row r="13" spans="1:13" x14ac:dyDescent="0.25">
      <c r="A13" s="90" t="s">
        <v>153</v>
      </c>
      <c r="B13" s="85"/>
      <c r="C13" s="85">
        <v>-1400000</v>
      </c>
      <c r="D13" s="85">
        <v>-20000</v>
      </c>
      <c r="E13" s="85"/>
      <c r="F13" s="85"/>
      <c r="G13" s="85">
        <v>-800000</v>
      </c>
      <c r="H13" s="85"/>
      <c r="I13" s="85"/>
      <c r="J13" s="85"/>
      <c r="K13" s="85"/>
      <c r="L13" s="85"/>
      <c r="M13" s="91">
        <v>1000000</v>
      </c>
    </row>
    <row r="14" spans="1:13" x14ac:dyDescent="0.25">
      <c r="A14" s="90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91"/>
    </row>
    <row r="15" spans="1:13" x14ac:dyDescent="0.25">
      <c r="A15" s="90" t="s">
        <v>154</v>
      </c>
      <c r="B15" s="85"/>
      <c r="C15" s="84">
        <v>0.1</v>
      </c>
      <c r="D15" s="85">
        <v>-25000</v>
      </c>
      <c r="E15" s="85">
        <f>+D15*(1-$C$15)</f>
        <v>-22500</v>
      </c>
      <c r="F15" s="85">
        <f t="shared" ref="F15:M15" si="1">+E15*(1-$C$15)</f>
        <v>-20250</v>
      </c>
      <c r="G15" s="85">
        <f t="shared" si="1"/>
        <v>-18225</v>
      </c>
      <c r="H15" s="85">
        <f t="shared" si="1"/>
        <v>-16402.5</v>
      </c>
      <c r="I15" s="85">
        <f t="shared" si="1"/>
        <v>-14762.25</v>
      </c>
      <c r="J15" s="85">
        <f t="shared" si="1"/>
        <v>-13286.025</v>
      </c>
      <c r="K15" s="85">
        <f t="shared" si="1"/>
        <v>-11957.422500000001</v>
      </c>
      <c r="L15" s="85">
        <f t="shared" si="1"/>
        <v>-10761.680250000001</v>
      </c>
      <c r="M15" s="91">
        <f t="shared" si="1"/>
        <v>-9685.5122250000022</v>
      </c>
    </row>
    <row r="16" spans="1:13" x14ac:dyDescent="0.25">
      <c r="A16" s="90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91"/>
    </row>
    <row r="17" spans="1:13" x14ac:dyDescent="0.25">
      <c r="A17" s="90" t="s">
        <v>155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91">
        <v>900000</v>
      </c>
    </row>
    <row r="18" spans="1:13" x14ac:dyDescent="0.25">
      <c r="A18" s="90"/>
      <c r="B18" s="85"/>
      <c r="C18" s="85"/>
      <c r="D18" s="86">
        <f>+D19-(SUM(D11:D17))</f>
        <v>0</v>
      </c>
      <c r="E18" s="86"/>
      <c r="F18" s="86"/>
      <c r="G18" s="86"/>
      <c r="H18" s="86"/>
      <c r="I18" s="86"/>
      <c r="J18" s="86"/>
      <c r="K18" s="86"/>
      <c r="L18" s="86"/>
      <c r="M18" s="92"/>
    </row>
    <row r="19" spans="1:13" x14ac:dyDescent="0.25">
      <c r="A19" s="90" t="s">
        <v>41</v>
      </c>
      <c r="B19" s="85"/>
      <c r="C19" s="85">
        <f t="shared" ref="C19:M19" si="2">SUM(C3:C7)</f>
        <v>-1400000</v>
      </c>
      <c r="D19" s="85">
        <f t="shared" si="2"/>
        <v>253650.34624571333</v>
      </c>
      <c r="E19" s="85">
        <f t="shared" si="2"/>
        <v>153873.66549596997</v>
      </c>
      <c r="F19" s="85">
        <f t="shared" si="2"/>
        <v>178699.7526919739</v>
      </c>
      <c r="G19" s="85">
        <f t="shared" si="2"/>
        <v>-603270.34596204583</v>
      </c>
      <c r="H19" s="85">
        <f t="shared" si="2"/>
        <v>411804.23895456945</v>
      </c>
      <c r="I19" s="85">
        <f t="shared" si="2"/>
        <v>428050.07556061342</v>
      </c>
      <c r="J19" s="85">
        <f t="shared" si="2"/>
        <v>444373.92872996308</v>
      </c>
      <c r="K19" s="85">
        <f t="shared" si="2"/>
        <v>510474.31577924691</v>
      </c>
      <c r="L19" s="85">
        <f t="shared" si="2"/>
        <v>525957.7513024183</v>
      </c>
      <c r="M19" s="91">
        <f t="shared" si="2"/>
        <v>2240250</v>
      </c>
    </row>
    <row r="20" spans="1:13" x14ac:dyDescent="0.25">
      <c r="A20" s="90"/>
      <c r="B20" s="85" t="s">
        <v>156</v>
      </c>
      <c r="C20" s="85">
        <f>-PV($B$1,C2,,C19)</f>
        <v>-1400000</v>
      </c>
      <c r="D20" s="85">
        <f t="shared" ref="D20:M20" si="3">-PV($B$1,D2,,D19)</f>
        <v>223638.11166082992</v>
      </c>
      <c r="E20" s="85">
        <f t="shared" si="3"/>
        <v>119614.82618862366</v>
      </c>
      <c r="F20" s="85">
        <f t="shared" si="3"/>
        <v>122477.13609504706</v>
      </c>
      <c r="G20" s="85">
        <f t="shared" si="3"/>
        <v>-364546.89716056176</v>
      </c>
      <c r="H20" s="85">
        <f t="shared" si="3"/>
        <v>219403.0184014008</v>
      </c>
      <c r="I20" s="85">
        <f t="shared" si="3"/>
        <v>201074.3717088601</v>
      </c>
      <c r="J20" s="85">
        <f t="shared" si="3"/>
        <v>184043.74862904125</v>
      </c>
      <c r="K20" s="85">
        <f t="shared" si="3"/>
        <v>186404.65435677316</v>
      </c>
      <c r="L20" s="85">
        <f t="shared" si="3"/>
        <v>169333.96333976529</v>
      </c>
      <c r="M20" s="91">
        <f t="shared" si="3"/>
        <v>635916.44554880727</v>
      </c>
    </row>
    <row r="21" spans="1:13" ht="15.75" thickBot="1" x14ac:dyDescent="0.3">
      <c r="A21" s="93"/>
      <c r="B21" s="94" t="s">
        <v>157</v>
      </c>
      <c r="C21" s="95">
        <f>SUM(C20:M20)</f>
        <v>297359.3787685869</v>
      </c>
      <c r="D21" s="96"/>
      <c r="E21" s="94"/>
      <c r="F21" s="94"/>
      <c r="G21" s="94"/>
      <c r="H21" s="94"/>
      <c r="I21" s="94"/>
      <c r="J21" s="94"/>
      <c r="K21" s="94"/>
      <c r="L21" s="94"/>
      <c r="M21" s="97"/>
    </row>
    <row r="22" spans="1:13" x14ac:dyDescent="0.25">
      <c r="A22" s="98"/>
      <c r="B22" s="99"/>
      <c r="C22" s="99"/>
      <c r="D22" s="100"/>
      <c r="E22" s="98"/>
      <c r="F22" s="98"/>
      <c r="G22" s="98"/>
      <c r="H22" s="98"/>
      <c r="I22" s="98"/>
      <c r="J22" s="98"/>
      <c r="K22" s="98"/>
      <c r="L22" s="98"/>
      <c r="M22" s="98"/>
    </row>
    <row r="27" spans="1:13" x14ac:dyDescent="0.25">
      <c r="A27" s="8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4"/>
  <sheetViews>
    <sheetView topLeftCell="A48" workbookViewId="0">
      <selection activeCell="N46" sqref="N46"/>
    </sheetView>
  </sheetViews>
  <sheetFormatPr defaultColWidth="9.42578125" defaultRowHeight="15" x14ac:dyDescent="0.25"/>
  <cols>
    <col min="1" max="1" width="5.5703125" style="1" customWidth="1"/>
    <col min="2" max="2" width="41.140625" style="1" customWidth="1"/>
    <col min="3" max="3" width="17.5703125" style="1" customWidth="1"/>
    <col min="4" max="4" width="18.7109375" style="1" customWidth="1"/>
    <col min="5" max="5" width="20.7109375" style="1" bestFit="1" customWidth="1"/>
    <col min="6" max="6" width="15" style="1" customWidth="1"/>
    <col min="7" max="7" width="14.28515625" style="1" customWidth="1"/>
    <col min="8" max="14" width="14.28515625" style="101" customWidth="1"/>
    <col min="15" max="15" width="17" style="1" customWidth="1"/>
    <col min="16" max="16" width="19.5703125" style="1" customWidth="1"/>
    <col min="17" max="17" width="19.28515625" style="1" customWidth="1"/>
    <col min="18" max="19" width="14.140625" style="1" bestFit="1" customWidth="1"/>
    <col min="20" max="16384" width="9.42578125" style="1"/>
  </cols>
  <sheetData>
    <row r="2" spans="3:21" x14ac:dyDescent="0.25">
      <c r="C2" s="1" t="s">
        <v>50</v>
      </c>
      <c r="D2" s="20">
        <v>15</v>
      </c>
      <c r="E2" s="20">
        <v>15</v>
      </c>
      <c r="F2" s="20">
        <v>15</v>
      </c>
      <c r="G2" s="20">
        <v>15</v>
      </c>
      <c r="H2" s="57"/>
      <c r="I2" s="57"/>
      <c r="J2" s="57"/>
      <c r="K2" s="57"/>
      <c r="L2" s="57"/>
      <c r="M2" s="57"/>
      <c r="N2" s="57"/>
      <c r="O2" s="19">
        <v>0.1</v>
      </c>
    </row>
    <row r="3" spans="3:21" x14ac:dyDescent="0.25">
      <c r="C3" s="1" t="s">
        <v>103</v>
      </c>
      <c r="D3" s="1">
        <v>20000</v>
      </c>
      <c r="E3" s="1">
        <f>(1+$O$2)*D3</f>
        <v>22000</v>
      </c>
      <c r="F3" s="1">
        <f t="shared" ref="F3:G3" si="0">(1+$O$2)*E3</f>
        <v>24200.000000000004</v>
      </c>
      <c r="G3" s="1">
        <f t="shared" si="0"/>
        <v>26620.000000000007</v>
      </c>
    </row>
    <row r="4" spans="3:21" x14ac:dyDescent="0.25">
      <c r="C4" s="1" t="s">
        <v>51</v>
      </c>
      <c r="D4" s="23">
        <f>+D2*D3</f>
        <v>300000</v>
      </c>
      <c r="E4" s="23">
        <f>+E2*E3</f>
        <v>330000</v>
      </c>
      <c r="F4" s="23">
        <f>+F2*F3</f>
        <v>363000.00000000006</v>
      </c>
      <c r="G4" s="23">
        <f>+G2*G3</f>
        <v>399300.00000000012</v>
      </c>
      <c r="H4" s="57"/>
      <c r="I4" s="57"/>
      <c r="J4" s="57"/>
      <c r="K4" s="57"/>
      <c r="L4" s="57"/>
      <c r="M4" s="57"/>
      <c r="N4" s="57"/>
    </row>
    <row r="6" spans="3:21" x14ac:dyDescent="0.25">
      <c r="C6" s="1" t="s">
        <v>50</v>
      </c>
      <c r="D6" s="20">
        <v>20</v>
      </c>
      <c r="E6" s="57">
        <v>20</v>
      </c>
      <c r="F6" s="57">
        <v>20</v>
      </c>
      <c r="G6" s="57">
        <v>20</v>
      </c>
      <c r="H6" s="57"/>
      <c r="I6" s="57"/>
      <c r="J6" s="57"/>
      <c r="K6" s="57"/>
      <c r="L6" s="57"/>
      <c r="M6" s="57"/>
      <c r="N6" s="57"/>
      <c r="O6" s="19">
        <v>0.2</v>
      </c>
      <c r="Q6" s="21">
        <f>9.5*2</f>
        <v>19</v>
      </c>
    </row>
    <row r="7" spans="3:21" x14ac:dyDescent="0.25">
      <c r="C7" s="1" t="s">
        <v>104</v>
      </c>
      <c r="D7" s="1">
        <v>10000</v>
      </c>
      <c r="E7" s="59">
        <f>(1+$O$6)*D7</f>
        <v>12000</v>
      </c>
      <c r="F7" s="59">
        <f t="shared" ref="F7:G7" si="1">(1+$O$6)*E7</f>
        <v>14400</v>
      </c>
      <c r="G7" s="59">
        <f t="shared" si="1"/>
        <v>17280</v>
      </c>
      <c r="H7" s="58"/>
      <c r="I7" s="58"/>
      <c r="J7" s="58"/>
      <c r="K7" s="58"/>
      <c r="L7" s="58"/>
      <c r="M7" s="58"/>
      <c r="N7" s="58"/>
      <c r="Q7" s="1">
        <f>9.5*0.05</f>
        <v>0.47500000000000003</v>
      </c>
      <c r="R7" s="1">
        <f>9.5-Q7</f>
        <v>9.0250000000000004</v>
      </c>
      <c r="S7" s="22">
        <f>+R7*2</f>
        <v>18.05</v>
      </c>
    </row>
    <row r="8" spans="3:21" x14ac:dyDescent="0.25">
      <c r="C8" s="1" t="s">
        <v>51</v>
      </c>
      <c r="D8" s="23">
        <f>+D6*D7</f>
        <v>200000</v>
      </c>
      <c r="E8" s="44">
        <f>+E6*E7</f>
        <v>240000</v>
      </c>
      <c r="F8" s="44">
        <f>+F6*F7</f>
        <v>288000</v>
      </c>
      <c r="G8" s="44">
        <f>+G6*G7</f>
        <v>345600</v>
      </c>
      <c r="H8" s="57"/>
      <c r="I8" s="57"/>
      <c r="J8" s="57"/>
      <c r="K8" s="57"/>
      <c r="L8" s="57"/>
      <c r="M8" s="57"/>
      <c r="N8" s="57"/>
      <c r="S8" s="1">
        <f>R7*0.05</f>
        <v>0.45125000000000004</v>
      </c>
      <c r="T8" s="1">
        <f>+R7-S8</f>
        <v>8.5737500000000004</v>
      </c>
      <c r="U8" s="22">
        <f>+T8*2</f>
        <v>17.147500000000001</v>
      </c>
    </row>
    <row r="10" spans="3:21" x14ac:dyDescent="0.25">
      <c r="C10" s="1" t="s">
        <v>105</v>
      </c>
      <c r="D10" s="20">
        <v>60000</v>
      </c>
      <c r="E10" s="20">
        <f>E4*$O$10</f>
        <v>66000</v>
      </c>
      <c r="F10" s="20">
        <f>F4*$O$10</f>
        <v>72600.000000000015</v>
      </c>
      <c r="G10" s="20">
        <f>G4*$O$10</f>
        <v>79860.000000000029</v>
      </c>
      <c r="H10" s="57"/>
      <c r="I10" s="57"/>
      <c r="J10" s="57"/>
      <c r="K10" s="57"/>
      <c r="L10" s="57"/>
      <c r="M10" s="57"/>
      <c r="N10" s="57"/>
      <c r="O10" s="19">
        <f>D10/D4</f>
        <v>0.2</v>
      </c>
    </row>
    <row r="11" spans="3:21" x14ac:dyDescent="0.25">
      <c r="C11" s="1" t="s">
        <v>106</v>
      </c>
      <c r="D11" s="20">
        <v>8000</v>
      </c>
      <c r="E11" s="20">
        <f>E8*$O$11</f>
        <v>96000</v>
      </c>
      <c r="F11" s="20">
        <f>F8*$O$11</f>
        <v>115200</v>
      </c>
      <c r="G11" s="20">
        <f>G8*$O$11</f>
        <v>138240</v>
      </c>
      <c r="H11" s="57"/>
      <c r="I11" s="57"/>
      <c r="J11" s="57"/>
      <c r="K11" s="57"/>
      <c r="L11" s="57"/>
      <c r="M11" s="57"/>
      <c r="N11" s="57"/>
      <c r="O11" s="19">
        <v>0.4</v>
      </c>
    </row>
    <row r="12" spans="3:21" x14ac:dyDescent="0.25">
      <c r="D12" s="20"/>
      <c r="E12" s="20"/>
      <c r="F12" s="20"/>
      <c r="G12" s="20"/>
      <c r="H12" s="57"/>
      <c r="I12" s="57"/>
      <c r="J12" s="57"/>
      <c r="K12" s="57"/>
      <c r="L12" s="57"/>
      <c r="M12" s="57"/>
      <c r="N12" s="57"/>
      <c r="O12" s="19"/>
    </row>
    <row r="13" spans="3:21" x14ac:dyDescent="0.25">
      <c r="C13" s="1" t="s">
        <v>52</v>
      </c>
      <c r="D13" s="20">
        <v>10000</v>
      </c>
      <c r="E13" s="20">
        <f>(E4+E8)*$O$13</f>
        <v>11400</v>
      </c>
      <c r="F13" s="20">
        <f>(F4+F8)*$O$13</f>
        <v>13020</v>
      </c>
      <c r="G13" s="20">
        <f>(G4+G8)*$O$13</f>
        <v>14898.000000000002</v>
      </c>
      <c r="H13" s="57"/>
      <c r="I13" s="57"/>
      <c r="J13" s="57"/>
      <c r="K13" s="57"/>
      <c r="L13" s="57"/>
      <c r="M13" s="57"/>
      <c r="N13" s="57"/>
      <c r="O13" s="32">
        <f>D13/(D4+D8)</f>
        <v>0.02</v>
      </c>
      <c r="P13" s="1" t="s">
        <v>78</v>
      </c>
    </row>
    <row r="14" spans="3:21" x14ac:dyDescent="0.25">
      <c r="D14" s="20"/>
      <c r="E14" s="20"/>
      <c r="F14" s="20"/>
      <c r="G14" s="20"/>
      <c r="H14" s="57"/>
      <c r="I14" s="57"/>
      <c r="J14" s="57"/>
      <c r="K14" s="57"/>
      <c r="L14" s="57"/>
      <c r="M14" s="57"/>
      <c r="N14" s="57"/>
      <c r="O14" s="19"/>
    </row>
    <row r="15" spans="3:21" x14ac:dyDescent="0.25">
      <c r="D15" s="36"/>
      <c r="E15" s="36"/>
      <c r="F15" s="36"/>
      <c r="G15" s="36"/>
      <c r="H15" s="102"/>
      <c r="I15" s="102"/>
      <c r="J15" s="102"/>
      <c r="K15" s="102"/>
      <c r="L15" s="102"/>
      <c r="M15" s="102"/>
      <c r="N15" s="102"/>
    </row>
    <row r="16" spans="3:21" x14ac:dyDescent="0.25">
      <c r="C16" s="2" t="s">
        <v>97</v>
      </c>
      <c r="D16" s="2">
        <v>3</v>
      </c>
      <c r="E16" s="2">
        <v>3</v>
      </c>
      <c r="F16" s="2">
        <v>3</v>
      </c>
      <c r="G16" s="2">
        <v>3</v>
      </c>
      <c r="H16" s="62"/>
      <c r="I16" s="62"/>
      <c r="J16" s="62"/>
      <c r="K16" s="62"/>
      <c r="L16" s="62"/>
      <c r="M16" s="62"/>
      <c r="N16" s="103"/>
      <c r="O16" s="50">
        <v>0.05</v>
      </c>
      <c r="P16" s="51" t="s">
        <v>100</v>
      </c>
    </row>
    <row r="17" spans="1:19" x14ac:dyDescent="0.25">
      <c r="C17" s="2" t="s">
        <v>98</v>
      </c>
      <c r="D17" s="2">
        <v>30</v>
      </c>
      <c r="E17" s="43">
        <v>30</v>
      </c>
      <c r="F17" s="43">
        <v>30</v>
      </c>
      <c r="G17" s="43">
        <v>30</v>
      </c>
      <c r="H17" s="103"/>
      <c r="I17" s="103"/>
      <c r="J17" s="103"/>
      <c r="K17" s="103"/>
      <c r="L17" s="103"/>
      <c r="M17" s="103"/>
      <c r="N17" s="103"/>
      <c r="O17" s="52">
        <v>-0.05</v>
      </c>
      <c r="P17" s="53" t="s">
        <v>100</v>
      </c>
    </row>
    <row r="18" spans="1:19" x14ac:dyDescent="0.25">
      <c r="C18" s="2" t="s">
        <v>99</v>
      </c>
      <c r="D18" s="2">
        <v>20</v>
      </c>
      <c r="E18" s="2">
        <v>20</v>
      </c>
      <c r="F18" s="2">
        <v>20</v>
      </c>
      <c r="G18" s="2">
        <v>20</v>
      </c>
      <c r="H18" s="62"/>
      <c r="I18" s="62"/>
      <c r="J18" s="62"/>
      <c r="K18" s="62"/>
      <c r="L18" s="62"/>
      <c r="M18" s="62"/>
      <c r="N18" s="104"/>
      <c r="O18" s="42"/>
      <c r="P18" s="42"/>
    </row>
    <row r="20" spans="1:19" x14ac:dyDescent="0.25">
      <c r="B20" s="62" t="s">
        <v>125</v>
      </c>
      <c r="D20" s="1">
        <v>2014</v>
      </c>
      <c r="E20" s="1">
        <v>2015</v>
      </c>
      <c r="F20" s="1">
        <v>2016</v>
      </c>
      <c r="G20" s="1">
        <v>2017</v>
      </c>
    </row>
    <row r="21" spans="1:19" x14ac:dyDescent="0.25">
      <c r="A21" s="45"/>
      <c r="B21" s="45"/>
      <c r="C21" s="45"/>
      <c r="D21" s="45">
        <v>1</v>
      </c>
      <c r="E21" s="45">
        <v>2</v>
      </c>
      <c r="F21" s="45">
        <v>3</v>
      </c>
      <c r="G21" s="45">
        <v>4</v>
      </c>
      <c r="H21" s="62"/>
      <c r="I21" s="62"/>
      <c r="J21" s="62"/>
      <c r="K21" s="62"/>
      <c r="L21" s="62"/>
      <c r="M21" s="62"/>
      <c r="N21" s="62"/>
      <c r="O21" s="3"/>
      <c r="P21" s="3" t="s">
        <v>102</v>
      </c>
      <c r="Q21" s="3" t="s">
        <v>101</v>
      </c>
      <c r="R21" s="3"/>
      <c r="S21" s="3"/>
    </row>
    <row r="22" spans="1:19" x14ac:dyDescent="0.25">
      <c r="A22" s="45" t="s">
        <v>0</v>
      </c>
      <c r="B22" s="45"/>
      <c r="C22" s="45"/>
      <c r="D22" s="45"/>
      <c r="E22" s="45"/>
      <c r="F22" s="45"/>
      <c r="G22" s="45"/>
      <c r="H22" s="62"/>
      <c r="I22" s="62"/>
      <c r="J22" s="62"/>
      <c r="K22" s="62"/>
      <c r="L22" s="62"/>
      <c r="M22" s="62"/>
      <c r="N22" s="62"/>
      <c r="O22" s="3"/>
      <c r="P22" s="3"/>
      <c r="Q22" s="3"/>
      <c r="R22" s="3"/>
      <c r="S22" s="3"/>
    </row>
    <row r="23" spans="1:19" x14ac:dyDescent="0.25">
      <c r="A23" s="45" t="s">
        <v>1</v>
      </c>
      <c r="B23" s="45"/>
      <c r="C23" s="45"/>
      <c r="D23" s="45"/>
      <c r="E23" s="45"/>
      <c r="F23" s="45"/>
      <c r="G23" s="45"/>
      <c r="H23" s="62"/>
      <c r="I23" s="62"/>
      <c r="J23" s="62"/>
      <c r="K23" s="62"/>
      <c r="L23" s="62"/>
      <c r="M23" s="62"/>
      <c r="N23" s="62"/>
      <c r="O23" s="3"/>
      <c r="P23" s="3"/>
      <c r="Q23" s="3"/>
      <c r="R23" s="3"/>
      <c r="S23" s="3"/>
    </row>
    <row r="24" spans="1:19" x14ac:dyDescent="0.25">
      <c r="A24" s="45"/>
      <c r="B24" s="45" t="s">
        <v>107</v>
      </c>
      <c r="C24" s="46"/>
      <c r="D24" s="46">
        <f t="shared" ref="D24:G24" si="2">+D4</f>
        <v>300000</v>
      </c>
      <c r="E24" s="46">
        <f t="shared" si="2"/>
        <v>330000</v>
      </c>
      <c r="F24" s="46">
        <f t="shared" si="2"/>
        <v>363000.00000000006</v>
      </c>
      <c r="G24" s="46">
        <f t="shared" si="2"/>
        <v>399300.00000000012</v>
      </c>
      <c r="H24" s="105"/>
      <c r="I24" s="105"/>
      <c r="J24" s="105"/>
      <c r="K24" s="105"/>
      <c r="L24" s="105"/>
      <c r="M24" s="105"/>
      <c r="N24" s="105"/>
      <c r="O24" s="3"/>
      <c r="P24" s="3"/>
      <c r="Q24" s="3"/>
      <c r="R24" s="3"/>
      <c r="S24" s="3"/>
    </row>
    <row r="25" spans="1:19" x14ac:dyDescent="0.25">
      <c r="A25" s="45"/>
      <c r="B25" s="45" t="s">
        <v>108</v>
      </c>
      <c r="C25" s="46"/>
      <c r="D25" s="46">
        <f t="shared" ref="D25:G25" si="3">D8</f>
        <v>200000</v>
      </c>
      <c r="E25" s="46">
        <f t="shared" si="3"/>
        <v>240000</v>
      </c>
      <c r="F25" s="46">
        <f t="shared" si="3"/>
        <v>288000</v>
      </c>
      <c r="G25" s="46">
        <f t="shared" si="3"/>
        <v>345600</v>
      </c>
      <c r="H25" s="105"/>
      <c r="I25" s="105"/>
      <c r="J25" s="105"/>
      <c r="K25" s="105"/>
      <c r="L25" s="105"/>
      <c r="M25" s="105"/>
      <c r="N25" s="105"/>
      <c r="O25" s="3"/>
      <c r="P25" s="3"/>
      <c r="Q25" s="3"/>
      <c r="R25" s="3"/>
      <c r="S25" s="3"/>
    </row>
    <row r="26" spans="1:19" x14ac:dyDescent="0.25">
      <c r="A26" s="45"/>
      <c r="B26" s="45"/>
      <c r="C26" s="46"/>
      <c r="D26" s="46"/>
      <c r="E26" s="46"/>
      <c r="F26" s="46"/>
      <c r="G26" s="46"/>
      <c r="H26" s="105"/>
      <c r="I26" s="105"/>
      <c r="J26" s="105"/>
      <c r="K26" s="105"/>
      <c r="L26" s="105"/>
      <c r="M26" s="105"/>
      <c r="N26" s="105"/>
      <c r="O26" s="3"/>
      <c r="P26" s="3"/>
      <c r="Q26" s="3"/>
      <c r="R26" s="3"/>
      <c r="S26" s="3"/>
    </row>
    <row r="27" spans="1:19" x14ac:dyDescent="0.25">
      <c r="A27" s="45" t="s">
        <v>4</v>
      </c>
      <c r="B27" s="45"/>
      <c r="C27" s="46"/>
      <c r="D27" s="46">
        <f>$O$27*(D24+D25)</f>
        <v>350000</v>
      </c>
      <c r="E27" s="46">
        <f t="shared" ref="E27:G27" si="4">$O$27*(E24+E25)</f>
        <v>399000</v>
      </c>
      <c r="F27" s="46">
        <f t="shared" si="4"/>
        <v>455700</v>
      </c>
      <c r="G27" s="46">
        <f t="shared" si="4"/>
        <v>521430.00000000006</v>
      </c>
      <c r="H27" s="105"/>
      <c r="I27" s="105"/>
      <c r="J27" s="105"/>
      <c r="K27" s="105"/>
      <c r="L27" s="105"/>
      <c r="M27" s="105"/>
      <c r="N27" s="105"/>
      <c r="O27" s="3">
        <v>0.7</v>
      </c>
      <c r="P27" s="3"/>
      <c r="Q27" s="3"/>
      <c r="R27" s="3"/>
      <c r="S27" s="3"/>
    </row>
    <row r="28" spans="1:19" x14ac:dyDescent="0.25">
      <c r="A28" s="45"/>
      <c r="B28" s="45"/>
      <c r="C28" s="46"/>
      <c r="D28" s="46"/>
      <c r="E28" s="46"/>
      <c r="F28" s="46"/>
      <c r="G28" s="46"/>
      <c r="H28" s="105"/>
      <c r="I28" s="105"/>
      <c r="J28" s="105"/>
      <c r="K28" s="105"/>
      <c r="L28" s="105"/>
      <c r="M28" s="105"/>
      <c r="N28" s="105"/>
      <c r="O28" s="3"/>
      <c r="P28" s="3"/>
      <c r="Q28" s="3"/>
      <c r="R28" s="3"/>
      <c r="S28" s="3"/>
    </row>
    <row r="29" spans="1:19" x14ac:dyDescent="0.25">
      <c r="A29" s="45" t="s">
        <v>5</v>
      </c>
      <c r="B29" s="45"/>
      <c r="C29" s="46"/>
      <c r="D29" s="46"/>
      <c r="E29" s="46"/>
      <c r="F29" s="46"/>
      <c r="G29" s="46"/>
      <c r="H29" s="105"/>
      <c r="I29" s="105"/>
      <c r="J29" s="105"/>
      <c r="K29" s="105"/>
      <c r="L29" s="105"/>
      <c r="M29" s="105"/>
      <c r="N29" s="105"/>
      <c r="O29" s="3"/>
      <c r="P29" s="3"/>
      <c r="Q29" s="3"/>
      <c r="R29" s="3"/>
      <c r="S29" s="3"/>
    </row>
    <row r="30" spans="1:19" x14ac:dyDescent="0.25">
      <c r="A30" s="45"/>
      <c r="B30" s="45" t="s">
        <v>109</v>
      </c>
      <c r="C30" s="46"/>
      <c r="D30" s="46">
        <f t="shared" ref="D30:G31" si="5">D10</f>
        <v>60000</v>
      </c>
      <c r="E30" s="46">
        <f t="shared" si="5"/>
        <v>66000</v>
      </c>
      <c r="F30" s="46">
        <f t="shared" si="5"/>
        <v>72600.000000000015</v>
      </c>
      <c r="G30" s="46">
        <f t="shared" si="5"/>
        <v>79860.000000000029</v>
      </c>
      <c r="H30" s="105"/>
      <c r="I30" s="105"/>
      <c r="J30" s="105"/>
      <c r="K30" s="105"/>
      <c r="L30" s="105"/>
      <c r="M30" s="105"/>
      <c r="N30" s="105"/>
      <c r="O30" s="3"/>
      <c r="P30" s="4"/>
      <c r="Q30" s="3"/>
      <c r="R30" s="3"/>
      <c r="S30" s="3"/>
    </row>
    <row r="31" spans="1:19" x14ac:dyDescent="0.25">
      <c r="A31" s="45"/>
      <c r="B31" s="45" t="s">
        <v>106</v>
      </c>
      <c r="C31" s="46"/>
      <c r="D31" s="46">
        <f t="shared" si="5"/>
        <v>8000</v>
      </c>
      <c r="E31" s="46">
        <f t="shared" si="5"/>
        <v>96000</v>
      </c>
      <c r="F31" s="46">
        <f t="shared" si="5"/>
        <v>115200</v>
      </c>
      <c r="G31" s="46">
        <f t="shared" si="5"/>
        <v>138240</v>
      </c>
      <c r="H31" s="105"/>
      <c r="I31" s="105"/>
      <c r="J31" s="105"/>
      <c r="K31" s="105"/>
      <c r="L31" s="105"/>
      <c r="M31" s="105"/>
      <c r="N31" s="105"/>
      <c r="O31" s="3"/>
      <c r="P31" s="4"/>
      <c r="Q31" s="3"/>
      <c r="R31" s="3"/>
      <c r="S31" s="3"/>
    </row>
    <row r="32" spans="1:19" x14ac:dyDescent="0.25">
      <c r="A32" s="45"/>
      <c r="B32" s="45" t="s">
        <v>8</v>
      </c>
      <c r="C32" s="46"/>
      <c r="D32" s="46">
        <f t="shared" ref="D32:G32" si="6">D13</f>
        <v>10000</v>
      </c>
      <c r="E32" s="46">
        <f t="shared" si="6"/>
        <v>11400</v>
      </c>
      <c r="F32" s="46">
        <f t="shared" si="6"/>
        <v>13020</v>
      </c>
      <c r="G32" s="46">
        <f t="shared" si="6"/>
        <v>14898.000000000002</v>
      </c>
      <c r="H32" s="105"/>
      <c r="I32" s="105"/>
      <c r="J32" s="105"/>
      <c r="K32" s="105"/>
      <c r="L32" s="105"/>
      <c r="M32" s="105"/>
      <c r="N32" s="105"/>
      <c r="O32" s="3"/>
      <c r="P32" s="4"/>
      <c r="Q32" s="3"/>
      <c r="R32" s="3"/>
      <c r="S32" s="3"/>
    </row>
    <row r="33" spans="1:20" x14ac:dyDescent="0.25">
      <c r="A33" s="45"/>
      <c r="B33" s="45"/>
      <c r="C33" s="46"/>
      <c r="D33" s="46"/>
      <c r="E33" s="46"/>
      <c r="F33" s="46"/>
      <c r="G33" s="46"/>
      <c r="H33" s="105"/>
      <c r="I33" s="105"/>
      <c r="J33" s="105"/>
      <c r="K33" s="105"/>
      <c r="L33" s="105"/>
      <c r="M33" s="105"/>
      <c r="N33" s="105"/>
      <c r="O33" s="3"/>
      <c r="P33" s="3"/>
      <c r="Q33" s="3"/>
      <c r="R33" s="3"/>
      <c r="S33" s="3"/>
    </row>
    <row r="34" spans="1:20" x14ac:dyDescent="0.25">
      <c r="A34" s="45" t="s">
        <v>9</v>
      </c>
      <c r="B34" s="45"/>
      <c r="C34" s="46"/>
      <c r="D34" s="46">
        <f>$P$34</f>
        <v>46666.666666666664</v>
      </c>
      <c r="E34" s="46">
        <f>$P$34</f>
        <v>46666.666666666664</v>
      </c>
      <c r="F34" s="46">
        <f>$P$34</f>
        <v>46666.666666666664</v>
      </c>
      <c r="G34" s="46">
        <f>$P$34</f>
        <v>46666.666666666664</v>
      </c>
      <c r="H34" s="105"/>
      <c r="I34" s="105"/>
      <c r="J34" s="105"/>
      <c r="K34" s="105"/>
      <c r="L34" s="105"/>
      <c r="M34" s="105"/>
      <c r="N34" s="105"/>
      <c r="O34" s="27">
        <f>1/30</f>
        <v>3.3333333333333333E-2</v>
      </c>
      <c r="P34" s="28">
        <f>1400000*O34</f>
        <v>46666.666666666664</v>
      </c>
      <c r="Q34" s="3"/>
      <c r="R34" s="3"/>
      <c r="S34" s="3"/>
    </row>
    <row r="35" spans="1:20" x14ac:dyDescent="0.25">
      <c r="A35" s="45" t="s">
        <v>10</v>
      </c>
      <c r="B35" s="45"/>
      <c r="C35" s="46"/>
      <c r="D35" s="46">
        <f>[1]Mortgage!K14</f>
        <v>79698.109055818641</v>
      </c>
      <c r="E35" s="46">
        <f>[1]Mortgage!K29</f>
        <v>79004.761071565401</v>
      </c>
      <c r="F35" s="46">
        <f>[1]Mortgage!K44</f>
        <v>78253.865546573157</v>
      </c>
      <c r="G35" s="46">
        <f>[1]Mortgage!K59</f>
        <v>77440.646063342618</v>
      </c>
      <c r="H35" s="105"/>
      <c r="I35" s="105"/>
      <c r="J35" s="105"/>
      <c r="K35" s="105"/>
      <c r="L35" s="105"/>
      <c r="M35" s="105"/>
      <c r="N35" s="105"/>
      <c r="O35" s="106">
        <v>0.08</v>
      </c>
      <c r="P35" s="5" t="s">
        <v>158</v>
      </c>
      <c r="Q35" s="3"/>
      <c r="R35" s="3"/>
      <c r="S35" s="3"/>
    </row>
    <row r="36" spans="1:20" x14ac:dyDescent="0.25">
      <c r="A36" s="45" t="s">
        <v>11</v>
      </c>
      <c r="B36" s="45"/>
      <c r="C36" s="46"/>
      <c r="D36" s="46">
        <f>D59*$O$36</f>
        <v>22289.141809914778</v>
      </c>
      <c r="E36" s="46">
        <f>E59*$O$36</f>
        <v>36453.330698998783</v>
      </c>
      <c r="F36" s="46">
        <f>F59*$O$36</f>
        <v>52789.898174804934</v>
      </c>
      <c r="G36" s="46">
        <f t="shared" ref="G36" si="7">G59*$O$36</f>
        <v>71683.334002630858</v>
      </c>
      <c r="H36" s="105"/>
      <c r="I36" s="105"/>
      <c r="J36" s="105"/>
      <c r="K36" s="105"/>
      <c r="L36" s="105"/>
      <c r="M36" s="105"/>
      <c r="N36" s="105"/>
      <c r="O36" s="4">
        <v>0.11</v>
      </c>
      <c r="P36" s="3" t="s">
        <v>96</v>
      </c>
      <c r="Q36" s="3"/>
      <c r="R36" s="3"/>
      <c r="S36" s="3"/>
    </row>
    <row r="37" spans="1:20" x14ac:dyDescent="0.25">
      <c r="A37" s="45"/>
      <c r="B37" s="45"/>
      <c r="C37" s="46"/>
      <c r="D37" s="46"/>
      <c r="E37" s="46"/>
      <c r="F37" s="46"/>
      <c r="G37" s="46"/>
      <c r="H37" s="105"/>
      <c r="I37" s="105"/>
      <c r="J37" s="105"/>
      <c r="K37" s="105"/>
      <c r="L37" s="105"/>
      <c r="M37" s="105"/>
      <c r="N37" s="105"/>
      <c r="Q37" s="3"/>
      <c r="R37" s="3"/>
      <c r="S37" s="3"/>
    </row>
    <row r="38" spans="1:20" x14ac:dyDescent="0.25">
      <c r="A38" s="45" t="s">
        <v>12</v>
      </c>
      <c r="B38" s="45"/>
      <c r="C38" s="46"/>
      <c r="D38" s="47">
        <f>SUM(D24:D25)-SUM(D27:D36)</f>
        <v>-76653.917532399995</v>
      </c>
      <c r="E38" s="47">
        <f>SUM(E24:E25)-SUM(E27:E36)</f>
        <v>-164524.75843723083</v>
      </c>
      <c r="F38" s="60">
        <f>SUM(F24:F25)-SUM(F27:F36)</f>
        <v>-183230.4303880448</v>
      </c>
      <c r="G38" s="47">
        <f>SUM(G24:G25)-SUM(G27:G36)</f>
        <v>-205318.6467326401</v>
      </c>
      <c r="H38" s="102"/>
      <c r="I38" s="102"/>
      <c r="J38" s="102"/>
      <c r="K38" s="102"/>
      <c r="L38" s="102"/>
      <c r="M38" s="102"/>
      <c r="N38" s="102"/>
      <c r="O38" s="3"/>
      <c r="P38" s="5"/>
      <c r="Q38" s="3"/>
      <c r="R38" s="3"/>
      <c r="S38" s="3"/>
    </row>
    <row r="39" spans="1:20" x14ac:dyDescent="0.25">
      <c r="A39" s="45" t="s">
        <v>13</v>
      </c>
      <c r="B39" s="45"/>
      <c r="C39" s="46"/>
      <c r="D39" s="46">
        <f>IF(D38&lt;0,0,D38*$O$39)</f>
        <v>0</v>
      </c>
      <c r="E39" s="46">
        <f>IF(E38&lt;0,0,E38*$O$39)</f>
        <v>0</v>
      </c>
      <c r="F39" s="46">
        <f>IF(F38&lt;0,0,F38*$O$39)</f>
        <v>0</v>
      </c>
      <c r="G39" s="46">
        <f>IF(G38&lt;0,0,G38*$O$39)</f>
        <v>0</v>
      </c>
      <c r="H39" s="105"/>
      <c r="I39" s="105"/>
      <c r="J39" s="105"/>
      <c r="K39" s="105"/>
      <c r="L39" s="105"/>
      <c r="M39" s="105"/>
      <c r="N39" s="105"/>
      <c r="O39" s="19">
        <v>0.2</v>
      </c>
      <c r="P39" s="4"/>
      <c r="Q39" s="3"/>
      <c r="R39" s="3"/>
      <c r="S39" s="3"/>
    </row>
    <row r="40" spans="1:20" x14ac:dyDescent="0.25">
      <c r="A40" s="45" t="s">
        <v>14</v>
      </c>
      <c r="B40" s="45"/>
      <c r="C40" s="46"/>
      <c r="D40" s="46">
        <f>D38-D39</f>
        <v>-76653.917532399995</v>
      </c>
      <c r="E40" s="46">
        <f>E38-E39</f>
        <v>-164524.75843723083</v>
      </c>
      <c r="F40" s="46">
        <f>F38-F39</f>
        <v>-183230.4303880448</v>
      </c>
      <c r="G40" s="46">
        <f>G38-G39</f>
        <v>-205318.6467326401</v>
      </c>
      <c r="H40" s="105"/>
      <c r="I40" s="105"/>
      <c r="J40" s="105"/>
      <c r="K40" s="105"/>
      <c r="L40" s="105"/>
      <c r="M40" s="105"/>
      <c r="N40" s="105"/>
      <c r="O40" s="3"/>
      <c r="P40" s="3"/>
      <c r="Q40" s="3"/>
      <c r="R40" s="3"/>
      <c r="S40" s="3"/>
    </row>
    <row r="41" spans="1:20" x14ac:dyDescent="0.25">
      <c r="A41" s="45"/>
      <c r="B41" s="45"/>
      <c r="C41" s="46"/>
      <c r="D41" s="46"/>
      <c r="E41" s="46"/>
      <c r="F41" s="46"/>
      <c r="G41" s="46"/>
      <c r="H41" s="105"/>
      <c r="I41" s="105"/>
      <c r="J41" s="105"/>
      <c r="K41" s="105"/>
      <c r="L41" s="105"/>
      <c r="M41" s="105"/>
      <c r="N41" s="105"/>
      <c r="O41" s="3"/>
      <c r="P41" s="3"/>
      <c r="Q41" s="3"/>
      <c r="R41" s="3"/>
      <c r="S41" s="3"/>
    </row>
    <row r="42" spans="1:20" x14ac:dyDescent="0.25">
      <c r="A42" s="45" t="s">
        <v>15</v>
      </c>
      <c r="B42" s="45"/>
      <c r="C42" s="46"/>
      <c r="D42" s="46"/>
      <c r="E42" s="46"/>
      <c r="F42" s="46"/>
      <c r="G42" s="46"/>
      <c r="H42" s="105"/>
      <c r="I42" s="105"/>
      <c r="J42" s="105"/>
      <c r="K42" s="105"/>
      <c r="L42" s="105"/>
      <c r="M42" s="105"/>
      <c r="N42" s="105"/>
      <c r="O42" s="3"/>
      <c r="P42" s="3"/>
      <c r="Q42" s="3"/>
      <c r="R42" s="3"/>
      <c r="S42" s="3"/>
    </row>
    <row r="43" spans="1:20" x14ac:dyDescent="0.25">
      <c r="A43" s="45" t="s">
        <v>16</v>
      </c>
      <c r="B43" s="45"/>
      <c r="C43" s="46"/>
      <c r="D43" s="46"/>
      <c r="E43" s="46"/>
      <c r="F43" s="46"/>
      <c r="G43" s="46"/>
      <c r="I43" s="105" t="s">
        <v>159</v>
      </c>
      <c r="J43" s="105" t="s">
        <v>160</v>
      </c>
      <c r="K43" s="105"/>
      <c r="L43" s="105"/>
      <c r="M43" s="105"/>
      <c r="N43" s="105"/>
      <c r="O43" s="3"/>
      <c r="P43" s="3"/>
      <c r="Q43" s="3"/>
      <c r="R43" s="3"/>
      <c r="S43" s="3"/>
    </row>
    <row r="44" spans="1:20" x14ac:dyDescent="0.25">
      <c r="A44" s="45" t="s">
        <v>17</v>
      </c>
      <c r="B44" s="45"/>
      <c r="C44" s="46"/>
      <c r="D44" s="46">
        <v>1000</v>
      </c>
      <c r="E44" s="46">
        <v>1000</v>
      </c>
      <c r="F44" s="46">
        <v>1000</v>
      </c>
      <c r="G44" s="46">
        <v>1000</v>
      </c>
      <c r="H44" s="107">
        <v>1</v>
      </c>
      <c r="I44" s="105"/>
      <c r="J44" s="105">
        <f>G44*H44</f>
        <v>1000</v>
      </c>
      <c r="K44" s="105"/>
      <c r="L44" s="105"/>
      <c r="M44" s="105"/>
      <c r="N44" s="105"/>
      <c r="O44" s="3"/>
      <c r="P44" s="3"/>
      <c r="Q44" s="3"/>
      <c r="R44" s="3"/>
      <c r="S44" s="3"/>
    </row>
    <row r="45" spans="1:20" x14ac:dyDescent="0.25">
      <c r="A45" s="45" t="s">
        <v>18</v>
      </c>
      <c r="B45" s="45"/>
      <c r="C45" s="46"/>
      <c r="D45" s="46">
        <v>0</v>
      </c>
      <c r="E45" s="46">
        <v>0</v>
      </c>
      <c r="F45" s="46">
        <v>0</v>
      </c>
      <c r="G45" s="46">
        <v>0</v>
      </c>
      <c r="H45" s="107"/>
      <c r="I45" s="105"/>
      <c r="J45" s="105"/>
      <c r="K45" s="105"/>
      <c r="L45" s="105"/>
      <c r="M45" s="105"/>
      <c r="N45" s="105"/>
      <c r="O45" s="3"/>
      <c r="P45" s="3"/>
      <c r="Q45" s="3"/>
      <c r="R45" s="3"/>
      <c r="S45" s="3"/>
    </row>
    <row r="46" spans="1:20" x14ac:dyDescent="0.25">
      <c r="A46" s="45" t="s">
        <v>19</v>
      </c>
      <c r="B46" s="45"/>
      <c r="C46" s="46"/>
      <c r="D46" s="46">
        <f>((D16/365)*($O$46*(D24+D25)))</f>
        <v>3698.6301369863008</v>
      </c>
      <c r="E46" s="46">
        <f t="shared" ref="E46:G46" si="8">((E16/365)*($O$46*(E24+E25)))</f>
        <v>4216.4383561643835</v>
      </c>
      <c r="F46" s="46">
        <f t="shared" si="8"/>
        <v>4815.6164383561636</v>
      </c>
      <c r="G46" s="46">
        <f t="shared" si="8"/>
        <v>5510.2191780821922</v>
      </c>
      <c r="H46" s="107">
        <v>0.8</v>
      </c>
      <c r="I46" s="105"/>
      <c r="J46" s="105">
        <f t="shared" ref="J46:J47" si="9">G46*H46</f>
        <v>4408.1753424657536</v>
      </c>
      <c r="K46" s="105"/>
      <c r="L46" s="105"/>
      <c r="M46" s="105"/>
      <c r="N46" s="108"/>
      <c r="O46" s="3">
        <v>0.9</v>
      </c>
      <c r="P46" s="3"/>
      <c r="Q46" s="3"/>
      <c r="R46" s="3"/>
      <c r="S46" s="3"/>
    </row>
    <row r="47" spans="1:20" x14ac:dyDescent="0.25">
      <c r="A47" s="45" t="s">
        <v>20</v>
      </c>
      <c r="B47" s="45"/>
      <c r="C47" s="46"/>
      <c r="D47" s="46">
        <f>+D27/365*D17</f>
        <v>28767.123287671235</v>
      </c>
      <c r="E47" s="46">
        <f>+E27/365*E17</f>
        <v>32794.520547945205</v>
      </c>
      <c r="F47" s="46">
        <f>+F27/365*F17</f>
        <v>37454.794520547948</v>
      </c>
      <c r="G47" s="46">
        <f>+G27/365*G17</f>
        <v>42857.260273972614</v>
      </c>
      <c r="H47" s="107">
        <v>0.8</v>
      </c>
      <c r="I47" s="105"/>
      <c r="J47" s="105">
        <f t="shared" si="9"/>
        <v>34285.808219178092</v>
      </c>
      <c r="K47" s="105"/>
      <c r="L47" s="105"/>
      <c r="M47" s="105"/>
      <c r="N47" s="105"/>
      <c r="O47" s="19"/>
      <c r="P47" s="3"/>
      <c r="Q47" s="3"/>
      <c r="R47" s="3"/>
      <c r="S47" s="3"/>
    </row>
    <row r="48" spans="1:20" x14ac:dyDescent="0.25">
      <c r="A48" s="45"/>
      <c r="B48" s="45"/>
      <c r="C48" s="46"/>
      <c r="D48" s="46"/>
      <c r="E48" s="46"/>
      <c r="F48" s="46"/>
      <c r="G48" s="46"/>
      <c r="H48" s="107"/>
      <c r="I48" s="105"/>
      <c r="J48" s="105"/>
      <c r="K48" s="105"/>
      <c r="L48" s="105"/>
      <c r="M48" s="105"/>
      <c r="N48" s="105"/>
      <c r="O48" s="62"/>
      <c r="P48" s="101"/>
      <c r="Q48" s="62"/>
      <c r="R48" s="62"/>
      <c r="S48" s="62"/>
      <c r="T48" s="101"/>
    </row>
    <row r="49" spans="1:22" x14ac:dyDescent="0.25">
      <c r="A49" s="45" t="s">
        <v>21</v>
      </c>
      <c r="B49" s="45"/>
      <c r="C49" s="46"/>
      <c r="D49" s="46">
        <v>1400000</v>
      </c>
      <c r="E49" s="46">
        <v>1400000</v>
      </c>
      <c r="F49" s="46">
        <v>1400000</v>
      </c>
      <c r="G49" s="46">
        <v>1400000</v>
      </c>
      <c r="H49" s="107">
        <v>0.8</v>
      </c>
      <c r="I49" s="105">
        <f>G49*H49</f>
        <v>1120000</v>
      </c>
      <c r="J49" s="105"/>
      <c r="K49" s="105"/>
      <c r="L49" s="105"/>
      <c r="M49" s="105"/>
      <c r="N49" s="105"/>
      <c r="O49" s="62"/>
      <c r="P49" s="101"/>
      <c r="Q49" s="123"/>
      <c r="R49" s="62"/>
      <c r="S49" s="62"/>
      <c r="T49" s="101"/>
    </row>
    <row r="50" spans="1:22" x14ac:dyDescent="0.25">
      <c r="A50" s="45" t="s">
        <v>22</v>
      </c>
      <c r="B50" s="45"/>
      <c r="C50" s="46"/>
      <c r="D50" s="46">
        <f>D34</f>
        <v>46666.666666666664</v>
      </c>
      <c r="E50" s="46">
        <f>D50+E34</f>
        <v>93333.333333333328</v>
      </c>
      <c r="F50" s="46">
        <f>E50+F34</f>
        <v>140000</v>
      </c>
      <c r="G50" s="46">
        <f>F50+G34</f>
        <v>186666.66666666666</v>
      </c>
      <c r="H50" s="105"/>
      <c r="I50" s="105"/>
      <c r="J50" s="105"/>
      <c r="K50" s="105"/>
      <c r="L50" s="105"/>
      <c r="M50" s="105"/>
      <c r="N50" s="105"/>
      <c r="O50" s="122"/>
      <c r="P50" s="101"/>
      <c r="Q50" s="124"/>
      <c r="R50" s="62"/>
      <c r="S50" s="62"/>
      <c r="T50" s="101"/>
    </row>
    <row r="51" spans="1:22" x14ac:dyDescent="0.25">
      <c r="A51" s="45"/>
      <c r="B51" s="45"/>
      <c r="C51" s="46"/>
      <c r="D51" s="46"/>
      <c r="E51" s="46"/>
      <c r="F51" s="46"/>
      <c r="G51" s="46"/>
      <c r="H51" s="105"/>
      <c r="I51" s="105"/>
      <c r="J51" s="105"/>
      <c r="K51" s="105"/>
      <c r="L51" s="105"/>
      <c r="M51" s="105"/>
      <c r="N51" s="105"/>
      <c r="O51" s="62"/>
      <c r="P51" s="101"/>
      <c r="Q51" s="124"/>
      <c r="R51" s="62"/>
      <c r="S51" s="62"/>
      <c r="T51" s="101"/>
    </row>
    <row r="52" spans="1:22" x14ac:dyDescent="0.25">
      <c r="A52" s="45" t="s">
        <v>23</v>
      </c>
      <c r="B52" s="45"/>
      <c r="C52" s="46"/>
      <c r="D52" s="46">
        <f>SUM(D44:D49)-D50</f>
        <v>1386799.0867579908</v>
      </c>
      <c r="E52" s="46">
        <f>SUM(E44:E49)-E50</f>
        <v>1344677.6255707764</v>
      </c>
      <c r="F52" s="46">
        <f>SUM(F44:F49)-F50</f>
        <v>1303270.4109589041</v>
      </c>
      <c r="G52" s="46">
        <f>SUM(G44:G49)-G50</f>
        <v>1262700.812785388</v>
      </c>
      <c r="K52" s="105"/>
      <c r="L52" s="105"/>
      <c r="M52" s="105"/>
      <c r="N52" s="105"/>
      <c r="O52" s="62"/>
      <c r="P52" s="62"/>
      <c r="Q52" s="62"/>
      <c r="R52" s="62"/>
      <c r="S52" s="62"/>
      <c r="T52" s="101"/>
    </row>
    <row r="53" spans="1:22" x14ac:dyDescent="0.25">
      <c r="A53" s="45"/>
      <c r="B53" s="45"/>
      <c r="C53" s="46"/>
      <c r="D53" s="46"/>
      <c r="E53" s="46"/>
      <c r="F53" s="46"/>
      <c r="G53" s="46"/>
      <c r="K53" s="105"/>
      <c r="L53" s="105"/>
      <c r="M53" s="105"/>
      <c r="N53" s="105"/>
      <c r="O53" s="62"/>
      <c r="P53" s="62"/>
      <c r="Q53" s="125"/>
      <c r="R53" s="62"/>
      <c r="S53" s="62"/>
      <c r="T53" s="101"/>
    </row>
    <row r="54" spans="1:22" x14ac:dyDescent="0.25">
      <c r="A54" s="45" t="s">
        <v>24</v>
      </c>
      <c r="B54" s="45"/>
      <c r="C54" s="46"/>
      <c r="D54" s="46"/>
      <c r="E54" s="46"/>
      <c r="F54" s="46"/>
      <c r="G54" s="46"/>
      <c r="H54" s="105"/>
      <c r="I54" s="105"/>
      <c r="J54" s="105"/>
      <c r="K54" s="105"/>
      <c r="L54" s="105"/>
      <c r="M54" s="105"/>
      <c r="N54" s="105"/>
      <c r="O54" s="62"/>
      <c r="P54" s="62"/>
      <c r="Q54" s="62"/>
      <c r="R54" s="62"/>
      <c r="S54" s="62"/>
      <c r="T54" s="101"/>
    </row>
    <row r="55" spans="1:22" x14ac:dyDescent="0.25">
      <c r="A55" s="45" t="s">
        <v>25</v>
      </c>
      <c r="B55" s="45"/>
      <c r="C55" s="46"/>
      <c r="D55" s="61">
        <f>(D18/365)*D27</f>
        <v>19178.082191780821</v>
      </c>
      <c r="E55" s="61">
        <f t="shared" ref="E55:G55" si="10">(E18/365)*E27</f>
        <v>21863.013698630137</v>
      </c>
      <c r="F55" s="61">
        <f t="shared" si="10"/>
        <v>24969.863013698628</v>
      </c>
      <c r="G55" s="61">
        <f t="shared" si="10"/>
        <v>28571.506849315068</v>
      </c>
      <c r="H55" s="109"/>
      <c r="I55" s="109"/>
      <c r="J55" s="109">
        <f>-G55</f>
        <v>-28571.506849315068</v>
      </c>
      <c r="K55" s="109"/>
      <c r="L55" s="109"/>
      <c r="M55" s="109"/>
      <c r="N55" s="105"/>
      <c r="O55" s="62"/>
      <c r="P55" s="62"/>
      <c r="Q55" s="62"/>
      <c r="R55" s="62"/>
      <c r="S55" s="62"/>
      <c r="T55" s="101"/>
    </row>
    <row r="56" spans="1:22" x14ac:dyDescent="0.25">
      <c r="A56" s="45" t="s">
        <v>26</v>
      </c>
      <c r="B56" s="45"/>
      <c r="C56" s="46"/>
      <c r="D56" s="46">
        <f>D39</f>
        <v>0</v>
      </c>
      <c r="E56" s="46">
        <f t="shared" ref="E56:G56" si="11">E39</f>
        <v>0</v>
      </c>
      <c r="F56" s="46">
        <f t="shared" si="11"/>
        <v>0</v>
      </c>
      <c r="G56" s="46">
        <f t="shared" si="11"/>
        <v>0</v>
      </c>
      <c r="H56" s="105" t="s">
        <v>161</v>
      </c>
      <c r="I56" s="110"/>
      <c r="J56" s="110">
        <f>I57-I58</f>
        <v>157809.61372480099</v>
      </c>
      <c r="K56" s="105"/>
      <c r="L56" s="105"/>
      <c r="M56" s="105"/>
      <c r="N56" s="105"/>
      <c r="O56" s="62"/>
      <c r="P56" s="62"/>
      <c r="Q56" s="62"/>
      <c r="R56" s="62"/>
      <c r="S56" s="62"/>
      <c r="T56" s="101"/>
    </row>
    <row r="57" spans="1:22" ht="15.75" thickBot="1" x14ac:dyDescent="0.3">
      <c r="A57" s="45"/>
      <c r="B57" s="45"/>
      <c r="C57" s="46"/>
      <c r="D57" s="46"/>
      <c r="E57" s="46"/>
      <c r="F57" s="46"/>
      <c r="G57" s="46"/>
      <c r="H57" s="105" t="s">
        <v>162</v>
      </c>
      <c r="I57" s="111">
        <f>SUM(I44:I56)</f>
        <v>1120000</v>
      </c>
      <c r="J57" s="111">
        <f>SUM(J44:J56)</f>
        <v>168932.09043712978</v>
      </c>
      <c r="K57" s="105" t="s">
        <v>163</v>
      </c>
      <c r="L57" s="105" t="s">
        <v>164</v>
      </c>
      <c r="M57" s="105" t="s">
        <v>165</v>
      </c>
      <c r="N57" s="105" t="s">
        <v>166</v>
      </c>
      <c r="O57" s="62"/>
      <c r="P57" s="101"/>
      <c r="Q57" s="101"/>
      <c r="R57" s="101"/>
      <c r="S57" s="101"/>
      <c r="T57" s="101"/>
    </row>
    <row r="58" spans="1:22" ht="15.75" thickTop="1" x14ac:dyDescent="0.25">
      <c r="A58" s="45" t="s">
        <v>27</v>
      </c>
      <c r="B58" s="45"/>
      <c r="C58" s="46"/>
      <c r="D58" s="46">
        <f>[1]Mortgage!M13</f>
        <v>991646.3601902934</v>
      </c>
      <c r="E58" s="46">
        <f>[1]Mortgage!M28</f>
        <v>982599.37239633361</v>
      </c>
      <c r="F58" s="46">
        <f>[1]Mortgage!M43</f>
        <v>972801.48907738156</v>
      </c>
      <c r="G58" s="46">
        <f>[1]Mortgage!M58</f>
        <v>962190.38627519901</v>
      </c>
      <c r="H58" s="105" t="s">
        <v>167</v>
      </c>
      <c r="I58" s="105">
        <f>G58</f>
        <v>962190.38627519901</v>
      </c>
      <c r="J58" s="105">
        <f>L58*J57</f>
        <v>0</v>
      </c>
      <c r="K58" s="105">
        <f>G58-I58</f>
        <v>0</v>
      </c>
      <c r="L58" s="112">
        <f>K58/(SUM(K58:K59))</f>
        <v>0</v>
      </c>
      <c r="M58" s="105">
        <f>I58+J58</f>
        <v>962190.38627519901</v>
      </c>
      <c r="N58" s="112">
        <f>M58/G58</f>
        <v>1</v>
      </c>
      <c r="O58" s="62"/>
      <c r="P58" s="122"/>
      <c r="Q58" s="126"/>
      <c r="R58" s="127"/>
      <c r="S58" s="128"/>
      <c r="T58" s="129"/>
    </row>
    <row r="59" spans="1:22" x14ac:dyDescent="0.25">
      <c r="A59" s="45" t="s">
        <v>28</v>
      </c>
      <c r="B59" s="45"/>
      <c r="C59" s="46"/>
      <c r="D59" s="46">
        <v>202628.56190831616</v>
      </c>
      <c r="E59" s="46">
        <v>331393.91544544348</v>
      </c>
      <c r="F59" s="46">
        <v>479908.16522549937</v>
      </c>
      <c r="G59" s="46">
        <v>651666.67275118968</v>
      </c>
      <c r="H59" s="105"/>
      <c r="I59" s="105"/>
      <c r="J59" s="105">
        <f>L59*J57</f>
        <v>168932.09043712978</v>
      </c>
      <c r="K59" s="105">
        <f>G59</f>
        <v>651666.67275118968</v>
      </c>
      <c r="L59" s="112">
        <f>K59/(SUM(K58:K59))</f>
        <v>1</v>
      </c>
      <c r="M59" s="105">
        <f>J59</f>
        <v>168932.09043712978</v>
      </c>
      <c r="N59" s="112">
        <f>M59/G59</f>
        <v>0.25923082689488569</v>
      </c>
      <c r="O59" s="62"/>
      <c r="P59" s="122"/>
      <c r="Q59" s="126"/>
      <c r="R59" s="130"/>
      <c r="S59" s="128"/>
      <c r="T59" s="129"/>
    </row>
    <row r="60" spans="1:22" x14ac:dyDescent="0.25">
      <c r="A60" s="45"/>
      <c r="B60" s="45"/>
      <c r="C60" s="46"/>
      <c r="D60" s="46"/>
      <c r="E60" s="46"/>
      <c r="F60" s="46"/>
      <c r="G60" s="46"/>
      <c r="H60" s="105"/>
      <c r="I60" s="105"/>
      <c r="J60" s="105"/>
      <c r="K60" s="105"/>
      <c r="L60" s="105"/>
      <c r="M60" s="105"/>
      <c r="N60" s="105"/>
      <c r="O60" s="62"/>
      <c r="P60" s="122"/>
      <c r="Q60" s="126"/>
      <c r="R60" s="62"/>
      <c r="S60" s="62"/>
      <c r="T60" s="129"/>
    </row>
    <row r="61" spans="1:22" x14ac:dyDescent="0.25">
      <c r="A61" s="45" t="s">
        <v>29</v>
      </c>
      <c r="B61" s="45"/>
      <c r="C61" s="46"/>
      <c r="D61" s="46">
        <v>250000</v>
      </c>
      <c r="E61" s="46">
        <v>250000</v>
      </c>
      <c r="F61" s="46">
        <v>250000</v>
      </c>
      <c r="G61" s="46">
        <v>250000</v>
      </c>
      <c r="H61" s="105"/>
      <c r="I61" s="105"/>
      <c r="J61" s="105"/>
      <c r="K61" s="105"/>
      <c r="L61" s="105"/>
      <c r="M61" s="105"/>
      <c r="N61" s="105"/>
      <c r="O61" s="62"/>
      <c r="P61" s="122"/>
      <c r="Q61" s="131"/>
      <c r="R61" s="132"/>
      <c r="S61" s="132"/>
      <c r="T61" s="129"/>
    </row>
    <row r="62" spans="1:22" x14ac:dyDescent="0.25">
      <c r="A62" s="45" t="s">
        <v>30</v>
      </c>
      <c r="B62" s="45"/>
      <c r="C62" s="46"/>
      <c r="D62" s="46">
        <f>C62+D40</f>
        <v>-76653.917532399995</v>
      </c>
      <c r="E62" s="46">
        <f>D62+E40</f>
        <v>-241178.67596963083</v>
      </c>
      <c r="F62" s="46">
        <f>E62+F40</f>
        <v>-424409.10635767563</v>
      </c>
      <c r="G62" s="46">
        <f>F62+G40</f>
        <v>-629727.75309031573</v>
      </c>
      <c r="H62" s="105"/>
      <c r="I62" s="105"/>
      <c r="J62" s="105"/>
      <c r="K62" s="105"/>
      <c r="L62" s="105"/>
      <c r="M62" s="105"/>
      <c r="N62" s="105"/>
      <c r="O62" s="101"/>
      <c r="P62" s="122"/>
      <c r="Q62" s="62"/>
      <c r="R62" s="62"/>
      <c r="S62" s="62"/>
      <c r="T62" s="129"/>
      <c r="V62" s="3"/>
    </row>
    <row r="63" spans="1:22" x14ac:dyDescent="0.25">
      <c r="A63" s="45"/>
      <c r="B63" s="45"/>
      <c r="C63" s="45"/>
      <c r="D63" s="46"/>
      <c r="E63" s="46"/>
      <c r="F63" s="46"/>
      <c r="G63" s="46"/>
      <c r="H63" s="105"/>
      <c r="I63" s="105"/>
      <c r="J63" s="105"/>
      <c r="K63" s="105"/>
      <c r="L63" s="105"/>
      <c r="M63" s="105"/>
      <c r="N63" s="105"/>
      <c r="O63" s="62"/>
      <c r="P63" s="122"/>
      <c r="Q63" s="62"/>
      <c r="R63" s="62"/>
      <c r="S63" s="62"/>
      <c r="T63" s="129"/>
    </row>
    <row r="64" spans="1:22" x14ac:dyDescent="0.25">
      <c r="A64" s="45" t="s">
        <v>31</v>
      </c>
      <c r="B64" s="45"/>
      <c r="C64" s="45"/>
      <c r="D64" s="46">
        <f>SUM(D55:D62)</f>
        <v>1386799.0867579903</v>
      </c>
      <c r="E64" s="46">
        <f>SUM(E55:E62)</f>
        <v>1344677.6255707764</v>
      </c>
      <c r="F64" s="46">
        <f>SUM(F55:F62)</f>
        <v>1303270.4109589038</v>
      </c>
      <c r="G64" s="46">
        <f>SUM(G55:G62)</f>
        <v>1262700.812785388</v>
      </c>
      <c r="H64" s="105"/>
      <c r="I64" s="105"/>
      <c r="J64" s="105"/>
      <c r="K64" s="105"/>
      <c r="L64" s="105"/>
      <c r="M64" s="105"/>
      <c r="N64" s="105"/>
      <c r="O64" s="62"/>
      <c r="P64" s="122"/>
      <c r="Q64" s="62"/>
      <c r="R64" s="62"/>
      <c r="S64" s="62"/>
      <c r="T64" s="101"/>
    </row>
    <row r="65" spans="1:20" x14ac:dyDescent="0.25">
      <c r="D65" s="54">
        <f>D52-D64</f>
        <v>0</v>
      </c>
      <c r="E65" s="54">
        <f>E52-E64</f>
        <v>0</v>
      </c>
      <c r="F65" s="54">
        <f t="shared" ref="F65:G65" si="12">F52-F64</f>
        <v>0</v>
      </c>
      <c r="G65" s="54">
        <f t="shared" si="12"/>
        <v>0</v>
      </c>
      <c r="H65" s="113"/>
      <c r="I65" s="113"/>
      <c r="J65" s="113"/>
      <c r="K65" s="113"/>
      <c r="L65" s="113"/>
      <c r="M65" s="113"/>
      <c r="O65" s="101"/>
      <c r="P65" s="101"/>
      <c r="Q65" s="101"/>
      <c r="R65" s="101"/>
      <c r="S65" s="133"/>
      <c r="T65" s="129"/>
    </row>
    <row r="66" spans="1:20" x14ac:dyDescent="0.25">
      <c r="A66" s="114" t="s">
        <v>168</v>
      </c>
      <c r="B66" s="115"/>
      <c r="C66" s="116"/>
      <c r="D66" s="116"/>
      <c r="E66" s="116"/>
      <c r="F66" s="116"/>
      <c r="G66" s="116"/>
      <c r="H66" s="116"/>
      <c r="I66" s="115"/>
      <c r="J66" s="115"/>
    </row>
    <row r="67" spans="1:20" x14ac:dyDescent="0.25">
      <c r="C67" s="117">
        <v>0</v>
      </c>
      <c r="D67" s="117">
        <v>1</v>
      </c>
      <c r="E67" s="117">
        <v>2</v>
      </c>
      <c r="F67" s="117">
        <v>3</v>
      </c>
      <c r="G67" s="117">
        <v>4</v>
      </c>
      <c r="H67" s="1"/>
      <c r="I67" s="1"/>
      <c r="J67" s="1"/>
    </row>
    <row r="68" spans="1:20" x14ac:dyDescent="0.25">
      <c r="A68" s="1" t="s">
        <v>27</v>
      </c>
      <c r="H68" s="1"/>
      <c r="I68" s="1" t="s">
        <v>169</v>
      </c>
      <c r="J68" s="1"/>
    </row>
    <row r="69" spans="1:20" x14ac:dyDescent="0.25">
      <c r="B69" s="1" t="s">
        <v>170</v>
      </c>
      <c r="C69" s="20">
        <f>-D58</f>
        <v>-991646.3601902934</v>
      </c>
      <c r="D69" s="20">
        <f>D58-E58</f>
        <v>9046.9877939597936</v>
      </c>
      <c r="E69" s="20">
        <f t="shared" ref="E69:F69" si="13">E58-F58</f>
        <v>9797.8833189520519</v>
      </c>
      <c r="F69" s="20">
        <f t="shared" si="13"/>
        <v>10611.102802182548</v>
      </c>
      <c r="G69" s="20"/>
      <c r="H69" s="20"/>
      <c r="I69" s="1"/>
      <c r="J69" s="1"/>
    </row>
    <row r="70" spans="1:20" x14ac:dyDescent="0.25">
      <c r="B70" s="1" t="s">
        <v>171</v>
      </c>
      <c r="C70" s="118"/>
      <c r="G70" s="54">
        <f>I58</f>
        <v>962190.38627519901</v>
      </c>
      <c r="H70" s="54"/>
      <c r="I70" s="1"/>
      <c r="J70" s="1"/>
    </row>
    <row r="71" spans="1:20" x14ac:dyDescent="0.25">
      <c r="B71" s="1" t="s">
        <v>172</v>
      </c>
      <c r="C71" s="118"/>
      <c r="D71" s="54">
        <f>D35</f>
        <v>79698.109055818641</v>
      </c>
      <c r="E71" s="54">
        <f t="shared" ref="E71:G71" si="14">E35</f>
        <v>79004.761071565401</v>
      </c>
      <c r="F71" s="54">
        <f t="shared" si="14"/>
        <v>78253.865546573157</v>
      </c>
      <c r="G71" s="54">
        <f t="shared" si="14"/>
        <v>77440.646063342618</v>
      </c>
      <c r="H71" s="54"/>
      <c r="I71" s="1"/>
      <c r="J71" s="1"/>
    </row>
    <row r="72" spans="1:20" x14ac:dyDescent="0.25">
      <c r="B72" s="1" t="s">
        <v>89</v>
      </c>
      <c r="C72" s="119">
        <f>SUM(C69:C71)</f>
        <v>-991646.3601902934</v>
      </c>
      <c r="D72" s="119">
        <f t="shared" ref="D72:G72" si="15">SUM(D69:D71)</f>
        <v>88745.096849778434</v>
      </c>
      <c r="E72" s="119">
        <f t="shared" si="15"/>
        <v>88802.644390517453</v>
      </c>
      <c r="F72" s="119">
        <f t="shared" si="15"/>
        <v>88864.968348755705</v>
      </c>
      <c r="G72" s="119">
        <f t="shared" si="15"/>
        <v>1039631.0323385416</v>
      </c>
      <c r="H72" s="54"/>
      <c r="I72" s="1"/>
      <c r="J72" s="1"/>
    </row>
    <row r="73" spans="1:20" x14ac:dyDescent="0.25">
      <c r="B73" s="1" t="s">
        <v>173</v>
      </c>
      <c r="C73" s="120">
        <f>IRR(C72:G72)</f>
        <v>8.0420556765296691E-2</v>
      </c>
      <c r="D73" s="67"/>
      <c r="H73" s="1"/>
      <c r="I73" s="67">
        <v>0.05</v>
      </c>
      <c r="J73" s="1"/>
    </row>
    <row r="74" spans="1:20" x14ac:dyDescent="0.25">
      <c r="B74" s="1" t="s">
        <v>174</v>
      </c>
      <c r="C74" s="120">
        <f>O35</f>
        <v>0.08</v>
      </c>
      <c r="D74" s="67"/>
      <c r="H74" s="1"/>
      <c r="I74" s="67">
        <v>0.95</v>
      </c>
      <c r="J74" s="1"/>
    </row>
    <row r="75" spans="1:20" x14ac:dyDescent="0.25">
      <c r="A75" s="1" t="s">
        <v>175</v>
      </c>
      <c r="C75" s="118">
        <f>C73*I73+C74*I74</f>
        <v>8.0021027838264827E-2</v>
      </c>
      <c r="H75" s="1"/>
      <c r="I75" s="1"/>
      <c r="J75" s="1"/>
    </row>
    <row r="76" spans="1:20" x14ac:dyDescent="0.25">
      <c r="C76" s="118"/>
      <c r="H76" s="1"/>
      <c r="I76" s="1"/>
      <c r="J76" s="1"/>
    </row>
    <row r="77" spans="1:20" x14ac:dyDescent="0.25">
      <c r="A77" s="1" t="s">
        <v>28</v>
      </c>
      <c r="H77" s="1"/>
      <c r="I77" s="1"/>
      <c r="J77" s="1"/>
    </row>
    <row r="78" spans="1:20" x14ac:dyDescent="0.25">
      <c r="B78" s="1" t="s">
        <v>170</v>
      </c>
      <c r="C78" s="54">
        <f>-D59</f>
        <v>-202628.56190831616</v>
      </c>
      <c r="D78" s="54">
        <f>D59-E59</f>
        <v>-128765.35353712732</v>
      </c>
      <c r="E78" s="54">
        <f t="shared" ref="E78:F78" si="16">E59-F59</f>
        <v>-148514.24978005589</v>
      </c>
      <c r="F78" s="54">
        <f t="shared" si="16"/>
        <v>-171758.50752569031</v>
      </c>
      <c r="G78" s="54"/>
      <c r="H78" s="54"/>
      <c r="I78" s="1"/>
      <c r="J78" s="1"/>
    </row>
    <row r="79" spans="1:20" x14ac:dyDescent="0.25">
      <c r="B79" s="1" t="s">
        <v>171</v>
      </c>
      <c r="G79" s="54">
        <f>M59</f>
        <v>168932.09043712978</v>
      </c>
      <c r="H79" s="54"/>
      <c r="I79" s="1"/>
      <c r="J79" s="1"/>
    </row>
    <row r="80" spans="1:20" x14ac:dyDescent="0.25">
      <c r="B80" s="1" t="s">
        <v>172</v>
      </c>
      <c r="D80" s="54">
        <f>D36</f>
        <v>22289.141809914778</v>
      </c>
      <c r="E80" s="54">
        <f t="shared" ref="E80:G80" si="17">E36</f>
        <v>36453.330698998783</v>
      </c>
      <c r="F80" s="54">
        <f t="shared" si="17"/>
        <v>52789.898174804934</v>
      </c>
      <c r="G80" s="54">
        <f t="shared" si="17"/>
        <v>71683.334002630858</v>
      </c>
      <c r="H80" s="54"/>
      <c r="I80" s="1"/>
      <c r="J80" s="1"/>
    </row>
    <row r="81" spans="1:10" x14ac:dyDescent="0.25">
      <c r="B81" s="1" t="s">
        <v>89</v>
      </c>
      <c r="C81" s="119">
        <f>SUM(C78:C80)</f>
        <v>-202628.56190831616</v>
      </c>
      <c r="D81" s="119">
        <f t="shared" ref="D81:G81" si="18">SUM(D78:D80)</f>
        <v>-106476.21172721253</v>
      </c>
      <c r="E81" s="119">
        <f t="shared" si="18"/>
        <v>-112060.9190810571</v>
      </c>
      <c r="F81" s="119">
        <f t="shared" si="18"/>
        <v>-118968.60935088538</v>
      </c>
      <c r="G81" s="119">
        <f t="shared" si="18"/>
        <v>240615.42443976062</v>
      </c>
      <c r="H81" s="54"/>
      <c r="I81" s="1"/>
      <c r="J81" s="1"/>
    </row>
    <row r="82" spans="1:10" x14ac:dyDescent="0.25">
      <c r="B82" s="1" t="s">
        <v>173</v>
      </c>
      <c r="C82" s="121">
        <f>IRR(C81:G81)</f>
        <v>-0.27644971014568209</v>
      </c>
      <c r="H82" s="1"/>
      <c r="I82" s="67">
        <v>0.05</v>
      </c>
      <c r="J82" s="1"/>
    </row>
    <row r="83" spans="1:10" x14ac:dyDescent="0.25">
      <c r="B83" s="1" t="s">
        <v>174</v>
      </c>
      <c r="C83" s="67">
        <f>O36</f>
        <v>0.11</v>
      </c>
      <c r="H83" s="1"/>
      <c r="I83" s="67">
        <v>0.95</v>
      </c>
      <c r="J83" s="1"/>
    </row>
    <row r="84" spans="1:10" x14ac:dyDescent="0.25">
      <c r="A84" s="1" t="s">
        <v>175</v>
      </c>
      <c r="C84" s="118">
        <f>C82*I82+C83*I83</f>
        <v>9.0677514492715883E-2</v>
      </c>
      <c r="H84" s="1"/>
      <c r="I84" s="1"/>
      <c r="J84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5"/>
  <sheetViews>
    <sheetView topLeftCell="A83" zoomScale="95" zoomScaleNormal="95" workbookViewId="0">
      <selection activeCell="C31" sqref="C31"/>
    </sheetView>
  </sheetViews>
  <sheetFormatPr defaultColWidth="9.42578125" defaultRowHeight="15" x14ac:dyDescent="0.25"/>
  <cols>
    <col min="1" max="1" width="5.5703125" style="1" customWidth="1"/>
    <col min="2" max="2" width="41.140625" style="1" customWidth="1"/>
    <col min="3" max="3" width="17.5703125" style="1" customWidth="1"/>
    <col min="4" max="4" width="18.7109375" style="1" customWidth="1"/>
    <col min="5" max="5" width="20.7109375" style="1" bestFit="1" customWidth="1"/>
    <col min="6" max="6" width="15" style="1" customWidth="1"/>
    <col min="7" max="14" width="14.28515625" style="1" customWidth="1"/>
    <col min="15" max="15" width="17" style="1" customWidth="1"/>
    <col min="16" max="16" width="19.5703125" style="1" customWidth="1"/>
    <col min="17" max="17" width="19.28515625" style="1" customWidth="1"/>
    <col min="18" max="18" width="9.42578125" style="1"/>
    <col min="19" max="19" width="12.42578125" style="1" bestFit="1" customWidth="1"/>
    <col min="20" max="21" width="9.42578125" style="1"/>
    <col min="22" max="22" width="22.140625" style="1" bestFit="1" customWidth="1"/>
    <col min="23" max="16384" width="9.42578125" style="1"/>
  </cols>
  <sheetData>
    <row r="2" spans="3:21" x14ac:dyDescent="0.25">
      <c r="C2" s="1" t="s">
        <v>50</v>
      </c>
      <c r="D2" s="20">
        <v>15</v>
      </c>
      <c r="E2" s="20">
        <v>15</v>
      </c>
      <c r="F2" s="20">
        <v>15</v>
      </c>
      <c r="G2" s="20">
        <v>15</v>
      </c>
      <c r="H2" s="20">
        <v>15</v>
      </c>
      <c r="I2" s="20">
        <v>15</v>
      </c>
      <c r="J2" s="20">
        <v>15</v>
      </c>
      <c r="K2" s="20">
        <v>15</v>
      </c>
      <c r="L2" s="20">
        <v>15</v>
      </c>
      <c r="M2" s="20">
        <v>15</v>
      </c>
      <c r="N2" s="20"/>
      <c r="O2" s="19">
        <v>0.1</v>
      </c>
    </row>
    <row r="3" spans="3:21" x14ac:dyDescent="0.25">
      <c r="C3" s="1" t="s">
        <v>103</v>
      </c>
      <c r="D3" s="1">
        <v>45000</v>
      </c>
      <c r="E3" s="1">
        <f>(1+$O$2)*D3</f>
        <v>49500.000000000007</v>
      </c>
      <c r="F3" s="1">
        <f t="shared" ref="F3:M3" si="0">(1+$O$2)*E3</f>
        <v>54450.000000000015</v>
      </c>
      <c r="G3" s="1">
        <f t="shared" si="0"/>
        <v>59895.000000000022</v>
      </c>
      <c r="H3" s="1">
        <f t="shared" si="0"/>
        <v>65884.500000000029</v>
      </c>
      <c r="I3" s="1">
        <f t="shared" si="0"/>
        <v>72472.950000000041</v>
      </c>
      <c r="J3" s="1">
        <f t="shared" si="0"/>
        <v>79720.245000000054</v>
      </c>
      <c r="K3" s="1">
        <f t="shared" si="0"/>
        <v>87692.269500000068</v>
      </c>
      <c r="L3" s="1">
        <f t="shared" si="0"/>
        <v>96461.496450000079</v>
      </c>
      <c r="M3" s="1">
        <f t="shared" si="0"/>
        <v>106107.64609500009</v>
      </c>
    </row>
    <row r="4" spans="3:21" x14ac:dyDescent="0.25">
      <c r="C4" s="1" t="s">
        <v>51</v>
      </c>
      <c r="D4" s="23">
        <f>+D2*D3</f>
        <v>675000</v>
      </c>
      <c r="E4" s="23">
        <f>+E2*E3</f>
        <v>742500.00000000012</v>
      </c>
      <c r="F4" s="23">
        <f>+F2*F3</f>
        <v>816750.00000000023</v>
      </c>
      <c r="G4" s="23">
        <f>+G2*G3</f>
        <v>898425.00000000035</v>
      </c>
      <c r="H4" s="23">
        <f t="shared" ref="H4:M4" si="1">+H2*H3</f>
        <v>988267.50000000047</v>
      </c>
      <c r="I4" s="23">
        <f t="shared" si="1"/>
        <v>1087094.2500000007</v>
      </c>
      <c r="J4" s="23">
        <f t="shared" si="1"/>
        <v>1195803.6750000007</v>
      </c>
      <c r="K4" s="23">
        <f t="shared" si="1"/>
        <v>1315384.0425000009</v>
      </c>
      <c r="L4" s="23">
        <f t="shared" si="1"/>
        <v>1446922.4467500013</v>
      </c>
      <c r="M4" s="23">
        <f t="shared" si="1"/>
        <v>1591614.6914250012</v>
      </c>
      <c r="N4" s="44"/>
    </row>
    <row r="6" spans="3:21" x14ac:dyDescent="0.25">
      <c r="C6" s="1" t="s">
        <v>50</v>
      </c>
      <c r="D6" s="20">
        <v>20</v>
      </c>
      <c r="E6" s="57">
        <v>20</v>
      </c>
      <c r="F6" s="57">
        <v>20</v>
      </c>
      <c r="G6" s="57">
        <v>20</v>
      </c>
      <c r="H6" s="57">
        <v>20</v>
      </c>
      <c r="I6" s="57">
        <v>20</v>
      </c>
      <c r="J6" s="57">
        <v>20</v>
      </c>
      <c r="K6" s="57">
        <v>20</v>
      </c>
      <c r="L6" s="57">
        <v>20</v>
      </c>
      <c r="M6" s="57">
        <v>20</v>
      </c>
      <c r="N6" s="57"/>
      <c r="O6" s="19">
        <v>0.2</v>
      </c>
      <c r="Q6" s="21">
        <f>9.5*2</f>
        <v>19</v>
      </c>
    </row>
    <row r="7" spans="3:21" x14ac:dyDescent="0.25">
      <c r="C7" s="1" t="s">
        <v>104</v>
      </c>
      <c r="D7" s="1">
        <v>10000</v>
      </c>
      <c r="E7" s="59">
        <f>(1+$O$6)*D7</f>
        <v>12000</v>
      </c>
      <c r="F7" s="59">
        <f t="shared" ref="F7:M7" si="2">(1+$O$6)*E7</f>
        <v>14400</v>
      </c>
      <c r="G7" s="59">
        <f t="shared" si="2"/>
        <v>17280</v>
      </c>
      <c r="H7" s="59">
        <f t="shared" si="2"/>
        <v>20736</v>
      </c>
      <c r="I7" s="59">
        <f t="shared" si="2"/>
        <v>24883.200000000001</v>
      </c>
      <c r="J7" s="59">
        <f t="shared" si="2"/>
        <v>29859.84</v>
      </c>
      <c r="K7" s="59">
        <f t="shared" si="2"/>
        <v>35831.807999999997</v>
      </c>
      <c r="L7" s="59">
        <f t="shared" si="2"/>
        <v>42998.169599999994</v>
      </c>
      <c r="M7" s="59">
        <f t="shared" si="2"/>
        <v>51597.803519999994</v>
      </c>
      <c r="N7" s="58"/>
      <c r="Q7" s="1">
        <f>9.5*0.05</f>
        <v>0.47500000000000003</v>
      </c>
      <c r="R7" s="1">
        <f>9.5-Q7</f>
        <v>9.0250000000000004</v>
      </c>
      <c r="S7" s="22">
        <f>+R7*2</f>
        <v>18.05</v>
      </c>
    </row>
    <row r="8" spans="3:21" x14ac:dyDescent="0.25">
      <c r="C8" s="1" t="s">
        <v>51</v>
      </c>
      <c r="D8" s="23">
        <f>+D6*D7</f>
        <v>200000</v>
      </c>
      <c r="E8" s="44">
        <f>+E6*E7</f>
        <v>240000</v>
      </c>
      <c r="F8" s="44">
        <f>+F6*F7</f>
        <v>288000</v>
      </c>
      <c r="G8" s="44">
        <f>+G6*G7</f>
        <v>345600</v>
      </c>
      <c r="H8" s="44">
        <f t="shared" ref="H8:M8" si="3">+H6*H7</f>
        <v>414720</v>
      </c>
      <c r="I8" s="44">
        <f t="shared" si="3"/>
        <v>497664</v>
      </c>
      <c r="J8" s="44">
        <f t="shared" si="3"/>
        <v>597196.80000000005</v>
      </c>
      <c r="K8" s="44">
        <f t="shared" si="3"/>
        <v>716636.15999999992</v>
      </c>
      <c r="L8" s="44">
        <f t="shared" si="3"/>
        <v>859963.39199999988</v>
      </c>
      <c r="M8" s="44">
        <f t="shared" si="3"/>
        <v>1031956.0703999999</v>
      </c>
      <c r="N8" s="44"/>
      <c r="S8" s="1">
        <f>R7*0.05</f>
        <v>0.45125000000000004</v>
      </c>
      <c r="T8" s="1">
        <f>+R7-S8</f>
        <v>8.5737500000000004</v>
      </c>
      <c r="U8" s="22">
        <f>+T8*2</f>
        <v>17.147500000000001</v>
      </c>
    </row>
    <row r="10" spans="3:21" x14ac:dyDescent="0.25">
      <c r="C10" s="1" t="s">
        <v>105</v>
      </c>
      <c r="D10" s="20">
        <v>60000</v>
      </c>
      <c r="E10" s="20">
        <f>E4*$O$10</f>
        <v>66000.000000000015</v>
      </c>
      <c r="F10" s="20">
        <f>F4*$O$10</f>
        <v>72600.000000000029</v>
      </c>
      <c r="G10" s="20">
        <f>G4*$O$10</f>
        <v>79860.000000000029</v>
      </c>
      <c r="H10" s="20">
        <f t="shared" ref="H10:M10" si="4">H4*$O$10</f>
        <v>87846.000000000044</v>
      </c>
      <c r="I10" s="20">
        <f t="shared" si="4"/>
        <v>96630.600000000064</v>
      </c>
      <c r="J10" s="20">
        <f t="shared" si="4"/>
        <v>106293.66000000008</v>
      </c>
      <c r="K10" s="20">
        <f t="shared" si="4"/>
        <v>116923.02600000009</v>
      </c>
      <c r="L10" s="20">
        <f t="shared" si="4"/>
        <v>128615.32860000012</v>
      </c>
      <c r="M10" s="20">
        <f t="shared" si="4"/>
        <v>141476.8614600001</v>
      </c>
      <c r="N10" s="20"/>
      <c r="O10" s="19">
        <f>D10/D4</f>
        <v>8.8888888888888892E-2</v>
      </c>
    </row>
    <row r="11" spans="3:21" x14ac:dyDescent="0.25">
      <c r="C11" s="1" t="s">
        <v>106</v>
      </c>
      <c r="D11" s="20">
        <v>8000</v>
      </c>
      <c r="E11" s="20">
        <f>E8*$O$11</f>
        <v>96000</v>
      </c>
      <c r="F11" s="20">
        <f>F8*$O$11</f>
        <v>115200</v>
      </c>
      <c r="G11" s="20">
        <f>G8*$O$11</f>
        <v>138240</v>
      </c>
      <c r="H11" s="20">
        <f t="shared" ref="H11:M11" si="5">H8*$O$11</f>
        <v>165888</v>
      </c>
      <c r="I11" s="20">
        <f t="shared" si="5"/>
        <v>199065.60000000001</v>
      </c>
      <c r="J11" s="20">
        <f t="shared" si="5"/>
        <v>238878.72000000003</v>
      </c>
      <c r="K11" s="20">
        <f t="shared" si="5"/>
        <v>286654.46399999998</v>
      </c>
      <c r="L11" s="20">
        <f t="shared" si="5"/>
        <v>343985.35679999995</v>
      </c>
      <c r="M11" s="20">
        <f t="shared" si="5"/>
        <v>412782.42815999995</v>
      </c>
      <c r="N11" s="20"/>
      <c r="O11" s="19">
        <v>0.4</v>
      </c>
    </row>
    <row r="12" spans="3:21" x14ac:dyDescent="0.2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9"/>
    </row>
    <row r="13" spans="3:21" x14ac:dyDescent="0.25">
      <c r="C13" s="1" t="s">
        <v>52</v>
      </c>
      <c r="D13" s="20">
        <v>10000</v>
      </c>
      <c r="E13" s="20">
        <f>(E4+E8)*$O$13</f>
        <v>11228.571428571429</v>
      </c>
      <c r="F13" s="20">
        <f>(F4+F8)*$O$13</f>
        <v>12625.714285714288</v>
      </c>
      <c r="G13" s="20">
        <f>(G4+G8)*$O$13</f>
        <v>14217.428571428576</v>
      </c>
      <c r="H13" s="20">
        <f t="shared" ref="H13:M13" si="6">(H4+H8)*$O$13</f>
        <v>16034.142857142862</v>
      </c>
      <c r="I13" s="20">
        <f t="shared" si="6"/>
        <v>18111.522857142863</v>
      </c>
      <c r="J13" s="20">
        <f t="shared" si="6"/>
        <v>20491.434000000008</v>
      </c>
      <c r="K13" s="20">
        <f t="shared" si="6"/>
        <v>23223.088028571437</v>
      </c>
      <c r="L13" s="20">
        <f t="shared" si="6"/>
        <v>26364.409585714297</v>
      </c>
      <c r="M13" s="20">
        <f t="shared" si="6"/>
        <v>29983.66584942858</v>
      </c>
      <c r="N13" s="20"/>
      <c r="O13" s="32">
        <f>D13/(D4+D8)</f>
        <v>1.1428571428571429E-2</v>
      </c>
      <c r="P13" s="1" t="s">
        <v>78</v>
      </c>
    </row>
    <row r="14" spans="3:21" x14ac:dyDescent="0.2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9"/>
    </row>
    <row r="15" spans="3:21" x14ac:dyDescent="0.25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3:21" x14ac:dyDescent="0.25">
      <c r="C16" s="2" t="s">
        <v>97</v>
      </c>
      <c r="D16" s="2">
        <v>3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43"/>
      <c r="O16" s="50">
        <v>0.05</v>
      </c>
      <c r="P16" s="51" t="s">
        <v>100</v>
      </c>
    </row>
    <row r="17" spans="1:19" x14ac:dyDescent="0.25">
      <c r="C17" s="2" t="s">
        <v>98</v>
      </c>
      <c r="D17" s="2">
        <v>30</v>
      </c>
      <c r="E17" s="43">
        <v>30</v>
      </c>
      <c r="F17" s="43">
        <v>30</v>
      </c>
      <c r="G17" s="43">
        <v>30</v>
      </c>
      <c r="H17" s="43">
        <v>30</v>
      </c>
      <c r="I17" s="43">
        <v>30</v>
      </c>
      <c r="J17" s="43">
        <v>30</v>
      </c>
      <c r="K17" s="43">
        <v>30</v>
      </c>
      <c r="L17" s="43">
        <v>30</v>
      </c>
      <c r="M17" s="43">
        <v>30</v>
      </c>
      <c r="N17" s="43"/>
      <c r="O17" s="52">
        <v>-0.05</v>
      </c>
      <c r="P17" s="53" t="s">
        <v>100</v>
      </c>
    </row>
    <row r="18" spans="1:19" x14ac:dyDescent="0.25">
      <c r="C18" s="2" t="s">
        <v>99</v>
      </c>
      <c r="D18" s="2">
        <v>20</v>
      </c>
      <c r="E18" s="2">
        <v>20</v>
      </c>
      <c r="F18" s="2">
        <v>20</v>
      </c>
      <c r="G18" s="2">
        <v>20</v>
      </c>
      <c r="H18" s="2">
        <v>20</v>
      </c>
      <c r="I18" s="2">
        <v>20</v>
      </c>
      <c r="J18" s="2">
        <v>20</v>
      </c>
      <c r="K18" s="2">
        <v>20</v>
      </c>
      <c r="L18" s="2">
        <v>20</v>
      </c>
      <c r="M18" s="2">
        <v>20</v>
      </c>
      <c r="N18" s="42"/>
      <c r="O18" s="42"/>
      <c r="P18" s="42"/>
    </row>
    <row r="20" spans="1:19" x14ac:dyDescent="0.25">
      <c r="B20" s="62" t="s">
        <v>125</v>
      </c>
      <c r="D20" s="1">
        <v>2014</v>
      </c>
      <c r="E20" s="1">
        <v>2015</v>
      </c>
      <c r="F20" s="1">
        <v>2016</v>
      </c>
      <c r="G20" s="1">
        <v>2017</v>
      </c>
      <c r="H20" s="1">
        <v>2018</v>
      </c>
      <c r="I20" s="1">
        <v>2019</v>
      </c>
      <c r="J20" s="1">
        <v>2020</v>
      </c>
      <c r="K20" s="1">
        <v>2021</v>
      </c>
      <c r="L20" s="1">
        <v>2022</v>
      </c>
      <c r="M20" s="1">
        <v>2023</v>
      </c>
    </row>
    <row r="21" spans="1:19" x14ac:dyDescent="0.25">
      <c r="A21" s="45"/>
      <c r="B21" s="45"/>
      <c r="C21" s="45"/>
      <c r="D21" s="45">
        <v>1</v>
      </c>
      <c r="E21" s="45">
        <v>2</v>
      </c>
      <c r="F21" s="45">
        <v>3</v>
      </c>
      <c r="G21" s="45">
        <v>4</v>
      </c>
      <c r="H21" s="45">
        <v>5</v>
      </c>
      <c r="I21" s="45">
        <v>6</v>
      </c>
      <c r="J21" s="45">
        <v>7</v>
      </c>
      <c r="K21" s="45">
        <v>8</v>
      </c>
      <c r="L21" s="45">
        <v>9</v>
      </c>
      <c r="M21" s="45">
        <v>10</v>
      </c>
      <c r="N21" s="45"/>
      <c r="O21" s="3"/>
      <c r="P21" s="3" t="s">
        <v>102</v>
      </c>
      <c r="Q21" s="3" t="s">
        <v>101</v>
      </c>
      <c r="R21" s="3"/>
      <c r="S21" s="3"/>
    </row>
    <row r="22" spans="1:19" x14ac:dyDescent="0.25">
      <c r="A22" s="45" t="s">
        <v>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"/>
      <c r="P22" s="3"/>
      <c r="Q22" s="3"/>
      <c r="R22" s="3"/>
      <c r="S22" s="3"/>
    </row>
    <row r="23" spans="1:19" x14ac:dyDescent="0.25">
      <c r="A23" s="45" t="s">
        <v>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3"/>
      <c r="P23" s="3"/>
      <c r="Q23" s="3"/>
      <c r="R23" s="3"/>
      <c r="S23" s="3"/>
    </row>
    <row r="24" spans="1:19" x14ac:dyDescent="0.25">
      <c r="A24" s="45"/>
      <c r="B24" s="45" t="s">
        <v>107</v>
      </c>
      <c r="C24" s="46"/>
      <c r="D24" s="46">
        <f t="shared" ref="D24:M24" si="7">+D4</f>
        <v>675000</v>
      </c>
      <c r="E24" s="46">
        <f t="shared" si="7"/>
        <v>742500.00000000012</v>
      </c>
      <c r="F24" s="46">
        <f t="shared" si="7"/>
        <v>816750.00000000023</v>
      </c>
      <c r="G24" s="46">
        <f t="shared" si="7"/>
        <v>898425.00000000035</v>
      </c>
      <c r="H24" s="46">
        <f t="shared" si="7"/>
        <v>988267.50000000047</v>
      </c>
      <c r="I24" s="46">
        <f t="shared" si="7"/>
        <v>1087094.2500000007</v>
      </c>
      <c r="J24" s="46">
        <f t="shared" si="7"/>
        <v>1195803.6750000007</v>
      </c>
      <c r="K24" s="46">
        <f t="shared" si="7"/>
        <v>1315384.0425000009</v>
      </c>
      <c r="L24" s="46">
        <f t="shared" si="7"/>
        <v>1446922.4467500013</v>
      </c>
      <c r="M24" s="46">
        <f t="shared" si="7"/>
        <v>1591614.6914250012</v>
      </c>
      <c r="N24" s="46"/>
      <c r="O24" s="3"/>
      <c r="P24" s="3"/>
      <c r="Q24" s="3"/>
      <c r="R24" s="3"/>
      <c r="S24" s="3"/>
    </row>
    <row r="25" spans="1:19" x14ac:dyDescent="0.25">
      <c r="A25" s="45"/>
      <c r="B25" s="45" t="s">
        <v>108</v>
      </c>
      <c r="C25" s="46"/>
      <c r="D25" s="46">
        <f t="shared" ref="D25:M25" si="8">D8</f>
        <v>200000</v>
      </c>
      <c r="E25" s="46">
        <f t="shared" si="8"/>
        <v>240000</v>
      </c>
      <c r="F25" s="46">
        <f t="shared" si="8"/>
        <v>288000</v>
      </c>
      <c r="G25" s="46">
        <f t="shared" si="8"/>
        <v>345600</v>
      </c>
      <c r="H25" s="46">
        <f t="shared" si="8"/>
        <v>414720</v>
      </c>
      <c r="I25" s="46">
        <f t="shared" si="8"/>
        <v>497664</v>
      </c>
      <c r="J25" s="46">
        <f t="shared" si="8"/>
        <v>597196.80000000005</v>
      </c>
      <c r="K25" s="46">
        <f t="shared" si="8"/>
        <v>716636.15999999992</v>
      </c>
      <c r="L25" s="46">
        <f t="shared" si="8"/>
        <v>859963.39199999988</v>
      </c>
      <c r="M25" s="46">
        <f t="shared" si="8"/>
        <v>1031956.0703999999</v>
      </c>
      <c r="N25" s="46"/>
      <c r="O25" s="3"/>
      <c r="P25" s="3"/>
      <c r="Q25" s="3"/>
      <c r="R25" s="3"/>
      <c r="S25" s="3"/>
    </row>
    <row r="26" spans="1:19" x14ac:dyDescent="0.25">
      <c r="A26" s="45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"/>
      <c r="P26" s="3"/>
      <c r="Q26" s="3"/>
      <c r="R26" s="3"/>
      <c r="S26" s="3"/>
    </row>
    <row r="27" spans="1:19" x14ac:dyDescent="0.25">
      <c r="A27" s="45" t="s">
        <v>4</v>
      </c>
      <c r="B27" s="45"/>
      <c r="C27" s="46"/>
      <c r="D27" s="46">
        <f>$O$27*(D24+D25)</f>
        <v>612500</v>
      </c>
      <c r="E27" s="46">
        <f t="shared" ref="E27:M27" si="9">$O$27*(E24+E25)</f>
        <v>687750</v>
      </c>
      <c r="F27" s="46">
        <f t="shared" si="9"/>
        <v>773325.00000000012</v>
      </c>
      <c r="G27" s="46">
        <f t="shared" si="9"/>
        <v>870817.50000000023</v>
      </c>
      <c r="H27" s="46">
        <f t="shared" si="9"/>
        <v>982091.25000000023</v>
      </c>
      <c r="I27" s="46">
        <f t="shared" si="9"/>
        <v>1109330.7750000004</v>
      </c>
      <c r="J27" s="46">
        <f t="shared" si="9"/>
        <v>1255100.3325000005</v>
      </c>
      <c r="K27" s="46">
        <f t="shared" si="9"/>
        <v>1422414.1417500004</v>
      </c>
      <c r="L27" s="46">
        <f t="shared" si="9"/>
        <v>1614820.0871250005</v>
      </c>
      <c r="M27" s="46">
        <f t="shared" si="9"/>
        <v>1836499.5332775004</v>
      </c>
      <c r="N27" s="46"/>
      <c r="O27" s="3">
        <v>0.7</v>
      </c>
      <c r="P27" s="3"/>
      <c r="Q27" s="3"/>
      <c r="R27" s="3"/>
      <c r="S27" s="3"/>
    </row>
    <row r="28" spans="1:19" x14ac:dyDescent="0.25">
      <c r="A28" s="45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3"/>
      <c r="P28" s="3"/>
      <c r="Q28" s="3"/>
      <c r="R28" s="3"/>
      <c r="S28" s="3"/>
    </row>
    <row r="29" spans="1:19" x14ac:dyDescent="0.25">
      <c r="A29" s="45" t="s">
        <v>5</v>
      </c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3"/>
      <c r="P29" s="3"/>
      <c r="Q29" s="3"/>
      <c r="R29" s="3"/>
      <c r="S29" s="3"/>
    </row>
    <row r="30" spans="1:19" x14ac:dyDescent="0.25">
      <c r="A30" s="45"/>
      <c r="B30" s="45" t="s">
        <v>109</v>
      </c>
      <c r="C30" s="46"/>
      <c r="D30" s="46">
        <f t="shared" ref="D30:M31" si="10">D10</f>
        <v>60000</v>
      </c>
      <c r="E30" s="46">
        <f t="shared" si="10"/>
        <v>66000.000000000015</v>
      </c>
      <c r="F30" s="46">
        <f t="shared" si="10"/>
        <v>72600.000000000029</v>
      </c>
      <c r="G30" s="46">
        <f t="shared" si="10"/>
        <v>79860.000000000029</v>
      </c>
      <c r="H30" s="46">
        <f t="shared" si="10"/>
        <v>87846.000000000044</v>
      </c>
      <c r="I30" s="46">
        <f t="shared" si="10"/>
        <v>96630.600000000064</v>
      </c>
      <c r="J30" s="46">
        <f t="shared" si="10"/>
        <v>106293.66000000008</v>
      </c>
      <c r="K30" s="46">
        <f t="shared" si="10"/>
        <v>116923.02600000009</v>
      </c>
      <c r="L30" s="46">
        <f t="shared" si="10"/>
        <v>128615.32860000012</v>
      </c>
      <c r="M30" s="46">
        <f t="shared" si="10"/>
        <v>141476.8614600001</v>
      </c>
      <c r="N30" s="46"/>
      <c r="O30" s="3"/>
      <c r="P30" s="4"/>
      <c r="Q30" s="3"/>
      <c r="R30" s="3"/>
      <c r="S30" s="3"/>
    </row>
    <row r="31" spans="1:19" x14ac:dyDescent="0.25">
      <c r="A31" s="45"/>
      <c r="B31" s="45" t="s">
        <v>106</v>
      </c>
      <c r="C31" s="46"/>
      <c r="D31" s="46">
        <f t="shared" si="10"/>
        <v>8000</v>
      </c>
      <c r="E31" s="46">
        <f t="shared" si="10"/>
        <v>96000</v>
      </c>
      <c r="F31" s="46">
        <f t="shared" si="10"/>
        <v>115200</v>
      </c>
      <c r="G31" s="46">
        <f t="shared" si="10"/>
        <v>138240</v>
      </c>
      <c r="H31" s="46">
        <f t="shared" si="10"/>
        <v>165888</v>
      </c>
      <c r="I31" s="46">
        <f t="shared" si="10"/>
        <v>199065.60000000001</v>
      </c>
      <c r="J31" s="46">
        <f t="shared" si="10"/>
        <v>238878.72000000003</v>
      </c>
      <c r="K31" s="46">
        <f t="shared" si="10"/>
        <v>286654.46399999998</v>
      </c>
      <c r="L31" s="46">
        <f t="shared" si="10"/>
        <v>343985.35679999995</v>
      </c>
      <c r="M31" s="46">
        <f t="shared" si="10"/>
        <v>412782.42815999995</v>
      </c>
      <c r="N31" s="46"/>
      <c r="O31" s="3"/>
      <c r="P31" s="4"/>
      <c r="Q31" s="3"/>
      <c r="R31" s="3"/>
      <c r="S31" s="3"/>
    </row>
    <row r="32" spans="1:19" x14ac:dyDescent="0.25">
      <c r="A32" s="45"/>
      <c r="B32" s="45" t="s">
        <v>8</v>
      </c>
      <c r="C32" s="46"/>
      <c r="D32" s="46">
        <f t="shared" ref="D32:M32" si="11">D13</f>
        <v>10000</v>
      </c>
      <c r="E32" s="46">
        <f t="shared" si="11"/>
        <v>11228.571428571429</v>
      </c>
      <c r="F32" s="46">
        <f t="shared" si="11"/>
        <v>12625.714285714288</v>
      </c>
      <c r="G32" s="46">
        <f t="shared" si="11"/>
        <v>14217.428571428576</v>
      </c>
      <c r="H32" s="46">
        <f t="shared" si="11"/>
        <v>16034.142857142862</v>
      </c>
      <c r="I32" s="46">
        <f t="shared" si="11"/>
        <v>18111.522857142863</v>
      </c>
      <c r="J32" s="46">
        <f t="shared" si="11"/>
        <v>20491.434000000008</v>
      </c>
      <c r="K32" s="46">
        <f t="shared" si="11"/>
        <v>23223.088028571437</v>
      </c>
      <c r="L32" s="46">
        <f t="shared" si="11"/>
        <v>26364.409585714297</v>
      </c>
      <c r="M32" s="46">
        <f t="shared" si="11"/>
        <v>29983.66584942858</v>
      </c>
      <c r="N32" s="46"/>
      <c r="O32" s="3"/>
      <c r="P32" s="4"/>
      <c r="Q32" s="3"/>
      <c r="R32" s="3"/>
      <c r="S32" s="3"/>
    </row>
    <row r="33" spans="1:20" x14ac:dyDescent="0.25">
      <c r="A33" s="45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3"/>
      <c r="P33" s="3"/>
      <c r="Q33" s="3"/>
      <c r="R33" s="3"/>
      <c r="S33" s="3"/>
    </row>
    <row r="34" spans="1:20" x14ac:dyDescent="0.25">
      <c r="A34" s="45" t="s">
        <v>9</v>
      </c>
      <c r="B34" s="45"/>
      <c r="C34" s="46"/>
      <c r="D34" s="46">
        <f>$P$34</f>
        <v>46666.666666666664</v>
      </c>
      <c r="E34" s="46">
        <f>$P$34</f>
        <v>46666.666666666664</v>
      </c>
      <c r="F34" s="46">
        <f>$P$34</f>
        <v>46666.666666666664</v>
      </c>
      <c r="G34" s="46">
        <f>$P$34</f>
        <v>46666.666666666664</v>
      </c>
      <c r="H34" s="46">
        <f t="shared" ref="H34:M34" si="12">$P$34</f>
        <v>46666.666666666664</v>
      </c>
      <c r="I34" s="46">
        <f t="shared" si="12"/>
        <v>46666.666666666664</v>
      </c>
      <c r="J34" s="46">
        <f t="shared" si="12"/>
        <v>46666.666666666664</v>
      </c>
      <c r="K34" s="46">
        <f t="shared" si="12"/>
        <v>46666.666666666664</v>
      </c>
      <c r="L34" s="46">
        <f t="shared" si="12"/>
        <v>46666.666666666664</v>
      </c>
      <c r="M34" s="46">
        <f t="shared" si="12"/>
        <v>46666.666666666664</v>
      </c>
      <c r="N34" s="46"/>
      <c r="O34" s="27">
        <f>1/30</f>
        <v>3.3333333333333333E-2</v>
      </c>
      <c r="P34" s="28">
        <f>1400000*O34</f>
        <v>46666.666666666664</v>
      </c>
      <c r="Q34" s="3"/>
      <c r="R34" s="3"/>
      <c r="S34" s="3"/>
    </row>
    <row r="35" spans="1:20" x14ac:dyDescent="0.25">
      <c r="A35" s="45" t="s">
        <v>10</v>
      </c>
      <c r="B35" s="45"/>
      <c r="C35" s="46"/>
      <c r="D35" s="46">
        <f>Mortgage!K14</f>
        <v>79698.109055818641</v>
      </c>
      <c r="E35" s="46">
        <f>Mortgage!K29</f>
        <v>79004.761071565401</v>
      </c>
      <c r="F35" s="46">
        <f>Mortgage!K44</f>
        <v>78253.865546573157</v>
      </c>
      <c r="G35" s="46">
        <f>Mortgage!K59</f>
        <v>77440.646063342618</v>
      </c>
      <c r="H35" s="46">
        <f>Mortgage!K73</f>
        <v>76559.929764077664</v>
      </c>
      <c r="I35" s="46">
        <f>Mortgage!K87</f>
        <v>75606.114446336403</v>
      </c>
      <c r="J35" s="46">
        <f>Mortgage!K101</f>
        <v>74573.132927637154</v>
      </c>
      <c r="K35" s="46">
        <f>Mortgage!K115</f>
        <v>73454.414452344616</v>
      </c>
      <c r="L35" s="46">
        <f>Mortgage!K129</f>
        <v>72242.842895346315</v>
      </c>
      <c r="M35" s="46">
        <f>Mortgage!K143</f>
        <v>70930.71149665516</v>
      </c>
      <c r="N35" s="46"/>
      <c r="O35" s="67">
        <v>0.08</v>
      </c>
      <c r="Q35" s="3"/>
      <c r="R35" s="3"/>
      <c r="S35" s="3"/>
    </row>
    <row r="36" spans="1:20" x14ac:dyDescent="0.25">
      <c r="A36" s="45" t="s">
        <v>11</v>
      </c>
      <c r="B36" s="45"/>
      <c r="C36" s="46"/>
      <c r="D36" s="46">
        <f>D59*$O$36</f>
        <v>9616.3697612770102</v>
      </c>
      <c r="E36" s="46">
        <f>E59*$O$36</f>
        <v>8220.6440647667569</v>
      </c>
      <c r="F36" s="46">
        <f>F59*$O$36</f>
        <v>4330.0976732710715</v>
      </c>
      <c r="G36" s="46">
        <f t="shared" ref="G36:M36" si="13">G59*$O$36</f>
        <v>0</v>
      </c>
      <c r="H36" s="46">
        <f t="shared" si="13"/>
        <v>0</v>
      </c>
      <c r="I36" s="46">
        <f t="shared" si="13"/>
        <v>0</v>
      </c>
      <c r="J36" s="46">
        <f t="shared" si="13"/>
        <v>0</v>
      </c>
      <c r="K36" s="46">
        <f t="shared" si="13"/>
        <v>0</v>
      </c>
      <c r="L36" s="46">
        <f t="shared" si="13"/>
        <v>0</v>
      </c>
      <c r="M36" s="46">
        <f t="shared" si="13"/>
        <v>0</v>
      </c>
      <c r="N36" s="46"/>
      <c r="O36" s="4">
        <v>0.11</v>
      </c>
      <c r="P36" s="3" t="s">
        <v>96</v>
      </c>
      <c r="Q36" s="3"/>
      <c r="R36" s="3"/>
      <c r="S36" s="3"/>
    </row>
    <row r="37" spans="1:20" x14ac:dyDescent="0.25">
      <c r="A37" s="4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3"/>
      <c r="P37" s="5"/>
      <c r="Q37" s="3"/>
      <c r="R37" s="3"/>
      <c r="S37" s="3"/>
    </row>
    <row r="38" spans="1:20" x14ac:dyDescent="0.25">
      <c r="A38" s="45" t="s">
        <v>12</v>
      </c>
      <c r="B38" s="45"/>
      <c r="C38" s="46"/>
      <c r="D38" s="47">
        <f>SUM(D24:D25)-SUM(D27:D36)</f>
        <v>48518.854516237741</v>
      </c>
      <c r="E38" s="47">
        <f>SUM(E24:E25)-SUM(E27:E36)</f>
        <v>-12370.643231570139</v>
      </c>
      <c r="F38" s="60">
        <f>SUM(F24:F25)-SUM(F27:F36)</f>
        <v>1748.6558277748991</v>
      </c>
      <c r="G38" s="47">
        <f>SUM(G24:G25)-SUM(G27:G36)</f>
        <v>16782.75869856216</v>
      </c>
      <c r="H38" s="47">
        <f t="shared" ref="H38:M38" si="14">SUM(H24:H25)-SUM(H27:H36)</f>
        <v>27901.510712112766</v>
      </c>
      <c r="I38" s="47">
        <f t="shared" si="14"/>
        <v>39346.971029854147</v>
      </c>
      <c r="J38" s="47">
        <f t="shared" si="14"/>
        <v>50996.528905696236</v>
      </c>
      <c r="K38" s="47">
        <f t="shared" si="14"/>
        <v>62684.401602417696</v>
      </c>
      <c r="L38" s="47">
        <f t="shared" si="14"/>
        <v>74191.147077273577</v>
      </c>
      <c r="M38" s="47">
        <f t="shared" si="14"/>
        <v>85230.89491475001</v>
      </c>
      <c r="N38" s="47"/>
      <c r="O38" s="3"/>
      <c r="P38" s="5"/>
      <c r="Q38" s="3"/>
      <c r="R38" s="3"/>
      <c r="S38" s="3"/>
    </row>
    <row r="39" spans="1:20" x14ac:dyDescent="0.25">
      <c r="A39" s="45" t="s">
        <v>13</v>
      </c>
      <c r="B39" s="45"/>
      <c r="C39" s="46"/>
      <c r="D39" s="46">
        <f>IF(D38&lt;0,0,D38*$O$39)</f>
        <v>9703.7709032475486</v>
      </c>
      <c r="E39" s="46">
        <f>IF(E38&lt;0,0,E38*$O$39)</f>
        <v>0</v>
      </c>
      <c r="F39" s="46">
        <f>IF(F38&lt;0,0,F38*$O$39)</f>
        <v>349.73116555497984</v>
      </c>
      <c r="G39" s="46">
        <f>IF(G38&lt;0,0,G38*$O$39)</f>
        <v>3356.5517397124322</v>
      </c>
      <c r="H39" s="46">
        <f t="shared" ref="H39:M39" si="15">IF(H38&lt;0,0,H38*$O$39)</f>
        <v>5580.3021424225535</v>
      </c>
      <c r="I39" s="46">
        <f t="shared" si="15"/>
        <v>7869.3942059708297</v>
      </c>
      <c r="J39" s="46">
        <f t="shared" si="15"/>
        <v>10199.305781139248</v>
      </c>
      <c r="K39" s="46">
        <f t="shared" si="15"/>
        <v>12536.88032048354</v>
      </c>
      <c r="L39" s="46">
        <f t="shared" si="15"/>
        <v>14838.229415454716</v>
      </c>
      <c r="M39" s="46">
        <f t="shared" si="15"/>
        <v>17046.178982950001</v>
      </c>
      <c r="N39" s="46"/>
      <c r="O39" s="19">
        <v>0.2</v>
      </c>
      <c r="P39" s="4"/>
      <c r="Q39" s="3"/>
      <c r="R39" s="3"/>
      <c r="S39" s="3"/>
    </row>
    <row r="40" spans="1:20" x14ac:dyDescent="0.25">
      <c r="A40" s="45" t="s">
        <v>14</v>
      </c>
      <c r="B40" s="45"/>
      <c r="C40" s="46"/>
      <c r="D40" s="46">
        <f>D38-D39</f>
        <v>38815.083612990195</v>
      </c>
      <c r="E40" s="46">
        <f>E38-E39</f>
        <v>-12370.643231570139</v>
      </c>
      <c r="F40" s="46">
        <f>F38-F39</f>
        <v>1398.9246622199194</v>
      </c>
      <c r="G40" s="46">
        <f>G38-G39</f>
        <v>13426.206958849729</v>
      </c>
      <c r="H40" s="46">
        <f t="shared" ref="H40:M40" si="16">H38-H39</f>
        <v>22321.208569690214</v>
      </c>
      <c r="I40" s="46">
        <f t="shared" si="16"/>
        <v>31477.576823883319</v>
      </c>
      <c r="J40" s="46">
        <f t="shared" si="16"/>
        <v>40797.223124556986</v>
      </c>
      <c r="K40" s="46">
        <f t="shared" si="16"/>
        <v>50147.521281934154</v>
      </c>
      <c r="L40" s="46">
        <f t="shared" si="16"/>
        <v>59352.917661818865</v>
      </c>
      <c r="M40" s="46">
        <f t="shared" si="16"/>
        <v>68184.715931800005</v>
      </c>
      <c r="N40" s="46"/>
      <c r="O40" s="3"/>
      <c r="P40" s="3"/>
      <c r="Q40" s="3"/>
      <c r="R40" s="3"/>
      <c r="S40" s="3"/>
    </row>
    <row r="41" spans="1:20" x14ac:dyDescent="0.25">
      <c r="A41" s="45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3"/>
      <c r="P41" s="3"/>
      <c r="Q41" s="3"/>
      <c r="R41" s="3"/>
      <c r="S41" s="3"/>
    </row>
    <row r="42" spans="1:20" x14ac:dyDescent="0.25">
      <c r="A42" s="45" t="s">
        <v>15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3"/>
      <c r="P42" s="3"/>
      <c r="Q42" s="3"/>
      <c r="R42" s="3"/>
      <c r="S42" s="3"/>
    </row>
    <row r="43" spans="1:20" x14ac:dyDescent="0.25">
      <c r="A43" s="45" t="s">
        <v>16</v>
      </c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3"/>
      <c r="P43" s="3"/>
      <c r="Q43" s="3"/>
      <c r="R43" s="3"/>
      <c r="S43" s="3"/>
    </row>
    <row r="44" spans="1:20" x14ac:dyDescent="0.25">
      <c r="A44" s="45" t="s">
        <v>17</v>
      </c>
      <c r="B44" s="45"/>
      <c r="C44" s="46"/>
      <c r="D44" s="46">
        <v>1000</v>
      </c>
      <c r="E44" s="46">
        <v>1000</v>
      </c>
      <c r="F44" s="46">
        <v>1000</v>
      </c>
      <c r="G44" s="46">
        <v>1000</v>
      </c>
      <c r="H44" s="46">
        <v>1000</v>
      </c>
      <c r="I44" s="46">
        <v>1000</v>
      </c>
      <c r="J44" s="46">
        <v>1000</v>
      </c>
      <c r="K44" s="46">
        <v>1000</v>
      </c>
      <c r="L44" s="46">
        <v>1000</v>
      </c>
      <c r="M44" s="46">
        <v>1000</v>
      </c>
      <c r="N44" s="46"/>
      <c r="O44" s="3"/>
      <c r="P44" s="3"/>
      <c r="Q44" s="3"/>
      <c r="R44" s="3"/>
      <c r="S44" s="3"/>
    </row>
    <row r="45" spans="1:20" x14ac:dyDescent="0.25">
      <c r="A45" s="45" t="s">
        <v>18</v>
      </c>
      <c r="B45" s="45"/>
      <c r="C45" s="46"/>
      <c r="D45" s="46">
        <v>0</v>
      </c>
      <c r="E45" s="46">
        <v>0</v>
      </c>
      <c r="F45" s="46">
        <v>0</v>
      </c>
      <c r="G45" s="46">
        <v>9423</v>
      </c>
      <c r="H45" s="46">
        <v>64918</v>
      </c>
      <c r="I45" s="46">
        <v>128075</v>
      </c>
      <c r="J45" s="46">
        <v>198856</v>
      </c>
      <c r="K45" s="46">
        <v>277059</v>
      </c>
      <c r="L45" s="46">
        <v>362266</v>
      </c>
      <c r="M45" s="46">
        <v>453788</v>
      </c>
      <c r="N45" s="46"/>
      <c r="O45" s="3"/>
      <c r="P45" s="3"/>
      <c r="Q45" s="3"/>
      <c r="R45" s="3"/>
      <c r="S45" s="3"/>
    </row>
    <row r="46" spans="1:20" x14ac:dyDescent="0.25">
      <c r="A46" s="45" t="s">
        <v>19</v>
      </c>
      <c r="B46" s="45"/>
      <c r="C46" s="46"/>
      <c r="D46" s="46">
        <f>((D16/365)*($O$46*(D24+D25)))</f>
        <v>6472.6027397260268</v>
      </c>
      <c r="E46" s="46">
        <f t="shared" ref="E46:M46" si="17">((E16/365)*($O$46*(E24+E25)))</f>
        <v>7267.8082191780823</v>
      </c>
      <c r="F46" s="46">
        <f t="shared" si="17"/>
        <v>8172.1232876712338</v>
      </c>
      <c r="G46" s="46">
        <f t="shared" si="17"/>
        <v>9202.3767123287707</v>
      </c>
      <c r="H46" s="46">
        <f t="shared" si="17"/>
        <v>10378.26369863014</v>
      </c>
      <c r="I46" s="46">
        <f t="shared" si="17"/>
        <v>11722.869246575347</v>
      </c>
      <c r="J46" s="46">
        <f t="shared" si="17"/>
        <v>13263.291184931511</v>
      </c>
      <c r="K46" s="46">
        <f t="shared" si="17"/>
        <v>15031.382319863018</v>
      </c>
      <c r="L46" s="46">
        <f t="shared" si="17"/>
        <v>17064.634971575349</v>
      </c>
      <c r="M46" s="46">
        <f t="shared" si="17"/>
        <v>19407.235772404114</v>
      </c>
      <c r="N46" s="48"/>
      <c r="O46" s="3">
        <v>0.9</v>
      </c>
      <c r="P46" s="3"/>
      <c r="Q46" s="3"/>
      <c r="R46" s="3"/>
      <c r="S46" s="3"/>
    </row>
    <row r="47" spans="1:20" x14ac:dyDescent="0.25">
      <c r="A47" s="45" t="s">
        <v>20</v>
      </c>
      <c r="B47" s="45"/>
      <c r="C47" s="46"/>
      <c r="D47" s="46">
        <f>+D27/365*D17</f>
        <v>50342.465753424658</v>
      </c>
      <c r="E47" s="46">
        <f>+E27/365*E17</f>
        <v>56527.397260273974</v>
      </c>
      <c r="F47" s="46">
        <f>+F27/365*F17</f>
        <v>63560.958904109597</v>
      </c>
      <c r="G47" s="46">
        <f>+G27/365*G17</f>
        <v>71574.041095890425</v>
      </c>
      <c r="H47" s="46">
        <f t="shared" ref="H47:M47" si="18">+H27/365*H17</f>
        <v>80719.828767123312</v>
      </c>
      <c r="I47" s="46">
        <f t="shared" si="18"/>
        <v>91177.871917808254</v>
      </c>
      <c r="J47" s="46">
        <f t="shared" si="18"/>
        <v>103158.9314383562</v>
      </c>
      <c r="K47" s="46">
        <f t="shared" si="18"/>
        <v>116910.75137671236</v>
      </c>
      <c r="L47" s="46">
        <f t="shared" si="18"/>
        <v>132724.93866780828</v>
      </c>
      <c r="M47" s="46">
        <f t="shared" si="18"/>
        <v>150945.16711869865</v>
      </c>
      <c r="N47" s="46"/>
      <c r="O47" s="19"/>
      <c r="P47" s="3"/>
      <c r="Q47" s="3"/>
      <c r="R47" s="3"/>
      <c r="S47" s="3"/>
    </row>
    <row r="48" spans="1:20" x14ac:dyDescent="0.25">
      <c r="A48" s="45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68"/>
      <c r="P48" s="68" t="s">
        <v>140</v>
      </c>
      <c r="Q48" s="68" t="s">
        <v>147</v>
      </c>
      <c r="R48" s="68"/>
      <c r="S48" s="68"/>
      <c r="T48" s="69" t="s">
        <v>141</v>
      </c>
    </row>
    <row r="49" spans="1:22" x14ac:dyDescent="0.25">
      <c r="A49" s="45" t="s">
        <v>21</v>
      </c>
      <c r="B49" s="45"/>
      <c r="C49" s="46"/>
      <c r="D49" s="46">
        <v>1400000</v>
      </c>
      <c r="E49" s="46">
        <v>1400000</v>
      </c>
      <c r="F49" s="46">
        <v>1400000</v>
      </c>
      <c r="G49" s="46">
        <v>1400000</v>
      </c>
      <c r="H49" s="46">
        <v>1400000</v>
      </c>
      <c r="I49" s="46">
        <v>1400000</v>
      </c>
      <c r="J49" s="46">
        <v>1400000</v>
      </c>
      <c r="K49" s="46">
        <v>1400000</v>
      </c>
      <c r="L49" s="46">
        <v>1400000</v>
      </c>
      <c r="M49" s="46">
        <v>1400000</v>
      </c>
      <c r="N49" s="46"/>
      <c r="O49" s="69" t="s">
        <v>129</v>
      </c>
      <c r="P49" s="69"/>
      <c r="Q49" s="69">
        <v>0.59</v>
      </c>
      <c r="R49" s="69"/>
      <c r="S49" s="69" t="s">
        <v>62</v>
      </c>
      <c r="T49" s="74">
        <v>0.2</v>
      </c>
      <c r="U49" s="78"/>
      <c r="V49" s="67"/>
    </row>
    <row r="50" spans="1:22" x14ac:dyDescent="0.25">
      <c r="A50" s="45" t="s">
        <v>22</v>
      </c>
      <c r="B50" s="45"/>
      <c r="C50" s="46"/>
      <c r="D50" s="46">
        <f>D34</f>
        <v>46666.666666666664</v>
      </c>
      <c r="E50" s="46">
        <f>D50+E34</f>
        <v>93333.333333333328</v>
      </c>
      <c r="F50" s="46">
        <f>E50+F34</f>
        <v>140000</v>
      </c>
      <c r="G50" s="46">
        <f>F50+G34</f>
        <v>186666.66666666666</v>
      </c>
      <c r="H50" s="46">
        <f t="shared" ref="H50:M50" si="19">G50+H34</f>
        <v>233333.33333333331</v>
      </c>
      <c r="I50" s="46">
        <f t="shared" si="19"/>
        <v>280000</v>
      </c>
      <c r="J50" s="46">
        <f t="shared" si="19"/>
        <v>326666.66666666669</v>
      </c>
      <c r="K50" s="46">
        <f t="shared" si="19"/>
        <v>373333.33333333337</v>
      </c>
      <c r="L50" s="46">
        <f t="shared" si="19"/>
        <v>420000.00000000006</v>
      </c>
      <c r="M50" s="46">
        <f t="shared" si="19"/>
        <v>466666.66666666674</v>
      </c>
      <c r="N50" s="46"/>
      <c r="O50" s="69" t="s">
        <v>130</v>
      </c>
      <c r="P50" s="69"/>
      <c r="Q50" s="69">
        <v>1.82</v>
      </c>
      <c r="R50" s="74"/>
      <c r="S50" s="79" t="s">
        <v>142</v>
      </c>
      <c r="T50" s="19">
        <v>0.72</v>
      </c>
      <c r="U50" s="78" t="s">
        <v>146</v>
      </c>
      <c r="V50" s="80"/>
    </row>
    <row r="51" spans="1:22" x14ac:dyDescent="0.25">
      <c r="A51" s="45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69" t="s">
        <v>131</v>
      </c>
      <c r="P51" s="69"/>
      <c r="Q51" s="70">
        <v>3.78E-2</v>
      </c>
      <c r="R51" s="69"/>
      <c r="S51" s="72" t="s">
        <v>143</v>
      </c>
      <c r="T51" s="74">
        <v>0.28000000000000003</v>
      </c>
      <c r="V51" s="80"/>
    </row>
    <row r="52" spans="1:22" x14ac:dyDescent="0.25">
      <c r="A52" s="45" t="s">
        <v>23</v>
      </c>
      <c r="B52" s="45"/>
      <c r="C52" s="46"/>
      <c r="D52" s="46">
        <f>SUM(D44:D49)-D50</f>
        <v>1411148.4018264839</v>
      </c>
      <c r="E52" s="46">
        <f>SUM(E44:E49)-E50</f>
        <v>1371461.8721461189</v>
      </c>
      <c r="F52" s="46">
        <f>SUM(F44:F49)-F50</f>
        <v>1332733.0821917809</v>
      </c>
      <c r="G52" s="46">
        <f>SUM(G44:G49)-G50</f>
        <v>1304532.7511415523</v>
      </c>
      <c r="H52" s="46">
        <f t="shared" ref="H52:M52" si="20">SUM(H44:H49)-H50</f>
        <v>1323682.7591324202</v>
      </c>
      <c r="I52" s="46">
        <f t="shared" si="20"/>
        <v>1351975.7411643835</v>
      </c>
      <c r="J52" s="46">
        <f t="shared" si="20"/>
        <v>1389611.555956621</v>
      </c>
      <c r="K52" s="46">
        <f t="shared" si="20"/>
        <v>1436667.8003632422</v>
      </c>
      <c r="L52" s="46">
        <f t="shared" si="20"/>
        <v>1493055.5736393835</v>
      </c>
      <c r="M52" s="46">
        <f t="shared" si="20"/>
        <v>1558473.736224436</v>
      </c>
      <c r="N52" s="46"/>
      <c r="O52" s="69" t="s">
        <v>132</v>
      </c>
      <c r="P52" s="69"/>
      <c r="Q52" s="70">
        <v>0.19059999999999999</v>
      </c>
      <c r="R52" s="69"/>
      <c r="S52" s="72" t="s">
        <v>144</v>
      </c>
      <c r="T52" s="69">
        <v>0.59</v>
      </c>
    </row>
    <row r="53" spans="1:22" x14ac:dyDescent="0.25">
      <c r="A53" s="45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69" t="s">
        <v>139</v>
      </c>
      <c r="P53" s="69"/>
      <c r="Q53" s="75">
        <f>Q50*(Q52-Q51)+Q51</f>
        <v>0.31589600000000001</v>
      </c>
      <c r="R53" s="69"/>
      <c r="S53" s="69" t="s">
        <v>145</v>
      </c>
      <c r="T53" s="69">
        <f>(1+((1-T49)*(T50/T51)))*T52</f>
        <v>1.8037142857142856</v>
      </c>
    </row>
    <row r="54" spans="1:22" x14ac:dyDescent="0.25">
      <c r="A54" s="45" t="s">
        <v>24</v>
      </c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69"/>
      <c r="P54" s="69"/>
      <c r="Q54" s="69"/>
      <c r="R54" s="69"/>
      <c r="S54" s="69"/>
      <c r="T54" s="69"/>
    </row>
    <row r="55" spans="1:22" x14ac:dyDescent="0.25">
      <c r="A55" s="45" t="s">
        <v>25</v>
      </c>
      <c r="B55" s="45"/>
      <c r="C55" s="46"/>
      <c r="D55" s="61">
        <f>(D18/365)*D27</f>
        <v>33561.643835616436</v>
      </c>
      <c r="E55" s="61">
        <f t="shared" ref="E55:M55" si="21">(E18/365)*E27</f>
        <v>37684.931506849316</v>
      </c>
      <c r="F55" s="61">
        <f t="shared" si="21"/>
        <v>42373.972602739726</v>
      </c>
      <c r="G55" s="61">
        <f t="shared" si="21"/>
        <v>47716.027397260281</v>
      </c>
      <c r="H55" s="61">
        <f t="shared" si="21"/>
        <v>53813.219178082203</v>
      </c>
      <c r="I55" s="61">
        <f t="shared" si="21"/>
        <v>60785.247945205498</v>
      </c>
      <c r="J55" s="61">
        <f t="shared" si="21"/>
        <v>68772.620958904139</v>
      </c>
      <c r="K55" s="61">
        <f t="shared" si="21"/>
        <v>77940.50091780824</v>
      </c>
      <c r="L55" s="61">
        <f t="shared" si="21"/>
        <v>88483.292445205501</v>
      </c>
      <c r="M55" s="61">
        <f t="shared" si="21"/>
        <v>100630.11141246578</v>
      </c>
      <c r="N55" s="46"/>
      <c r="O55" s="69"/>
      <c r="P55" s="69"/>
      <c r="Q55" s="69"/>
      <c r="R55" s="69"/>
      <c r="S55" s="69"/>
      <c r="T55" s="69"/>
    </row>
    <row r="56" spans="1:22" x14ac:dyDescent="0.25">
      <c r="A56" s="45" t="s">
        <v>26</v>
      </c>
      <c r="B56" s="45"/>
      <c r="C56" s="46"/>
      <c r="D56" s="46">
        <f>D39</f>
        <v>9703.7709032475486</v>
      </c>
      <c r="E56" s="46">
        <f t="shared" ref="E56:M56" si="22">E39</f>
        <v>0</v>
      </c>
      <c r="F56" s="46">
        <f t="shared" si="22"/>
        <v>349.73116555497984</v>
      </c>
      <c r="G56" s="46">
        <f t="shared" si="22"/>
        <v>3356.5517397124322</v>
      </c>
      <c r="H56" s="46">
        <f t="shared" si="22"/>
        <v>5580.3021424225535</v>
      </c>
      <c r="I56" s="46">
        <f t="shared" si="22"/>
        <v>7869.3942059708297</v>
      </c>
      <c r="J56" s="46">
        <f t="shared" si="22"/>
        <v>10199.305781139248</v>
      </c>
      <c r="K56" s="46">
        <f t="shared" si="22"/>
        <v>12536.88032048354</v>
      </c>
      <c r="L56" s="46">
        <f t="shared" si="22"/>
        <v>14838.229415454716</v>
      </c>
      <c r="M56" s="46">
        <f t="shared" si="22"/>
        <v>17046.178982950001</v>
      </c>
      <c r="N56" s="46"/>
      <c r="O56" s="69"/>
      <c r="P56" s="69"/>
      <c r="Q56" s="69"/>
      <c r="R56" s="69"/>
      <c r="S56" s="69"/>
      <c r="T56" s="69"/>
    </row>
    <row r="57" spans="1:22" x14ac:dyDescent="0.25">
      <c r="A57" s="45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71" t="s">
        <v>133</v>
      </c>
      <c r="P57" s="71" t="s">
        <v>134</v>
      </c>
      <c r="Q57" s="71" t="s">
        <v>135</v>
      </c>
      <c r="R57" s="71" t="s">
        <v>136</v>
      </c>
      <c r="S57" s="71" t="s">
        <v>137</v>
      </c>
      <c r="T57" s="69"/>
    </row>
    <row r="58" spans="1:22" x14ac:dyDescent="0.25">
      <c r="A58" s="45" t="s">
        <v>27</v>
      </c>
      <c r="B58" s="45"/>
      <c r="C58" s="46"/>
      <c r="D58" s="46">
        <f>Mortgage!M13</f>
        <v>991646.3601902934</v>
      </c>
      <c r="E58" s="46">
        <f>Mortgage!M28</f>
        <v>982599.37239633361</v>
      </c>
      <c r="F58" s="46">
        <f>Mortgage!M43</f>
        <v>972801.48907738156</v>
      </c>
      <c r="G58" s="46">
        <f>Mortgage!M58</f>
        <v>962190.38627519901</v>
      </c>
      <c r="H58" s="46">
        <f>Mortgage!M72</f>
        <v>950698.56717375165</v>
      </c>
      <c r="I58" s="46">
        <f>Mortgage!M86</f>
        <v>938252.93275456282</v>
      </c>
      <c r="J58" s="46">
        <f>Mortgage!M100</f>
        <v>924774.31681667489</v>
      </c>
      <c r="K58" s="46">
        <f>Mortgage!M114</f>
        <v>910176.9824034943</v>
      </c>
      <c r="L58" s="46">
        <f>Mortgage!M128</f>
        <v>894368.07643331552</v>
      </c>
      <c r="M58" s="46">
        <f>Mortgage!M142</f>
        <v>877247.03906444553</v>
      </c>
      <c r="N58" s="46"/>
      <c r="O58" s="72">
        <f>AVERAGE(D58:M58)</f>
        <v>940475.55225854518</v>
      </c>
      <c r="P58" s="73">
        <f>O58/O64</f>
        <v>0.70818399562281009</v>
      </c>
      <c r="Q58" s="74">
        <f>O35</f>
        <v>0.08</v>
      </c>
      <c r="R58" s="73">
        <f>Q58*(1-0.2)</f>
        <v>6.4000000000000001E-2</v>
      </c>
      <c r="S58" s="73">
        <f>P58*R58</f>
        <v>4.5323775719859849E-2</v>
      </c>
      <c r="T58" s="69"/>
    </row>
    <row r="59" spans="1:22" x14ac:dyDescent="0.25">
      <c r="A59" s="45" t="s">
        <v>28</v>
      </c>
      <c r="B59" s="45"/>
      <c r="C59" s="46"/>
      <c r="D59" s="46">
        <v>87421.543284336454</v>
      </c>
      <c r="E59" s="46">
        <v>74733.127861515968</v>
      </c>
      <c r="F59" s="46">
        <v>39364.524302464284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/>
      <c r="O59" s="72">
        <f t="shared" ref="O59:O62" si="23">AVERAGE(D59:M59)</f>
        <v>20151.919544831668</v>
      </c>
      <c r="P59" s="73">
        <f>O59/O64</f>
        <v>1.5174521941007343E-2</v>
      </c>
      <c r="Q59" s="74">
        <f>O36</f>
        <v>0.11</v>
      </c>
      <c r="R59" s="73">
        <f>Q59*(1-0.2)</f>
        <v>8.8000000000000009E-2</v>
      </c>
      <c r="S59" s="73">
        <f>P59*R59</f>
        <v>1.3353579308086464E-3</v>
      </c>
      <c r="T59" s="69"/>
    </row>
    <row r="60" spans="1:22" x14ac:dyDescent="0.25">
      <c r="A60" s="45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72"/>
      <c r="P60" s="75">
        <f>P58+P59</f>
        <v>0.72335851756381742</v>
      </c>
      <c r="Q60" s="69"/>
      <c r="R60" s="69"/>
      <c r="S60" s="73"/>
      <c r="T60" s="69"/>
    </row>
    <row r="61" spans="1:22" x14ac:dyDescent="0.25">
      <c r="A61" s="45" t="s">
        <v>29</v>
      </c>
      <c r="B61" s="45"/>
      <c r="C61" s="46"/>
      <c r="D61" s="46">
        <v>250000</v>
      </c>
      <c r="E61" s="46">
        <v>250000</v>
      </c>
      <c r="F61" s="46">
        <v>250000</v>
      </c>
      <c r="G61" s="46">
        <v>250000</v>
      </c>
      <c r="H61" s="46">
        <v>250000</v>
      </c>
      <c r="I61" s="46">
        <v>250000</v>
      </c>
      <c r="J61" s="46">
        <v>250000</v>
      </c>
      <c r="K61" s="46">
        <v>250000</v>
      </c>
      <c r="L61" s="46">
        <v>250000</v>
      </c>
      <c r="M61" s="46">
        <v>250000</v>
      </c>
      <c r="N61" s="46"/>
      <c r="O61" s="72">
        <f t="shared" si="23"/>
        <v>250000</v>
      </c>
      <c r="P61" s="73">
        <f>SUM(O61:O62)/O64</f>
        <v>0.27664148243618253</v>
      </c>
      <c r="Q61" s="70">
        <f>Q53</f>
        <v>0.31589600000000001</v>
      </c>
      <c r="R61" s="70">
        <f>Q61</f>
        <v>0.31589600000000001</v>
      </c>
      <c r="S61" s="73">
        <f>P61*R61</f>
        <v>8.7389937735660325E-2</v>
      </c>
      <c r="T61" s="69"/>
    </row>
    <row r="62" spans="1:22" x14ac:dyDescent="0.25">
      <c r="A62" s="45" t="s">
        <v>30</v>
      </c>
      <c r="B62" s="45"/>
      <c r="C62" s="46"/>
      <c r="D62" s="46">
        <f>C62+D40</f>
        <v>38815.083612990195</v>
      </c>
      <c r="E62" s="46">
        <f>D62+E40</f>
        <v>26444.440381420056</v>
      </c>
      <c r="F62" s="46">
        <f>E62+F40</f>
        <v>27843.365043639977</v>
      </c>
      <c r="G62" s="46">
        <f>F62+G40</f>
        <v>41269.572002489702</v>
      </c>
      <c r="H62" s="46">
        <f t="shared" ref="H62:M62" si="24">G62+H40</f>
        <v>63590.780572179916</v>
      </c>
      <c r="I62" s="46">
        <f t="shared" si="24"/>
        <v>95068.357396063235</v>
      </c>
      <c r="J62" s="46">
        <f t="shared" si="24"/>
        <v>135865.58052062022</v>
      </c>
      <c r="K62" s="46">
        <f t="shared" si="24"/>
        <v>186013.10180255439</v>
      </c>
      <c r="L62" s="46">
        <f t="shared" si="24"/>
        <v>245366.01946437324</v>
      </c>
      <c r="M62" s="46">
        <f t="shared" si="24"/>
        <v>313550.73539617326</v>
      </c>
      <c r="N62" s="46"/>
      <c r="O62" s="72">
        <f t="shared" si="23"/>
        <v>117382.70361925042</v>
      </c>
      <c r="P62" s="69"/>
      <c r="Q62" s="69"/>
      <c r="R62" s="69"/>
      <c r="S62" s="69"/>
      <c r="T62" s="69"/>
    </row>
    <row r="63" spans="1:22" x14ac:dyDescent="0.25">
      <c r="A63" s="45"/>
      <c r="B63" s="45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72"/>
      <c r="P63" s="75"/>
      <c r="Q63" s="69"/>
      <c r="R63" s="76" t="s">
        <v>138</v>
      </c>
      <c r="S63" s="77">
        <f>SUM(S58:S61)</f>
        <v>0.13404907138632882</v>
      </c>
      <c r="T63" s="71"/>
    </row>
    <row r="64" spans="1:22" x14ac:dyDescent="0.25">
      <c r="A64" s="45" t="s">
        <v>31</v>
      </c>
      <c r="B64" s="45"/>
      <c r="C64" s="45"/>
      <c r="D64" s="46">
        <f>SUM(D55:D62)</f>
        <v>1411148.4018264839</v>
      </c>
      <c r="E64" s="46">
        <f>SUM(E55:E62)</f>
        <v>1371461.8721461191</v>
      </c>
      <c r="F64" s="46">
        <f>SUM(F55:F62)</f>
        <v>1332733.0821917804</v>
      </c>
      <c r="G64" s="46">
        <f>SUM(G55:G62)</f>
        <v>1304532.5374146611</v>
      </c>
      <c r="H64" s="46">
        <f t="shared" ref="H64:M64" si="25">SUM(H55:H62)</f>
        <v>1323682.8690664363</v>
      </c>
      <c r="I64" s="46">
        <f t="shared" si="25"/>
        <v>1351975.9323018023</v>
      </c>
      <c r="J64" s="46">
        <f t="shared" si="25"/>
        <v>1389611.8240773384</v>
      </c>
      <c r="K64" s="46">
        <f t="shared" si="25"/>
        <v>1436667.4654443404</v>
      </c>
      <c r="L64" s="46">
        <f t="shared" si="25"/>
        <v>1493055.617758349</v>
      </c>
      <c r="M64" s="46">
        <f t="shared" si="25"/>
        <v>1558474.0648560347</v>
      </c>
      <c r="N64" s="46"/>
      <c r="O64" s="72">
        <f>SUM(O58:O62)</f>
        <v>1328010.1754226272</v>
      </c>
      <c r="P64" s="69"/>
      <c r="Q64" s="69"/>
      <c r="R64" s="69"/>
      <c r="S64" s="69"/>
      <c r="T64" s="69"/>
    </row>
    <row r="65" spans="1:20" x14ac:dyDescent="0.25">
      <c r="D65" s="54">
        <f>D52-D64</f>
        <v>0</v>
      </c>
      <c r="E65" s="54">
        <f>E52-E64</f>
        <v>0</v>
      </c>
      <c r="F65" s="54">
        <f t="shared" ref="F65:M65" si="26">F52-F64</f>
        <v>0</v>
      </c>
      <c r="G65" s="54">
        <f t="shared" si="26"/>
        <v>0.21372689120471478</v>
      </c>
      <c r="H65" s="54">
        <f t="shared" si="26"/>
        <v>-0.10993401613086462</v>
      </c>
      <c r="I65" s="54">
        <f t="shared" si="26"/>
        <v>-0.19113741884939373</v>
      </c>
      <c r="J65" s="54">
        <f t="shared" si="26"/>
        <v>-0.26812071749009192</v>
      </c>
      <c r="K65" s="54">
        <f t="shared" si="26"/>
        <v>0.33491890178993344</v>
      </c>
      <c r="L65" s="54">
        <f t="shared" si="26"/>
        <v>-4.411896551027894E-2</v>
      </c>
      <c r="M65" s="54">
        <f t="shared" si="26"/>
        <v>-0.32863159873522818</v>
      </c>
      <c r="O65" s="68"/>
      <c r="P65" s="68"/>
      <c r="Q65" s="68"/>
      <c r="R65" s="68"/>
      <c r="S65" s="68"/>
      <c r="T65" s="69"/>
    </row>
    <row r="66" spans="1:20" x14ac:dyDescent="0.25">
      <c r="A66" s="6" t="s">
        <v>32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20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20" x14ac:dyDescent="0.25">
      <c r="A68" s="6" t="s">
        <v>33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20" x14ac:dyDescent="0.25">
      <c r="A69" s="7"/>
      <c r="B69" s="7" t="s">
        <v>73</v>
      </c>
      <c r="C69" s="29"/>
      <c r="D69" s="63">
        <f>(D24+D25)-(D30+D31+D32+D27)</f>
        <v>184500</v>
      </c>
      <c r="E69" s="63">
        <f t="shared" ref="E69:M69" si="27">(E24+E25)-(E30+E31+E32+E27)</f>
        <v>121521.42857142875</v>
      </c>
      <c r="F69" s="63">
        <f t="shared" si="27"/>
        <v>130999.2857142858</v>
      </c>
      <c r="G69" s="63">
        <f t="shared" si="27"/>
        <v>140890.07142857159</v>
      </c>
      <c r="H69" s="63">
        <f t="shared" si="27"/>
        <v>151128.10714285728</v>
      </c>
      <c r="I69" s="63">
        <f t="shared" si="27"/>
        <v>161619.75214285753</v>
      </c>
      <c r="J69" s="63">
        <f t="shared" si="27"/>
        <v>172236.32850000006</v>
      </c>
      <c r="K69" s="63">
        <f t="shared" si="27"/>
        <v>182805.48272142885</v>
      </c>
      <c r="L69" s="63">
        <f t="shared" si="27"/>
        <v>193100.65663928632</v>
      </c>
      <c r="M69" s="63">
        <f t="shared" si="27"/>
        <v>202828.27307807188</v>
      </c>
      <c r="N69" s="29"/>
    </row>
    <row r="70" spans="1:20" x14ac:dyDescent="0.25">
      <c r="A70" s="7"/>
      <c r="B70" s="7" t="s">
        <v>74</v>
      </c>
      <c r="C70" s="29"/>
      <c r="D70" s="63">
        <f>D34</f>
        <v>46666.666666666664</v>
      </c>
      <c r="E70" s="63">
        <f t="shared" ref="E70:M70" si="28">E34</f>
        <v>46666.666666666664</v>
      </c>
      <c r="F70" s="63">
        <f t="shared" si="28"/>
        <v>46666.666666666664</v>
      </c>
      <c r="G70" s="63">
        <f t="shared" si="28"/>
        <v>46666.666666666664</v>
      </c>
      <c r="H70" s="63">
        <f t="shared" si="28"/>
        <v>46666.666666666664</v>
      </c>
      <c r="I70" s="63">
        <f t="shared" si="28"/>
        <v>46666.666666666664</v>
      </c>
      <c r="J70" s="63">
        <f t="shared" si="28"/>
        <v>46666.666666666664</v>
      </c>
      <c r="K70" s="63">
        <f t="shared" si="28"/>
        <v>46666.666666666664</v>
      </c>
      <c r="L70" s="63">
        <f t="shared" si="28"/>
        <v>46666.666666666664</v>
      </c>
      <c r="M70" s="63">
        <f t="shared" si="28"/>
        <v>46666.666666666664</v>
      </c>
      <c r="N70" s="29"/>
    </row>
    <row r="71" spans="1:20" x14ac:dyDescent="0.25">
      <c r="A71" s="7"/>
      <c r="B71" s="7" t="s">
        <v>75</v>
      </c>
      <c r="C71" s="29"/>
      <c r="D71" s="63">
        <f>D69-D70</f>
        <v>137833.33333333334</v>
      </c>
      <c r="E71" s="63">
        <f t="shared" ref="E71:L71" si="29">E69-E70</f>
        <v>74854.761904762097</v>
      </c>
      <c r="F71" s="63">
        <f t="shared" si="29"/>
        <v>84332.61904761914</v>
      </c>
      <c r="G71" s="63">
        <f t="shared" si="29"/>
        <v>94223.404761904938</v>
      </c>
      <c r="H71" s="63">
        <f t="shared" si="29"/>
        <v>104461.44047619062</v>
      </c>
      <c r="I71" s="63">
        <f t="shared" si="29"/>
        <v>114953.08547619087</v>
      </c>
      <c r="J71" s="63">
        <f t="shared" si="29"/>
        <v>125569.6618333334</v>
      </c>
      <c r="K71" s="63">
        <f t="shared" si="29"/>
        <v>136138.8160547622</v>
      </c>
      <c r="L71" s="63">
        <f t="shared" si="29"/>
        <v>146433.98997261966</v>
      </c>
      <c r="M71" s="63">
        <f>M69-M70</f>
        <v>156161.60641140523</v>
      </c>
      <c r="N71" s="29"/>
    </row>
    <row r="72" spans="1:20" x14ac:dyDescent="0.25">
      <c r="A72" s="7"/>
      <c r="B72" s="7" t="s">
        <v>76</v>
      </c>
      <c r="C72" s="29"/>
      <c r="D72" s="63">
        <f>D71*$O$81</f>
        <v>27566.666666666672</v>
      </c>
      <c r="E72" s="63">
        <f t="shared" ref="E72:M72" si="30">E71*$O$81</f>
        <v>14970.95238095242</v>
      </c>
      <c r="F72" s="63">
        <f t="shared" si="30"/>
        <v>16866.523809523827</v>
      </c>
      <c r="G72" s="63">
        <f t="shared" si="30"/>
        <v>18844.68095238099</v>
      </c>
      <c r="H72" s="63">
        <f t="shared" si="30"/>
        <v>20892.288095238124</v>
      </c>
      <c r="I72" s="63">
        <f t="shared" si="30"/>
        <v>22990.617095238176</v>
      </c>
      <c r="J72" s="63">
        <f t="shared" si="30"/>
        <v>25113.932366666682</v>
      </c>
      <c r="K72" s="63">
        <f t="shared" si="30"/>
        <v>27227.763210952442</v>
      </c>
      <c r="L72" s="63">
        <f t="shared" si="30"/>
        <v>29286.797994523935</v>
      </c>
      <c r="M72" s="63">
        <f t="shared" si="30"/>
        <v>31232.321282281046</v>
      </c>
      <c r="N72" s="31"/>
    </row>
    <row r="73" spans="1:20" x14ac:dyDescent="0.25">
      <c r="A73" s="7"/>
      <c r="B73" s="7" t="s">
        <v>77</v>
      </c>
      <c r="C73" s="29">
        <f>C71-C72</f>
        <v>0</v>
      </c>
      <c r="D73" s="63">
        <f>D71-D72</f>
        <v>110266.66666666667</v>
      </c>
      <c r="E73" s="63">
        <f t="shared" ref="E73:M73" si="31">E71-E72</f>
        <v>59883.809523809679</v>
      </c>
      <c r="F73" s="63">
        <f t="shared" si="31"/>
        <v>67466.095238095309</v>
      </c>
      <c r="G73" s="63">
        <f t="shared" si="31"/>
        <v>75378.723809523945</v>
      </c>
      <c r="H73" s="63">
        <f t="shared" si="31"/>
        <v>83569.152380952495</v>
      </c>
      <c r="I73" s="63">
        <f t="shared" si="31"/>
        <v>91962.46838095269</v>
      </c>
      <c r="J73" s="63">
        <f t="shared" si="31"/>
        <v>100455.72946666673</v>
      </c>
      <c r="K73" s="63">
        <f t="shared" si="31"/>
        <v>108911.05284380975</v>
      </c>
      <c r="L73" s="63">
        <f t="shared" si="31"/>
        <v>117147.19197809573</v>
      </c>
      <c r="M73" s="63">
        <f t="shared" si="31"/>
        <v>124929.28512912418</v>
      </c>
      <c r="N73" s="29"/>
      <c r="O73" s="1">
        <v>0.2</v>
      </c>
    </row>
    <row r="74" spans="1:20" x14ac:dyDescent="0.25">
      <c r="A74" s="7"/>
      <c r="B74" s="7" t="s">
        <v>122</v>
      </c>
      <c r="C74" s="29"/>
      <c r="D74" s="63">
        <f>D73+D70</f>
        <v>156933.33333333334</v>
      </c>
      <c r="E74" s="63">
        <f t="shared" ref="E74:M74" si="32">E73+E70</f>
        <v>106550.47619047634</v>
      </c>
      <c r="F74" s="63">
        <f t="shared" si="32"/>
        <v>114132.76190476198</v>
      </c>
      <c r="G74" s="63">
        <f t="shared" si="32"/>
        <v>122045.3904761906</v>
      </c>
      <c r="H74" s="63">
        <f t="shared" si="32"/>
        <v>130235.81904761915</v>
      </c>
      <c r="I74" s="63">
        <f t="shared" si="32"/>
        <v>138629.13504761935</v>
      </c>
      <c r="J74" s="63">
        <f t="shared" si="32"/>
        <v>147122.39613333339</v>
      </c>
      <c r="K74" s="63">
        <f t="shared" si="32"/>
        <v>155577.71951047643</v>
      </c>
      <c r="L74" s="63">
        <f t="shared" si="32"/>
        <v>163813.8586447624</v>
      </c>
      <c r="M74" s="63">
        <f t="shared" si="32"/>
        <v>171595.95179579084</v>
      </c>
      <c r="N74" s="29"/>
    </row>
    <row r="75" spans="1:20" x14ac:dyDescent="0.25">
      <c r="A75" s="7"/>
      <c r="B75" s="6" t="s">
        <v>34</v>
      </c>
      <c r="C75" s="49"/>
      <c r="D75" s="64">
        <f>D73+D74</f>
        <v>267200</v>
      </c>
      <c r="E75" s="64">
        <f t="shared" ref="E75:M75" si="33">E73+E74</f>
        <v>166434.28571428603</v>
      </c>
      <c r="F75" s="64">
        <f t="shared" si="33"/>
        <v>181598.85714285728</v>
      </c>
      <c r="G75" s="64">
        <f t="shared" si="33"/>
        <v>197424.11428571455</v>
      </c>
      <c r="H75" s="64">
        <f t="shared" si="33"/>
        <v>213804.97142857165</v>
      </c>
      <c r="I75" s="64">
        <f t="shared" si="33"/>
        <v>230591.60342857204</v>
      </c>
      <c r="J75" s="64">
        <f t="shared" si="33"/>
        <v>247578.12560000012</v>
      </c>
      <c r="K75" s="64">
        <f t="shared" si="33"/>
        <v>264488.77235428616</v>
      </c>
      <c r="L75" s="64">
        <f t="shared" si="33"/>
        <v>280961.05062285811</v>
      </c>
      <c r="M75" s="64">
        <f t="shared" si="33"/>
        <v>296525.23692491499</v>
      </c>
      <c r="N75" s="49"/>
    </row>
    <row r="76" spans="1:20" x14ac:dyDescent="0.25">
      <c r="A76" s="7"/>
      <c r="B76" s="7"/>
      <c r="C76" s="7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7"/>
    </row>
    <row r="77" spans="1:20" x14ac:dyDescent="0.25">
      <c r="A77" s="6" t="s">
        <v>35</v>
      </c>
      <c r="B77" s="7"/>
      <c r="C77" s="7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7"/>
    </row>
    <row r="78" spans="1:20" x14ac:dyDescent="0.25">
      <c r="A78" s="7"/>
      <c r="B78" s="7" t="s">
        <v>36</v>
      </c>
      <c r="C78" s="7">
        <v>-1400000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7"/>
    </row>
    <row r="79" spans="1:20" x14ac:dyDescent="0.25">
      <c r="A79" s="7"/>
      <c r="B79" s="7" t="s">
        <v>37</v>
      </c>
      <c r="C79" s="7"/>
      <c r="D79" s="63"/>
      <c r="E79" s="63"/>
      <c r="F79" s="63"/>
      <c r="G79" s="63"/>
      <c r="H79" s="63"/>
      <c r="I79" s="63"/>
      <c r="J79" s="63"/>
      <c r="K79" s="63"/>
      <c r="L79" s="63"/>
      <c r="M79" s="63">
        <v>1200000</v>
      </c>
      <c r="N79" s="29"/>
    </row>
    <row r="80" spans="1:20" x14ac:dyDescent="0.25">
      <c r="A80" s="7"/>
      <c r="B80" s="7" t="s">
        <v>38</v>
      </c>
      <c r="C80" s="7"/>
      <c r="D80" s="63"/>
      <c r="E80" s="63"/>
      <c r="F80" s="63"/>
      <c r="G80" s="63"/>
      <c r="H80" s="63"/>
      <c r="I80" s="63"/>
      <c r="J80" s="63"/>
      <c r="K80" s="63"/>
      <c r="L80" s="63"/>
      <c r="M80" s="56">
        <f>-O81*P82</f>
        <v>-53333.33333333335</v>
      </c>
      <c r="N80" s="7"/>
      <c r="P80" s="66">
        <f>M79</f>
        <v>1200000</v>
      </c>
      <c r="Q80" s="1" t="s">
        <v>126</v>
      </c>
    </row>
    <row r="81" spans="1:17" x14ac:dyDescent="0.25">
      <c r="A81" s="7"/>
      <c r="B81" s="7"/>
      <c r="C81" s="7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7"/>
      <c r="O81" s="1">
        <v>0.2</v>
      </c>
      <c r="P81" s="54">
        <f>(-C78)-M50</f>
        <v>933333.33333333326</v>
      </c>
      <c r="Q81" s="1" t="s">
        <v>127</v>
      </c>
    </row>
    <row r="82" spans="1:17" x14ac:dyDescent="0.25">
      <c r="A82" s="6" t="s">
        <v>39</v>
      </c>
      <c r="B82" s="7"/>
      <c r="C82" s="7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7"/>
      <c r="P82" s="66">
        <f>P80-P81</f>
        <v>266666.66666666674</v>
      </c>
      <c r="Q82" s="1" t="s">
        <v>128</v>
      </c>
    </row>
    <row r="83" spans="1:17" x14ac:dyDescent="0.25">
      <c r="A83" s="7" t="s">
        <v>123</v>
      </c>
      <c r="B83" s="7" t="s">
        <v>19</v>
      </c>
      <c r="C83" s="7"/>
      <c r="D83" s="63">
        <f>-D46</f>
        <v>-6472.6027397260268</v>
      </c>
      <c r="E83" s="29">
        <f>-(E46-D46)</f>
        <v>-795.20547945205544</v>
      </c>
      <c r="F83" s="29">
        <f t="shared" ref="F83:M84" si="34">-(F46-E46)</f>
        <v>-904.31506849315156</v>
      </c>
      <c r="G83" s="29">
        <f t="shared" si="34"/>
        <v>-1030.2534246575369</v>
      </c>
      <c r="H83" s="29">
        <f t="shared" si="34"/>
        <v>-1175.8869863013697</v>
      </c>
      <c r="I83" s="29">
        <f t="shared" si="34"/>
        <v>-1344.6055479452061</v>
      </c>
      <c r="J83" s="29">
        <f t="shared" si="34"/>
        <v>-1540.4219383561649</v>
      </c>
      <c r="K83" s="29">
        <f t="shared" si="34"/>
        <v>-1768.0911349315065</v>
      </c>
      <c r="L83" s="29">
        <f t="shared" si="34"/>
        <v>-2033.2526517123315</v>
      </c>
      <c r="M83" s="29">
        <f t="shared" si="34"/>
        <v>-2342.6008008287645</v>
      </c>
      <c r="N83" s="29"/>
    </row>
    <row r="84" spans="1:17" x14ac:dyDescent="0.25">
      <c r="A84" s="7" t="s">
        <v>123</v>
      </c>
      <c r="B84" s="7" t="s">
        <v>20</v>
      </c>
      <c r="C84" s="7"/>
      <c r="D84" s="63">
        <f>-D47</f>
        <v>-50342.465753424658</v>
      </c>
      <c r="E84" s="29">
        <f>-(E47-D47)</f>
        <v>-6184.9315068493161</v>
      </c>
      <c r="F84" s="29">
        <f t="shared" si="34"/>
        <v>-7033.5616438356228</v>
      </c>
      <c r="G84" s="29">
        <f t="shared" si="34"/>
        <v>-8013.082191780828</v>
      </c>
      <c r="H84" s="29">
        <f t="shared" si="34"/>
        <v>-9145.7876712328871</v>
      </c>
      <c r="I84" s="29">
        <f t="shared" si="34"/>
        <v>-10458.043150684942</v>
      </c>
      <c r="J84" s="29">
        <f t="shared" si="34"/>
        <v>-11981.059520547948</v>
      </c>
      <c r="K84" s="29">
        <f t="shared" si="34"/>
        <v>-13751.819938356159</v>
      </c>
      <c r="L84" s="29">
        <f t="shared" si="34"/>
        <v>-15814.187291095921</v>
      </c>
      <c r="M84" s="29">
        <f t="shared" si="34"/>
        <v>-18220.228450890369</v>
      </c>
      <c r="N84" s="29"/>
    </row>
    <row r="85" spans="1:17" x14ac:dyDescent="0.25">
      <c r="A85" s="7" t="s">
        <v>124</v>
      </c>
      <c r="B85" s="7" t="s">
        <v>25</v>
      </c>
      <c r="C85" s="7"/>
      <c r="D85" s="63">
        <f>D55</f>
        <v>33561.643835616436</v>
      </c>
      <c r="E85" s="31">
        <f>E55-D55</f>
        <v>4123.2876712328798</v>
      </c>
      <c r="F85" s="31">
        <f t="shared" ref="F85:M86" si="35">F55-E55</f>
        <v>4689.0410958904104</v>
      </c>
      <c r="G85" s="31">
        <f t="shared" si="35"/>
        <v>5342.0547945205544</v>
      </c>
      <c r="H85" s="31">
        <f t="shared" si="35"/>
        <v>6097.1917808219223</v>
      </c>
      <c r="I85" s="31">
        <f t="shared" si="35"/>
        <v>6972.0287671232945</v>
      </c>
      <c r="J85" s="31">
        <f t="shared" si="35"/>
        <v>7987.3730136986414</v>
      </c>
      <c r="K85" s="31">
        <f t="shared" si="35"/>
        <v>9167.8799589041009</v>
      </c>
      <c r="L85" s="31">
        <f t="shared" si="35"/>
        <v>10542.791527397261</v>
      </c>
      <c r="M85" s="31">
        <f t="shared" si="35"/>
        <v>12146.818967260275</v>
      </c>
      <c r="N85" s="29"/>
    </row>
    <row r="86" spans="1:17" x14ac:dyDescent="0.25">
      <c r="A86" s="7" t="s">
        <v>124</v>
      </c>
      <c r="B86" s="7" t="s">
        <v>26</v>
      </c>
      <c r="C86" s="7"/>
      <c r="D86" s="63">
        <f>D56</f>
        <v>9703.7709032475486</v>
      </c>
      <c r="E86" s="29">
        <f>E56-D56</f>
        <v>-9703.7709032475486</v>
      </c>
      <c r="F86" s="29">
        <f t="shared" si="35"/>
        <v>349.73116555497984</v>
      </c>
      <c r="G86" s="29">
        <f t="shared" si="35"/>
        <v>3006.8205741574525</v>
      </c>
      <c r="H86" s="29">
        <f t="shared" si="35"/>
        <v>2223.7504027101213</v>
      </c>
      <c r="I86" s="29">
        <f t="shared" si="35"/>
        <v>2289.0920635482762</v>
      </c>
      <c r="J86" s="29">
        <f t="shared" si="35"/>
        <v>2329.9115751684185</v>
      </c>
      <c r="K86" s="29">
        <f t="shared" si="35"/>
        <v>2337.5745393442921</v>
      </c>
      <c r="L86" s="29">
        <f t="shared" si="35"/>
        <v>2301.3490949711759</v>
      </c>
      <c r="M86" s="29">
        <f t="shared" si="35"/>
        <v>2207.949567495285</v>
      </c>
      <c r="N86" s="29"/>
    </row>
    <row r="87" spans="1:17" x14ac:dyDescent="0.25">
      <c r="A87" s="7"/>
      <c r="B87" s="7"/>
      <c r="C87" s="7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7"/>
    </row>
    <row r="88" spans="1:17" x14ac:dyDescent="0.25">
      <c r="A88" s="6" t="s">
        <v>40</v>
      </c>
      <c r="B88" s="7"/>
      <c r="C88" s="7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7"/>
    </row>
    <row r="89" spans="1:17" x14ac:dyDescent="0.25">
      <c r="A89" s="7" t="s">
        <v>124</v>
      </c>
      <c r="B89" s="7" t="s">
        <v>19</v>
      </c>
      <c r="C89" s="7"/>
      <c r="D89" s="63"/>
      <c r="E89" s="63"/>
      <c r="F89" s="63"/>
      <c r="G89" s="63"/>
      <c r="H89" s="63"/>
      <c r="I89" s="63"/>
      <c r="J89" s="63"/>
      <c r="K89" s="63"/>
      <c r="L89" s="63"/>
      <c r="M89" s="29">
        <f>M46</f>
        <v>19407.235772404114</v>
      </c>
      <c r="N89" s="7"/>
    </row>
    <row r="90" spans="1:17" x14ac:dyDescent="0.25">
      <c r="A90" s="7" t="s">
        <v>124</v>
      </c>
      <c r="B90" s="7" t="s">
        <v>20</v>
      </c>
      <c r="C90" s="7"/>
      <c r="D90" s="63"/>
      <c r="E90" s="63"/>
      <c r="F90" s="63"/>
      <c r="G90" s="63"/>
      <c r="H90" s="63"/>
      <c r="I90" s="63"/>
      <c r="J90" s="63"/>
      <c r="K90" s="63"/>
      <c r="L90" s="63"/>
      <c r="M90" s="63">
        <f t="shared" ref="M90" si="36">M47</f>
        <v>150945.16711869865</v>
      </c>
      <c r="N90" s="29"/>
    </row>
    <row r="91" spans="1:17" x14ac:dyDescent="0.25">
      <c r="A91" s="7" t="s">
        <v>123</v>
      </c>
      <c r="B91" s="7" t="s">
        <v>25</v>
      </c>
      <c r="C91" s="7"/>
      <c r="D91" s="63"/>
      <c r="E91" s="63"/>
      <c r="F91" s="63"/>
      <c r="G91" s="63"/>
      <c r="H91" s="63"/>
      <c r="I91" s="63"/>
      <c r="J91" s="63"/>
      <c r="K91" s="63"/>
      <c r="L91" s="63"/>
      <c r="M91" s="63">
        <f t="shared" ref="M91:M92" si="37">-M55</f>
        <v>-100630.11141246578</v>
      </c>
      <c r="N91" s="7"/>
    </row>
    <row r="92" spans="1:17" x14ac:dyDescent="0.25">
      <c r="A92" s="7" t="s">
        <v>123</v>
      </c>
      <c r="B92" s="7" t="s">
        <v>26</v>
      </c>
      <c r="C92" s="7"/>
      <c r="D92" s="63"/>
      <c r="E92" s="63"/>
      <c r="F92" s="63"/>
      <c r="G92" s="63"/>
      <c r="H92" s="63"/>
      <c r="I92" s="63"/>
      <c r="J92" s="63"/>
      <c r="K92" s="63"/>
      <c r="L92" s="63"/>
      <c r="M92" s="63">
        <f t="shared" si="37"/>
        <v>-17046.178982950001</v>
      </c>
      <c r="N92" s="7"/>
    </row>
    <row r="93" spans="1:17" x14ac:dyDescent="0.25">
      <c r="A93" s="7"/>
      <c r="B93" s="7"/>
      <c r="C93" s="7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7"/>
    </row>
    <row r="94" spans="1:17" x14ac:dyDescent="0.25">
      <c r="A94" s="6" t="s">
        <v>41</v>
      </c>
      <c r="B94" s="7"/>
      <c r="C94" s="29">
        <f>SUM(C75:C93)</f>
        <v>-1400000</v>
      </c>
      <c r="D94" s="63">
        <f>SUM(D75:D93)</f>
        <v>253650.34624571333</v>
      </c>
      <c r="E94" s="63">
        <f t="shared" ref="E94:M94" si="38">SUM(E75:E93)</f>
        <v>153873.66549596997</v>
      </c>
      <c r="F94" s="63">
        <f t="shared" si="38"/>
        <v>178699.7526919739</v>
      </c>
      <c r="G94" s="63">
        <f t="shared" si="38"/>
        <v>196729.6540379542</v>
      </c>
      <c r="H94" s="63">
        <f t="shared" si="38"/>
        <v>211804.23895456942</v>
      </c>
      <c r="I94" s="63">
        <f t="shared" si="38"/>
        <v>228050.07556061345</v>
      </c>
      <c r="J94" s="63">
        <f t="shared" si="38"/>
        <v>244373.92872996308</v>
      </c>
      <c r="K94" s="63">
        <f t="shared" si="38"/>
        <v>260474.31577924691</v>
      </c>
      <c r="L94" s="63">
        <f t="shared" si="38"/>
        <v>275957.7513024183</v>
      </c>
      <c r="M94" s="63">
        <f t="shared" si="38"/>
        <v>1489659.9553703051</v>
      </c>
      <c r="N94" s="7"/>
    </row>
    <row r="95" spans="1:17" x14ac:dyDescent="0.25">
      <c r="A95" s="6" t="s">
        <v>42</v>
      </c>
      <c r="B95" s="7"/>
      <c r="C95" s="56">
        <f>-PV($C$97,C96,,C94)</f>
        <v>-1400000</v>
      </c>
      <c r="D95" s="63">
        <f>-PV($C$97,D96,,D94)</f>
        <v>234861.4317089938</v>
      </c>
      <c r="E95" s="63">
        <f t="shared" ref="E95:M95" si="39">-PV($C$97,E96,,E94)</f>
        <v>131921.86685182608</v>
      </c>
      <c r="F95" s="63">
        <f t="shared" si="39"/>
        <v>141857.62514921973</v>
      </c>
      <c r="G95" s="63">
        <f t="shared" si="39"/>
        <v>144602.16864821466</v>
      </c>
      <c r="H95" s="63">
        <f t="shared" si="39"/>
        <v>144150.40609300183</v>
      </c>
      <c r="I95" s="63">
        <f t="shared" si="39"/>
        <v>143710.23102669558</v>
      </c>
      <c r="J95" s="63">
        <f t="shared" si="39"/>
        <v>142589.84026640668</v>
      </c>
      <c r="K95" s="63">
        <f t="shared" si="39"/>
        <v>140726.1680274691</v>
      </c>
      <c r="L95" s="63">
        <f t="shared" si="39"/>
        <v>138047.58006095479</v>
      </c>
      <c r="M95" s="63">
        <f t="shared" si="39"/>
        <v>690000.79078804667</v>
      </c>
      <c r="N95" s="7"/>
    </row>
    <row r="96" spans="1:17" x14ac:dyDescent="0.25">
      <c r="A96" s="7"/>
      <c r="B96" s="7"/>
      <c r="C96" s="7">
        <v>0</v>
      </c>
      <c r="D96" s="7">
        <v>1</v>
      </c>
      <c r="E96" s="7">
        <v>2</v>
      </c>
      <c r="F96" s="7">
        <v>3</v>
      </c>
      <c r="G96" s="7">
        <v>4</v>
      </c>
      <c r="H96" s="7">
        <v>5</v>
      </c>
      <c r="I96" s="7">
        <v>6</v>
      </c>
      <c r="J96" s="7">
        <v>7</v>
      </c>
      <c r="K96" s="7">
        <v>8</v>
      </c>
      <c r="L96" s="7">
        <v>9</v>
      </c>
      <c r="M96" s="7">
        <v>10</v>
      </c>
      <c r="N96" s="7"/>
    </row>
    <row r="97" spans="1:14" x14ac:dyDescent="0.25">
      <c r="A97" s="7"/>
      <c r="B97" s="7"/>
      <c r="C97" s="55">
        <v>0.08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25">
      <c r="A98" s="6" t="s">
        <v>43</v>
      </c>
      <c r="B98" s="7"/>
      <c r="C98" s="63">
        <f>SUM(C95:M95)</f>
        <v>652468.10862082895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25">
      <c r="A99" s="6" t="s">
        <v>44</v>
      </c>
      <c r="B99" s="7"/>
      <c r="C99" s="65">
        <f>IRR(C94:M94)</f>
        <v>0.14921669882519617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1" spans="1:14" x14ac:dyDescent="0.25">
      <c r="A101" s="6" t="s">
        <v>41</v>
      </c>
      <c r="B101" s="7"/>
      <c r="C101" s="29">
        <v>-1400000</v>
      </c>
      <c r="D101" s="63">
        <v>253650</v>
      </c>
      <c r="E101" s="63">
        <v>153874</v>
      </c>
      <c r="F101" s="63">
        <v>178700</v>
      </c>
      <c r="G101" s="63">
        <v>196730</v>
      </c>
      <c r="H101" s="63">
        <v>211804</v>
      </c>
      <c r="I101" s="63">
        <v>228050</v>
      </c>
      <c r="J101" s="63">
        <v>244374</v>
      </c>
      <c r="K101" s="63">
        <v>260474</v>
      </c>
      <c r="L101" s="63">
        <v>275958</v>
      </c>
      <c r="M101" s="63">
        <v>1090000</v>
      </c>
      <c r="N101" s="7"/>
    </row>
    <row r="102" spans="1:14" x14ac:dyDescent="0.25">
      <c r="A102" s="6" t="s">
        <v>44</v>
      </c>
      <c r="B102" s="7"/>
      <c r="C102" s="65">
        <f>IRR(C101:M101)</f>
        <v>0.134079163995104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5" spans="1:14" x14ac:dyDescent="0.25">
      <c r="M105" s="6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topLeftCell="B130" zoomScale="95" zoomScaleNormal="95" workbookViewId="0">
      <selection activeCell="F156" sqref="F156"/>
    </sheetView>
  </sheetViews>
  <sheetFormatPr defaultColWidth="11.5703125" defaultRowHeight="12.75" x14ac:dyDescent="0.2"/>
  <cols>
    <col min="1" max="1" width="30.140625" style="9" customWidth="1"/>
    <col min="2" max="2" width="14" style="9" customWidth="1"/>
    <col min="3" max="3" width="12.7109375" style="9" customWidth="1"/>
    <col min="4" max="4" width="13.42578125" style="9" bestFit="1" customWidth="1"/>
    <col min="5" max="5" width="13.5703125" style="9" customWidth="1"/>
    <col min="6" max="6" width="12.42578125" style="9" customWidth="1"/>
    <col min="7" max="8" width="11.5703125" style="9"/>
    <col min="9" max="9" width="14.7109375" style="9" bestFit="1" customWidth="1"/>
    <col min="10" max="16384" width="11.5703125" style="9"/>
  </cols>
  <sheetData>
    <row r="1" spans="1:13" x14ac:dyDescent="0.2">
      <c r="I1" t="s">
        <v>82</v>
      </c>
      <c r="J1" t="s">
        <v>83</v>
      </c>
      <c r="K1" t="s">
        <v>84</v>
      </c>
      <c r="L1" s="35" t="s">
        <v>85</v>
      </c>
      <c r="M1" s="35" t="s">
        <v>86</v>
      </c>
    </row>
    <row r="2" spans="1:13" ht="15" x14ac:dyDescent="0.25">
      <c r="A2" s="10" t="s">
        <v>45</v>
      </c>
      <c r="B2" s="11"/>
      <c r="C2" s="11"/>
      <c r="D2" s="11"/>
      <c r="E2" s="11"/>
      <c r="F2" s="11"/>
      <c r="H2" s="39" t="s">
        <v>87</v>
      </c>
      <c r="I2" s="36">
        <v>1000000</v>
      </c>
      <c r="J2" s="38">
        <f>L2-K2</f>
        <v>670.97907212709561</v>
      </c>
      <c r="K2" s="36">
        <f>I2*$F$12</f>
        <v>6666.666666666667</v>
      </c>
      <c r="L2" s="13">
        <f>$F$14</f>
        <v>7337.6457387937626</v>
      </c>
      <c r="M2" s="37">
        <f>I2-J2</f>
        <v>999329.02092787286</v>
      </c>
    </row>
    <row r="3" spans="1:13" ht="26.25" x14ac:dyDescent="0.25">
      <c r="A3" s="12"/>
      <c r="B3" s="11"/>
      <c r="C3" s="11" t="s">
        <v>53</v>
      </c>
      <c r="D3" s="11">
        <v>1400000</v>
      </c>
      <c r="E3" s="11"/>
      <c r="F3" s="11"/>
      <c r="I3" s="36">
        <f>M2</f>
        <v>999329.02092787286</v>
      </c>
      <c r="J3" s="38">
        <f t="shared" ref="J3:J13" si="0">L3-K3</f>
        <v>675.45226594127598</v>
      </c>
      <c r="K3" s="36">
        <f t="shared" ref="K3:K13" si="1">I3*$F$12</f>
        <v>6662.1934728524866</v>
      </c>
      <c r="L3" s="13">
        <f t="shared" ref="L3:L13" si="2">$F$14</f>
        <v>7337.6457387937626</v>
      </c>
      <c r="M3" s="37">
        <f t="shared" ref="M3:M13" si="3">I3-J3</f>
        <v>998653.56866193155</v>
      </c>
    </row>
    <row r="4" spans="1:13" ht="15" x14ac:dyDescent="0.25">
      <c r="A4" s="12"/>
      <c r="B4" s="11"/>
      <c r="C4" s="11"/>
      <c r="D4" s="11"/>
      <c r="E4" s="11"/>
      <c r="F4" s="11"/>
      <c r="I4" s="36">
        <f t="shared" ref="I4:I13" si="4">M3</f>
        <v>998653.56866193155</v>
      </c>
      <c r="J4" s="38">
        <f t="shared" si="0"/>
        <v>679.95528104755158</v>
      </c>
      <c r="K4" s="36">
        <f t="shared" si="1"/>
        <v>6657.690457746211</v>
      </c>
      <c r="L4" s="13">
        <f t="shared" si="2"/>
        <v>7337.6457387937626</v>
      </c>
      <c r="M4" s="37">
        <f t="shared" si="3"/>
        <v>997973.61338088405</v>
      </c>
    </row>
    <row r="5" spans="1:13" ht="15" x14ac:dyDescent="0.25">
      <c r="A5" s="12"/>
      <c r="B5" s="11"/>
      <c r="C5" s="11"/>
      <c r="D5" s="11"/>
      <c r="E5" s="11"/>
      <c r="F5" s="11"/>
      <c r="I5" s="36">
        <f t="shared" si="4"/>
        <v>997973.61338088405</v>
      </c>
      <c r="J5" s="38">
        <f t="shared" si="0"/>
        <v>684.48831625453477</v>
      </c>
      <c r="K5" s="36">
        <f t="shared" si="1"/>
        <v>6653.1574225392278</v>
      </c>
      <c r="L5" s="13">
        <f t="shared" si="2"/>
        <v>7337.6457387937626</v>
      </c>
      <c r="M5" s="37">
        <f t="shared" si="3"/>
        <v>997289.12506462948</v>
      </c>
    </row>
    <row r="6" spans="1:13" ht="15" x14ac:dyDescent="0.25">
      <c r="A6" s="12"/>
      <c r="B6" s="11"/>
      <c r="C6" s="11"/>
      <c r="D6" s="11"/>
      <c r="E6" s="11"/>
      <c r="F6" s="11"/>
      <c r="I6" s="36">
        <f t="shared" si="4"/>
        <v>997289.12506462948</v>
      </c>
      <c r="J6" s="38">
        <f t="shared" si="0"/>
        <v>689.05157169623271</v>
      </c>
      <c r="K6" s="36">
        <f t="shared" si="1"/>
        <v>6648.5941670975299</v>
      </c>
      <c r="L6" s="13">
        <f t="shared" si="2"/>
        <v>7337.6457387937626</v>
      </c>
      <c r="M6" s="37">
        <f t="shared" si="3"/>
        <v>996600.0734929333</v>
      </c>
    </row>
    <row r="7" spans="1:13" ht="15" x14ac:dyDescent="0.25">
      <c r="A7" s="12"/>
      <c r="B7" s="11"/>
      <c r="C7" s="11"/>
      <c r="D7" s="11"/>
      <c r="E7" s="11"/>
      <c r="F7" s="11"/>
      <c r="I7" s="36">
        <f t="shared" si="4"/>
        <v>996600.0734929333</v>
      </c>
      <c r="J7" s="38">
        <f t="shared" si="0"/>
        <v>693.64524884087314</v>
      </c>
      <c r="K7" s="36">
        <f t="shared" si="1"/>
        <v>6644.0004899528894</v>
      </c>
      <c r="L7" s="13">
        <f t="shared" si="2"/>
        <v>7337.6457387937626</v>
      </c>
      <c r="M7" s="37">
        <f t="shared" si="3"/>
        <v>995906.42824409239</v>
      </c>
    </row>
    <row r="8" spans="1:13" ht="15" x14ac:dyDescent="0.25">
      <c r="A8" s="12"/>
      <c r="B8" s="11"/>
      <c r="C8" s="11"/>
      <c r="D8" s="11"/>
      <c r="E8" s="11"/>
      <c r="F8" s="11"/>
      <c r="I8" s="36">
        <f t="shared" si="4"/>
        <v>995906.42824409239</v>
      </c>
      <c r="J8" s="38">
        <f t="shared" si="0"/>
        <v>698.26955049981279</v>
      </c>
      <c r="K8" s="36">
        <f t="shared" si="1"/>
        <v>6639.3761882939498</v>
      </c>
      <c r="L8" s="13">
        <f t="shared" si="2"/>
        <v>7337.6457387937626</v>
      </c>
      <c r="M8" s="37">
        <f t="shared" si="3"/>
        <v>995208.15869359253</v>
      </c>
    </row>
    <row r="9" spans="1:13" ht="15" x14ac:dyDescent="0.25">
      <c r="A9" s="12"/>
      <c r="B9" s="11"/>
      <c r="C9" s="11"/>
      <c r="D9" s="11"/>
      <c r="E9" s="11"/>
      <c r="F9" s="11"/>
      <c r="I9" s="36">
        <f t="shared" si="4"/>
        <v>995208.15869359253</v>
      </c>
      <c r="J9" s="38">
        <f t="shared" si="0"/>
        <v>702.92468083647873</v>
      </c>
      <c r="K9" s="36">
        <f t="shared" si="1"/>
        <v>6634.7210579572838</v>
      </c>
      <c r="L9" s="13">
        <f t="shared" si="2"/>
        <v>7337.6457387937626</v>
      </c>
      <c r="M9" s="37">
        <f t="shared" si="3"/>
        <v>994505.23401275603</v>
      </c>
    </row>
    <row r="10" spans="1:13" ht="15" x14ac:dyDescent="0.25">
      <c r="A10" s="12"/>
      <c r="B10" s="11"/>
      <c r="C10" s="11"/>
      <c r="D10" s="11"/>
      <c r="E10" s="11"/>
      <c r="F10" s="11"/>
      <c r="I10" s="36">
        <f t="shared" si="4"/>
        <v>994505.23401275603</v>
      </c>
      <c r="J10" s="38">
        <f t="shared" si="0"/>
        <v>707.61084537538864</v>
      </c>
      <c r="K10" s="36">
        <f t="shared" si="1"/>
        <v>6630.0348934183739</v>
      </c>
      <c r="L10" s="13">
        <f t="shared" si="2"/>
        <v>7337.6457387937626</v>
      </c>
      <c r="M10" s="37">
        <f t="shared" si="3"/>
        <v>993797.62316738069</v>
      </c>
    </row>
    <row r="11" spans="1:13" ht="15" x14ac:dyDescent="0.25">
      <c r="A11" s="12"/>
      <c r="B11" s="11"/>
      <c r="C11" s="11" t="s">
        <v>54</v>
      </c>
      <c r="D11" s="11">
        <v>1000000</v>
      </c>
      <c r="E11" s="11"/>
      <c r="F11" s="11"/>
      <c r="I11" s="36">
        <f t="shared" si="4"/>
        <v>993797.62316738069</v>
      </c>
      <c r="J11" s="38">
        <f t="shared" si="0"/>
        <v>712.32825101122398</v>
      </c>
      <c r="K11" s="36">
        <f t="shared" si="1"/>
        <v>6625.3174877825386</v>
      </c>
      <c r="L11" s="13">
        <f t="shared" si="2"/>
        <v>7337.6457387937626</v>
      </c>
      <c r="M11" s="37">
        <f t="shared" si="3"/>
        <v>993085.29491636949</v>
      </c>
    </row>
    <row r="12" spans="1:13" ht="15" x14ac:dyDescent="0.25">
      <c r="A12" s="12"/>
      <c r="B12" s="11"/>
      <c r="C12" s="11" t="s">
        <v>55</v>
      </c>
      <c r="D12" s="19">
        <v>0.08</v>
      </c>
      <c r="E12" s="11" t="s">
        <v>79</v>
      </c>
      <c r="F12" s="33">
        <f>+D12/12</f>
        <v>6.6666666666666671E-3</v>
      </c>
      <c r="I12" s="36">
        <f t="shared" si="4"/>
        <v>993085.29491636949</v>
      </c>
      <c r="J12" s="38">
        <f t="shared" si="0"/>
        <v>717.07710601796589</v>
      </c>
      <c r="K12" s="36">
        <f t="shared" si="1"/>
        <v>6620.5686327757967</v>
      </c>
      <c r="L12" s="13">
        <f t="shared" si="2"/>
        <v>7337.6457387937626</v>
      </c>
      <c r="M12" s="37">
        <f t="shared" si="3"/>
        <v>992368.21781035152</v>
      </c>
    </row>
    <row r="13" spans="1:13" ht="15" x14ac:dyDescent="0.25">
      <c r="A13" s="12"/>
      <c r="B13" s="11"/>
      <c r="C13" s="11" t="s">
        <v>56</v>
      </c>
      <c r="D13" s="24">
        <v>30</v>
      </c>
      <c r="E13" s="11" t="s">
        <v>80</v>
      </c>
      <c r="F13" s="34">
        <f>+D13*12</f>
        <v>360</v>
      </c>
      <c r="H13" s="9" t="s">
        <v>88</v>
      </c>
      <c r="I13" s="36">
        <f t="shared" si="4"/>
        <v>992368.21781035152</v>
      </c>
      <c r="J13" s="38">
        <f t="shared" si="0"/>
        <v>721.85762005808556</v>
      </c>
      <c r="K13" s="36">
        <f t="shared" si="1"/>
        <v>6615.788118735677</v>
      </c>
      <c r="L13" s="13">
        <f t="shared" si="2"/>
        <v>7337.6457387937626</v>
      </c>
      <c r="M13" s="40">
        <f t="shared" si="3"/>
        <v>991646.3601902934</v>
      </c>
    </row>
    <row r="14" spans="1:13" x14ac:dyDescent="0.2">
      <c r="A14" s="15" t="s">
        <v>46</v>
      </c>
      <c r="B14" s="15"/>
      <c r="C14" s="14"/>
      <c r="D14" s="25"/>
      <c r="E14" s="11" t="s">
        <v>81</v>
      </c>
      <c r="F14" s="11">
        <f>-PMT(F12,F13,D11,0)</f>
        <v>7337.6457387937626</v>
      </c>
      <c r="H14" s="9" t="s">
        <v>89</v>
      </c>
      <c r="K14" s="41">
        <f>SUM(K2:K13)</f>
        <v>79698.109055818641</v>
      </c>
    </row>
    <row r="15" spans="1:13" x14ac:dyDescent="0.2">
      <c r="A15" s="12"/>
      <c r="B15" s="12"/>
      <c r="C15" s="11"/>
      <c r="D15" s="26"/>
      <c r="E15" s="11"/>
      <c r="F15" s="11"/>
    </row>
    <row r="16" spans="1:13" x14ac:dyDescent="0.2">
      <c r="A16" s="12" t="s">
        <v>47</v>
      </c>
      <c r="B16" s="11"/>
      <c r="C16" s="11"/>
      <c r="D16" s="11"/>
      <c r="E16" s="11"/>
      <c r="F16" s="11"/>
    </row>
    <row r="17" spans="1:13" ht="15" x14ac:dyDescent="0.25">
      <c r="A17" s="12"/>
      <c r="B17" s="11"/>
      <c r="C17" s="11"/>
      <c r="D17" s="11"/>
      <c r="E17" s="11"/>
      <c r="F17" s="11"/>
      <c r="H17" s="39" t="s">
        <v>90</v>
      </c>
      <c r="I17" s="36">
        <f>M13</f>
        <v>991646.3601902934</v>
      </c>
      <c r="J17" s="38">
        <f>L17-K17</f>
        <v>726.67000419180658</v>
      </c>
      <c r="K17" s="36">
        <f>I17*$F$12</f>
        <v>6610.975734601956</v>
      </c>
      <c r="L17" s="13">
        <f>$F$14</f>
        <v>7337.6457387937626</v>
      </c>
      <c r="M17" s="37">
        <f>I17-J17</f>
        <v>990919.69018610159</v>
      </c>
    </row>
    <row r="18" spans="1:13" ht="15" x14ac:dyDescent="0.25">
      <c r="A18" s="12"/>
      <c r="B18" s="11"/>
      <c r="C18" s="11"/>
      <c r="D18" s="11"/>
      <c r="E18" s="11"/>
      <c r="F18" s="11"/>
      <c r="I18" s="36">
        <f>M17</f>
        <v>990919.69018610159</v>
      </c>
      <c r="J18" s="38">
        <f t="shared" ref="J18:J28" si="5">L18-K18</f>
        <v>731.51447088641817</v>
      </c>
      <c r="K18" s="36">
        <f t="shared" ref="K18:K28" si="6">I18*$F$12</f>
        <v>6606.1312679073444</v>
      </c>
      <c r="L18" s="13">
        <f t="shared" ref="L18:L28" si="7">$F$14</f>
        <v>7337.6457387937626</v>
      </c>
      <c r="M18" s="37">
        <f t="shared" ref="M18:M28" si="8">I18-J18</f>
        <v>990188.17571521515</v>
      </c>
    </row>
    <row r="19" spans="1:13" ht="15" x14ac:dyDescent="0.25">
      <c r="A19" s="12"/>
      <c r="B19" s="11"/>
      <c r="C19" s="11"/>
      <c r="D19" s="11"/>
      <c r="E19" s="11"/>
      <c r="F19" s="11"/>
      <c r="I19" s="36">
        <f t="shared" ref="I19:I28" si="9">M18</f>
        <v>990188.17571521515</v>
      </c>
      <c r="J19" s="38">
        <f t="shared" si="5"/>
        <v>736.39123402566111</v>
      </c>
      <c r="K19" s="36">
        <f t="shared" si="6"/>
        <v>6601.2545047681015</v>
      </c>
      <c r="L19" s="13">
        <f t="shared" si="7"/>
        <v>7337.6457387937626</v>
      </c>
      <c r="M19" s="37">
        <f t="shared" si="8"/>
        <v>989451.78448118945</v>
      </c>
    </row>
    <row r="20" spans="1:13" ht="15" x14ac:dyDescent="0.25">
      <c r="A20" s="12"/>
      <c r="B20" s="11"/>
      <c r="C20" s="11"/>
      <c r="D20" s="11"/>
      <c r="E20" s="11"/>
      <c r="F20" s="11"/>
      <c r="I20" s="36">
        <f t="shared" si="9"/>
        <v>989451.78448118945</v>
      </c>
      <c r="J20" s="38">
        <f t="shared" si="5"/>
        <v>741.30050891916562</v>
      </c>
      <c r="K20" s="36">
        <f t="shared" si="6"/>
        <v>6596.345229874597</v>
      </c>
      <c r="L20" s="13">
        <f t="shared" si="7"/>
        <v>7337.6457387937626</v>
      </c>
      <c r="M20" s="37">
        <f t="shared" si="8"/>
        <v>988710.48397227027</v>
      </c>
    </row>
    <row r="21" spans="1:13" ht="15" x14ac:dyDescent="0.25">
      <c r="A21" s="12"/>
      <c r="B21" s="11"/>
      <c r="C21" s="11"/>
      <c r="D21" s="11"/>
      <c r="E21" s="11"/>
      <c r="F21" s="11"/>
      <c r="I21" s="36">
        <f t="shared" si="9"/>
        <v>988710.48397227027</v>
      </c>
      <c r="J21" s="38">
        <f t="shared" si="5"/>
        <v>746.24251231196013</v>
      </c>
      <c r="K21" s="36">
        <f t="shared" si="6"/>
        <v>6591.4032264818024</v>
      </c>
      <c r="L21" s="13">
        <f t="shared" si="7"/>
        <v>7337.6457387937626</v>
      </c>
      <c r="M21" s="37">
        <f t="shared" si="8"/>
        <v>987964.24145995837</v>
      </c>
    </row>
    <row r="22" spans="1:13" ht="15" x14ac:dyDescent="0.25">
      <c r="A22" s="12"/>
      <c r="B22" s="11"/>
      <c r="C22" s="11"/>
      <c r="D22" s="11"/>
      <c r="E22" s="11"/>
      <c r="F22" s="11"/>
      <c r="I22" s="36">
        <f t="shared" si="9"/>
        <v>987964.24145995837</v>
      </c>
      <c r="J22" s="38">
        <f t="shared" si="5"/>
        <v>751.21746239404001</v>
      </c>
      <c r="K22" s="36">
        <f t="shared" si="6"/>
        <v>6586.4282763997226</v>
      </c>
      <c r="L22" s="13">
        <f t="shared" si="7"/>
        <v>7337.6457387937626</v>
      </c>
      <c r="M22" s="37">
        <f t="shared" si="8"/>
        <v>987213.02399756433</v>
      </c>
    </row>
    <row r="23" spans="1:13" ht="15" x14ac:dyDescent="0.25">
      <c r="A23" s="12"/>
      <c r="B23" s="11"/>
      <c r="C23" s="11"/>
      <c r="D23" s="11"/>
      <c r="E23" s="11"/>
      <c r="F23" s="11"/>
      <c r="I23" s="36">
        <f t="shared" si="9"/>
        <v>987213.02399756433</v>
      </c>
      <c r="J23" s="38">
        <f t="shared" si="5"/>
        <v>756.22557881000012</v>
      </c>
      <c r="K23" s="36">
        <f t="shared" si="6"/>
        <v>6581.4201599837625</v>
      </c>
      <c r="L23" s="13">
        <f t="shared" si="7"/>
        <v>7337.6457387937626</v>
      </c>
      <c r="M23" s="37">
        <f t="shared" si="8"/>
        <v>986456.79841875436</v>
      </c>
    </row>
    <row r="24" spans="1:13" ht="15" x14ac:dyDescent="0.25">
      <c r="A24" s="12"/>
      <c r="B24" s="11"/>
      <c r="C24" s="11"/>
      <c r="D24" s="11"/>
      <c r="E24" s="11"/>
      <c r="F24" s="11"/>
      <c r="I24" s="36">
        <f t="shared" si="9"/>
        <v>986456.79841875436</v>
      </c>
      <c r="J24" s="38">
        <f t="shared" si="5"/>
        <v>761.26708266873266</v>
      </c>
      <c r="K24" s="36">
        <f t="shared" si="6"/>
        <v>6576.3786561250299</v>
      </c>
      <c r="L24" s="13">
        <f t="shared" si="7"/>
        <v>7337.6457387937626</v>
      </c>
      <c r="M24" s="37">
        <f t="shared" si="8"/>
        <v>985695.53133608564</v>
      </c>
    </row>
    <row r="25" spans="1:13" ht="15" x14ac:dyDescent="0.25">
      <c r="A25" s="12"/>
      <c r="B25" s="11"/>
      <c r="C25" s="11"/>
      <c r="D25" s="11"/>
      <c r="E25" s="11"/>
      <c r="F25" s="11"/>
      <c r="I25" s="36">
        <f t="shared" si="9"/>
        <v>985695.53133608564</v>
      </c>
      <c r="J25" s="38">
        <f t="shared" si="5"/>
        <v>766.34219655319157</v>
      </c>
      <c r="K25" s="36">
        <f t="shared" si="6"/>
        <v>6571.303542240571</v>
      </c>
      <c r="L25" s="13">
        <f t="shared" si="7"/>
        <v>7337.6457387937626</v>
      </c>
      <c r="M25" s="37">
        <f t="shared" si="8"/>
        <v>984929.18913953239</v>
      </c>
    </row>
    <row r="26" spans="1:13" ht="15" x14ac:dyDescent="0.25">
      <c r="A26" s="12"/>
      <c r="B26" s="11"/>
      <c r="C26" s="11"/>
      <c r="D26" s="11"/>
      <c r="E26" s="11"/>
      <c r="F26" s="11"/>
      <c r="I26" s="36">
        <f t="shared" si="9"/>
        <v>984929.18913953239</v>
      </c>
      <c r="J26" s="38">
        <f t="shared" si="5"/>
        <v>771.45114453021324</v>
      </c>
      <c r="K26" s="36">
        <f t="shared" si="6"/>
        <v>6566.1945942635493</v>
      </c>
      <c r="L26" s="13">
        <f t="shared" si="7"/>
        <v>7337.6457387937626</v>
      </c>
      <c r="M26" s="37">
        <f t="shared" si="8"/>
        <v>984157.73799500219</v>
      </c>
    </row>
    <row r="27" spans="1:13" ht="15" x14ac:dyDescent="0.25">
      <c r="A27" s="12"/>
      <c r="B27" s="11"/>
      <c r="C27" s="11"/>
      <c r="D27" s="11"/>
      <c r="E27" s="11"/>
      <c r="F27" s="14"/>
      <c r="I27" s="36">
        <f t="shared" si="9"/>
        <v>984157.73799500219</v>
      </c>
      <c r="J27" s="38">
        <f t="shared" si="5"/>
        <v>776.59415216041452</v>
      </c>
      <c r="K27" s="36">
        <f t="shared" si="6"/>
        <v>6561.0515866333481</v>
      </c>
      <c r="L27" s="13">
        <f t="shared" si="7"/>
        <v>7337.6457387937626</v>
      </c>
      <c r="M27" s="37">
        <f t="shared" si="8"/>
        <v>983381.14384284173</v>
      </c>
    </row>
    <row r="28" spans="1:13" ht="15" x14ac:dyDescent="0.25">
      <c r="A28" s="15" t="s">
        <v>46</v>
      </c>
      <c r="B28" s="15"/>
      <c r="C28" s="14"/>
      <c r="D28" s="14"/>
      <c r="E28" s="11"/>
      <c r="F28" s="11"/>
      <c r="H28" s="9" t="s">
        <v>91</v>
      </c>
      <c r="I28" s="36">
        <f t="shared" si="9"/>
        <v>983381.14384284173</v>
      </c>
      <c r="J28" s="38">
        <f t="shared" si="5"/>
        <v>781.7714465081508</v>
      </c>
      <c r="K28" s="36">
        <f t="shared" si="6"/>
        <v>6555.8742922856118</v>
      </c>
      <c r="L28" s="13">
        <f t="shared" si="7"/>
        <v>7337.6457387937626</v>
      </c>
      <c r="M28" s="40">
        <f t="shared" si="8"/>
        <v>982599.37239633361</v>
      </c>
    </row>
    <row r="29" spans="1:13" x14ac:dyDescent="0.2">
      <c r="A29" s="12"/>
      <c r="B29" s="12"/>
      <c r="C29" s="11"/>
      <c r="D29" s="11"/>
      <c r="E29" s="11"/>
      <c r="F29" s="11"/>
      <c r="H29" s="9" t="s">
        <v>89</v>
      </c>
      <c r="K29" s="41">
        <f>SUM(K17:K28)</f>
        <v>79004.761071565401</v>
      </c>
    </row>
    <row r="30" spans="1:13" x14ac:dyDescent="0.2">
      <c r="A30" s="12" t="s">
        <v>48</v>
      </c>
      <c r="B30" s="11"/>
      <c r="C30" s="11"/>
      <c r="D30" s="11"/>
      <c r="E30" s="11"/>
      <c r="F30" s="11"/>
    </row>
    <row r="31" spans="1:13" x14ac:dyDescent="0.2">
      <c r="A31" s="12"/>
      <c r="B31" s="11"/>
      <c r="C31" s="11"/>
      <c r="D31" s="11"/>
      <c r="E31" s="11"/>
      <c r="F31" s="11"/>
    </row>
    <row r="32" spans="1:13" ht="15" x14ac:dyDescent="0.25">
      <c r="A32" s="12"/>
      <c r="B32" s="11"/>
      <c r="C32" s="11"/>
      <c r="D32" s="11"/>
      <c r="E32" s="11"/>
      <c r="F32" s="11"/>
      <c r="H32" s="39" t="s">
        <v>92</v>
      </c>
      <c r="I32" s="36">
        <f>M28</f>
        <v>982599.37239633361</v>
      </c>
      <c r="J32" s="38">
        <f>L32-K32</f>
        <v>786.98325615153772</v>
      </c>
      <c r="K32" s="36">
        <f>I32*$F$12</f>
        <v>6550.6624826422249</v>
      </c>
      <c r="L32" s="13">
        <f>$F$14</f>
        <v>7337.6457387937626</v>
      </c>
      <c r="M32" s="37">
        <f>I32-J32</f>
        <v>981812.38914018206</v>
      </c>
    </row>
    <row r="33" spans="1:13" ht="15" x14ac:dyDescent="0.25">
      <c r="A33" s="12"/>
      <c r="B33" s="11"/>
      <c r="C33" s="11"/>
      <c r="D33" s="11"/>
      <c r="E33" s="11"/>
      <c r="F33" s="11"/>
      <c r="I33" s="36">
        <f>M32</f>
        <v>981812.38914018206</v>
      </c>
      <c r="J33" s="38">
        <f t="shared" ref="J33:J43" si="10">L33-K33</f>
        <v>792.22981119254837</v>
      </c>
      <c r="K33" s="36">
        <f t="shared" ref="K33:K43" si="11">I33*$F$12</f>
        <v>6545.4159276012142</v>
      </c>
      <c r="L33" s="13">
        <f t="shared" ref="L33:L43" si="12">$F$14</f>
        <v>7337.6457387937626</v>
      </c>
      <c r="M33" s="37">
        <f t="shared" ref="M33:M43" si="13">I33-J33</f>
        <v>981020.15932898945</v>
      </c>
    </row>
    <row r="34" spans="1:13" ht="15" x14ac:dyDescent="0.25">
      <c r="A34" s="12"/>
      <c r="B34" s="11"/>
      <c r="C34" s="11"/>
      <c r="D34" s="11"/>
      <c r="E34" s="11"/>
      <c r="F34" s="11"/>
      <c r="I34" s="36">
        <f t="shared" ref="I34:I43" si="14">M33</f>
        <v>981020.15932898945</v>
      </c>
      <c r="J34" s="38">
        <f t="shared" si="10"/>
        <v>797.51134326716601</v>
      </c>
      <c r="K34" s="36">
        <f t="shared" si="11"/>
        <v>6540.1343955265966</v>
      </c>
      <c r="L34" s="13">
        <f t="shared" si="12"/>
        <v>7337.6457387937626</v>
      </c>
      <c r="M34" s="37">
        <f t="shared" si="13"/>
        <v>980222.64798572229</v>
      </c>
    </row>
    <row r="35" spans="1:13" ht="15" x14ac:dyDescent="0.25">
      <c r="A35" s="12"/>
      <c r="B35" s="11"/>
      <c r="C35" s="11"/>
      <c r="D35" s="11"/>
      <c r="E35" s="11"/>
      <c r="F35" s="11"/>
      <c r="I35" s="36">
        <f t="shared" si="14"/>
        <v>980222.64798572229</v>
      </c>
      <c r="J35" s="38">
        <f t="shared" si="10"/>
        <v>802.82808555561314</v>
      </c>
      <c r="K35" s="36">
        <f t="shared" si="11"/>
        <v>6534.8176532381494</v>
      </c>
      <c r="L35" s="13">
        <f t="shared" si="12"/>
        <v>7337.6457387937626</v>
      </c>
      <c r="M35" s="37">
        <f t="shared" si="13"/>
        <v>979419.81990016671</v>
      </c>
    </row>
    <row r="36" spans="1:13" ht="15" x14ac:dyDescent="0.25">
      <c r="A36" s="12"/>
      <c r="B36" s="11"/>
      <c r="C36" s="11"/>
      <c r="D36" s="11"/>
      <c r="E36" s="11"/>
      <c r="F36" s="11"/>
      <c r="I36" s="36">
        <f t="shared" si="14"/>
        <v>979419.81990016671</v>
      </c>
      <c r="J36" s="38">
        <f t="shared" si="10"/>
        <v>808.18027279265061</v>
      </c>
      <c r="K36" s="36">
        <f t="shared" si="11"/>
        <v>6529.465466001112</v>
      </c>
      <c r="L36" s="13">
        <f t="shared" si="12"/>
        <v>7337.6457387937626</v>
      </c>
      <c r="M36" s="37">
        <f t="shared" si="13"/>
        <v>978611.63962737401</v>
      </c>
    </row>
    <row r="37" spans="1:13" ht="15" x14ac:dyDescent="0.25">
      <c r="A37" s="12"/>
      <c r="B37" s="11"/>
      <c r="C37" s="11"/>
      <c r="D37" s="11"/>
      <c r="E37" s="11"/>
      <c r="F37" s="11"/>
      <c r="I37" s="36">
        <f t="shared" si="14"/>
        <v>978611.63962737401</v>
      </c>
      <c r="J37" s="38">
        <f t="shared" si="10"/>
        <v>813.56814127793587</v>
      </c>
      <c r="K37" s="36">
        <f t="shared" si="11"/>
        <v>6524.0775975158267</v>
      </c>
      <c r="L37" s="13">
        <f t="shared" si="12"/>
        <v>7337.6457387937626</v>
      </c>
      <c r="M37" s="37">
        <f t="shared" si="13"/>
        <v>977798.07148609613</v>
      </c>
    </row>
    <row r="38" spans="1:13" ht="15" x14ac:dyDescent="0.25">
      <c r="A38" s="12"/>
      <c r="B38" s="11"/>
      <c r="C38" s="11"/>
      <c r="D38" s="11"/>
      <c r="E38" s="11"/>
      <c r="F38" s="11"/>
      <c r="I38" s="36">
        <f t="shared" si="14"/>
        <v>977798.07148609613</v>
      </c>
      <c r="J38" s="38">
        <f t="shared" si="10"/>
        <v>818.99192888645484</v>
      </c>
      <c r="K38" s="36">
        <f t="shared" si="11"/>
        <v>6518.6538099073077</v>
      </c>
      <c r="L38" s="13">
        <f t="shared" si="12"/>
        <v>7337.6457387937626</v>
      </c>
      <c r="M38" s="37">
        <f t="shared" si="13"/>
        <v>976979.07955720962</v>
      </c>
    </row>
    <row r="39" spans="1:13" ht="15" x14ac:dyDescent="0.25">
      <c r="A39" s="12"/>
      <c r="B39" s="11"/>
      <c r="C39" s="11"/>
      <c r="D39" s="11"/>
      <c r="E39" s="11"/>
      <c r="F39" s="11"/>
      <c r="I39" s="36">
        <f t="shared" si="14"/>
        <v>976979.07955720962</v>
      </c>
      <c r="J39" s="38">
        <f t="shared" si="10"/>
        <v>824.4518750790312</v>
      </c>
      <c r="K39" s="36">
        <f t="shared" si="11"/>
        <v>6513.1938637147314</v>
      </c>
      <c r="L39" s="13">
        <f t="shared" si="12"/>
        <v>7337.6457387937626</v>
      </c>
      <c r="M39" s="37">
        <f t="shared" si="13"/>
        <v>976154.62768213055</v>
      </c>
    </row>
    <row r="40" spans="1:13" ht="15" x14ac:dyDescent="0.25">
      <c r="A40" s="12"/>
      <c r="B40" s="11"/>
      <c r="C40" s="11"/>
      <c r="D40" s="11"/>
      <c r="E40" s="11"/>
      <c r="F40" s="11"/>
      <c r="I40" s="36">
        <f t="shared" si="14"/>
        <v>976154.62768213055</v>
      </c>
      <c r="J40" s="38">
        <f t="shared" si="10"/>
        <v>829.94822091289188</v>
      </c>
      <c r="K40" s="36">
        <f t="shared" si="11"/>
        <v>6507.6975178808707</v>
      </c>
      <c r="L40" s="13">
        <f t="shared" si="12"/>
        <v>7337.6457387937626</v>
      </c>
      <c r="M40" s="37">
        <f t="shared" si="13"/>
        <v>975324.6794612176</v>
      </c>
    </row>
    <row r="41" spans="1:13" ht="15" x14ac:dyDescent="0.25">
      <c r="A41" s="12"/>
      <c r="B41" s="11"/>
      <c r="C41" s="11"/>
      <c r="D41" s="11"/>
      <c r="E41" s="11"/>
      <c r="F41" s="14"/>
      <c r="I41" s="36">
        <f t="shared" si="14"/>
        <v>975324.6794612176</v>
      </c>
      <c r="J41" s="38">
        <f t="shared" si="10"/>
        <v>835.4812090523119</v>
      </c>
      <c r="K41" s="36">
        <f t="shared" si="11"/>
        <v>6502.1645297414507</v>
      </c>
      <c r="L41" s="13">
        <f t="shared" si="12"/>
        <v>7337.6457387937626</v>
      </c>
      <c r="M41" s="37">
        <f t="shared" si="13"/>
        <v>974489.19825216534</v>
      </c>
    </row>
    <row r="42" spans="1:13" ht="15" x14ac:dyDescent="0.25">
      <c r="A42" s="15" t="s">
        <v>46</v>
      </c>
      <c r="B42" s="15"/>
      <c r="C42" s="14"/>
      <c r="D42" s="14"/>
      <c r="E42" s="11"/>
      <c r="F42" s="11"/>
      <c r="I42" s="36">
        <f t="shared" si="14"/>
        <v>974489.19825216534</v>
      </c>
      <c r="J42" s="38">
        <f t="shared" si="10"/>
        <v>841.05108377932629</v>
      </c>
      <c r="K42" s="36">
        <f t="shared" si="11"/>
        <v>6496.5946550144363</v>
      </c>
      <c r="L42" s="13">
        <f t="shared" si="12"/>
        <v>7337.6457387937626</v>
      </c>
      <c r="M42" s="37">
        <f t="shared" si="13"/>
        <v>973648.14716838603</v>
      </c>
    </row>
    <row r="43" spans="1:13" ht="15" x14ac:dyDescent="0.25">
      <c r="A43" s="12"/>
      <c r="B43" s="12"/>
      <c r="C43" s="11"/>
      <c r="D43" s="11"/>
      <c r="E43" s="11"/>
      <c r="F43" s="11"/>
      <c r="H43" s="9" t="s">
        <v>93</v>
      </c>
      <c r="I43" s="36">
        <f t="shared" si="14"/>
        <v>973648.14716838603</v>
      </c>
      <c r="J43" s="38">
        <f t="shared" si="10"/>
        <v>846.65809100452225</v>
      </c>
      <c r="K43" s="36">
        <f t="shared" si="11"/>
        <v>6490.9876477892403</v>
      </c>
      <c r="L43" s="13">
        <f t="shared" si="12"/>
        <v>7337.6457387937626</v>
      </c>
      <c r="M43" s="40">
        <f t="shared" si="13"/>
        <v>972801.48907738156</v>
      </c>
    </row>
    <row r="44" spans="1:13" x14ac:dyDescent="0.2">
      <c r="A44" s="12" t="s">
        <v>49</v>
      </c>
      <c r="B44" s="11"/>
      <c r="C44" s="11"/>
      <c r="D44" s="11"/>
      <c r="E44" s="11"/>
      <c r="F44" s="11"/>
      <c r="H44" s="9" t="s">
        <v>89</v>
      </c>
      <c r="K44" s="41">
        <f>SUM(K32:K43)</f>
        <v>78253.865546573157</v>
      </c>
    </row>
    <row r="45" spans="1:13" x14ac:dyDescent="0.2">
      <c r="A45" s="12"/>
      <c r="B45" s="11"/>
      <c r="C45" s="11"/>
      <c r="D45" s="11"/>
      <c r="E45" s="11"/>
      <c r="F45" s="11"/>
    </row>
    <row r="46" spans="1:13" x14ac:dyDescent="0.2">
      <c r="A46" s="12"/>
      <c r="B46" s="11"/>
      <c r="C46" s="11"/>
      <c r="D46" s="11"/>
      <c r="E46" s="11"/>
      <c r="F46" s="11"/>
    </row>
    <row r="47" spans="1:13" ht="15" x14ac:dyDescent="0.25">
      <c r="A47" s="12"/>
      <c r="B47" s="11"/>
      <c r="C47" s="11"/>
      <c r="D47" s="11"/>
      <c r="E47" s="11"/>
      <c r="F47" s="11"/>
      <c r="H47" s="39" t="s">
        <v>94</v>
      </c>
      <c r="I47" s="36">
        <f>M43</f>
        <v>972801.48907738156</v>
      </c>
      <c r="J47" s="38">
        <f>L47-K47</f>
        <v>852.3024782778848</v>
      </c>
      <c r="K47" s="36">
        <f>I47*$F$12</f>
        <v>6485.3432605158778</v>
      </c>
      <c r="L47" s="13">
        <f>$F$14</f>
        <v>7337.6457387937626</v>
      </c>
      <c r="M47" s="37">
        <f>I47-J47</f>
        <v>971949.18659910362</v>
      </c>
    </row>
    <row r="48" spans="1:13" ht="15" x14ac:dyDescent="0.25">
      <c r="A48" s="12"/>
      <c r="B48" s="11"/>
      <c r="C48" s="11"/>
      <c r="D48" s="11"/>
      <c r="E48" s="11"/>
      <c r="F48" s="11"/>
      <c r="I48" s="36">
        <f>M47</f>
        <v>971949.18659910362</v>
      </c>
      <c r="J48" s="38">
        <f t="shared" ref="J48:J58" si="15">L48-K48</f>
        <v>857.98449479973806</v>
      </c>
      <c r="K48" s="36">
        <f t="shared" ref="K48:K58" si="16">I48*$F$12</f>
        <v>6479.6612439940245</v>
      </c>
      <c r="L48" s="13">
        <f t="shared" ref="L48:L58" si="17">$F$14</f>
        <v>7337.6457387937626</v>
      </c>
      <c r="M48" s="37">
        <f t="shared" ref="M48:M58" si="18">I48-J48</f>
        <v>971091.20210430387</v>
      </c>
    </row>
    <row r="49" spans="1:13" ht="15" x14ac:dyDescent="0.25">
      <c r="A49" s="12"/>
      <c r="B49" s="11"/>
      <c r="C49" s="11"/>
      <c r="D49" s="11"/>
      <c r="E49" s="11"/>
      <c r="F49" s="11"/>
      <c r="I49" s="36">
        <f t="shared" ref="I49:I58" si="19">M48</f>
        <v>971091.20210430387</v>
      </c>
      <c r="J49" s="38">
        <f t="shared" si="15"/>
        <v>863.70439143173644</v>
      </c>
      <c r="K49" s="36">
        <f t="shared" si="16"/>
        <v>6473.9413473620261</v>
      </c>
      <c r="L49" s="13">
        <f t="shared" si="17"/>
        <v>7337.6457387937626</v>
      </c>
      <c r="M49" s="37">
        <f t="shared" si="18"/>
        <v>970227.49771287211</v>
      </c>
    </row>
    <row r="50" spans="1:13" ht="15" x14ac:dyDescent="0.25">
      <c r="A50" s="12"/>
      <c r="B50" s="11"/>
      <c r="C50" s="11"/>
      <c r="D50" s="11"/>
      <c r="E50" s="11"/>
      <c r="F50" s="11"/>
      <c r="I50" s="36">
        <f t="shared" si="19"/>
        <v>970227.49771287211</v>
      </c>
      <c r="J50" s="38">
        <f t="shared" si="15"/>
        <v>869.46242070794779</v>
      </c>
      <c r="K50" s="36">
        <f t="shared" si="16"/>
        <v>6468.1833180858148</v>
      </c>
      <c r="L50" s="13">
        <f t="shared" si="17"/>
        <v>7337.6457387937626</v>
      </c>
      <c r="M50" s="37">
        <f t="shared" si="18"/>
        <v>969358.03529216419</v>
      </c>
    </row>
    <row r="51" spans="1:13" ht="15" x14ac:dyDescent="0.25">
      <c r="A51" s="12"/>
      <c r="B51" s="11"/>
      <c r="C51" s="11"/>
      <c r="D51" s="11"/>
      <c r="E51" s="11"/>
      <c r="F51" s="11"/>
      <c r="I51" s="36">
        <f t="shared" si="19"/>
        <v>969358.03529216419</v>
      </c>
      <c r="J51" s="38">
        <f t="shared" si="15"/>
        <v>875.25883684600103</v>
      </c>
      <c r="K51" s="36">
        <f t="shared" si="16"/>
        <v>6462.3869019477615</v>
      </c>
      <c r="L51" s="13">
        <f t="shared" si="17"/>
        <v>7337.6457387937626</v>
      </c>
      <c r="M51" s="37">
        <f t="shared" si="18"/>
        <v>968482.77645531821</v>
      </c>
    </row>
    <row r="52" spans="1:13" ht="15" x14ac:dyDescent="0.25">
      <c r="A52" s="12"/>
      <c r="B52" s="11"/>
      <c r="C52" s="11"/>
      <c r="D52" s="11"/>
      <c r="E52" s="11"/>
      <c r="F52" s="11"/>
      <c r="I52" s="36">
        <f t="shared" si="19"/>
        <v>968482.77645531821</v>
      </c>
      <c r="J52" s="38">
        <f t="shared" si="15"/>
        <v>881.09389575830755</v>
      </c>
      <c r="K52" s="36">
        <f t="shared" si="16"/>
        <v>6456.551843035455</v>
      </c>
      <c r="L52" s="13">
        <f t="shared" si="17"/>
        <v>7337.6457387937626</v>
      </c>
      <c r="M52" s="37">
        <f t="shared" si="18"/>
        <v>967601.68255955994</v>
      </c>
    </row>
    <row r="53" spans="1:13" ht="15" x14ac:dyDescent="0.25">
      <c r="A53" s="12"/>
      <c r="B53" s="11"/>
      <c r="C53" s="11"/>
      <c r="D53" s="11"/>
      <c r="E53" s="11"/>
      <c r="F53" s="11"/>
      <c r="I53" s="36">
        <f t="shared" si="19"/>
        <v>967601.68255955994</v>
      </c>
      <c r="J53" s="38">
        <f t="shared" si="15"/>
        <v>886.96785506336255</v>
      </c>
      <c r="K53" s="36">
        <f t="shared" si="16"/>
        <v>6450.6778837304</v>
      </c>
      <c r="L53" s="13">
        <f t="shared" si="17"/>
        <v>7337.6457387937626</v>
      </c>
      <c r="M53" s="37">
        <f t="shared" si="18"/>
        <v>966714.71470449655</v>
      </c>
    </row>
    <row r="54" spans="1:13" ht="15" x14ac:dyDescent="0.25">
      <c r="A54" s="12"/>
      <c r="B54" s="11"/>
      <c r="C54" s="11"/>
      <c r="D54" s="11"/>
      <c r="E54" s="11"/>
      <c r="F54" s="11"/>
      <c r="I54" s="36">
        <f t="shared" si="19"/>
        <v>966714.71470449655</v>
      </c>
      <c r="J54" s="38">
        <f t="shared" si="15"/>
        <v>892.88097409711827</v>
      </c>
      <c r="K54" s="36">
        <f t="shared" si="16"/>
        <v>6444.7647646966443</v>
      </c>
      <c r="L54" s="13">
        <f t="shared" si="17"/>
        <v>7337.6457387937626</v>
      </c>
      <c r="M54" s="37">
        <f t="shared" si="18"/>
        <v>965821.83373039949</v>
      </c>
    </row>
    <row r="55" spans="1:13" ht="15" x14ac:dyDescent="0.25">
      <c r="A55" s="12"/>
      <c r="B55" s="11"/>
      <c r="C55" s="11"/>
      <c r="D55" s="11"/>
      <c r="E55" s="11"/>
      <c r="F55" s="14"/>
      <c r="G55" s="11"/>
      <c r="I55" s="36">
        <f t="shared" si="19"/>
        <v>965821.83373039949</v>
      </c>
      <c r="J55" s="38">
        <f t="shared" si="15"/>
        <v>898.83351392443183</v>
      </c>
      <c r="K55" s="36">
        <f t="shared" si="16"/>
        <v>6438.8122248693307</v>
      </c>
      <c r="L55" s="13">
        <f t="shared" si="17"/>
        <v>7337.6457387937626</v>
      </c>
      <c r="M55" s="37">
        <f t="shared" si="18"/>
        <v>964923.00021647511</v>
      </c>
    </row>
    <row r="56" spans="1:13" ht="15" x14ac:dyDescent="0.25">
      <c r="A56" s="15" t="s">
        <v>46</v>
      </c>
      <c r="B56" s="16"/>
      <c r="C56" s="14"/>
      <c r="D56" s="14"/>
      <c r="I56" s="36">
        <f t="shared" si="19"/>
        <v>964923.00021647511</v>
      </c>
      <c r="J56" s="38">
        <f t="shared" si="15"/>
        <v>904.82573735059486</v>
      </c>
      <c r="K56" s="36">
        <f t="shared" si="16"/>
        <v>6432.8200014431677</v>
      </c>
      <c r="L56" s="13">
        <f t="shared" si="17"/>
        <v>7337.6457387937626</v>
      </c>
      <c r="M56" s="37">
        <f t="shared" si="18"/>
        <v>964018.17447912449</v>
      </c>
    </row>
    <row r="57" spans="1:13" ht="15" x14ac:dyDescent="0.25">
      <c r="I57" s="36">
        <f t="shared" si="19"/>
        <v>964018.17447912449</v>
      </c>
      <c r="J57" s="38">
        <f t="shared" si="15"/>
        <v>910.85790893293233</v>
      </c>
      <c r="K57" s="36">
        <f t="shared" si="16"/>
        <v>6426.7878298608302</v>
      </c>
      <c r="L57" s="13">
        <f t="shared" si="17"/>
        <v>7337.6457387937626</v>
      </c>
      <c r="M57" s="37">
        <f t="shared" si="18"/>
        <v>963107.31657019153</v>
      </c>
    </row>
    <row r="58" spans="1:13" ht="15" x14ac:dyDescent="0.25">
      <c r="H58" s="9" t="s">
        <v>95</v>
      </c>
      <c r="I58" s="36">
        <f t="shared" si="19"/>
        <v>963107.31657019153</v>
      </c>
      <c r="J58" s="38">
        <f t="shared" si="15"/>
        <v>916.93029499248496</v>
      </c>
      <c r="K58" s="36">
        <f t="shared" si="16"/>
        <v>6420.7154438012776</v>
      </c>
      <c r="L58" s="13">
        <f t="shared" si="17"/>
        <v>7337.6457387937626</v>
      </c>
      <c r="M58" s="40">
        <f t="shared" si="18"/>
        <v>962190.38627519901</v>
      </c>
    </row>
    <row r="59" spans="1:13" x14ac:dyDescent="0.2">
      <c r="H59" s="9" t="s">
        <v>89</v>
      </c>
      <c r="K59" s="41">
        <f>SUM(K47:K58)</f>
        <v>77440.646063342618</v>
      </c>
    </row>
    <row r="61" spans="1:13" ht="15" x14ac:dyDescent="0.25">
      <c r="H61" s="39" t="s">
        <v>110</v>
      </c>
      <c r="I61" s="36">
        <f>M58</f>
        <v>962190.38627519901</v>
      </c>
      <c r="J61" s="38">
        <f>L61-K61</f>
        <v>923.04316362576901</v>
      </c>
      <c r="K61" s="36">
        <f>I61*$F$12</f>
        <v>6414.6025751679936</v>
      </c>
      <c r="L61" s="13">
        <f>$F$14</f>
        <v>7337.6457387937626</v>
      </c>
      <c r="M61" s="37">
        <f>I61-J61</f>
        <v>961267.34311157325</v>
      </c>
    </row>
    <row r="62" spans="1:13" ht="15" x14ac:dyDescent="0.25">
      <c r="I62" s="36">
        <f>M61</f>
        <v>961267.34311157325</v>
      </c>
      <c r="J62" s="38">
        <f t="shared" ref="J62:J72" si="20">L62-K62</f>
        <v>929.196784716607</v>
      </c>
      <c r="K62" s="36">
        <f t="shared" ref="K62:K72" si="21">I62*$F$12</f>
        <v>6408.4489540771556</v>
      </c>
      <c r="L62" s="13">
        <f t="shared" ref="L62:L72" si="22">$F$14</f>
        <v>7337.6457387937626</v>
      </c>
      <c r="M62" s="37">
        <f t="shared" ref="M62:M72" si="23">I62-J62</f>
        <v>960338.14632685669</v>
      </c>
    </row>
    <row r="63" spans="1:13" ht="15" x14ac:dyDescent="0.25">
      <c r="I63" s="36">
        <f t="shared" ref="I63:I72" si="24">M62</f>
        <v>960338.14632685669</v>
      </c>
      <c r="J63" s="38">
        <f t="shared" si="20"/>
        <v>935.39142994805115</v>
      </c>
      <c r="K63" s="36">
        <f t="shared" si="21"/>
        <v>6402.2543088457114</v>
      </c>
      <c r="L63" s="13">
        <f t="shared" si="22"/>
        <v>7337.6457387937626</v>
      </c>
      <c r="M63" s="37">
        <f t="shared" si="23"/>
        <v>959402.75489690865</v>
      </c>
    </row>
    <row r="64" spans="1:13" ht="15" x14ac:dyDescent="0.25">
      <c r="I64" s="36">
        <f t="shared" si="24"/>
        <v>959402.75489690865</v>
      </c>
      <c r="J64" s="38">
        <f t="shared" si="20"/>
        <v>941.62737281437148</v>
      </c>
      <c r="K64" s="36">
        <f t="shared" si="21"/>
        <v>6396.0183659793911</v>
      </c>
      <c r="L64" s="13">
        <f t="shared" si="22"/>
        <v>7337.6457387937626</v>
      </c>
      <c r="M64" s="37">
        <f t="shared" si="23"/>
        <v>958461.12752409431</v>
      </c>
    </row>
    <row r="65" spans="2:13" ht="15" x14ac:dyDescent="0.25">
      <c r="I65" s="36">
        <f t="shared" si="24"/>
        <v>958461.12752409431</v>
      </c>
      <c r="J65" s="38">
        <f t="shared" si="20"/>
        <v>947.90488863313385</v>
      </c>
      <c r="K65" s="36">
        <f t="shared" si="21"/>
        <v>6389.7408501606287</v>
      </c>
      <c r="L65" s="13">
        <f t="shared" si="22"/>
        <v>7337.6457387937626</v>
      </c>
      <c r="M65" s="37">
        <f t="shared" si="23"/>
        <v>957513.22263546113</v>
      </c>
    </row>
    <row r="66" spans="2:13" ht="15" x14ac:dyDescent="0.25">
      <c r="I66" s="36">
        <f t="shared" si="24"/>
        <v>957513.22263546113</v>
      </c>
      <c r="J66" s="38">
        <f t="shared" si="20"/>
        <v>954.22425455735447</v>
      </c>
      <c r="K66" s="36">
        <f t="shared" si="21"/>
        <v>6383.4214842364081</v>
      </c>
      <c r="L66" s="13">
        <f t="shared" si="22"/>
        <v>7337.6457387937626</v>
      </c>
      <c r="M66" s="37">
        <f t="shared" si="23"/>
        <v>956558.99838090374</v>
      </c>
    </row>
    <row r="67" spans="2:13" ht="15" x14ac:dyDescent="0.25">
      <c r="I67" s="36">
        <f t="shared" si="24"/>
        <v>956558.99838090374</v>
      </c>
      <c r="J67" s="38">
        <f t="shared" si="20"/>
        <v>960.58574958773715</v>
      </c>
      <c r="K67" s="36">
        <f t="shared" si="21"/>
        <v>6377.0599892060254</v>
      </c>
      <c r="L67" s="13">
        <f t="shared" si="22"/>
        <v>7337.6457387937626</v>
      </c>
      <c r="M67" s="37">
        <f t="shared" si="23"/>
        <v>955598.41263131599</v>
      </c>
    </row>
    <row r="68" spans="2:13" ht="15" x14ac:dyDescent="0.25">
      <c r="I68" s="36">
        <f t="shared" si="24"/>
        <v>955598.41263131599</v>
      </c>
      <c r="J68" s="38">
        <f t="shared" si="20"/>
        <v>966.98965458498878</v>
      </c>
      <c r="K68" s="36">
        <f t="shared" si="21"/>
        <v>6370.6560842087738</v>
      </c>
      <c r="L68" s="13">
        <f t="shared" si="22"/>
        <v>7337.6457387937626</v>
      </c>
      <c r="M68" s="37">
        <f t="shared" si="23"/>
        <v>954631.42297673097</v>
      </c>
    </row>
    <row r="69" spans="2:13" ht="15" x14ac:dyDescent="0.25">
      <c r="I69" s="36">
        <f t="shared" si="24"/>
        <v>954631.42297673097</v>
      </c>
      <c r="J69" s="38">
        <f t="shared" si="20"/>
        <v>973.43625228222209</v>
      </c>
      <c r="K69" s="36">
        <f t="shared" si="21"/>
        <v>6364.2094865115405</v>
      </c>
      <c r="L69" s="13">
        <f t="shared" si="22"/>
        <v>7337.6457387937626</v>
      </c>
      <c r="M69" s="37">
        <f t="shared" si="23"/>
        <v>953657.98672444874</v>
      </c>
    </row>
    <row r="70" spans="2:13" ht="15" x14ac:dyDescent="0.25">
      <c r="I70" s="36">
        <f t="shared" si="24"/>
        <v>953657.98672444874</v>
      </c>
      <c r="J70" s="38">
        <f t="shared" si="20"/>
        <v>979.92582729743754</v>
      </c>
      <c r="K70" s="36">
        <f t="shared" si="21"/>
        <v>6357.719911496325</v>
      </c>
      <c r="L70" s="13">
        <f t="shared" si="22"/>
        <v>7337.6457387937626</v>
      </c>
      <c r="M70" s="37">
        <f t="shared" si="23"/>
        <v>952678.06089715136</v>
      </c>
    </row>
    <row r="71" spans="2:13" ht="15" x14ac:dyDescent="0.25">
      <c r="I71" s="36">
        <f t="shared" si="24"/>
        <v>952678.06089715136</v>
      </c>
      <c r="J71" s="38">
        <f t="shared" si="20"/>
        <v>986.45866614608622</v>
      </c>
      <c r="K71" s="36">
        <f t="shared" si="21"/>
        <v>6351.1870726476764</v>
      </c>
      <c r="L71" s="13">
        <f t="shared" si="22"/>
        <v>7337.6457387937626</v>
      </c>
      <c r="M71" s="37">
        <f t="shared" si="23"/>
        <v>951691.60223100532</v>
      </c>
    </row>
    <row r="72" spans="2:13" ht="15" x14ac:dyDescent="0.25">
      <c r="H72" s="9" t="s">
        <v>111</v>
      </c>
      <c r="I72" s="36">
        <f t="shared" si="24"/>
        <v>951691.60223100532</v>
      </c>
      <c r="J72" s="38">
        <f t="shared" si="20"/>
        <v>993.03505725372634</v>
      </c>
      <c r="K72" s="36">
        <f t="shared" si="21"/>
        <v>6344.6106815400362</v>
      </c>
      <c r="L72" s="13">
        <f t="shared" si="22"/>
        <v>7337.6457387937626</v>
      </c>
      <c r="M72" s="40">
        <f t="shared" si="23"/>
        <v>950698.56717375165</v>
      </c>
    </row>
    <row r="73" spans="2:13" x14ac:dyDescent="0.2">
      <c r="H73" s="9" t="s">
        <v>89</v>
      </c>
      <c r="K73" s="41">
        <f>SUM(K61:K72)</f>
        <v>76559.929764077664</v>
      </c>
    </row>
    <row r="75" spans="2:13" ht="15" x14ac:dyDescent="0.25">
      <c r="H75" s="39" t="s">
        <v>112</v>
      </c>
      <c r="I75" s="36">
        <f>M72</f>
        <v>950698.56717375165</v>
      </c>
      <c r="J75" s="38">
        <f>L75-K75</f>
        <v>999.65529096875071</v>
      </c>
      <c r="K75" s="36">
        <f>I75*$F$12</f>
        <v>6337.9904478250119</v>
      </c>
      <c r="L75" s="13">
        <f>$F$14</f>
        <v>7337.6457387937626</v>
      </c>
      <c r="M75" s="37">
        <f>I75-J75</f>
        <v>949698.91188278294</v>
      </c>
    </row>
    <row r="76" spans="2:13" ht="15" x14ac:dyDescent="0.25">
      <c r="B76" s="11"/>
      <c r="C76" s="11"/>
      <c r="D76" s="11"/>
      <c r="E76" s="11"/>
      <c r="F76" s="11"/>
      <c r="I76" s="36">
        <f>M75</f>
        <v>949698.91188278294</v>
      </c>
      <c r="J76" s="38">
        <f t="shared" ref="J76:J86" si="25">L76-K76</f>
        <v>1006.3196595752097</v>
      </c>
      <c r="K76" s="36">
        <f t="shared" ref="K76:K86" si="26">I76*$F$12</f>
        <v>6331.3260792185529</v>
      </c>
      <c r="L76" s="13">
        <f t="shared" ref="L76:L86" si="27">$F$14</f>
        <v>7337.6457387937626</v>
      </c>
      <c r="M76" s="37">
        <f t="shared" ref="M76:M86" si="28">I76-J76</f>
        <v>948692.5922232077</v>
      </c>
    </row>
    <row r="77" spans="2:13" ht="15" x14ac:dyDescent="0.25">
      <c r="B77" s="11"/>
      <c r="C77" s="11"/>
      <c r="D77" s="11"/>
      <c r="E77" s="11"/>
      <c r="F77" s="11"/>
      <c r="I77" s="36">
        <f t="shared" ref="I77:I86" si="29">M76</f>
        <v>948692.5922232077</v>
      </c>
      <c r="J77" s="38">
        <f t="shared" si="25"/>
        <v>1013.0284573057106</v>
      </c>
      <c r="K77" s="36">
        <f t="shared" si="26"/>
        <v>6324.617281488052</v>
      </c>
      <c r="L77" s="13">
        <f t="shared" si="27"/>
        <v>7337.6457387937626</v>
      </c>
      <c r="M77" s="37">
        <f t="shared" si="28"/>
        <v>947679.56376590196</v>
      </c>
    </row>
    <row r="78" spans="2:13" ht="15" x14ac:dyDescent="0.25">
      <c r="B78" s="11"/>
      <c r="C78" s="11"/>
      <c r="D78" s="11"/>
      <c r="E78" s="11"/>
      <c r="F78" s="11"/>
      <c r="I78" s="36">
        <f t="shared" si="29"/>
        <v>947679.56376590196</v>
      </c>
      <c r="J78" s="38">
        <f t="shared" si="25"/>
        <v>1019.7819803544162</v>
      </c>
      <c r="K78" s="36">
        <f t="shared" si="26"/>
        <v>6317.8637584393464</v>
      </c>
      <c r="L78" s="13">
        <f t="shared" si="27"/>
        <v>7337.6457387937626</v>
      </c>
      <c r="M78" s="37">
        <f t="shared" si="28"/>
        <v>946659.7817855475</v>
      </c>
    </row>
    <row r="79" spans="2:13" ht="15" x14ac:dyDescent="0.25">
      <c r="B79" s="11"/>
      <c r="C79" s="11"/>
      <c r="D79" s="11"/>
      <c r="E79" s="11"/>
      <c r="F79" s="11"/>
      <c r="I79" s="36">
        <f t="shared" si="29"/>
        <v>946659.7817855475</v>
      </c>
      <c r="J79" s="38">
        <f t="shared" si="25"/>
        <v>1026.5805268901122</v>
      </c>
      <c r="K79" s="36">
        <f t="shared" si="26"/>
        <v>6311.0652119036504</v>
      </c>
      <c r="L79" s="13">
        <f t="shared" si="27"/>
        <v>7337.6457387937626</v>
      </c>
      <c r="M79" s="37">
        <f t="shared" si="28"/>
        <v>945633.20125865738</v>
      </c>
    </row>
    <row r="80" spans="2:13" ht="15" x14ac:dyDescent="0.25">
      <c r="B80" s="11"/>
      <c r="C80" s="11"/>
      <c r="D80" s="11"/>
      <c r="E80" s="11"/>
      <c r="F80" s="11"/>
      <c r="I80" s="36">
        <f t="shared" si="29"/>
        <v>945633.20125865738</v>
      </c>
      <c r="J80" s="38">
        <f t="shared" si="25"/>
        <v>1033.4243970693797</v>
      </c>
      <c r="K80" s="36">
        <f t="shared" si="26"/>
        <v>6304.2213417243829</v>
      </c>
      <c r="L80" s="13">
        <f t="shared" si="27"/>
        <v>7337.6457387937626</v>
      </c>
      <c r="M80" s="37">
        <f t="shared" si="28"/>
        <v>944599.776861588</v>
      </c>
    </row>
    <row r="81" spans="2:13" ht="15" x14ac:dyDescent="0.25">
      <c r="B81" s="11"/>
      <c r="C81" s="11"/>
      <c r="D81" s="11"/>
      <c r="E81" s="11"/>
      <c r="F81" s="11"/>
      <c r="I81" s="36">
        <f t="shared" si="29"/>
        <v>944599.776861588</v>
      </c>
      <c r="J81" s="38">
        <f t="shared" si="25"/>
        <v>1040.3138930498426</v>
      </c>
      <c r="K81" s="36">
        <f t="shared" si="26"/>
        <v>6297.33184574392</v>
      </c>
      <c r="L81" s="13">
        <f t="shared" si="27"/>
        <v>7337.6457387937626</v>
      </c>
      <c r="M81" s="37">
        <f t="shared" si="28"/>
        <v>943559.46296853817</v>
      </c>
    </row>
    <row r="82" spans="2:13" ht="15" x14ac:dyDescent="0.25">
      <c r="B82" s="11"/>
      <c r="C82" s="11"/>
      <c r="D82" s="11"/>
      <c r="E82" s="11"/>
      <c r="F82" s="11"/>
      <c r="I82" s="36">
        <f t="shared" si="29"/>
        <v>943559.46296853817</v>
      </c>
      <c r="J82" s="38">
        <f t="shared" si="25"/>
        <v>1047.2493190035075</v>
      </c>
      <c r="K82" s="36">
        <f t="shared" si="26"/>
        <v>6290.3964197902551</v>
      </c>
      <c r="L82" s="13">
        <f t="shared" si="27"/>
        <v>7337.6457387937626</v>
      </c>
      <c r="M82" s="37">
        <f t="shared" si="28"/>
        <v>942512.21364953462</v>
      </c>
    </row>
    <row r="83" spans="2:13" ht="15" x14ac:dyDescent="0.25">
      <c r="B83" s="11"/>
      <c r="C83" s="11"/>
      <c r="D83" s="11"/>
      <c r="E83" s="11"/>
      <c r="F83" s="14"/>
      <c r="I83" s="36">
        <f t="shared" si="29"/>
        <v>942512.21364953462</v>
      </c>
      <c r="J83" s="38">
        <f t="shared" si="25"/>
        <v>1054.2309811301984</v>
      </c>
      <c r="K83" s="36">
        <f t="shared" si="26"/>
        <v>6283.4147576635642</v>
      </c>
      <c r="L83" s="13">
        <f t="shared" si="27"/>
        <v>7337.6457387937626</v>
      </c>
      <c r="M83" s="37">
        <f t="shared" si="28"/>
        <v>941457.98266840447</v>
      </c>
    </row>
    <row r="84" spans="2:13" ht="15" x14ac:dyDescent="0.25">
      <c r="B84" s="15"/>
      <c r="C84" s="14"/>
      <c r="D84" s="14"/>
      <c r="E84" s="11"/>
      <c r="F84" s="11"/>
      <c r="I84" s="36">
        <f t="shared" si="29"/>
        <v>941457.98266840447</v>
      </c>
      <c r="J84" s="38">
        <f t="shared" si="25"/>
        <v>1061.2591876710658</v>
      </c>
      <c r="K84" s="36">
        <f t="shared" si="26"/>
        <v>6276.3865511226968</v>
      </c>
      <c r="L84" s="13">
        <f t="shared" si="27"/>
        <v>7337.6457387937626</v>
      </c>
      <c r="M84" s="37">
        <f t="shared" si="28"/>
        <v>940396.72348073334</v>
      </c>
    </row>
    <row r="85" spans="2:13" ht="15" x14ac:dyDescent="0.25">
      <c r="B85" s="12"/>
      <c r="C85" s="11"/>
      <c r="D85" s="11"/>
      <c r="E85" s="11"/>
      <c r="F85" s="11"/>
      <c r="I85" s="36">
        <f t="shared" si="29"/>
        <v>940396.72348073334</v>
      </c>
      <c r="J85" s="38">
        <f t="shared" si="25"/>
        <v>1068.3342489222068</v>
      </c>
      <c r="K85" s="36">
        <f t="shared" si="26"/>
        <v>6269.3114898715558</v>
      </c>
      <c r="L85" s="13">
        <f t="shared" si="27"/>
        <v>7337.6457387937626</v>
      </c>
      <c r="M85" s="37">
        <f t="shared" si="28"/>
        <v>939328.38923181116</v>
      </c>
    </row>
    <row r="86" spans="2:13" ht="15" x14ac:dyDescent="0.25">
      <c r="B86" s="11"/>
      <c r="C86" s="11"/>
      <c r="D86" s="11"/>
      <c r="E86" s="11"/>
      <c r="F86" s="11"/>
      <c r="H86" s="9" t="s">
        <v>113</v>
      </c>
      <c r="I86" s="36">
        <f t="shared" si="29"/>
        <v>939328.38923181116</v>
      </c>
      <c r="J86" s="38">
        <f t="shared" si="25"/>
        <v>1075.4564772483545</v>
      </c>
      <c r="K86" s="36">
        <f t="shared" si="26"/>
        <v>6262.189261545408</v>
      </c>
      <c r="L86" s="13">
        <f t="shared" si="27"/>
        <v>7337.6457387937626</v>
      </c>
      <c r="M86" s="40">
        <f t="shared" si="28"/>
        <v>938252.93275456282</v>
      </c>
    </row>
    <row r="87" spans="2:13" x14ac:dyDescent="0.2">
      <c r="B87" s="11"/>
      <c r="C87" s="11"/>
      <c r="D87" s="11"/>
      <c r="E87" s="11"/>
      <c r="F87" s="11"/>
      <c r="H87" s="9" t="s">
        <v>89</v>
      </c>
      <c r="K87" s="41">
        <f>SUM(K75:K86)</f>
        <v>75606.114446336403</v>
      </c>
    </row>
    <row r="88" spans="2:13" x14ac:dyDescent="0.2">
      <c r="B88" s="11"/>
      <c r="C88" s="11"/>
      <c r="D88" s="11"/>
      <c r="E88" s="11"/>
      <c r="F88" s="11"/>
    </row>
    <row r="89" spans="2:13" ht="15" x14ac:dyDescent="0.25">
      <c r="B89" s="11"/>
      <c r="C89" s="11"/>
      <c r="D89" s="11"/>
      <c r="E89" s="11"/>
      <c r="F89" s="11"/>
      <c r="H89" s="39" t="s">
        <v>114</v>
      </c>
      <c r="I89" s="36">
        <f>M86</f>
        <v>938252.93275456282</v>
      </c>
      <c r="J89" s="38">
        <f>L89-K89</f>
        <v>1082.6261870966764</v>
      </c>
      <c r="K89" s="36">
        <f>I89*$F$12</f>
        <v>6255.0195516970862</v>
      </c>
      <c r="L89" s="13">
        <f>$F$14</f>
        <v>7337.6457387937626</v>
      </c>
      <c r="M89" s="37">
        <f>I89-J89</f>
        <v>937170.30656746612</v>
      </c>
    </row>
    <row r="90" spans="2:13" ht="15" x14ac:dyDescent="0.25">
      <c r="B90" s="11"/>
      <c r="C90" s="11"/>
      <c r="D90" s="11"/>
      <c r="E90" s="11"/>
      <c r="F90" s="11"/>
      <c r="I90" s="36">
        <f>M89</f>
        <v>937170.30656746612</v>
      </c>
      <c r="J90" s="38">
        <f t="shared" ref="J90:J100" si="30">L90-K90</f>
        <v>1089.8436950106543</v>
      </c>
      <c r="K90" s="36">
        <f t="shared" ref="K90:K100" si="31">I90*$F$12</f>
        <v>6247.8020437831083</v>
      </c>
      <c r="L90" s="13">
        <f t="shared" ref="L90:L100" si="32">$F$14</f>
        <v>7337.6457387937626</v>
      </c>
      <c r="M90" s="37">
        <f t="shared" ref="M90:M100" si="33">I90-J90</f>
        <v>936080.46287245548</v>
      </c>
    </row>
    <row r="91" spans="2:13" ht="15" x14ac:dyDescent="0.25">
      <c r="B91" s="11"/>
      <c r="C91" s="11"/>
      <c r="D91" s="11"/>
      <c r="E91" s="11"/>
      <c r="F91" s="11"/>
      <c r="I91" s="36">
        <f t="shared" ref="I91:I100" si="34">M90</f>
        <v>936080.46287245548</v>
      </c>
      <c r="J91" s="38">
        <f t="shared" si="30"/>
        <v>1097.1093196440588</v>
      </c>
      <c r="K91" s="36">
        <f t="shared" si="31"/>
        <v>6240.5364191497038</v>
      </c>
      <c r="L91" s="13">
        <f t="shared" si="32"/>
        <v>7337.6457387937626</v>
      </c>
      <c r="M91" s="37">
        <f t="shared" si="33"/>
        <v>934983.35355281143</v>
      </c>
    </row>
    <row r="92" spans="2:13" ht="15" x14ac:dyDescent="0.25">
      <c r="B92" s="11"/>
      <c r="C92" s="11"/>
      <c r="D92" s="11"/>
      <c r="E92" s="11"/>
      <c r="F92" s="11"/>
      <c r="I92" s="36">
        <f t="shared" si="34"/>
        <v>934983.35355281143</v>
      </c>
      <c r="J92" s="38">
        <f t="shared" si="30"/>
        <v>1104.4233817750192</v>
      </c>
      <c r="K92" s="36">
        <f t="shared" si="31"/>
        <v>6233.2223570187434</v>
      </c>
      <c r="L92" s="13">
        <f t="shared" si="32"/>
        <v>7337.6457387937626</v>
      </c>
      <c r="M92" s="37">
        <f t="shared" si="33"/>
        <v>933878.93017103639</v>
      </c>
    </row>
    <row r="93" spans="2:13" ht="15" x14ac:dyDescent="0.25">
      <c r="B93" s="11"/>
      <c r="C93" s="11"/>
      <c r="D93" s="11"/>
      <c r="E93" s="11"/>
      <c r="F93" s="11"/>
      <c r="I93" s="36">
        <f t="shared" si="34"/>
        <v>933878.93017103639</v>
      </c>
      <c r="J93" s="38">
        <f t="shared" si="30"/>
        <v>1111.7862043201858</v>
      </c>
      <c r="K93" s="36">
        <f t="shared" si="31"/>
        <v>6225.8595344735768</v>
      </c>
      <c r="L93" s="13">
        <f t="shared" si="32"/>
        <v>7337.6457387937626</v>
      </c>
      <c r="M93" s="37">
        <f t="shared" si="33"/>
        <v>932767.14396671625</v>
      </c>
    </row>
    <row r="94" spans="2:13" ht="15" x14ac:dyDescent="0.25">
      <c r="B94" s="11"/>
      <c r="C94" s="11"/>
      <c r="D94" s="11"/>
      <c r="E94" s="11"/>
      <c r="F94" s="11"/>
      <c r="I94" s="36">
        <f t="shared" si="34"/>
        <v>932767.14396671625</v>
      </c>
      <c r="J94" s="38">
        <f t="shared" si="30"/>
        <v>1119.1981123489868</v>
      </c>
      <c r="K94" s="36">
        <f t="shared" si="31"/>
        <v>6218.4476264447758</v>
      </c>
      <c r="L94" s="13">
        <f t="shared" si="32"/>
        <v>7337.6457387937626</v>
      </c>
      <c r="M94" s="37">
        <f t="shared" si="33"/>
        <v>931647.94585436722</v>
      </c>
    </row>
    <row r="95" spans="2:13" ht="15" x14ac:dyDescent="0.25">
      <c r="B95" s="11"/>
      <c r="C95" s="11"/>
      <c r="D95" s="11"/>
      <c r="E95" s="11"/>
      <c r="F95" s="11"/>
      <c r="I95" s="36">
        <f t="shared" si="34"/>
        <v>931647.94585436722</v>
      </c>
      <c r="J95" s="38">
        <f t="shared" si="30"/>
        <v>1126.6594330979806</v>
      </c>
      <c r="K95" s="36">
        <f t="shared" si="31"/>
        <v>6210.986305695782</v>
      </c>
      <c r="L95" s="13">
        <f t="shared" si="32"/>
        <v>7337.6457387937626</v>
      </c>
      <c r="M95" s="37">
        <f t="shared" si="33"/>
        <v>930521.28642126929</v>
      </c>
    </row>
    <row r="96" spans="2:13" ht="15" x14ac:dyDescent="0.25">
      <c r="B96" s="11"/>
      <c r="C96" s="11"/>
      <c r="D96" s="11"/>
      <c r="E96" s="11"/>
      <c r="F96" s="11"/>
      <c r="I96" s="36">
        <f t="shared" si="34"/>
        <v>930521.28642126929</v>
      </c>
      <c r="J96" s="38">
        <f t="shared" si="30"/>
        <v>1134.1704959853005</v>
      </c>
      <c r="K96" s="36">
        <f t="shared" si="31"/>
        <v>6203.4752428084621</v>
      </c>
      <c r="L96" s="13">
        <f t="shared" si="32"/>
        <v>7337.6457387937626</v>
      </c>
      <c r="M96" s="37">
        <f t="shared" si="33"/>
        <v>929387.11592528399</v>
      </c>
    </row>
    <row r="97" spans="2:13" ht="15" x14ac:dyDescent="0.25">
      <c r="B97" s="11"/>
      <c r="C97" s="11"/>
      <c r="D97" s="11"/>
      <c r="E97" s="11"/>
      <c r="F97" s="14"/>
      <c r="I97" s="36">
        <f t="shared" si="34"/>
        <v>929387.11592528399</v>
      </c>
      <c r="J97" s="38">
        <f t="shared" si="30"/>
        <v>1141.7316326252021</v>
      </c>
      <c r="K97" s="36">
        <f t="shared" si="31"/>
        <v>6195.9141061685605</v>
      </c>
      <c r="L97" s="13">
        <f t="shared" si="32"/>
        <v>7337.6457387937626</v>
      </c>
      <c r="M97" s="37">
        <f t="shared" si="33"/>
        <v>928245.38429265877</v>
      </c>
    </row>
    <row r="98" spans="2:13" ht="15" x14ac:dyDescent="0.25">
      <c r="B98" s="15"/>
      <c r="C98" s="14"/>
      <c r="D98" s="14"/>
      <c r="E98" s="11"/>
      <c r="F98" s="11"/>
      <c r="I98" s="36">
        <f t="shared" si="34"/>
        <v>928245.38429265877</v>
      </c>
      <c r="J98" s="38">
        <f t="shared" si="30"/>
        <v>1149.3431768427035</v>
      </c>
      <c r="K98" s="36">
        <f t="shared" si="31"/>
        <v>6188.302561951059</v>
      </c>
      <c r="L98" s="13">
        <f t="shared" si="32"/>
        <v>7337.6457387937626</v>
      </c>
      <c r="M98" s="37">
        <f t="shared" si="33"/>
        <v>927096.0411158161</v>
      </c>
    </row>
    <row r="99" spans="2:13" ht="15" x14ac:dyDescent="0.25">
      <c r="B99" s="12"/>
      <c r="C99" s="11"/>
      <c r="D99" s="11"/>
      <c r="E99" s="11"/>
      <c r="F99" s="11"/>
      <c r="I99" s="36">
        <f t="shared" si="34"/>
        <v>927096.0411158161</v>
      </c>
      <c r="J99" s="38">
        <f t="shared" si="30"/>
        <v>1157.0054646883218</v>
      </c>
      <c r="K99" s="36">
        <f t="shared" si="31"/>
        <v>6180.6402741054408</v>
      </c>
      <c r="L99" s="13">
        <f t="shared" si="32"/>
        <v>7337.6457387937626</v>
      </c>
      <c r="M99" s="37">
        <f t="shared" si="33"/>
        <v>925939.03565112781</v>
      </c>
    </row>
    <row r="100" spans="2:13" ht="15" x14ac:dyDescent="0.25">
      <c r="B100" s="11"/>
      <c r="C100" s="11"/>
      <c r="D100" s="11"/>
      <c r="E100" s="11"/>
      <c r="F100" s="11"/>
      <c r="H100" s="9" t="s">
        <v>115</v>
      </c>
      <c r="I100" s="36">
        <f t="shared" si="34"/>
        <v>925939.03565112781</v>
      </c>
      <c r="J100" s="38">
        <f t="shared" si="30"/>
        <v>1164.7188344529104</v>
      </c>
      <c r="K100" s="36">
        <f t="shared" si="31"/>
        <v>6172.9269043408522</v>
      </c>
      <c r="L100" s="13">
        <f t="shared" si="32"/>
        <v>7337.6457387937626</v>
      </c>
      <c r="M100" s="40">
        <f t="shared" si="33"/>
        <v>924774.31681667489</v>
      </c>
    </row>
    <row r="101" spans="2:13" x14ac:dyDescent="0.2">
      <c r="B101" s="11"/>
      <c r="C101" s="11"/>
      <c r="D101" s="11"/>
      <c r="E101" s="11"/>
      <c r="F101" s="11"/>
      <c r="H101" s="9" t="s">
        <v>89</v>
      </c>
      <c r="K101" s="41">
        <f>SUM(K89:K100)</f>
        <v>74573.132927637154</v>
      </c>
    </row>
    <row r="102" spans="2:13" x14ac:dyDescent="0.2">
      <c r="B102" s="11"/>
      <c r="C102" s="11"/>
      <c r="D102" s="11"/>
      <c r="E102" s="11"/>
      <c r="F102" s="11"/>
    </row>
    <row r="103" spans="2:13" ht="15" x14ac:dyDescent="0.25">
      <c r="B103" s="11"/>
      <c r="C103" s="11"/>
      <c r="D103" s="11"/>
      <c r="E103" s="11"/>
      <c r="F103" s="11"/>
      <c r="H103" s="39" t="s">
        <v>116</v>
      </c>
      <c r="I103" s="36">
        <f>M100</f>
        <v>924774.31681667489</v>
      </c>
      <c r="J103" s="38">
        <f>L103-K103</f>
        <v>1172.483626682596</v>
      </c>
      <c r="K103" s="36">
        <f>I103*$F$12</f>
        <v>6165.1621121111666</v>
      </c>
      <c r="L103" s="13">
        <f>$F$14</f>
        <v>7337.6457387937626</v>
      </c>
      <c r="M103" s="37">
        <f>I103-J103</f>
        <v>923601.83318999235</v>
      </c>
    </row>
    <row r="104" spans="2:13" ht="15" x14ac:dyDescent="0.25">
      <c r="B104" s="11"/>
      <c r="C104" s="11"/>
      <c r="D104" s="11"/>
      <c r="E104" s="11"/>
      <c r="F104" s="11"/>
      <c r="I104" s="36">
        <f>M103</f>
        <v>923601.83318999235</v>
      </c>
      <c r="J104" s="38">
        <f t="shared" ref="J104:J114" si="35">L104-K104</f>
        <v>1180.300184193813</v>
      </c>
      <c r="K104" s="36">
        <f t="shared" ref="K104:K114" si="36">I104*$F$12</f>
        <v>6157.3455545999495</v>
      </c>
      <c r="L104" s="13">
        <f t="shared" ref="L104:L114" si="37">$F$14</f>
        <v>7337.6457387937626</v>
      </c>
      <c r="M104" s="37">
        <f t="shared" ref="M104:M114" si="38">I104-J104</f>
        <v>922421.53300579858</v>
      </c>
    </row>
    <row r="105" spans="2:13" ht="15" x14ac:dyDescent="0.25">
      <c r="B105" s="11"/>
      <c r="C105" s="11"/>
      <c r="D105" s="11"/>
      <c r="E105" s="11"/>
      <c r="F105" s="11"/>
      <c r="I105" s="36">
        <f t="shared" ref="I105:I114" si="39">M104</f>
        <v>922421.53300579858</v>
      </c>
      <c r="J105" s="38">
        <f t="shared" si="35"/>
        <v>1188.1688520884381</v>
      </c>
      <c r="K105" s="36">
        <f t="shared" si="36"/>
        <v>6149.4768867053244</v>
      </c>
      <c r="L105" s="13">
        <f t="shared" si="37"/>
        <v>7337.6457387937626</v>
      </c>
      <c r="M105" s="37">
        <f t="shared" si="38"/>
        <v>921233.36415371019</v>
      </c>
    </row>
    <row r="106" spans="2:13" ht="15" x14ac:dyDescent="0.25">
      <c r="B106" s="11"/>
      <c r="C106" s="11"/>
      <c r="D106" s="11"/>
      <c r="E106" s="11"/>
      <c r="F106" s="11"/>
      <c r="I106" s="36">
        <f t="shared" si="39"/>
        <v>921233.36415371019</v>
      </c>
      <c r="J106" s="38">
        <f t="shared" si="35"/>
        <v>1196.0899777690274</v>
      </c>
      <c r="K106" s="36">
        <f t="shared" si="36"/>
        <v>6141.5557610247351</v>
      </c>
      <c r="L106" s="13">
        <f t="shared" si="37"/>
        <v>7337.6457387937626</v>
      </c>
      <c r="M106" s="37">
        <f t="shared" si="38"/>
        <v>920037.27417594113</v>
      </c>
    </row>
    <row r="107" spans="2:13" ht="15" x14ac:dyDescent="0.25">
      <c r="B107" s="11"/>
      <c r="C107" s="11"/>
      <c r="D107" s="11"/>
      <c r="E107" s="11"/>
      <c r="F107" s="11"/>
      <c r="I107" s="36">
        <f t="shared" si="39"/>
        <v>920037.27417594113</v>
      </c>
      <c r="J107" s="38">
        <f t="shared" si="35"/>
        <v>1204.0639109541544</v>
      </c>
      <c r="K107" s="36">
        <f t="shared" si="36"/>
        <v>6133.5818278396082</v>
      </c>
      <c r="L107" s="13">
        <f t="shared" si="37"/>
        <v>7337.6457387937626</v>
      </c>
      <c r="M107" s="37">
        <f t="shared" si="38"/>
        <v>918833.21026498696</v>
      </c>
    </row>
    <row r="108" spans="2:13" ht="15" x14ac:dyDescent="0.25">
      <c r="B108" s="11"/>
      <c r="C108" s="11"/>
      <c r="D108" s="11"/>
      <c r="E108" s="11"/>
      <c r="F108" s="11"/>
      <c r="I108" s="36">
        <f t="shared" si="39"/>
        <v>918833.21026498696</v>
      </c>
      <c r="J108" s="38">
        <f t="shared" si="35"/>
        <v>1212.0910036938494</v>
      </c>
      <c r="K108" s="36">
        <f t="shared" si="36"/>
        <v>6125.5547350999132</v>
      </c>
      <c r="L108" s="13">
        <f t="shared" si="37"/>
        <v>7337.6457387937626</v>
      </c>
      <c r="M108" s="37">
        <f t="shared" si="38"/>
        <v>917621.11926129309</v>
      </c>
    </row>
    <row r="109" spans="2:13" ht="15" x14ac:dyDescent="0.25">
      <c r="B109" s="11"/>
      <c r="C109" s="11"/>
      <c r="D109" s="11"/>
      <c r="E109" s="11"/>
      <c r="F109" s="11"/>
      <c r="I109" s="36">
        <f t="shared" si="39"/>
        <v>917621.11926129309</v>
      </c>
      <c r="J109" s="38">
        <f t="shared" si="35"/>
        <v>1220.1716103851413</v>
      </c>
      <c r="K109" s="36">
        <f t="shared" si="36"/>
        <v>6117.4741284086213</v>
      </c>
      <c r="L109" s="13">
        <f t="shared" si="37"/>
        <v>7337.6457387937626</v>
      </c>
      <c r="M109" s="37">
        <f t="shared" si="38"/>
        <v>916400.94765090791</v>
      </c>
    </row>
    <row r="110" spans="2:13" ht="15" x14ac:dyDescent="0.25">
      <c r="B110" s="11"/>
      <c r="C110" s="11"/>
      <c r="D110" s="11"/>
      <c r="E110" s="11"/>
      <c r="F110" s="11"/>
      <c r="I110" s="36">
        <f t="shared" si="39"/>
        <v>916400.94765090791</v>
      </c>
      <c r="J110" s="38">
        <f t="shared" si="35"/>
        <v>1228.3060877877097</v>
      </c>
      <c r="K110" s="36">
        <f t="shared" si="36"/>
        <v>6109.3396510060529</v>
      </c>
      <c r="L110" s="13">
        <f t="shared" si="37"/>
        <v>7337.6457387937626</v>
      </c>
      <c r="M110" s="37">
        <f t="shared" si="38"/>
        <v>915172.64156312018</v>
      </c>
    </row>
    <row r="111" spans="2:13" ht="15" x14ac:dyDescent="0.25">
      <c r="B111" s="11"/>
      <c r="C111" s="11"/>
      <c r="D111" s="11"/>
      <c r="E111" s="11"/>
      <c r="F111" s="14"/>
      <c r="I111" s="36">
        <f t="shared" si="39"/>
        <v>915172.64156312018</v>
      </c>
      <c r="J111" s="38">
        <f t="shared" si="35"/>
        <v>1236.4947950396272</v>
      </c>
      <c r="K111" s="36">
        <f t="shared" si="36"/>
        <v>6101.1509437541354</v>
      </c>
      <c r="L111" s="13">
        <f t="shared" si="37"/>
        <v>7337.6457387937626</v>
      </c>
      <c r="M111" s="37">
        <f t="shared" si="38"/>
        <v>913936.14676808054</v>
      </c>
    </row>
    <row r="112" spans="2:13" ht="15" x14ac:dyDescent="0.25">
      <c r="B112" s="16"/>
      <c r="C112" s="14"/>
      <c r="D112" s="14"/>
      <c r="I112" s="36">
        <f t="shared" si="39"/>
        <v>913936.14676808054</v>
      </c>
      <c r="J112" s="38">
        <f t="shared" si="35"/>
        <v>1244.7380936732252</v>
      </c>
      <c r="K112" s="36">
        <f t="shared" si="36"/>
        <v>6092.9076451205374</v>
      </c>
      <c r="L112" s="13">
        <f t="shared" si="37"/>
        <v>7337.6457387937626</v>
      </c>
      <c r="M112" s="37">
        <f t="shared" si="38"/>
        <v>912691.40867440728</v>
      </c>
    </row>
    <row r="113" spans="2:13" ht="15" x14ac:dyDescent="0.25">
      <c r="I113" s="36">
        <f t="shared" si="39"/>
        <v>912691.40867440728</v>
      </c>
      <c r="J113" s="38">
        <f t="shared" si="35"/>
        <v>1253.0363476310467</v>
      </c>
      <c r="K113" s="36">
        <f t="shared" si="36"/>
        <v>6084.6093911627158</v>
      </c>
      <c r="L113" s="13">
        <f t="shared" si="37"/>
        <v>7337.6457387937626</v>
      </c>
      <c r="M113" s="37">
        <f t="shared" si="38"/>
        <v>911438.37232677627</v>
      </c>
    </row>
    <row r="114" spans="2:13" ht="15" x14ac:dyDescent="0.25">
      <c r="B114" s="11"/>
      <c r="C114" s="11"/>
      <c r="D114" s="11"/>
      <c r="E114" s="11"/>
      <c r="F114" s="11"/>
      <c r="H114" s="9" t="s">
        <v>117</v>
      </c>
      <c r="I114" s="36">
        <f t="shared" si="39"/>
        <v>911438.37232677627</v>
      </c>
      <c r="J114" s="38">
        <f t="shared" si="35"/>
        <v>1261.3899232819203</v>
      </c>
      <c r="K114" s="36">
        <f t="shared" si="36"/>
        <v>6076.2558155118422</v>
      </c>
      <c r="L114" s="13">
        <f t="shared" si="37"/>
        <v>7337.6457387937626</v>
      </c>
      <c r="M114" s="40">
        <f t="shared" si="38"/>
        <v>910176.9824034943</v>
      </c>
    </row>
    <row r="115" spans="2:13" x14ac:dyDescent="0.2">
      <c r="B115" s="11"/>
      <c r="C115" s="11"/>
      <c r="D115" s="11"/>
      <c r="E115" s="11"/>
      <c r="F115" s="11"/>
      <c r="H115" s="9" t="s">
        <v>89</v>
      </c>
      <c r="K115" s="41">
        <f>SUM(K103:K114)</f>
        <v>73454.414452344616</v>
      </c>
    </row>
    <row r="116" spans="2:13" x14ac:dyDescent="0.2">
      <c r="B116" s="11"/>
      <c r="C116" s="11"/>
      <c r="D116" s="11"/>
      <c r="E116" s="11"/>
      <c r="F116" s="11"/>
    </row>
    <row r="117" spans="2:13" ht="15" x14ac:dyDescent="0.25">
      <c r="B117" s="11"/>
      <c r="C117" s="11"/>
      <c r="D117" s="11"/>
      <c r="E117" s="11"/>
      <c r="F117" s="11"/>
      <c r="H117" s="39" t="s">
        <v>118</v>
      </c>
      <c r="I117" s="36">
        <f>M114</f>
        <v>910176.9824034943</v>
      </c>
      <c r="J117" s="38">
        <f>L117-K117</f>
        <v>1269.7991894371335</v>
      </c>
      <c r="K117" s="36">
        <f>I117*$F$12</f>
        <v>6067.8465493566291</v>
      </c>
      <c r="L117" s="13">
        <f>$F$14</f>
        <v>7337.6457387937626</v>
      </c>
      <c r="M117" s="37">
        <f>I117-J117</f>
        <v>908907.18321405712</v>
      </c>
    </row>
    <row r="118" spans="2:13" ht="15" x14ac:dyDescent="0.25">
      <c r="B118" s="11"/>
      <c r="C118" s="11"/>
      <c r="D118" s="11"/>
      <c r="E118" s="11"/>
      <c r="F118" s="11"/>
      <c r="I118" s="36">
        <f>M117</f>
        <v>908907.18321405712</v>
      </c>
      <c r="J118" s="38">
        <f t="shared" ref="J118:J128" si="40">L118-K118</f>
        <v>1278.2645173667152</v>
      </c>
      <c r="K118" s="36">
        <f t="shared" ref="K118:K128" si="41">I118*$F$12</f>
        <v>6059.3812214270474</v>
      </c>
      <c r="L118" s="13">
        <f t="shared" ref="L118:L128" si="42">$F$14</f>
        <v>7337.6457387937626</v>
      </c>
      <c r="M118" s="37">
        <f t="shared" ref="M118:M128" si="43">I118-J118</f>
        <v>907628.91869669035</v>
      </c>
    </row>
    <row r="119" spans="2:13" ht="15" x14ac:dyDescent="0.25">
      <c r="B119" s="11"/>
      <c r="C119" s="11"/>
      <c r="D119" s="11"/>
      <c r="E119" s="11"/>
      <c r="F119" s="11"/>
      <c r="I119" s="36">
        <f t="shared" ref="I119:I128" si="44">M118</f>
        <v>907628.91869669035</v>
      </c>
      <c r="J119" s="38">
        <f t="shared" si="40"/>
        <v>1286.7862808158261</v>
      </c>
      <c r="K119" s="36">
        <f t="shared" si="41"/>
        <v>6050.8594579779365</v>
      </c>
      <c r="L119" s="13">
        <f t="shared" si="42"/>
        <v>7337.6457387937626</v>
      </c>
      <c r="M119" s="37">
        <f t="shared" si="43"/>
        <v>906342.13241587451</v>
      </c>
    </row>
    <row r="120" spans="2:13" ht="15" x14ac:dyDescent="0.25">
      <c r="B120" s="11"/>
      <c r="C120" s="11"/>
      <c r="D120" s="11"/>
      <c r="E120" s="11"/>
      <c r="F120" s="11"/>
      <c r="I120" s="36">
        <f t="shared" si="44"/>
        <v>906342.13241587451</v>
      </c>
      <c r="J120" s="38">
        <f t="shared" si="40"/>
        <v>1295.364856021265</v>
      </c>
      <c r="K120" s="36">
        <f t="shared" si="41"/>
        <v>6042.2808827724975</v>
      </c>
      <c r="L120" s="13">
        <f t="shared" si="42"/>
        <v>7337.6457387937626</v>
      </c>
      <c r="M120" s="37">
        <f t="shared" si="43"/>
        <v>905046.76755985327</v>
      </c>
    </row>
    <row r="121" spans="2:13" ht="15" x14ac:dyDescent="0.25">
      <c r="B121" s="11"/>
      <c r="C121" s="11"/>
      <c r="D121" s="11"/>
      <c r="E121" s="11"/>
      <c r="F121" s="11"/>
      <c r="I121" s="36">
        <f t="shared" si="44"/>
        <v>905046.76755985327</v>
      </c>
      <c r="J121" s="38">
        <f t="shared" si="40"/>
        <v>1304.0006217280734</v>
      </c>
      <c r="K121" s="36">
        <f t="shared" si="41"/>
        <v>6033.6451170656892</v>
      </c>
      <c r="L121" s="13">
        <f t="shared" si="42"/>
        <v>7337.6457387937626</v>
      </c>
      <c r="M121" s="37">
        <f t="shared" si="43"/>
        <v>903742.76693812525</v>
      </c>
    </row>
    <row r="122" spans="2:13" ht="15" x14ac:dyDescent="0.25">
      <c r="B122" s="11"/>
      <c r="C122" s="11"/>
      <c r="D122" s="11"/>
      <c r="E122" s="11"/>
      <c r="F122" s="11"/>
      <c r="I122" s="36">
        <f t="shared" si="44"/>
        <v>903742.76693812525</v>
      </c>
      <c r="J122" s="38">
        <f t="shared" si="40"/>
        <v>1312.6939592062608</v>
      </c>
      <c r="K122" s="36">
        <f t="shared" si="41"/>
        <v>6024.9517795875017</v>
      </c>
      <c r="L122" s="13">
        <f t="shared" si="42"/>
        <v>7337.6457387937626</v>
      </c>
      <c r="M122" s="37">
        <f t="shared" si="43"/>
        <v>902430.07297891902</v>
      </c>
    </row>
    <row r="123" spans="2:13" ht="15" x14ac:dyDescent="0.25">
      <c r="B123" s="11"/>
      <c r="C123" s="11"/>
      <c r="D123" s="11"/>
      <c r="E123" s="11"/>
      <c r="F123" s="11"/>
      <c r="I123" s="36">
        <f t="shared" si="44"/>
        <v>902430.07297891902</v>
      </c>
      <c r="J123" s="38">
        <f t="shared" si="40"/>
        <v>1321.4452522676356</v>
      </c>
      <c r="K123" s="36">
        <f t="shared" si="41"/>
        <v>6016.200486526127</v>
      </c>
      <c r="L123" s="13">
        <f t="shared" si="42"/>
        <v>7337.6457387937626</v>
      </c>
      <c r="M123" s="37">
        <f t="shared" si="43"/>
        <v>901108.62772665138</v>
      </c>
    </row>
    <row r="124" spans="2:13" ht="15" x14ac:dyDescent="0.25">
      <c r="B124" s="11"/>
      <c r="C124" s="11"/>
      <c r="D124" s="11"/>
      <c r="E124" s="11"/>
      <c r="F124" s="11"/>
      <c r="I124" s="36">
        <f t="shared" si="44"/>
        <v>901108.62772665138</v>
      </c>
      <c r="J124" s="38">
        <f t="shared" si="40"/>
        <v>1330.2548872827529</v>
      </c>
      <c r="K124" s="36">
        <f t="shared" si="41"/>
        <v>6007.3908515110097</v>
      </c>
      <c r="L124" s="13">
        <f t="shared" si="42"/>
        <v>7337.6457387937626</v>
      </c>
      <c r="M124" s="37">
        <f t="shared" si="43"/>
        <v>899778.37283936865</v>
      </c>
    </row>
    <row r="125" spans="2:13" ht="15" x14ac:dyDescent="0.25">
      <c r="B125" s="11"/>
      <c r="C125" s="11"/>
      <c r="D125" s="11"/>
      <c r="E125" s="11"/>
      <c r="F125" s="14"/>
      <c r="I125" s="36">
        <f t="shared" si="44"/>
        <v>899778.37283936865</v>
      </c>
      <c r="J125" s="38">
        <f t="shared" si="40"/>
        <v>1339.1232531979713</v>
      </c>
      <c r="K125" s="36">
        <f t="shared" si="41"/>
        <v>5998.5224855957913</v>
      </c>
      <c r="L125" s="13">
        <f t="shared" si="42"/>
        <v>7337.6457387937626</v>
      </c>
      <c r="M125" s="37">
        <f t="shared" si="43"/>
        <v>898439.24958617066</v>
      </c>
    </row>
    <row r="126" spans="2:13" ht="15" x14ac:dyDescent="0.25">
      <c r="B126" s="16"/>
      <c r="C126" s="14"/>
      <c r="D126" s="14"/>
      <c r="I126" s="36">
        <f t="shared" si="44"/>
        <v>898439.24958617066</v>
      </c>
      <c r="J126" s="38">
        <f t="shared" si="40"/>
        <v>1348.0507415526245</v>
      </c>
      <c r="K126" s="36">
        <f t="shared" si="41"/>
        <v>5989.5949972411381</v>
      </c>
      <c r="L126" s="13">
        <f t="shared" si="42"/>
        <v>7337.6457387937626</v>
      </c>
      <c r="M126" s="37">
        <f t="shared" si="43"/>
        <v>897091.19884461805</v>
      </c>
    </row>
    <row r="127" spans="2:13" ht="15" x14ac:dyDescent="0.25">
      <c r="I127" s="36">
        <f t="shared" si="44"/>
        <v>897091.19884461805</v>
      </c>
      <c r="J127" s="38">
        <f t="shared" si="40"/>
        <v>1357.0377464963085</v>
      </c>
      <c r="K127" s="36">
        <f t="shared" si="41"/>
        <v>5980.6079922974541</v>
      </c>
      <c r="L127" s="13">
        <f t="shared" si="42"/>
        <v>7337.6457387937626</v>
      </c>
      <c r="M127" s="37">
        <f t="shared" si="43"/>
        <v>895734.16109812178</v>
      </c>
    </row>
    <row r="128" spans="2:13" ht="15" x14ac:dyDescent="0.25">
      <c r="B128" s="11"/>
      <c r="C128" s="11"/>
      <c r="D128" s="11"/>
      <c r="E128" s="11"/>
      <c r="F128" s="11"/>
      <c r="H128" s="9" t="s">
        <v>119</v>
      </c>
      <c r="I128" s="36">
        <f t="shared" si="44"/>
        <v>895734.16109812178</v>
      </c>
      <c r="J128" s="38">
        <f t="shared" si="40"/>
        <v>1366.0846648062834</v>
      </c>
      <c r="K128" s="36">
        <f t="shared" si="41"/>
        <v>5971.5610739874792</v>
      </c>
      <c r="L128" s="13">
        <f t="shared" si="42"/>
        <v>7337.6457387937626</v>
      </c>
      <c r="M128" s="40">
        <f t="shared" si="43"/>
        <v>894368.07643331552</v>
      </c>
    </row>
    <row r="129" spans="2:13" x14ac:dyDescent="0.2">
      <c r="B129" s="11"/>
      <c r="C129" s="11"/>
      <c r="D129" s="11"/>
      <c r="E129" s="11"/>
      <c r="F129" s="11"/>
      <c r="H129" s="9" t="s">
        <v>89</v>
      </c>
      <c r="K129" s="41">
        <f>SUM(K117:K128)</f>
        <v>72242.842895346315</v>
      </c>
    </row>
    <row r="130" spans="2:13" x14ac:dyDescent="0.2">
      <c r="B130" s="11"/>
      <c r="C130" s="11"/>
      <c r="D130" s="11"/>
      <c r="E130" s="11"/>
      <c r="F130" s="11"/>
    </row>
    <row r="131" spans="2:13" ht="15" x14ac:dyDescent="0.25">
      <c r="B131" s="11"/>
      <c r="C131" s="11"/>
      <c r="D131" s="11"/>
      <c r="E131" s="11"/>
      <c r="F131" s="11"/>
      <c r="H131" s="39" t="s">
        <v>120</v>
      </c>
      <c r="I131" s="36">
        <f>M128</f>
        <v>894368.07643331552</v>
      </c>
      <c r="J131" s="38">
        <f>L131-K131</f>
        <v>1375.1918959049917</v>
      </c>
      <c r="K131" s="36">
        <f>I131*$F$12</f>
        <v>5962.4538428887709</v>
      </c>
      <c r="L131" s="13">
        <f>$F$14</f>
        <v>7337.6457387937626</v>
      </c>
      <c r="M131" s="37">
        <f>I131-J131</f>
        <v>892992.88453741057</v>
      </c>
    </row>
    <row r="132" spans="2:13" ht="15" x14ac:dyDescent="0.25">
      <c r="B132" s="11"/>
      <c r="C132" s="11"/>
      <c r="D132" s="11"/>
      <c r="E132" s="11"/>
      <c r="F132" s="11"/>
      <c r="I132" s="36">
        <f>M131</f>
        <v>892992.88453741057</v>
      </c>
      <c r="J132" s="38">
        <f t="shared" ref="J132:J142" si="45">L132-K132</f>
        <v>1384.3598418776919</v>
      </c>
      <c r="K132" s="36">
        <f t="shared" ref="K132:K142" si="46">I132*$F$12</f>
        <v>5953.2858969160707</v>
      </c>
      <c r="L132" s="13">
        <f t="shared" ref="L132:L142" si="47">$F$14</f>
        <v>7337.6457387937626</v>
      </c>
      <c r="M132" s="37">
        <f t="shared" ref="M132:M142" si="48">I132-J132</f>
        <v>891608.52469553286</v>
      </c>
    </row>
    <row r="133" spans="2:13" ht="15" x14ac:dyDescent="0.25">
      <c r="B133" s="11"/>
      <c r="C133" s="11"/>
      <c r="D133" s="11"/>
      <c r="E133" s="11"/>
      <c r="F133" s="11"/>
      <c r="I133" s="36">
        <f t="shared" ref="I133:I142" si="49">M132</f>
        <v>891608.52469553286</v>
      </c>
      <c r="J133" s="38">
        <f t="shared" si="45"/>
        <v>1393.5889074902097</v>
      </c>
      <c r="K133" s="36">
        <f t="shared" si="46"/>
        <v>5944.0568313035528</v>
      </c>
      <c r="L133" s="13">
        <f t="shared" si="47"/>
        <v>7337.6457387937626</v>
      </c>
      <c r="M133" s="37">
        <f t="shared" si="48"/>
        <v>890214.93578804261</v>
      </c>
    </row>
    <row r="134" spans="2:13" ht="15" x14ac:dyDescent="0.25">
      <c r="B134" s="11"/>
      <c r="C134" s="11"/>
      <c r="D134" s="11"/>
      <c r="E134" s="11"/>
      <c r="F134" s="11"/>
      <c r="I134" s="36">
        <f t="shared" si="49"/>
        <v>890214.93578804261</v>
      </c>
      <c r="J134" s="38">
        <f t="shared" si="45"/>
        <v>1402.8795002068118</v>
      </c>
      <c r="K134" s="36">
        <f t="shared" si="46"/>
        <v>5934.7662385869507</v>
      </c>
      <c r="L134" s="13">
        <f t="shared" si="47"/>
        <v>7337.6457387937626</v>
      </c>
      <c r="M134" s="37">
        <f t="shared" si="48"/>
        <v>888812.05628783582</v>
      </c>
    </row>
    <row r="135" spans="2:13" ht="15" x14ac:dyDescent="0.25">
      <c r="B135" s="11"/>
      <c r="C135" s="11"/>
      <c r="D135" s="11"/>
      <c r="E135" s="11"/>
      <c r="F135" s="11"/>
      <c r="I135" s="36">
        <f t="shared" si="49"/>
        <v>888812.05628783582</v>
      </c>
      <c r="J135" s="38">
        <f t="shared" si="45"/>
        <v>1412.2320302081898</v>
      </c>
      <c r="K135" s="36">
        <f t="shared" si="46"/>
        <v>5925.4137085855727</v>
      </c>
      <c r="L135" s="13">
        <f t="shared" si="47"/>
        <v>7337.6457387937626</v>
      </c>
      <c r="M135" s="37">
        <f t="shared" si="48"/>
        <v>887399.8242576276</v>
      </c>
    </row>
    <row r="136" spans="2:13" ht="15" x14ac:dyDescent="0.25">
      <c r="B136" s="11"/>
      <c r="C136" s="11"/>
      <c r="D136" s="11"/>
      <c r="E136" s="11"/>
      <c r="F136" s="11"/>
      <c r="I136" s="36">
        <f t="shared" si="49"/>
        <v>887399.8242576276</v>
      </c>
      <c r="J136" s="38">
        <f t="shared" si="45"/>
        <v>1421.6469104095786</v>
      </c>
      <c r="K136" s="36">
        <f t="shared" si="46"/>
        <v>5915.998828384184</v>
      </c>
      <c r="L136" s="13">
        <f t="shared" si="47"/>
        <v>7337.6457387937626</v>
      </c>
      <c r="M136" s="37">
        <f t="shared" si="48"/>
        <v>885978.17734721804</v>
      </c>
    </row>
    <row r="137" spans="2:13" ht="15" x14ac:dyDescent="0.25">
      <c r="B137" s="11"/>
      <c r="C137" s="11"/>
      <c r="D137" s="11"/>
      <c r="E137" s="11"/>
      <c r="F137" s="11"/>
      <c r="I137" s="36">
        <f t="shared" si="49"/>
        <v>885978.17734721804</v>
      </c>
      <c r="J137" s="38">
        <f t="shared" si="45"/>
        <v>1431.1245564789751</v>
      </c>
      <c r="K137" s="36">
        <f t="shared" si="46"/>
        <v>5906.5211823147874</v>
      </c>
      <c r="L137" s="13">
        <f t="shared" si="47"/>
        <v>7337.6457387937626</v>
      </c>
      <c r="M137" s="37">
        <f t="shared" si="48"/>
        <v>884547.05279073911</v>
      </c>
    </row>
    <row r="138" spans="2:13" ht="15" x14ac:dyDescent="0.25">
      <c r="B138" s="11"/>
      <c r="C138" s="11"/>
      <c r="D138" s="11"/>
      <c r="E138" s="11"/>
      <c r="F138" s="11"/>
      <c r="I138" s="36">
        <f t="shared" si="49"/>
        <v>884547.05279073911</v>
      </c>
      <c r="J138" s="38">
        <f t="shared" si="45"/>
        <v>1440.6653868555013</v>
      </c>
      <c r="K138" s="36">
        <f t="shared" si="46"/>
        <v>5896.9803519382613</v>
      </c>
      <c r="L138" s="13">
        <f t="shared" si="47"/>
        <v>7337.6457387937626</v>
      </c>
      <c r="M138" s="37">
        <f t="shared" si="48"/>
        <v>883106.38740388362</v>
      </c>
    </row>
    <row r="139" spans="2:13" ht="15" x14ac:dyDescent="0.25">
      <c r="B139" s="11"/>
      <c r="C139" s="11"/>
      <c r="D139" s="11"/>
      <c r="E139" s="11"/>
      <c r="F139" s="14"/>
      <c r="I139" s="36">
        <f t="shared" si="49"/>
        <v>883106.38740388362</v>
      </c>
      <c r="J139" s="38">
        <f t="shared" si="45"/>
        <v>1450.2698227678711</v>
      </c>
      <c r="K139" s="36">
        <f t="shared" si="46"/>
        <v>5887.3759160258915</v>
      </c>
      <c r="L139" s="13">
        <f t="shared" si="47"/>
        <v>7337.6457387937626</v>
      </c>
      <c r="M139" s="37">
        <f t="shared" si="48"/>
        <v>881656.1175811158</v>
      </c>
    </row>
    <row r="140" spans="2:13" ht="15" x14ac:dyDescent="0.25">
      <c r="B140" s="15"/>
      <c r="C140" s="14"/>
      <c r="D140" s="14"/>
      <c r="E140" s="11"/>
      <c r="F140" s="11"/>
      <c r="I140" s="36">
        <f t="shared" si="49"/>
        <v>881656.1175811158</v>
      </c>
      <c r="J140" s="38">
        <f t="shared" si="45"/>
        <v>1459.9382882529899</v>
      </c>
      <c r="K140" s="36">
        <f t="shared" si="46"/>
        <v>5877.7074505407727</v>
      </c>
      <c r="L140" s="13">
        <f t="shared" si="47"/>
        <v>7337.6457387937626</v>
      </c>
      <c r="M140" s="37">
        <f t="shared" si="48"/>
        <v>880196.17929286277</v>
      </c>
    </row>
    <row r="141" spans="2:13" ht="15" x14ac:dyDescent="0.25">
      <c r="B141" s="12"/>
      <c r="C141" s="11"/>
      <c r="D141" s="11"/>
      <c r="E141" s="11"/>
      <c r="F141" s="11"/>
      <c r="I141" s="36">
        <f t="shared" si="49"/>
        <v>880196.17929286277</v>
      </c>
      <c r="J141" s="38">
        <f t="shared" si="45"/>
        <v>1469.6712101746771</v>
      </c>
      <c r="K141" s="36">
        <f t="shared" si="46"/>
        <v>5867.9745286190855</v>
      </c>
      <c r="L141" s="13">
        <f t="shared" si="47"/>
        <v>7337.6457387937626</v>
      </c>
      <c r="M141" s="37">
        <f t="shared" si="48"/>
        <v>878726.50808268809</v>
      </c>
    </row>
    <row r="142" spans="2:13" ht="15" x14ac:dyDescent="0.25">
      <c r="B142" s="11"/>
      <c r="C142" s="11"/>
      <c r="D142" s="11"/>
      <c r="E142" s="11"/>
      <c r="F142" s="11"/>
      <c r="H142" s="9" t="s">
        <v>121</v>
      </c>
      <c r="I142" s="36">
        <f t="shared" si="49"/>
        <v>878726.50808268809</v>
      </c>
      <c r="J142" s="38">
        <f t="shared" si="45"/>
        <v>1479.4690182425084</v>
      </c>
      <c r="K142" s="36">
        <f t="shared" si="46"/>
        <v>5858.1767205512542</v>
      </c>
      <c r="L142" s="13">
        <f t="shared" si="47"/>
        <v>7337.6457387937626</v>
      </c>
      <c r="M142" s="40">
        <f t="shared" si="48"/>
        <v>877247.03906444553</v>
      </c>
    </row>
    <row r="143" spans="2:13" x14ac:dyDescent="0.2">
      <c r="B143" s="11"/>
      <c r="C143" s="11"/>
      <c r="D143" s="11"/>
      <c r="E143" s="11"/>
      <c r="F143" s="11"/>
      <c r="H143" s="9" t="s">
        <v>89</v>
      </c>
      <c r="K143" s="41">
        <f>SUM(K131:K142)</f>
        <v>70930.71149665516</v>
      </c>
    </row>
    <row r="144" spans="2:13" x14ac:dyDescent="0.2">
      <c r="B144" s="11"/>
      <c r="C144" s="11"/>
      <c r="D144" s="11"/>
      <c r="E144" s="11"/>
      <c r="F144" s="11"/>
    </row>
    <row r="145" spans="2:6" x14ac:dyDescent="0.2">
      <c r="B145" s="11"/>
      <c r="C145" s="11"/>
      <c r="D145" s="11"/>
      <c r="E145" s="11"/>
      <c r="F145" s="11"/>
    </row>
    <row r="146" spans="2:6" x14ac:dyDescent="0.2">
      <c r="B146" s="11"/>
      <c r="C146" s="11"/>
      <c r="D146" s="11"/>
      <c r="E146" s="11"/>
      <c r="F146" s="11"/>
    </row>
    <row r="147" spans="2:6" x14ac:dyDescent="0.2">
      <c r="B147" s="11"/>
      <c r="C147" s="11"/>
      <c r="D147" s="11"/>
      <c r="E147" s="11"/>
      <c r="F147" s="11"/>
    </row>
    <row r="148" spans="2:6" x14ac:dyDescent="0.2">
      <c r="B148" s="11"/>
      <c r="C148" s="11"/>
      <c r="D148" s="11"/>
      <c r="E148" s="11"/>
      <c r="F148" s="11"/>
    </row>
    <row r="149" spans="2:6" x14ac:dyDescent="0.2">
      <c r="B149" s="11"/>
      <c r="C149" s="11"/>
      <c r="D149" s="11"/>
      <c r="E149" s="11"/>
      <c r="F149" s="11"/>
    </row>
    <row r="150" spans="2:6" x14ac:dyDescent="0.2">
      <c r="B150" s="11"/>
      <c r="C150" s="11"/>
      <c r="D150" s="11"/>
      <c r="E150" s="11"/>
      <c r="F150" s="11"/>
    </row>
    <row r="151" spans="2:6" x14ac:dyDescent="0.2">
      <c r="B151" s="11"/>
      <c r="C151" s="11"/>
      <c r="D151" s="11"/>
      <c r="E151" s="11"/>
      <c r="F151" s="11"/>
    </row>
    <row r="152" spans="2:6" x14ac:dyDescent="0.2">
      <c r="B152" s="11"/>
      <c r="C152" s="11"/>
      <c r="D152" s="11"/>
      <c r="E152" s="11"/>
      <c r="F152" s="11"/>
    </row>
    <row r="153" spans="2:6" x14ac:dyDescent="0.2">
      <c r="B153" s="11"/>
      <c r="C153" s="11"/>
      <c r="D153" s="11"/>
      <c r="E153" s="11"/>
      <c r="F153" s="14"/>
    </row>
    <row r="154" spans="2:6" x14ac:dyDescent="0.2">
      <c r="B154" s="15"/>
      <c r="C154" s="14"/>
      <c r="D154" s="14"/>
      <c r="E154" s="11"/>
      <c r="F154" s="11"/>
    </row>
    <row r="155" spans="2:6" x14ac:dyDescent="0.2">
      <c r="B155" s="12"/>
      <c r="C155" s="11"/>
      <c r="D155" s="11"/>
      <c r="E155" s="11"/>
      <c r="F155" s="11"/>
    </row>
    <row r="156" spans="2:6" x14ac:dyDescent="0.2">
      <c r="B156" s="11"/>
      <c r="C156" s="11"/>
      <c r="D156" s="11"/>
      <c r="E156" s="11"/>
      <c r="F156" s="11"/>
    </row>
    <row r="157" spans="2:6" x14ac:dyDescent="0.2">
      <c r="B157" s="11"/>
      <c r="C157" s="11"/>
      <c r="D157" s="11"/>
      <c r="E157" s="11"/>
      <c r="F157" s="11"/>
    </row>
    <row r="158" spans="2:6" x14ac:dyDescent="0.2">
      <c r="B158" s="11"/>
      <c r="C158" s="11"/>
      <c r="D158" s="11"/>
      <c r="E158" s="11"/>
      <c r="F158" s="11"/>
    </row>
    <row r="159" spans="2:6" x14ac:dyDescent="0.2">
      <c r="B159" s="11"/>
      <c r="C159" s="11"/>
      <c r="D159" s="11"/>
      <c r="E159" s="11"/>
      <c r="F159" s="11"/>
    </row>
    <row r="160" spans="2:6" x14ac:dyDescent="0.2">
      <c r="B160" s="11"/>
      <c r="C160" s="11"/>
      <c r="D160" s="11"/>
      <c r="E160" s="11"/>
      <c r="F160" s="11"/>
    </row>
    <row r="161" spans="2:6" x14ac:dyDescent="0.2">
      <c r="B161" s="11"/>
      <c r="C161" s="11"/>
      <c r="D161" s="11"/>
      <c r="E161" s="11"/>
      <c r="F161" s="11"/>
    </row>
    <row r="162" spans="2:6" x14ac:dyDescent="0.2">
      <c r="B162" s="11"/>
      <c r="C162" s="11"/>
      <c r="D162" s="11"/>
      <c r="E162" s="11"/>
      <c r="F162" s="11"/>
    </row>
    <row r="163" spans="2:6" x14ac:dyDescent="0.2">
      <c r="B163" s="11"/>
      <c r="C163" s="11"/>
      <c r="D163" s="11"/>
      <c r="E163" s="11"/>
      <c r="F163" s="11"/>
    </row>
    <row r="164" spans="2:6" x14ac:dyDescent="0.2">
      <c r="B164" s="11"/>
      <c r="C164" s="11"/>
      <c r="D164" s="11"/>
      <c r="E164" s="11"/>
      <c r="F164" s="11"/>
    </row>
    <row r="165" spans="2:6" x14ac:dyDescent="0.2">
      <c r="B165" s="11"/>
      <c r="C165" s="11"/>
      <c r="D165" s="11"/>
      <c r="E165" s="11"/>
      <c r="F165" s="11"/>
    </row>
    <row r="166" spans="2:6" x14ac:dyDescent="0.2">
      <c r="B166" s="11"/>
      <c r="C166" s="11"/>
      <c r="D166" s="11"/>
      <c r="E166" s="11"/>
      <c r="F166" s="11"/>
    </row>
    <row r="167" spans="2:6" x14ac:dyDescent="0.2">
      <c r="B167" s="11"/>
      <c r="C167" s="11"/>
      <c r="D167" s="11"/>
      <c r="E167" s="11"/>
      <c r="F167" s="14"/>
    </row>
    <row r="168" spans="2:6" x14ac:dyDescent="0.2">
      <c r="B168" s="16"/>
      <c r="C168" s="14"/>
      <c r="D168" s="14"/>
    </row>
    <row r="170" spans="2:6" x14ac:dyDescent="0.2">
      <c r="B170" s="11"/>
      <c r="C170" s="11"/>
      <c r="D170" s="11"/>
      <c r="E170" s="11"/>
      <c r="F170" s="11"/>
    </row>
    <row r="171" spans="2:6" x14ac:dyDescent="0.2">
      <c r="B171" s="11"/>
      <c r="C171" s="11"/>
      <c r="D171" s="11"/>
      <c r="E171" s="11"/>
      <c r="F171" s="11"/>
    </row>
    <row r="172" spans="2:6" x14ac:dyDescent="0.2">
      <c r="B172" s="11"/>
      <c r="C172" s="11"/>
      <c r="D172" s="11"/>
      <c r="E172" s="11"/>
      <c r="F172" s="11"/>
    </row>
    <row r="173" spans="2:6" x14ac:dyDescent="0.2">
      <c r="B173" s="11"/>
      <c r="C173" s="11"/>
      <c r="D173" s="11"/>
      <c r="E173" s="11"/>
      <c r="F173" s="11"/>
    </row>
    <row r="174" spans="2:6" x14ac:dyDescent="0.2">
      <c r="B174" s="11"/>
      <c r="C174" s="11"/>
      <c r="D174" s="11"/>
      <c r="E174" s="11"/>
      <c r="F174" s="11"/>
    </row>
    <row r="175" spans="2:6" x14ac:dyDescent="0.2">
      <c r="B175" s="11"/>
      <c r="C175" s="11"/>
      <c r="D175" s="11"/>
      <c r="E175" s="11"/>
      <c r="F175" s="11"/>
    </row>
    <row r="176" spans="2:6" x14ac:dyDescent="0.2">
      <c r="B176" s="11"/>
      <c r="C176" s="11"/>
      <c r="D176" s="11"/>
      <c r="E176" s="11"/>
      <c r="F176" s="11"/>
    </row>
    <row r="177" spans="2:6" x14ac:dyDescent="0.2">
      <c r="B177" s="11"/>
      <c r="C177" s="11"/>
      <c r="D177" s="11"/>
      <c r="E177" s="11"/>
      <c r="F177" s="11"/>
    </row>
    <row r="178" spans="2:6" x14ac:dyDescent="0.2">
      <c r="B178" s="11"/>
      <c r="C178" s="11"/>
      <c r="D178" s="11"/>
      <c r="E178" s="11"/>
      <c r="F178" s="11"/>
    </row>
    <row r="179" spans="2:6" x14ac:dyDescent="0.2">
      <c r="B179" s="11"/>
      <c r="C179" s="11"/>
      <c r="D179" s="11"/>
      <c r="E179" s="11"/>
      <c r="F179" s="11"/>
    </row>
    <row r="180" spans="2:6" x14ac:dyDescent="0.2">
      <c r="B180" s="11"/>
      <c r="C180" s="11"/>
      <c r="D180" s="11"/>
      <c r="E180" s="11"/>
      <c r="F180" s="11"/>
    </row>
    <row r="181" spans="2:6" x14ac:dyDescent="0.2">
      <c r="B181" s="11"/>
      <c r="C181" s="11"/>
      <c r="D181" s="11"/>
      <c r="E181" s="11"/>
      <c r="F181" s="14"/>
    </row>
    <row r="182" spans="2:6" x14ac:dyDescent="0.2">
      <c r="B182" s="16"/>
      <c r="C182" s="14"/>
      <c r="D182" s="14"/>
    </row>
    <row r="184" spans="2:6" x14ac:dyDescent="0.2">
      <c r="B184" s="11"/>
      <c r="C184" s="11"/>
      <c r="D184" s="11"/>
      <c r="E184" s="11"/>
      <c r="F184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zoomScale="95" zoomScaleNormal="95" workbookViewId="0">
      <selection activeCell="G3" sqref="G3"/>
    </sheetView>
  </sheetViews>
  <sheetFormatPr defaultColWidth="11.5703125" defaultRowHeight="12.75" x14ac:dyDescent="0.2"/>
  <cols>
    <col min="1" max="16384" width="11.5703125" style="9"/>
  </cols>
  <sheetData>
    <row r="2" spans="1:9" x14ac:dyDescent="0.2">
      <c r="A2" s="9" t="s">
        <v>57</v>
      </c>
      <c r="B2" s="9">
        <v>10000</v>
      </c>
      <c r="D2" s="9" t="s">
        <v>70</v>
      </c>
      <c r="E2" s="9" t="s">
        <v>72</v>
      </c>
      <c r="I2" s="9" t="s">
        <v>71</v>
      </c>
    </row>
    <row r="3" spans="1:9" x14ac:dyDescent="0.2">
      <c r="A3" s="9" t="s">
        <v>58</v>
      </c>
      <c r="B3" s="9">
        <v>30000</v>
      </c>
      <c r="D3" s="9">
        <f>B3/B4</f>
        <v>1000</v>
      </c>
      <c r="E3" s="9">
        <f>D3*5</f>
        <v>5000</v>
      </c>
      <c r="F3" s="9">
        <f>B3-E3</f>
        <v>25000</v>
      </c>
      <c r="G3" s="9">
        <f>F3*B5</f>
        <v>35000</v>
      </c>
      <c r="H3" s="9">
        <f>G3-F3</f>
        <v>10000</v>
      </c>
      <c r="I3" s="9">
        <f>H3*B7</f>
        <v>3000</v>
      </c>
    </row>
    <row r="4" spans="1:9" x14ac:dyDescent="0.2">
      <c r="A4" s="9" t="s">
        <v>59</v>
      </c>
      <c r="B4" s="9">
        <v>30</v>
      </c>
      <c r="D4" s="9">
        <f>B2*B6</f>
        <v>20000</v>
      </c>
      <c r="E4" s="9">
        <f>D4*B7</f>
        <v>6000</v>
      </c>
    </row>
    <row r="5" spans="1:9" x14ac:dyDescent="0.2">
      <c r="A5" s="9" t="s">
        <v>60</v>
      </c>
      <c r="B5" s="19">
        <v>1.4</v>
      </c>
    </row>
    <row r="6" spans="1:9" x14ac:dyDescent="0.2">
      <c r="A6" s="9" t="s">
        <v>61</v>
      </c>
      <c r="B6" s="19">
        <v>2</v>
      </c>
    </row>
    <row r="7" spans="1:9" x14ac:dyDescent="0.2">
      <c r="A7" s="9" t="s">
        <v>62</v>
      </c>
      <c r="B7" s="19">
        <v>0.3</v>
      </c>
    </row>
    <row r="11" spans="1:9" x14ac:dyDescent="0.2">
      <c r="B11" s="9" t="s">
        <v>63</v>
      </c>
    </row>
    <row r="12" spans="1:9" x14ac:dyDescent="0.2">
      <c r="B12" s="9" t="s">
        <v>64</v>
      </c>
    </row>
    <row r="13" spans="1:9" x14ac:dyDescent="0.2">
      <c r="B13" s="9">
        <v>1</v>
      </c>
      <c r="C13" s="9">
        <v>2</v>
      </c>
      <c r="D13" s="9">
        <v>3</v>
      </c>
      <c r="E13" s="9">
        <v>4</v>
      </c>
      <c r="F13" s="9">
        <v>5</v>
      </c>
    </row>
    <row r="14" spans="1:9" x14ac:dyDescent="0.2">
      <c r="B14" s="9">
        <f>+B2</f>
        <v>10000</v>
      </c>
      <c r="F14" s="9">
        <v>10000</v>
      </c>
    </row>
    <row r="15" spans="1:9" x14ac:dyDescent="0.2">
      <c r="F15" s="9">
        <f>+F14*B6</f>
        <v>20000</v>
      </c>
    </row>
    <row r="16" spans="1:9" x14ac:dyDescent="0.2">
      <c r="F16" s="30">
        <f>+F15*0.3</f>
        <v>6000</v>
      </c>
    </row>
    <row r="22" spans="1:6" x14ac:dyDescent="0.2">
      <c r="B22" s="9" t="s">
        <v>65</v>
      </c>
    </row>
    <row r="23" spans="1:6" x14ac:dyDescent="0.2">
      <c r="B23" s="9">
        <f>B3</f>
        <v>30000</v>
      </c>
      <c r="C23" s="9">
        <f>B25</f>
        <v>29000</v>
      </c>
      <c r="D23" s="9">
        <f>C25</f>
        <v>28000</v>
      </c>
      <c r="E23" s="9">
        <f>D25</f>
        <v>27000</v>
      </c>
      <c r="F23" s="9">
        <f>E25</f>
        <v>26000</v>
      </c>
    </row>
    <row r="24" spans="1:6" x14ac:dyDescent="0.2">
      <c r="B24" s="9">
        <f>B23/B4</f>
        <v>1000</v>
      </c>
      <c r="C24" s="9">
        <v>1000</v>
      </c>
      <c r="D24" s="9">
        <v>1000</v>
      </c>
      <c r="E24" s="9">
        <v>1000</v>
      </c>
      <c r="F24" s="9">
        <v>5000</v>
      </c>
    </row>
    <row r="25" spans="1:6" x14ac:dyDescent="0.2">
      <c r="A25" s="9" t="s">
        <v>66</v>
      </c>
      <c r="B25" s="9">
        <f>+B23-B24</f>
        <v>29000</v>
      </c>
      <c r="C25" s="9">
        <f>C23-C24</f>
        <v>28000</v>
      </c>
      <c r="D25" s="9">
        <f>D23-D24</f>
        <v>27000</v>
      </c>
      <c r="E25" s="9">
        <f>E23-E24</f>
        <v>26000</v>
      </c>
      <c r="F25" s="9">
        <f>+F23-F24</f>
        <v>21000</v>
      </c>
    </row>
    <row r="26" spans="1:6" x14ac:dyDescent="0.2">
      <c r="E26" s="30">
        <f>+E25*B5</f>
        <v>36400</v>
      </c>
      <c r="F26" s="9">
        <f>+F25*B5</f>
        <v>29399.999999999996</v>
      </c>
    </row>
    <row r="27" spans="1:6" x14ac:dyDescent="0.2">
      <c r="D27" s="9" t="s">
        <v>67</v>
      </c>
      <c r="E27" s="30">
        <f>+E26*0.3</f>
        <v>10920</v>
      </c>
      <c r="F27" s="9">
        <f>+F25-F26</f>
        <v>-8399.9999999999964</v>
      </c>
    </row>
    <row r="28" spans="1:6" x14ac:dyDescent="0.2">
      <c r="D28" s="9" t="s">
        <v>68</v>
      </c>
      <c r="E28" s="9">
        <f>E27+F16</f>
        <v>16920</v>
      </c>
    </row>
    <row r="32" spans="1:6" x14ac:dyDescent="0.2">
      <c r="B32" s="9" t="s">
        <v>69</v>
      </c>
      <c r="C32" s="9">
        <v>100000</v>
      </c>
    </row>
    <row r="33" spans="2:3" x14ac:dyDescent="0.2">
      <c r="B33" s="9" t="s">
        <v>70</v>
      </c>
      <c r="C33" s="9">
        <v>50000</v>
      </c>
    </row>
    <row r="34" spans="2:3" x14ac:dyDescent="0.2">
      <c r="C34" s="9">
        <f>C32+C33</f>
        <v>150000</v>
      </c>
    </row>
    <row r="35" spans="2:3" x14ac:dyDescent="0.2">
      <c r="B35" s="9" t="s">
        <v>71</v>
      </c>
      <c r="C35" s="9">
        <f>+C34*0.1</f>
        <v>15000</v>
      </c>
    </row>
    <row r="36" spans="2:3" x14ac:dyDescent="0.2">
      <c r="C36" s="30">
        <f>+C34-C35</f>
        <v>135000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zoomScale="95" zoomScaleNormal="95" workbookViewId="0">
      <selection activeCell="J4" sqref="J4"/>
    </sheetView>
  </sheetViews>
  <sheetFormatPr defaultColWidth="9.42578125" defaultRowHeight="15" x14ac:dyDescent="0.25"/>
  <cols>
    <col min="1" max="1" width="5.5703125" style="1" customWidth="1"/>
    <col min="2" max="2" width="50.7109375" style="1" customWidth="1"/>
    <col min="3" max="3" width="20.140625" style="1" customWidth="1"/>
    <col min="4" max="4" width="15.28515625" style="1" customWidth="1"/>
    <col min="5" max="5" width="14.28515625" style="1" customWidth="1"/>
    <col min="6" max="6" width="15" style="1" customWidth="1"/>
    <col min="7" max="7" width="14.28515625" style="1" customWidth="1"/>
    <col min="8" max="8" width="3.7109375" style="1" customWidth="1"/>
    <col min="9" max="9" width="9.42578125" style="1"/>
    <col min="10" max="10" width="12.7109375" style="1" customWidth="1"/>
    <col min="11" max="16384" width="9.42578125" style="1"/>
  </cols>
  <sheetData>
    <row r="1" spans="1:9" x14ac:dyDescent="0.25">
      <c r="A1" s="7"/>
      <c r="B1" s="7"/>
      <c r="C1" s="7"/>
      <c r="D1" s="7">
        <v>2014</v>
      </c>
      <c r="E1" s="7">
        <v>2015</v>
      </c>
      <c r="F1" s="7">
        <v>2016</v>
      </c>
      <c r="G1" s="7">
        <v>2017</v>
      </c>
    </row>
    <row r="2" spans="1:9" x14ac:dyDescent="0.25">
      <c r="A2" s="7" t="s">
        <v>0</v>
      </c>
      <c r="B2" s="7"/>
      <c r="C2" s="7"/>
      <c r="D2" s="7"/>
      <c r="E2" s="7"/>
      <c r="F2" s="7"/>
      <c r="G2" s="7"/>
    </row>
    <row r="3" spans="1:9" x14ac:dyDescent="0.25">
      <c r="A3" s="2" t="s">
        <v>1</v>
      </c>
      <c r="B3" s="2"/>
      <c r="C3" s="7"/>
      <c r="D3" s="7"/>
      <c r="E3" s="7"/>
      <c r="F3" s="7"/>
      <c r="G3" s="7"/>
    </row>
    <row r="4" spans="1:9" x14ac:dyDescent="0.25">
      <c r="A4" s="2"/>
      <c r="B4" s="2" t="s">
        <v>2</v>
      </c>
      <c r="C4" s="7"/>
      <c r="D4" s="17" t="e">
        <f>#REF!</f>
        <v>#REF!</v>
      </c>
      <c r="E4" s="17" t="e">
        <f>#REF!</f>
        <v>#REF!</v>
      </c>
      <c r="F4" s="17" t="e">
        <f>#REF!</f>
        <v>#REF!</v>
      </c>
      <c r="G4" s="17" t="e">
        <f>#REF!</f>
        <v>#REF!</v>
      </c>
    </row>
    <row r="5" spans="1:9" x14ac:dyDescent="0.25">
      <c r="A5" s="2"/>
      <c r="B5" s="2" t="s">
        <v>3</v>
      </c>
      <c r="C5" s="7"/>
      <c r="D5" s="17" t="e">
        <f>#REF!</f>
        <v>#REF!</v>
      </c>
      <c r="E5" s="17" t="e">
        <f>#REF!</f>
        <v>#REF!</v>
      </c>
      <c r="F5" s="17" t="e">
        <f>#REF!</f>
        <v>#REF!</v>
      </c>
      <c r="G5" s="17" t="e">
        <f>#REF!</f>
        <v>#REF!</v>
      </c>
    </row>
    <row r="6" spans="1:9" x14ac:dyDescent="0.25">
      <c r="A6" s="2"/>
      <c r="B6" s="2"/>
      <c r="C6" s="7"/>
      <c r="D6" s="17"/>
      <c r="E6" s="17"/>
      <c r="F6" s="17"/>
      <c r="G6" s="17"/>
    </row>
    <row r="7" spans="1:9" x14ac:dyDescent="0.25">
      <c r="A7" s="2" t="s">
        <v>4</v>
      </c>
      <c r="B7" s="2"/>
      <c r="C7" s="7"/>
      <c r="D7" s="17" t="e">
        <f>#REF!</f>
        <v>#REF!</v>
      </c>
      <c r="E7" s="17" t="e">
        <f>#REF!</f>
        <v>#REF!</v>
      </c>
      <c r="F7" s="17" t="e">
        <f>#REF!</f>
        <v>#REF!</v>
      </c>
      <c r="G7" s="17" t="e">
        <f>#REF!</f>
        <v>#REF!</v>
      </c>
    </row>
    <row r="8" spans="1:9" x14ac:dyDescent="0.25">
      <c r="A8" s="2"/>
      <c r="B8" s="2"/>
      <c r="C8" s="7"/>
      <c r="D8" s="17"/>
      <c r="E8" s="17"/>
      <c r="F8" s="17"/>
      <c r="G8" s="17"/>
    </row>
    <row r="9" spans="1:9" x14ac:dyDescent="0.25">
      <c r="A9" s="2" t="s">
        <v>5</v>
      </c>
      <c r="B9" s="2"/>
      <c r="C9" s="7"/>
      <c r="D9" s="17" t="e">
        <f>#REF!</f>
        <v>#REF!</v>
      </c>
      <c r="E9" s="17" t="e">
        <f>#REF!</f>
        <v>#REF!</v>
      </c>
      <c r="F9" s="17" t="e">
        <f>#REF!</f>
        <v>#REF!</v>
      </c>
      <c r="G9" s="17" t="e">
        <f>#REF!</f>
        <v>#REF!</v>
      </c>
    </row>
    <row r="10" spans="1:9" x14ac:dyDescent="0.25">
      <c r="A10" s="2"/>
      <c r="B10" s="2" t="s">
        <v>6</v>
      </c>
      <c r="C10" s="7"/>
      <c r="D10" s="17" t="e">
        <f>#REF!</f>
        <v>#REF!</v>
      </c>
      <c r="E10" s="17" t="e">
        <f>#REF!</f>
        <v>#REF!</v>
      </c>
      <c r="F10" s="17" t="e">
        <f>#REF!</f>
        <v>#REF!</v>
      </c>
      <c r="G10" s="17" t="e">
        <f>#REF!</f>
        <v>#REF!</v>
      </c>
    </row>
    <row r="11" spans="1:9" x14ac:dyDescent="0.25">
      <c r="A11" s="2"/>
      <c r="B11" s="2" t="s">
        <v>7</v>
      </c>
      <c r="C11" s="7"/>
      <c r="D11" s="17" t="e">
        <f>#REF!</f>
        <v>#REF!</v>
      </c>
      <c r="E11" s="17" t="e">
        <f>#REF!</f>
        <v>#REF!</v>
      </c>
      <c r="F11" s="17" t="e">
        <f>#REF!</f>
        <v>#REF!</v>
      </c>
      <c r="G11" s="17" t="e">
        <f>#REF!</f>
        <v>#REF!</v>
      </c>
    </row>
    <row r="12" spans="1:9" x14ac:dyDescent="0.25">
      <c r="A12" s="2"/>
      <c r="B12" s="2" t="s">
        <v>8</v>
      </c>
      <c r="C12" s="7"/>
      <c r="D12" s="17" t="e">
        <f>#REF!</f>
        <v>#REF!</v>
      </c>
      <c r="E12" s="17" t="e">
        <f>#REF!</f>
        <v>#REF!</v>
      </c>
      <c r="F12" s="17" t="e">
        <f>#REF!</f>
        <v>#REF!</v>
      </c>
      <c r="G12" s="17" t="e">
        <f>#REF!</f>
        <v>#REF!</v>
      </c>
      <c r="I12" s="18"/>
    </row>
    <row r="13" spans="1:9" x14ac:dyDescent="0.25">
      <c r="A13" s="2"/>
      <c r="B13" s="2"/>
      <c r="C13" s="7"/>
      <c r="D13" s="17"/>
      <c r="E13" s="17"/>
      <c r="F13" s="17"/>
      <c r="G13" s="17"/>
    </row>
    <row r="14" spans="1:9" x14ac:dyDescent="0.25">
      <c r="A14" s="2" t="s">
        <v>9</v>
      </c>
      <c r="B14" s="2"/>
      <c r="C14" s="7"/>
      <c r="D14" s="17" t="e">
        <f>#REF!</f>
        <v>#REF!</v>
      </c>
      <c r="E14" s="17" t="e">
        <f>#REF!</f>
        <v>#REF!</v>
      </c>
      <c r="F14" s="17" t="e">
        <f>#REF!</f>
        <v>#REF!</v>
      </c>
      <c r="G14" s="17" t="e">
        <f>#REF!</f>
        <v>#REF!</v>
      </c>
    </row>
    <row r="15" spans="1:9" x14ac:dyDescent="0.25">
      <c r="A15" s="2" t="s">
        <v>10</v>
      </c>
      <c r="B15" s="2"/>
      <c r="C15" s="7"/>
      <c r="D15" s="17" t="e">
        <f>#REF!</f>
        <v>#REF!</v>
      </c>
      <c r="E15" s="17" t="e">
        <f>#REF!</f>
        <v>#REF!</v>
      </c>
      <c r="F15" s="17" t="e">
        <f>#REF!</f>
        <v>#REF!</v>
      </c>
      <c r="G15" s="17" t="e">
        <f>#REF!</f>
        <v>#REF!</v>
      </c>
    </row>
    <row r="16" spans="1:9" x14ac:dyDescent="0.25">
      <c r="A16" s="2" t="s">
        <v>11</v>
      </c>
      <c r="B16" s="2"/>
      <c r="C16" s="7"/>
      <c r="D16" s="17" t="e">
        <f>#REF!</f>
        <v>#REF!</v>
      </c>
      <c r="E16" s="17" t="e">
        <f>#REF!</f>
        <v>#REF!</v>
      </c>
      <c r="F16" s="17" t="e">
        <f>#REF!</f>
        <v>#REF!</v>
      </c>
      <c r="G16" s="17" t="e">
        <f>#REF!</f>
        <v>#REF!</v>
      </c>
    </row>
    <row r="17" spans="1:7" x14ac:dyDescent="0.25">
      <c r="A17" s="2"/>
      <c r="B17" s="2"/>
      <c r="C17" s="7"/>
      <c r="D17" s="17"/>
      <c r="E17" s="17"/>
      <c r="F17" s="17"/>
      <c r="G17" s="17"/>
    </row>
    <row r="18" spans="1:7" x14ac:dyDescent="0.25">
      <c r="A18" s="2" t="s">
        <v>12</v>
      </c>
      <c r="B18" s="2"/>
      <c r="C18" s="7"/>
      <c r="D18" s="17" t="e">
        <f>#REF!</f>
        <v>#REF!</v>
      </c>
      <c r="E18" s="17" t="e">
        <f>#REF!</f>
        <v>#REF!</v>
      </c>
      <c r="F18" s="17" t="e">
        <f>#REF!</f>
        <v>#REF!</v>
      </c>
      <c r="G18" s="17" t="e">
        <f>#REF!</f>
        <v>#REF!</v>
      </c>
    </row>
    <row r="19" spans="1:7" x14ac:dyDescent="0.25">
      <c r="A19" s="2" t="s">
        <v>13</v>
      </c>
      <c r="B19" s="2"/>
      <c r="C19" s="7"/>
      <c r="D19" s="17" t="e">
        <f>#REF!</f>
        <v>#REF!</v>
      </c>
      <c r="E19" s="17" t="e">
        <f>#REF!</f>
        <v>#REF!</v>
      </c>
      <c r="F19" s="17" t="e">
        <f>#REF!</f>
        <v>#REF!</v>
      </c>
      <c r="G19" s="17" t="e">
        <f>#REF!</f>
        <v>#REF!</v>
      </c>
    </row>
    <row r="20" spans="1:7" x14ac:dyDescent="0.25">
      <c r="A20" s="2" t="s">
        <v>14</v>
      </c>
      <c r="B20" s="2"/>
      <c r="C20" s="7"/>
      <c r="D20" s="17" t="e">
        <f>#REF!</f>
        <v>#REF!</v>
      </c>
      <c r="E20" s="17" t="e">
        <f>#REF!</f>
        <v>#REF!</v>
      </c>
      <c r="F20" s="17" t="e">
        <f>#REF!</f>
        <v>#REF!</v>
      </c>
      <c r="G20" s="17" t="e">
        <f>#REF!</f>
        <v>#REF!</v>
      </c>
    </row>
    <row r="21" spans="1:7" x14ac:dyDescent="0.25">
      <c r="A21" s="2"/>
      <c r="B21" s="2"/>
      <c r="C21" s="7"/>
      <c r="D21" s="17"/>
      <c r="E21" s="17"/>
      <c r="F21" s="17"/>
      <c r="G21" s="17"/>
    </row>
    <row r="22" spans="1:7" x14ac:dyDescent="0.25">
      <c r="A22" s="2" t="s">
        <v>15</v>
      </c>
      <c r="B22" s="2"/>
      <c r="C22" s="7"/>
      <c r="D22" s="17"/>
      <c r="E22" s="17"/>
      <c r="F22" s="17"/>
      <c r="G22" s="17"/>
    </row>
    <row r="23" spans="1:7" x14ac:dyDescent="0.25">
      <c r="A23" s="2" t="s">
        <v>16</v>
      </c>
      <c r="B23" s="2"/>
      <c r="C23" s="7"/>
      <c r="D23" s="17"/>
      <c r="E23" s="17"/>
      <c r="F23" s="17"/>
      <c r="G23" s="17"/>
    </row>
    <row r="24" spans="1:7" x14ac:dyDescent="0.25">
      <c r="A24" s="2" t="s">
        <v>17</v>
      </c>
      <c r="B24" s="2"/>
      <c r="C24" s="7"/>
      <c r="D24" s="17" t="e">
        <f>#REF!</f>
        <v>#REF!</v>
      </c>
      <c r="E24" s="17" t="e">
        <f>#REF!</f>
        <v>#REF!</v>
      </c>
      <c r="F24" s="17" t="e">
        <f>#REF!</f>
        <v>#REF!</v>
      </c>
      <c r="G24" s="17" t="e">
        <f>#REF!</f>
        <v>#REF!</v>
      </c>
    </row>
    <row r="25" spans="1:7" x14ac:dyDescent="0.25">
      <c r="A25" s="2" t="s">
        <v>18</v>
      </c>
      <c r="B25" s="2"/>
      <c r="C25" s="7"/>
      <c r="D25" s="17" t="e">
        <f>#REF!</f>
        <v>#REF!</v>
      </c>
      <c r="E25" s="17" t="e">
        <f>#REF!</f>
        <v>#REF!</v>
      </c>
      <c r="F25" s="17" t="e">
        <f>#REF!</f>
        <v>#REF!</v>
      </c>
      <c r="G25" s="17" t="e">
        <f>#REF!</f>
        <v>#REF!</v>
      </c>
    </row>
    <row r="26" spans="1:7" x14ac:dyDescent="0.25">
      <c r="A26" s="2" t="s">
        <v>19</v>
      </c>
      <c r="B26" s="2"/>
      <c r="C26" s="7"/>
      <c r="D26" s="17" t="e">
        <f>#REF!</f>
        <v>#REF!</v>
      </c>
      <c r="E26" s="17" t="e">
        <f>#REF!</f>
        <v>#REF!</v>
      </c>
      <c r="F26" s="17" t="e">
        <f>#REF!</f>
        <v>#REF!</v>
      </c>
      <c r="G26" s="17" t="e">
        <f>#REF!</f>
        <v>#REF!</v>
      </c>
    </row>
    <row r="27" spans="1:7" x14ac:dyDescent="0.25">
      <c r="A27" s="2" t="s">
        <v>20</v>
      </c>
      <c r="B27" s="2"/>
      <c r="C27" s="7"/>
      <c r="D27" s="17" t="e">
        <f>#REF!</f>
        <v>#REF!</v>
      </c>
      <c r="E27" s="17" t="e">
        <f>#REF!</f>
        <v>#REF!</v>
      </c>
      <c r="F27" s="17" t="e">
        <f>#REF!</f>
        <v>#REF!</v>
      </c>
      <c r="G27" s="17" t="e">
        <f>#REF!</f>
        <v>#REF!</v>
      </c>
    </row>
    <row r="28" spans="1:7" x14ac:dyDescent="0.25">
      <c r="A28" s="2"/>
      <c r="B28" s="2"/>
      <c r="C28" s="7"/>
      <c r="D28" s="17"/>
      <c r="E28" s="17"/>
      <c r="F28" s="17"/>
      <c r="G28" s="17"/>
    </row>
    <row r="29" spans="1:7" x14ac:dyDescent="0.25">
      <c r="A29" s="2" t="s">
        <v>21</v>
      </c>
      <c r="B29" s="2"/>
      <c r="C29" s="7"/>
      <c r="D29" s="17" t="e">
        <f>#REF!</f>
        <v>#REF!</v>
      </c>
      <c r="E29" s="17" t="e">
        <f>#REF!</f>
        <v>#REF!</v>
      </c>
      <c r="F29" s="17" t="e">
        <f>#REF!</f>
        <v>#REF!</v>
      </c>
      <c r="G29" s="17" t="e">
        <f>#REF!</f>
        <v>#REF!</v>
      </c>
    </row>
    <row r="30" spans="1:7" x14ac:dyDescent="0.25">
      <c r="A30" s="2" t="s">
        <v>22</v>
      </c>
      <c r="B30" s="2"/>
      <c r="C30" s="7"/>
      <c r="D30" s="17" t="e">
        <f>#REF!</f>
        <v>#REF!</v>
      </c>
      <c r="E30" s="17" t="e">
        <f>#REF!</f>
        <v>#REF!</v>
      </c>
      <c r="F30" s="17" t="e">
        <f>#REF!</f>
        <v>#REF!</v>
      </c>
      <c r="G30" s="17" t="e">
        <f>#REF!</f>
        <v>#REF!</v>
      </c>
    </row>
    <row r="31" spans="1:7" x14ac:dyDescent="0.25">
      <c r="A31" s="2"/>
      <c r="B31" s="2"/>
      <c r="C31" s="7"/>
      <c r="D31" s="17"/>
      <c r="E31" s="17"/>
      <c r="F31" s="17"/>
      <c r="G31" s="17"/>
    </row>
    <row r="32" spans="1:7" x14ac:dyDescent="0.25">
      <c r="A32" s="2" t="s">
        <v>23</v>
      </c>
      <c r="B32" s="2"/>
      <c r="C32" s="7"/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</row>
    <row r="33" spans="1:7" x14ac:dyDescent="0.25">
      <c r="A33" s="2"/>
      <c r="B33" s="2"/>
      <c r="C33" s="7"/>
      <c r="D33" s="17"/>
      <c r="E33" s="17"/>
      <c r="F33" s="17"/>
      <c r="G33" s="17"/>
    </row>
    <row r="34" spans="1:7" x14ac:dyDescent="0.25">
      <c r="A34" s="2" t="s">
        <v>24</v>
      </c>
      <c r="B34" s="2"/>
      <c r="C34" s="7"/>
      <c r="D34" s="17"/>
      <c r="E34" s="17"/>
      <c r="F34" s="17"/>
      <c r="G34" s="17"/>
    </row>
    <row r="35" spans="1:7" x14ac:dyDescent="0.25">
      <c r="A35" s="2" t="s">
        <v>25</v>
      </c>
      <c r="B35" s="2"/>
      <c r="C35" s="7"/>
      <c r="D35" s="17" t="e">
        <f>#REF!</f>
        <v>#REF!</v>
      </c>
      <c r="E35" s="17" t="e">
        <f>#REF!</f>
        <v>#REF!</v>
      </c>
      <c r="F35" s="17" t="e">
        <f>#REF!</f>
        <v>#REF!</v>
      </c>
      <c r="G35" s="17" t="e">
        <f>#REF!</f>
        <v>#REF!</v>
      </c>
    </row>
    <row r="36" spans="1:7" x14ac:dyDescent="0.25">
      <c r="A36" s="2" t="s">
        <v>26</v>
      </c>
      <c r="B36" s="2"/>
      <c r="C36" s="7"/>
      <c r="D36" s="17" t="e">
        <f>#REF!</f>
        <v>#REF!</v>
      </c>
      <c r="E36" s="17" t="e">
        <f>#REF!</f>
        <v>#REF!</v>
      </c>
      <c r="F36" s="17" t="e">
        <f>#REF!</f>
        <v>#REF!</v>
      </c>
      <c r="G36" s="17" t="e">
        <f>#REF!</f>
        <v>#REF!</v>
      </c>
    </row>
    <row r="37" spans="1:7" x14ac:dyDescent="0.25">
      <c r="A37" s="2"/>
      <c r="B37" s="2"/>
      <c r="C37" s="7"/>
      <c r="D37" s="17"/>
      <c r="E37" s="17"/>
      <c r="F37" s="17"/>
      <c r="G37" s="17"/>
    </row>
    <row r="38" spans="1:7" x14ac:dyDescent="0.25">
      <c r="A38" s="2" t="s">
        <v>27</v>
      </c>
      <c r="B38" s="2"/>
      <c r="C38" s="7"/>
      <c r="D38" s="17" t="e">
        <f>#REF!</f>
        <v>#REF!</v>
      </c>
      <c r="E38" s="17" t="e">
        <f>#REF!</f>
        <v>#REF!</v>
      </c>
      <c r="F38" s="17" t="e">
        <f>#REF!</f>
        <v>#REF!</v>
      </c>
      <c r="G38" s="17" t="e">
        <f>#REF!</f>
        <v>#REF!</v>
      </c>
    </row>
    <row r="39" spans="1:7" x14ac:dyDescent="0.25">
      <c r="A39" s="2" t="s">
        <v>28</v>
      </c>
      <c r="B39" s="2"/>
      <c r="C39" s="7"/>
      <c r="D39" s="17" t="e">
        <f>#REF!</f>
        <v>#REF!</v>
      </c>
      <c r="E39" s="17" t="e">
        <f>#REF!</f>
        <v>#REF!</v>
      </c>
      <c r="F39" s="17" t="e">
        <f>#REF!</f>
        <v>#REF!</v>
      </c>
      <c r="G39" s="17" t="e">
        <f>#REF!</f>
        <v>#REF!</v>
      </c>
    </row>
    <row r="40" spans="1:7" x14ac:dyDescent="0.25">
      <c r="A40" s="2"/>
      <c r="B40" s="2"/>
      <c r="C40" s="7"/>
      <c r="D40" s="17"/>
      <c r="E40" s="17"/>
      <c r="F40" s="17"/>
      <c r="G40" s="17"/>
    </row>
    <row r="41" spans="1:7" x14ac:dyDescent="0.25">
      <c r="A41" s="2" t="s">
        <v>29</v>
      </c>
      <c r="B41" s="2"/>
      <c r="C41" s="7"/>
      <c r="D41" s="17" t="e">
        <f>#REF!</f>
        <v>#REF!</v>
      </c>
      <c r="E41" s="17" t="e">
        <f>#REF!</f>
        <v>#REF!</v>
      </c>
      <c r="F41" s="17" t="e">
        <f>#REF!</f>
        <v>#REF!</v>
      </c>
      <c r="G41" s="17" t="e">
        <f>#REF!</f>
        <v>#REF!</v>
      </c>
    </row>
    <row r="42" spans="1:7" x14ac:dyDescent="0.25">
      <c r="A42" s="2" t="s">
        <v>30</v>
      </c>
      <c r="B42" s="2"/>
      <c r="C42" s="7"/>
      <c r="D42" s="17" t="e">
        <f>#REF!</f>
        <v>#REF!</v>
      </c>
      <c r="E42" s="17" t="e">
        <f>#REF!</f>
        <v>#REF!</v>
      </c>
      <c r="F42" s="17" t="e">
        <f>#REF!</f>
        <v>#REF!</v>
      </c>
      <c r="G42" s="17" t="e">
        <f>#REF!</f>
        <v>#REF!</v>
      </c>
    </row>
    <row r="43" spans="1:7" x14ac:dyDescent="0.25">
      <c r="A43" s="2"/>
      <c r="B43" s="2"/>
      <c r="C43" s="7"/>
      <c r="D43" s="17"/>
      <c r="E43" s="17"/>
      <c r="F43" s="17"/>
      <c r="G43" s="17"/>
    </row>
    <row r="44" spans="1:7" x14ac:dyDescent="0.25">
      <c r="A44" s="2" t="s">
        <v>31</v>
      </c>
      <c r="B44" s="2"/>
      <c r="C44" s="7"/>
      <c r="D44" s="17" t="e">
        <f>#REF!</f>
        <v>#REF!</v>
      </c>
      <c r="E44" s="17" t="e">
        <f>#REF!</f>
        <v>#REF!</v>
      </c>
      <c r="F44" s="17" t="e">
        <f>#REF!</f>
        <v>#REF!</v>
      </c>
      <c r="G44" s="17" t="e">
        <f>#REF!</f>
        <v>#REF!</v>
      </c>
    </row>
    <row r="46" spans="1:7" x14ac:dyDescent="0.25">
      <c r="A46" s="6" t="s">
        <v>32</v>
      </c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6" t="s">
        <v>33</v>
      </c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6" t="s">
        <v>34</v>
      </c>
      <c r="C54" s="8" t="e">
        <f>#REF!</f>
        <v>#REF!</v>
      </c>
      <c r="D54" s="8" t="e">
        <f>#REF!</f>
        <v>#REF!</v>
      </c>
      <c r="E54" s="8" t="e">
        <f>#REF!</f>
        <v>#REF!</v>
      </c>
      <c r="F54" s="8" t="e">
        <f>#REF!</f>
        <v>#REF!</v>
      </c>
      <c r="G54" s="8" t="e">
        <f>#REF!</f>
        <v>#REF!</v>
      </c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6" t="s">
        <v>35</v>
      </c>
      <c r="B56" s="7"/>
      <c r="C56" s="7"/>
      <c r="D56" s="7"/>
      <c r="E56" s="7"/>
      <c r="F56" s="7"/>
      <c r="G56" s="7"/>
    </row>
    <row r="57" spans="1:7" x14ac:dyDescent="0.25">
      <c r="A57" s="7"/>
      <c r="B57" s="7" t="s">
        <v>36</v>
      </c>
      <c r="C57" s="8" t="e">
        <f>#REF!</f>
        <v>#REF!</v>
      </c>
      <c r="D57" s="8" t="e">
        <f>#REF!</f>
        <v>#REF!</v>
      </c>
      <c r="E57" s="8" t="e">
        <f>#REF!</f>
        <v>#REF!</v>
      </c>
      <c r="F57" s="8" t="e">
        <f>#REF!</f>
        <v>#REF!</v>
      </c>
      <c r="G57" s="8" t="e">
        <f>#REF!</f>
        <v>#REF!</v>
      </c>
    </row>
    <row r="58" spans="1:7" x14ac:dyDescent="0.25">
      <c r="A58" s="7"/>
      <c r="B58" s="7" t="s">
        <v>37</v>
      </c>
      <c r="C58" s="8" t="e">
        <f>#REF!</f>
        <v>#REF!</v>
      </c>
      <c r="D58" s="8" t="e">
        <f>#REF!</f>
        <v>#REF!</v>
      </c>
      <c r="E58" s="8" t="e">
        <f>#REF!</f>
        <v>#REF!</v>
      </c>
      <c r="F58" s="8" t="e">
        <f>#REF!</f>
        <v>#REF!</v>
      </c>
      <c r="G58" s="8" t="e">
        <f>#REF!</f>
        <v>#REF!</v>
      </c>
    </row>
    <row r="59" spans="1:7" x14ac:dyDescent="0.25">
      <c r="A59" s="7"/>
      <c r="B59" s="7" t="s">
        <v>38</v>
      </c>
      <c r="C59" s="8" t="e">
        <f>#REF!</f>
        <v>#REF!</v>
      </c>
      <c r="D59" s="8" t="e">
        <f>#REF!</f>
        <v>#REF!</v>
      </c>
      <c r="E59" s="8" t="e">
        <f>#REF!</f>
        <v>#REF!</v>
      </c>
      <c r="F59" s="8" t="e">
        <f>#REF!</f>
        <v>#REF!</v>
      </c>
      <c r="G59" s="8" t="e">
        <f>#REF!</f>
        <v>#REF!</v>
      </c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6" t="s">
        <v>39</v>
      </c>
      <c r="B61" s="7"/>
      <c r="C61" s="7"/>
      <c r="D61" s="7"/>
      <c r="E61" s="7"/>
      <c r="F61" s="7"/>
      <c r="G61" s="7"/>
    </row>
    <row r="62" spans="1:7" x14ac:dyDescent="0.25">
      <c r="A62" s="7"/>
      <c r="B62" s="7" t="s">
        <v>19</v>
      </c>
      <c r="C62" s="8" t="e">
        <f>#REF!</f>
        <v>#REF!</v>
      </c>
      <c r="D62" s="8" t="e">
        <f>#REF!</f>
        <v>#REF!</v>
      </c>
      <c r="E62" s="8" t="e">
        <f>#REF!</f>
        <v>#REF!</v>
      </c>
      <c r="F62" s="8" t="e">
        <f>#REF!</f>
        <v>#REF!</v>
      </c>
      <c r="G62" s="8" t="e">
        <f>#REF!</f>
        <v>#REF!</v>
      </c>
    </row>
    <row r="63" spans="1:7" x14ac:dyDescent="0.25">
      <c r="A63" s="7"/>
      <c r="B63" s="7" t="s">
        <v>20</v>
      </c>
      <c r="C63" s="8" t="e">
        <f>#REF!</f>
        <v>#REF!</v>
      </c>
      <c r="D63" s="8" t="e">
        <f>#REF!</f>
        <v>#REF!</v>
      </c>
      <c r="E63" s="8" t="e">
        <f>#REF!</f>
        <v>#REF!</v>
      </c>
      <c r="F63" s="8" t="e">
        <f>#REF!</f>
        <v>#REF!</v>
      </c>
      <c r="G63" s="8" t="e">
        <f>#REF!</f>
        <v>#REF!</v>
      </c>
    </row>
    <row r="64" spans="1:7" x14ac:dyDescent="0.25">
      <c r="A64" s="7"/>
      <c r="B64" s="7" t="s">
        <v>25</v>
      </c>
      <c r="C64" s="8" t="e">
        <f>#REF!</f>
        <v>#REF!</v>
      </c>
      <c r="D64" s="8" t="e">
        <f>#REF!</f>
        <v>#REF!</v>
      </c>
      <c r="E64" s="8" t="e">
        <f>#REF!</f>
        <v>#REF!</v>
      </c>
      <c r="F64" s="8" t="e">
        <f>#REF!</f>
        <v>#REF!</v>
      </c>
      <c r="G64" s="8" t="e">
        <f>#REF!</f>
        <v>#REF!</v>
      </c>
    </row>
    <row r="65" spans="1:7" x14ac:dyDescent="0.25">
      <c r="A65" s="7"/>
      <c r="B65" s="7" t="s">
        <v>26</v>
      </c>
      <c r="C65" s="8" t="e">
        <f>#REF!</f>
        <v>#REF!</v>
      </c>
      <c r="D65" s="8" t="e">
        <f>#REF!</f>
        <v>#REF!</v>
      </c>
      <c r="E65" s="8" t="e">
        <f>#REF!</f>
        <v>#REF!</v>
      </c>
      <c r="F65" s="8" t="e">
        <f>#REF!</f>
        <v>#REF!</v>
      </c>
      <c r="G65" s="8" t="e">
        <f>#REF!</f>
        <v>#REF!</v>
      </c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 t="s">
        <v>40</v>
      </c>
      <c r="B67" s="7"/>
      <c r="C67" s="7"/>
      <c r="D67" s="7"/>
      <c r="E67" s="7"/>
      <c r="F67" s="7"/>
      <c r="G67" s="7"/>
    </row>
    <row r="68" spans="1:7" x14ac:dyDescent="0.25">
      <c r="A68" s="7"/>
      <c r="B68" s="7" t="s">
        <v>19</v>
      </c>
      <c r="C68" s="8" t="e">
        <f>#REF!</f>
        <v>#REF!</v>
      </c>
      <c r="D68" s="8" t="e">
        <f>#REF!</f>
        <v>#REF!</v>
      </c>
      <c r="E68" s="8" t="e">
        <f>#REF!</f>
        <v>#REF!</v>
      </c>
      <c r="F68" s="8" t="e">
        <f>#REF!</f>
        <v>#REF!</v>
      </c>
      <c r="G68" s="8" t="e">
        <f>#REF!</f>
        <v>#REF!</v>
      </c>
    </row>
    <row r="69" spans="1:7" x14ac:dyDescent="0.25">
      <c r="A69" s="7"/>
      <c r="B69" s="7" t="s">
        <v>20</v>
      </c>
      <c r="C69" s="8" t="e">
        <f>#REF!</f>
        <v>#REF!</v>
      </c>
      <c r="D69" s="8" t="e">
        <f>#REF!</f>
        <v>#REF!</v>
      </c>
      <c r="E69" s="8" t="e">
        <f>#REF!</f>
        <v>#REF!</v>
      </c>
      <c r="F69" s="8" t="e">
        <f>#REF!</f>
        <v>#REF!</v>
      </c>
      <c r="G69" s="8" t="e">
        <f>#REF!</f>
        <v>#REF!</v>
      </c>
    </row>
    <row r="70" spans="1:7" x14ac:dyDescent="0.25">
      <c r="A70" s="7"/>
      <c r="B70" s="7" t="s">
        <v>25</v>
      </c>
      <c r="C70" s="8" t="e">
        <f>#REF!</f>
        <v>#REF!</v>
      </c>
      <c r="D70" s="8" t="e">
        <f>#REF!</f>
        <v>#REF!</v>
      </c>
      <c r="E70" s="8" t="e">
        <f>#REF!</f>
        <v>#REF!</v>
      </c>
      <c r="F70" s="8" t="e">
        <f>#REF!</f>
        <v>#REF!</v>
      </c>
      <c r="G70" s="8" t="e">
        <f>#REF!</f>
        <v>#REF!</v>
      </c>
    </row>
    <row r="71" spans="1:7" x14ac:dyDescent="0.25">
      <c r="A71" s="7"/>
      <c r="B71" s="7" t="s">
        <v>26</v>
      </c>
      <c r="C71" s="8" t="e">
        <f>#REF!</f>
        <v>#REF!</v>
      </c>
      <c r="D71" s="8" t="e">
        <f>#REF!</f>
        <v>#REF!</v>
      </c>
      <c r="E71" s="8" t="e">
        <f>#REF!</f>
        <v>#REF!</v>
      </c>
      <c r="F71" s="8" t="e">
        <f>#REF!</f>
        <v>#REF!</v>
      </c>
      <c r="G71" s="8" t="e">
        <f>#REF!</f>
        <v>#REF!</v>
      </c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6" t="s">
        <v>41</v>
      </c>
      <c r="B73" s="7"/>
      <c r="C73" s="8" t="e">
        <f>#REF!</f>
        <v>#REF!</v>
      </c>
      <c r="D73" s="8" t="e">
        <f>#REF!</f>
        <v>#REF!</v>
      </c>
      <c r="E73" s="8" t="e">
        <f>#REF!</f>
        <v>#REF!</v>
      </c>
      <c r="F73" s="8" t="e">
        <f>#REF!</f>
        <v>#REF!</v>
      </c>
      <c r="G73" s="8" t="e">
        <f>#REF!</f>
        <v>#REF!</v>
      </c>
    </row>
    <row r="74" spans="1:7" x14ac:dyDescent="0.25">
      <c r="A74" s="6" t="s">
        <v>42</v>
      </c>
      <c r="B74" s="7"/>
      <c r="C74" s="8" t="e">
        <f>#REF!</f>
        <v>#REF!</v>
      </c>
      <c r="D74" s="8" t="e">
        <f>#REF!</f>
        <v>#REF!</v>
      </c>
      <c r="E74" s="8" t="e">
        <f>#REF!</f>
        <v>#REF!</v>
      </c>
      <c r="F74" s="8" t="e">
        <f>#REF!</f>
        <v>#REF!</v>
      </c>
      <c r="G74" s="8" t="e">
        <f>#REF!</f>
        <v>#REF!</v>
      </c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6" t="s">
        <v>43</v>
      </c>
      <c r="B77" s="7"/>
      <c r="C77" s="8" t="e">
        <f>#REF!</f>
        <v>#REF!</v>
      </c>
      <c r="D77" s="8"/>
      <c r="E77" s="8"/>
      <c r="F77" s="8"/>
      <c r="G77" s="8"/>
    </row>
    <row r="78" spans="1:7" x14ac:dyDescent="0.25">
      <c r="A78" s="6" t="s">
        <v>44</v>
      </c>
      <c r="B78" s="7"/>
      <c r="C78" s="8" t="e">
        <f>#REF!</f>
        <v>#REF!</v>
      </c>
      <c r="D78" s="7"/>
      <c r="E78" s="7"/>
      <c r="F78" s="7"/>
      <c r="G78" s="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5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WACC-IRR</vt:lpstr>
      <vt:lpstr>Option Exercise</vt:lpstr>
      <vt:lpstr>Bankruptcy</vt:lpstr>
      <vt:lpstr>Answer</vt:lpstr>
      <vt:lpstr>Mortgage</vt:lpstr>
      <vt:lpstr>Sheet3</vt:lpstr>
      <vt:lpstr>K</vt:lpstr>
      <vt:lpstr>'WACC-IRR'!Print_Area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2013-12-20T15:45:36Z</dcterms:created>
  <dcterms:modified xsi:type="dcterms:W3CDTF">2019-07-31T21:39:57Z</dcterms:modified>
</cp:coreProperties>
</file>