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15600" windowHeight="9240" tabRatio="981" activeTab="2"/>
  </bookViews>
  <sheets>
    <sheet name="Realistic Model (1)" sheetId="1" r:id="rId1"/>
    <sheet name="Optimistic Model (2)" sheetId="8" r:id="rId2"/>
    <sheet name="Bankrupcy Forcast (3)" sheetId="6" r:id="rId3"/>
    <sheet name="Mortgage" sheetId="2" r:id="rId4"/>
  </sheets>
  <externalReferences>
    <externalReference r:id="rId5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9" i="1" l="1"/>
  <c r="R68" i="1"/>
  <c r="S68" i="1"/>
  <c r="B2" i="2"/>
  <c r="J3" i="2"/>
  <c r="J5" i="2"/>
  <c r="J6" i="2"/>
  <c r="E2" i="2"/>
  <c r="D2" i="2"/>
  <c r="C2" i="2"/>
  <c r="F2" i="2"/>
  <c r="B3" i="2"/>
  <c r="E3" i="2"/>
  <c r="D3" i="2"/>
  <c r="C3" i="2"/>
  <c r="F3" i="2"/>
  <c r="B4" i="2"/>
  <c r="E4" i="2"/>
  <c r="D4" i="2"/>
  <c r="C4" i="2"/>
  <c r="F4" i="2"/>
  <c r="B5" i="2"/>
  <c r="E5" i="2"/>
  <c r="D5" i="2"/>
  <c r="C5" i="2"/>
  <c r="F5" i="2"/>
  <c r="B6" i="2"/>
  <c r="E6" i="2"/>
  <c r="D6" i="2"/>
  <c r="C6" i="2"/>
  <c r="F6" i="2"/>
  <c r="B7" i="2"/>
  <c r="E7" i="2"/>
  <c r="D7" i="2"/>
  <c r="C7" i="2"/>
  <c r="F7" i="2"/>
  <c r="B8" i="2"/>
  <c r="E8" i="2"/>
  <c r="D8" i="2"/>
  <c r="C8" i="2"/>
  <c r="F8" i="2"/>
  <c r="B9" i="2"/>
  <c r="E9" i="2"/>
  <c r="D9" i="2"/>
  <c r="C9" i="2"/>
  <c r="F9" i="2"/>
  <c r="B10" i="2"/>
  <c r="E10" i="2"/>
  <c r="D10" i="2"/>
  <c r="C10" i="2"/>
  <c r="F10" i="2"/>
  <c r="B11" i="2"/>
  <c r="E11" i="2"/>
  <c r="D11" i="2"/>
  <c r="C11" i="2"/>
  <c r="F11" i="2"/>
  <c r="B12" i="2"/>
  <c r="E12" i="2"/>
  <c r="D12" i="2"/>
  <c r="C12" i="2"/>
  <c r="F12" i="2"/>
  <c r="B13" i="2"/>
  <c r="E13" i="2"/>
  <c r="D13" i="2"/>
  <c r="C13" i="2"/>
  <c r="F13" i="2"/>
  <c r="D64" i="1"/>
  <c r="B16" i="2"/>
  <c r="E16" i="2"/>
  <c r="D16" i="2"/>
  <c r="C16" i="2"/>
  <c r="F16" i="2"/>
  <c r="B17" i="2"/>
  <c r="E17" i="2"/>
  <c r="D17" i="2"/>
  <c r="C17" i="2"/>
  <c r="F17" i="2"/>
  <c r="B18" i="2"/>
  <c r="E18" i="2"/>
  <c r="D18" i="2"/>
  <c r="C18" i="2"/>
  <c r="F18" i="2"/>
  <c r="B19" i="2"/>
  <c r="E19" i="2"/>
  <c r="D19" i="2"/>
  <c r="C19" i="2"/>
  <c r="F19" i="2"/>
  <c r="B20" i="2"/>
  <c r="E20" i="2"/>
  <c r="D20" i="2"/>
  <c r="C20" i="2"/>
  <c r="F20" i="2"/>
  <c r="B21" i="2"/>
  <c r="E21" i="2"/>
  <c r="D21" i="2"/>
  <c r="C21" i="2"/>
  <c r="F21" i="2"/>
  <c r="B22" i="2"/>
  <c r="E22" i="2"/>
  <c r="D22" i="2"/>
  <c r="C22" i="2"/>
  <c r="F22" i="2"/>
  <c r="B23" i="2"/>
  <c r="E23" i="2"/>
  <c r="D23" i="2"/>
  <c r="C23" i="2"/>
  <c r="F23" i="2"/>
  <c r="B24" i="2"/>
  <c r="E24" i="2"/>
  <c r="D24" i="2"/>
  <c r="C24" i="2"/>
  <c r="F24" i="2"/>
  <c r="B25" i="2"/>
  <c r="E25" i="2"/>
  <c r="D25" i="2"/>
  <c r="C25" i="2"/>
  <c r="F25" i="2"/>
  <c r="B26" i="2"/>
  <c r="E26" i="2"/>
  <c r="D26" i="2"/>
  <c r="C26" i="2"/>
  <c r="F26" i="2"/>
  <c r="B27" i="2"/>
  <c r="E27" i="2"/>
  <c r="D27" i="2"/>
  <c r="C27" i="2"/>
  <c r="F27" i="2"/>
  <c r="E64" i="1"/>
  <c r="B30" i="2"/>
  <c r="E30" i="2"/>
  <c r="D30" i="2"/>
  <c r="C30" i="2"/>
  <c r="F30" i="2"/>
  <c r="B31" i="2"/>
  <c r="E31" i="2"/>
  <c r="D31" i="2"/>
  <c r="C31" i="2"/>
  <c r="F31" i="2"/>
  <c r="B32" i="2"/>
  <c r="E32" i="2"/>
  <c r="D32" i="2"/>
  <c r="C32" i="2"/>
  <c r="F32" i="2"/>
  <c r="B33" i="2"/>
  <c r="E33" i="2"/>
  <c r="D33" i="2"/>
  <c r="C33" i="2"/>
  <c r="F33" i="2"/>
  <c r="B34" i="2"/>
  <c r="E34" i="2"/>
  <c r="D34" i="2"/>
  <c r="C34" i="2"/>
  <c r="F34" i="2"/>
  <c r="B35" i="2"/>
  <c r="E35" i="2"/>
  <c r="D35" i="2"/>
  <c r="C35" i="2"/>
  <c r="F35" i="2"/>
  <c r="B36" i="2"/>
  <c r="E36" i="2"/>
  <c r="D36" i="2"/>
  <c r="C36" i="2"/>
  <c r="F36" i="2"/>
  <c r="B37" i="2"/>
  <c r="E37" i="2"/>
  <c r="D37" i="2"/>
  <c r="C37" i="2"/>
  <c r="F37" i="2"/>
  <c r="B38" i="2"/>
  <c r="E38" i="2"/>
  <c r="D38" i="2"/>
  <c r="C38" i="2"/>
  <c r="F38" i="2"/>
  <c r="B39" i="2"/>
  <c r="E39" i="2"/>
  <c r="D39" i="2"/>
  <c r="C39" i="2"/>
  <c r="F39" i="2"/>
  <c r="B40" i="2"/>
  <c r="E40" i="2"/>
  <c r="D40" i="2"/>
  <c r="C40" i="2"/>
  <c r="F40" i="2"/>
  <c r="B41" i="2"/>
  <c r="E41" i="2"/>
  <c r="D41" i="2"/>
  <c r="C41" i="2"/>
  <c r="F41" i="2"/>
  <c r="F64" i="1"/>
  <c r="B44" i="2"/>
  <c r="E44" i="2"/>
  <c r="D44" i="2"/>
  <c r="C44" i="2"/>
  <c r="F44" i="2"/>
  <c r="B45" i="2"/>
  <c r="E45" i="2"/>
  <c r="D45" i="2"/>
  <c r="C45" i="2"/>
  <c r="F45" i="2"/>
  <c r="B46" i="2"/>
  <c r="E46" i="2"/>
  <c r="D46" i="2"/>
  <c r="C46" i="2"/>
  <c r="F46" i="2"/>
  <c r="B47" i="2"/>
  <c r="E47" i="2"/>
  <c r="D47" i="2"/>
  <c r="C47" i="2"/>
  <c r="F47" i="2"/>
  <c r="B48" i="2"/>
  <c r="E48" i="2"/>
  <c r="D48" i="2"/>
  <c r="C48" i="2"/>
  <c r="F48" i="2"/>
  <c r="B49" i="2"/>
  <c r="E49" i="2"/>
  <c r="D49" i="2"/>
  <c r="C49" i="2"/>
  <c r="F49" i="2"/>
  <c r="B50" i="2"/>
  <c r="E50" i="2"/>
  <c r="D50" i="2"/>
  <c r="C50" i="2"/>
  <c r="F50" i="2"/>
  <c r="B51" i="2"/>
  <c r="E51" i="2"/>
  <c r="D51" i="2"/>
  <c r="C51" i="2"/>
  <c r="F51" i="2"/>
  <c r="B52" i="2"/>
  <c r="E52" i="2"/>
  <c r="D52" i="2"/>
  <c r="C52" i="2"/>
  <c r="F52" i="2"/>
  <c r="B53" i="2"/>
  <c r="E53" i="2"/>
  <c r="D53" i="2"/>
  <c r="C53" i="2"/>
  <c r="F53" i="2"/>
  <c r="B54" i="2"/>
  <c r="E54" i="2"/>
  <c r="D54" i="2"/>
  <c r="C54" i="2"/>
  <c r="F54" i="2"/>
  <c r="B55" i="2"/>
  <c r="E55" i="2"/>
  <c r="D55" i="2"/>
  <c r="C55" i="2"/>
  <c r="F55" i="2"/>
  <c r="G64" i="1"/>
  <c r="B58" i="2"/>
  <c r="E58" i="2"/>
  <c r="D58" i="2"/>
  <c r="C58" i="2"/>
  <c r="F58" i="2"/>
  <c r="B59" i="2"/>
  <c r="E59" i="2"/>
  <c r="D59" i="2"/>
  <c r="C59" i="2"/>
  <c r="F59" i="2"/>
  <c r="B60" i="2"/>
  <c r="E60" i="2"/>
  <c r="D60" i="2"/>
  <c r="C60" i="2"/>
  <c r="F60" i="2"/>
  <c r="B61" i="2"/>
  <c r="E61" i="2"/>
  <c r="D61" i="2"/>
  <c r="C61" i="2"/>
  <c r="F61" i="2"/>
  <c r="B62" i="2"/>
  <c r="E62" i="2"/>
  <c r="D62" i="2"/>
  <c r="C62" i="2"/>
  <c r="F62" i="2"/>
  <c r="B63" i="2"/>
  <c r="E63" i="2"/>
  <c r="D63" i="2"/>
  <c r="C63" i="2"/>
  <c r="F63" i="2"/>
  <c r="B64" i="2"/>
  <c r="E64" i="2"/>
  <c r="D64" i="2"/>
  <c r="C64" i="2"/>
  <c r="F64" i="2"/>
  <c r="B65" i="2"/>
  <c r="E65" i="2"/>
  <c r="D65" i="2"/>
  <c r="C65" i="2"/>
  <c r="F65" i="2"/>
  <c r="B66" i="2"/>
  <c r="E66" i="2"/>
  <c r="D66" i="2"/>
  <c r="C66" i="2"/>
  <c r="F66" i="2"/>
  <c r="B67" i="2"/>
  <c r="E67" i="2"/>
  <c r="D67" i="2"/>
  <c r="C67" i="2"/>
  <c r="F67" i="2"/>
  <c r="B68" i="2"/>
  <c r="E68" i="2"/>
  <c r="D68" i="2"/>
  <c r="C68" i="2"/>
  <c r="F68" i="2"/>
  <c r="B69" i="2"/>
  <c r="E69" i="2"/>
  <c r="D69" i="2"/>
  <c r="C69" i="2"/>
  <c r="F69" i="2"/>
  <c r="H64" i="1"/>
  <c r="B72" i="2"/>
  <c r="E72" i="2"/>
  <c r="D72" i="2"/>
  <c r="C72" i="2"/>
  <c r="F72" i="2"/>
  <c r="B73" i="2"/>
  <c r="E73" i="2"/>
  <c r="D73" i="2"/>
  <c r="C73" i="2"/>
  <c r="F73" i="2"/>
  <c r="B74" i="2"/>
  <c r="E74" i="2"/>
  <c r="D74" i="2"/>
  <c r="C74" i="2"/>
  <c r="F74" i="2"/>
  <c r="B75" i="2"/>
  <c r="E75" i="2"/>
  <c r="D75" i="2"/>
  <c r="C75" i="2"/>
  <c r="F75" i="2"/>
  <c r="B76" i="2"/>
  <c r="E76" i="2"/>
  <c r="D76" i="2"/>
  <c r="C76" i="2"/>
  <c r="F76" i="2"/>
  <c r="B77" i="2"/>
  <c r="E77" i="2"/>
  <c r="D77" i="2"/>
  <c r="C77" i="2"/>
  <c r="F77" i="2"/>
  <c r="B78" i="2"/>
  <c r="E78" i="2"/>
  <c r="D78" i="2"/>
  <c r="C78" i="2"/>
  <c r="F78" i="2"/>
  <c r="B79" i="2"/>
  <c r="E79" i="2"/>
  <c r="D79" i="2"/>
  <c r="C79" i="2"/>
  <c r="F79" i="2"/>
  <c r="B80" i="2"/>
  <c r="E80" i="2"/>
  <c r="D80" i="2"/>
  <c r="C80" i="2"/>
  <c r="F80" i="2"/>
  <c r="B81" i="2"/>
  <c r="E81" i="2"/>
  <c r="D81" i="2"/>
  <c r="C81" i="2"/>
  <c r="F81" i="2"/>
  <c r="B82" i="2"/>
  <c r="E82" i="2"/>
  <c r="D82" i="2"/>
  <c r="C82" i="2"/>
  <c r="F82" i="2"/>
  <c r="B83" i="2"/>
  <c r="E83" i="2"/>
  <c r="D83" i="2"/>
  <c r="C83" i="2"/>
  <c r="F83" i="2"/>
  <c r="I64" i="1"/>
  <c r="B86" i="2"/>
  <c r="E86" i="2"/>
  <c r="D86" i="2"/>
  <c r="C86" i="2"/>
  <c r="F86" i="2"/>
  <c r="B87" i="2"/>
  <c r="E87" i="2"/>
  <c r="D87" i="2"/>
  <c r="C87" i="2"/>
  <c r="F87" i="2"/>
  <c r="B88" i="2"/>
  <c r="E88" i="2"/>
  <c r="D88" i="2"/>
  <c r="C88" i="2"/>
  <c r="F88" i="2"/>
  <c r="B89" i="2"/>
  <c r="E89" i="2"/>
  <c r="D89" i="2"/>
  <c r="C89" i="2"/>
  <c r="F89" i="2"/>
  <c r="B90" i="2"/>
  <c r="E90" i="2"/>
  <c r="D90" i="2"/>
  <c r="C90" i="2"/>
  <c r="F90" i="2"/>
  <c r="B91" i="2"/>
  <c r="E91" i="2"/>
  <c r="D91" i="2"/>
  <c r="C91" i="2"/>
  <c r="F91" i="2"/>
  <c r="B92" i="2"/>
  <c r="E92" i="2"/>
  <c r="D92" i="2"/>
  <c r="C92" i="2"/>
  <c r="F92" i="2"/>
  <c r="B93" i="2"/>
  <c r="E93" i="2"/>
  <c r="D93" i="2"/>
  <c r="C93" i="2"/>
  <c r="F93" i="2"/>
  <c r="B94" i="2"/>
  <c r="E94" i="2"/>
  <c r="D94" i="2"/>
  <c r="C94" i="2"/>
  <c r="F94" i="2"/>
  <c r="B95" i="2"/>
  <c r="E95" i="2"/>
  <c r="D95" i="2"/>
  <c r="C95" i="2"/>
  <c r="F95" i="2"/>
  <c r="B96" i="2"/>
  <c r="E96" i="2"/>
  <c r="D96" i="2"/>
  <c r="C96" i="2"/>
  <c r="F96" i="2"/>
  <c r="B97" i="2"/>
  <c r="E97" i="2"/>
  <c r="D97" i="2"/>
  <c r="C97" i="2"/>
  <c r="F97" i="2"/>
  <c r="J64" i="1"/>
  <c r="B100" i="2"/>
  <c r="E100" i="2"/>
  <c r="D100" i="2"/>
  <c r="C100" i="2"/>
  <c r="F100" i="2"/>
  <c r="B101" i="2"/>
  <c r="E101" i="2"/>
  <c r="D101" i="2"/>
  <c r="C101" i="2"/>
  <c r="F101" i="2"/>
  <c r="B102" i="2"/>
  <c r="E102" i="2"/>
  <c r="D102" i="2"/>
  <c r="C102" i="2"/>
  <c r="F102" i="2"/>
  <c r="B103" i="2"/>
  <c r="E103" i="2"/>
  <c r="D103" i="2"/>
  <c r="C103" i="2"/>
  <c r="F103" i="2"/>
  <c r="B104" i="2"/>
  <c r="E104" i="2"/>
  <c r="D104" i="2"/>
  <c r="C104" i="2"/>
  <c r="F104" i="2"/>
  <c r="B105" i="2"/>
  <c r="E105" i="2"/>
  <c r="D105" i="2"/>
  <c r="C105" i="2"/>
  <c r="F105" i="2"/>
  <c r="B106" i="2"/>
  <c r="E106" i="2"/>
  <c r="D106" i="2"/>
  <c r="C106" i="2"/>
  <c r="F106" i="2"/>
  <c r="B107" i="2"/>
  <c r="E107" i="2"/>
  <c r="D107" i="2"/>
  <c r="C107" i="2"/>
  <c r="F107" i="2"/>
  <c r="B108" i="2"/>
  <c r="E108" i="2"/>
  <c r="D108" i="2"/>
  <c r="C108" i="2"/>
  <c r="F108" i="2"/>
  <c r="B109" i="2"/>
  <c r="E109" i="2"/>
  <c r="D109" i="2"/>
  <c r="C109" i="2"/>
  <c r="F109" i="2"/>
  <c r="B110" i="2"/>
  <c r="E110" i="2"/>
  <c r="D110" i="2"/>
  <c r="C110" i="2"/>
  <c r="F110" i="2"/>
  <c r="B111" i="2"/>
  <c r="E111" i="2"/>
  <c r="D111" i="2"/>
  <c r="C111" i="2"/>
  <c r="F111" i="2"/>
  <c r="K64" i="1"/>
  <c r="B114" i="2"/>
  <c r="E114" i="2"/>
  <c r="D114" i="2"/>
  <c r="C114" i="2"/>
  <c r="F114" i="2"/>
  <c r="B115" i="2"/>
  <c r="E115" i="2"/>
  <c r="D115" i="2"/>
  <c r="C115" i="2"/>
  <c r="F115" i="2"/>
  <c r="B116" i="2"/>
  <c r="E116" i="2"/>
  <c r="D116" i="2"/>
  <c r="C116" i="2"/>
  <c r="F116" i="2"/>
  <c r="B117" i="2"/>
  <c r="E117" i="2"/>
  <c r="D117" i="2"/>
  <c r="C117" i="2"/>
  <c r="F117" i="2"/>
  <c r="B118" i="2"/>
  <c r="E118" i="2"/>
  <c r="D118" i="2"/>
  <c r="C118" i="2"/>
  <c r="F118" i="2"/>
  <c r="B119" i="2"/>
  <c r="E119" i="2"/>
  <c r="D119" i="2"/>
  <c r="C119" i="2"/>
  <c r="F119" i="2"/>
  <c r="B120" i="2"/>
  <c r="E120" i="2"/>
  <c r="D120" i="2"/>
  <c r="C120" i="2"/>
  <c r="F120" i="2"/>
  <c r="B121" i="2"/>
  <c r="E121" i="2"/>
  <c r="D121" i="2"/>
  <c r="C121" i="2"/>
  <c r="F121" i="2"/>
  <c r="B122" i="2"/>
  <c r="E122" i="2"/>
  <c r="D122" i="2"/>
  <c r="C122" i="2"/>
  <c r="F122" i="2"/>
  <c r="B123" i="2"/>
  <c r="E123" i="2"/>
  <c r="D123" i="2"/>
  <c r="C123" i="2"/>
  <c r="F123" i="2"/>
  <c r="B124" i="2"/>
  <c r="E124" i="2"/>
  <c r="D124" i="2"/>
  <c r="C124" i="2"/>
  <c r="F124" i="2"/>
  <c r="B125" i="2"/>
  <c r="E125" i="2"/>
  <c r="D125" i="2"/>
  <c r="C125" i="2"/>
  <c r="F125" i="2"/>
  <c r="L64" i="1"/>
  <c r="B128" i="2"/>
  <c r="E128" i="2"/>
  <c r="D128" i="2"/>
  <c r="C128" i="2"/>
  <c r="F128" i="2"/>
  <c r="B129" i="2"/>
  <c r="E129" i="2"/>
  <c r="D129" i="2"/>
  <c r="C129" i="2"/>
  <c r="F129" i="2"/>
  <c r="B130" i="2"/>
  <c r="E130" i="2"/>
  <c r="D130" i="2"/>
  <c r="C130" i="2"/>
  <c r="F130" i="2"/>
  <c r="B131" i="2"/>
  <c r="E131" i="2"/>
  <c r="D131" i="2"/>
  <c r="C131" i="2"/>
  <c r="F131" i="2"/>
  <c r="B132" i="2"/>
  <c r="E132" i="2"/>
  <c r="D132" i="2"/>
  <c r="C132" i="2"/>
  <c r="F132" i="2"/>
  <c r="B133" i="2"/>
  <c r="E133" i="2"/>
  <c r="D133" i="2"/>
  <c r="C133" i="2"/>
  <c r="F133" i="2"/>
  <c r="B134" i="2"/>
  <c r="E134" i="2"/>
  <c r="D134" i="2"/>
  <c r="C134" i="2"/>
  <c r="F134" i="2"/>
  <c r="B135" i="2"/>
  <c r="E135" i="2"/>
  <c r="D135" i="2"/>
  <c r="C135" i="2"/>
  <c r="F135" i="2"/>
  <c r="B136" i="2"/>
  <c r="E136" i="2"/>
  <c r="D136" i="2"/>
  <c r="C136" i="2"/>
  <c r="F136" i="2"/>
  <c r="B137" i="2"/>
  <c r="E137" i="2"/>
  <c r="D137" i="2"/>
  <c r="C137" i="2"/>
  <c r="F137" i="2"/>
  <c r="B138" i="2"/>
  <c r="E138" i="2"/>
  <c r="D138" i="2"/>
  <c r="C138" i="2"/>
  <c r="F138" i="2"/>
  <c r="B139" i="2"/>
  <c r="E139" i="2"/>
  <c r="D139" i="2"/>
  <c r="C139" i="2"/>
  <c r="F139" i="2"/>
  <c r="M64" i="1"/>
  <c r="B142" i="2"/>
  <c r="E142" i="2"/>
  <c r="D142" i="2"/>
  <c r="C142" i="2"/>
  <c r="F142" i="2"/>
  <c r="B143" i="2"/>
  <c r="E143" i="2"/>
  <c r="D143" i="2"/>
  <c r="C143" i="2"/>
  <c r="F143" i="2"/>
  <c r="B144" i="2"/>
  <c r="E144" i="2"/>
  <c r="D144" i="2"/>
  <c r="C144" i="2"/>
  <c r="F144" i="2"/>
  <c r="B145" i="2"/>
  <c r="E145" i="2"/>
  <c r="D145" i="2"/>
  <c r="C145" i="2"/>
  <c r="F145" i="2"/>
  <c r="B146" i="2"/>
  <c r="E146" i="2"/>
  <c r="D146" i="2"/>
  <c r="C146" i="2"/>
  <c r="F146" i="2"/>
  <c r="B147" i="2"/>
  <c r="E147" i="2"/>
  <c r="D147" i="2"/>
  <c r="C147" i="2"/>
  <c r="F147" i="2"/>
  <c r="B148" i="2"/>
  <c r="E148" i="2"/>
  <c r="D148" i="2"/>
  <c r="C148" i="2"/>
  <c r="F148" i="2"/>
  <c r="B149" i="2"/>
  <c r="E149" i="2"/>
  <c r="D149" i="2"/>
  <c r="C149" i="2"/>
  <c r="F149" i="2"/>
  <c r="B150" i="2"/>
  <c r="E150" i="2"/>
  <c r="D150" i="2"/>
  <c r="C150" i="2"/>
  <c r="F150" i="2"/>
  <c r="B151" i="2"/>
  <c r="E151" i="2"/>
  <c r="D151" i="2"/>
  <c r="C151" i="2"/>
  <c r="F151" i="2"/>
  <c r="B152" i="2"/>
  <c r="E152" i="2"/>
  <c r="D152" i="2"/>
  <c r="C152" i="2"/>
  <c r="F152" i="2"/>
  <c r="B153" i="2"/>
  <c r="E153" i="2"/>
  <c r="D153" i="2"/>
  <c r="C153" i="2"/>
  <c r="F153" i="2"/>
  <c r="N64" i="1"/>
  <c r="P64" i="1"/>
  <c r="P65" i="1"/>
  <c r="P66" i="1"/>
  <c r="Q66" i="1"/>
  <c r="Q65" i="1"/>
  <c r="Q64" i="1"/>
  <c r="D17" i="1"/>
  <c r="D18" i="1"/>
  <c r="D19" i="1"/>
  <c r="D20" i="1"/>
  <c r="D23" i="1"/>
  <c r="D24" i="1"/>
  <c r="D25" i="1"/>
  <c r="D29" i="1"/>
  <c r="D30" i="1"/>
  <c r="D31" i="1"/>
  <c r="D32" i="1"/>
  <c r="D33" i="1"/>
  <c r="D35" i="1"/>
  <c r="D36" i="1"/>
  <c r="D14" i="2"/>
  <c r="D37" i="1"/>
  <c r="D38" i="1"/>
  <c r="D40" i="1"/>
  <c r="D41" i="1"/>
  <c r="D43" i="1"/>
  <c r="D68" i="1"/>
  <c r="E5" i="1"/>
  <c r="E17" i="1"/>
  <c r="E6" i="1"/>
  <c r="E8" i="1"/>
  <c r="E18" i="1"/>
  <c r="E7" i="1"/>
  <c r="E19" i="1"/>
  <c r="E20" i="1"/>
  <c r="E23" i="1"/>
  <c r="E24" i="1"/>
  <c r="E25" i="1"/>
  <c r="E29" i="1"/>
  <c r="E30" i="1"/>
  <c r="E31" i="1"/>
  <c r="E9" i="1"/>
  <c r="E32" i="1"/>
  <c r="E33" i="1"/>
  <c r="E52" i="1"/>
  <c r="E35" i="1"/>
  <c r="E54" i="1"/>
  <c r="E36" i="1"/>
  <c r="D28" i="2"/>
  <c r="E37" i="1"/>
  <c r="E38" i="1"/>
  <c r="E40" i="1"/>
  <c r="E41" i="1"/>
  <c r="E43" i="1"/>
  <c r="E68" i="1"/>
  <c r="F5" i="1"/>
  <c r="F17" i="1"/>
  <c r="F6" i="1"/>
  <c r="F8" i="1"/>
  <c r="F18" i="1"/>
  <c r="F7" i="1"/>
  <c r="F19" i="1"/>
  <c r="F20" i="1"/>
  <c r="F23" i="1"/>
  <c r="F24" i="1"/>
  <c r="F25" i="1"/>
  <c r="F29" i="1"/>
  <c r="F30" i="1"/>
  <c r="F31" i="1"/>
  <c r="F9" i="1"/>
  <c r="F32" i="1"/>
  <c r="F33" i="1"/>
  <c r="F52" i="1"/>
  <c r="F35" i="1"/>
  <c r="F54" i="1"/>
  <c r="F36" i="1"/>
  <c r="D42" i="2"/>
  <c r="F37" i="1"/>
  <c r="F38" i="1"/>
  <c r="F40" i="1"/>
  <c r="F41" i="1"/>
  <c r="F43" i="1"/>
  <c r="F68" i="1"/>
  <c r="G5" i="1"/>
  <c r="G17" i="1"/>
  <c r="G6" i="1"/>
  <c r="G8" i="1"/>
  <c r="G18" i="1"/>
  <c r="G7" i="1"/>
  <c r="G19" i="1"/>
  <c r="G20" i="1"/>
  <c r="G23" i="1"/>
  <c r="G24" i="1"/>
  <c r="G25" i="1"/>
  <c r="G29" i="1"/>
  <c r="G30" i="1"/>
  <c r="G31" i="1"/>
  <c r="G9" i="1"/>
  <c r="G32" i="1"/>
  <c r="G33" i="1"/>
  <c r="G52" i="1"/>
  <c r="G35" i="1"/>
  <c r="G54" i="1"/>
  <c r="G36" i="1"/>
  <c r="D56" i="2"/>
  <c r="G37" i="1"/>
  <c r="G38" i="1"/>
  <c r="G40" i="1"/>
  <c r="G41" i="1"/>
  <c r="G43" i="1"/>
  <c r="G68" i="1"/>
  <c r="H5" i="1"/>
  <c r="H17" i="1"/>
  <c r="H6" i="1"/>
  <c r="H8" i="1"/>
  <c r="H18" i="1"/>
  <c r="H7" i="1"/>
  <c r="H19" i="1"/>
  <c r="H20" i="1"/>
  <c r="H23" i="1"/>
  <c r="H24" i="1"/>
  <c r="H25" i="1"/>
  <c r="H29" i="1"/>
  <c r="H30" i="1"/>
  <c r="H31" i="1"/>
  <c r="H9" i="1"/>
  <c r="H32" i="1"/>
  <c r="H33" i="1"/>
  <c r="H52" i="1"/>
  <c r="H35" i="1"/>
  <c r="H54" i="1"/>
  <c r="H36" i="1"/>
  <c r="D70" i="2"/>
  <c r="H37" i="1"/>
  <c r="H38" i="1"/>
  <c r="H40" i="1"/>
  <c r="H41" i="1"/>
  <c r="H43" i="1"/>
  <c r="H68" i="1"/>
  <c r="I5" i="1"/>
  <c r="I17" i="1"/>
  <c r="I6" i="1"/>
  <c r="I8" i="1"/>
  <c r="I18" i="1"/>
  <c r="I7" i="1"/>
  <c r="I19" i="1"/>
  <c r="I20" i="1"/>
  <c r="I23" i="1"/>
  <c r="I24" i="1"/>
  <c r="I25" i="1"/>
  <c r="I29" i="1"/>
  <c r="I30" i="1"/>
  <c r="I31" i="1"/>
  <c r="I9" i="1"/>
  <c r="I32" i="1"/>
  <c r="I33" i="1"/>
  <c r="I52" i="1"/>
  <c r="I35" i="1"/>
  <c r="D84" i="2"/>
  <c r="I37" i="1"/>
  <c r="I38" i="1"/>
  <c r="I40" i="1"/>
  <c r="I41" i="1"/>
  <c r="I43" i="1"/>
  <c r="I68" i="1"/>
  <c r="J5" i="1"/>
  <c r="J17" i="1"/>
  <c r="J6" i="1"/>
  <c r="J8" i="1"/>
  <c r="J18" i="1"/>
  <c r="J7" i="1"/>
  <c r="J19" i="1"/>
  <c r="J20" i="1"/>
  <c r="J23" i="1"/>
  <c r="J24" i="1"/>
  <c r="J25" i="1"/>
  <c r="J29" i="1"/>
  <c r="J30" i="1"/>
  <c r="J31" i="1"/>
  <c r="J9" i="1"/>
  <c r="J32" i="1"/>
  <c r="J33" i="1"/>
  <c r="J52" i="1"/>
  <c r="J35" i="1"/>
  <c r="D98" i="2"/>
  <c r="J37" i="1"/>
  <c r="J38" i="1"/>
  <c r="J40" i="1"/>
  <c r="J41" i="1"/>
  <c r="J43" i="1"/>
  <c r="J68" i="1"/>
  <c r="K5" i="1"/>
  <c r="K17" i="1"/>
  <c r="K6" i="1"/>
  <c r="K8" i="1"/>
  <c r="K18" i="1"/>
  <c r="K7" i="1"/>
  <c r="K19" i="1"/>
  <c r="K20" i="1"/>
  <c r="K23" i="1"/>
  <c r="K24" i="1"/>
  <c r="K25" i="1"/>
  <c r="K29" i="1"/>
  <c r="K30" i="1"/>
  <c r="K31" i="1"/>
  <c r="K9" i="1"/>
  <c r="K32" i="1"/>
  <c r="K33" i="1"/>
  <c r="K52" i="1"/>
  <c r="K35" i="1"/>
  <c r="D112" i="2"/>
  <c r="K37" i="1"/>
  <c r="K38" i="1"/>
  <c r="K40" i="1"/>
  <c r="K41" i="1"/>
  <c r="K43" i="1"/>
  <c r="K68" i="1"/>
  <c r="L5" i="1"/>
  <c r="L17" i="1"/>
  <c r="L6" i="1"/>
  <c r="L8" i="1"/>
  <c r="L18" i="1"/>
  <c r="L7" i="1"/>
  <c r="L19" i="1"/>
  <c r="L20" i="1"/>
  <c r="L23" i="1"/>
  <c r="L24" i="1"/>
  <c r="L25" i="1"/>
  <c r="L29" i="1"/>
  <c r="L30" i="1"/>
  <c r="L31" i="1"/>
  <c r="L9" i="1"/>
  <c r="L32" i="1"/>
  <c r="L33" i="1"/>
  <c r="L52" i="1"/>
  <c r="L35" i="1"/>
  <c r="D126" i="2"/>
  <c r="L37" i="1"/>
  <c r="L38" i="1"/>
  <c r="L40" i="1"/>
  <c r="L41" i="1"/>
  <c r="L43" i="1"/>
  <c r="L68" i="1"/>
  <c r="M5" i="1"/>
  <c r="M17" i="1"/>
  <c r="M6" i="1"/>
  <c r="M8" i="1"/>
  <c r="M18" i="1"/>
  <c r="M7" i="1"/>
  <c r="M19" i="1"/>
  <c r="M20" i="1"/>
  <c r="M23" i="1"/>
  <c r="M24" i="1"/>
  <c r="M25" i="1"/>
  <c r="M29" i="1"/>
  <c r="M30" i="1"/>
  <c r="M31" i="1"/>
  <c r="M9" i="1"/>
  <c r="M32" i="1"/>
  <c r="M33" i="1"/>
  <c r="M52" i="1"/>
  <c r="M35" i="1"/>
  <c r="D140" i="2"/>
  <c r="M37" i="1"/>
  <c r="M38" i="1"/>
  <c r="M40" i="1"/>
  <c r="M41" i="1"/>
  <c r="M43" i="1"/>
  <c r="M68" i="1"/>
  <c r="N5" i="1"/>
  <c r="N17" i="1"/>
  <c r="N6" i="1"/>
  <c r="N8" i="1"/>
  <c r="N18" i="1"/>
  <c r="N7" i="1"/>
  <c r="N19" i="1"/>
  <c r="N20" i="1"/>
  <c r="N23" i="1"/>
  <c r="N24" i="1"/>
  <c r="N25" i="1"/>
  <c r="N29" i="1"/>
  <c r="N30" i="1"/>
  <c r="N31" i="1"/>
  <c r="N9" i="1"/>
  <c r="N32" i="1"/>
  <c r="N33" i="1"/>
  <c r="N52" i="1"/>
  <c r="N35" i="1"/>
  <c r="D154" i="2"/>
  <c r="N37" i="1"/>
  <c r="N38" i="1"/>
  <c r="N40" i="1"/>
  <c r="N41" i="1"/>
  <c r="N43" i="1"/>
  <c r="N68" i="1"/>
  <c r="P69" i="1"/>
  <c r="E11" i="1"/>
  <c r="F11" i="1"/>
  <c r="G11" i="1"/>
  <c r="H11" i="1"/>
  <c r="I11" i="1"/>
  <c r="J11" i="1"/>
  <c r="K11" i="1"/>
  <c r="L11" i="1"/>
  <c r="M11" i="1"/>
  <c r="N11" i="1"/>
  <c r="N49" i="1"/>
  <c r="M49" i="1"/>
  <c r="N93" i="1"/>
  <c r="E6" i="8"/>
  <c r="F6" i="8"/>
  <c r="G6" i="8"/>
  <c r="H6" i="8"/>
  <c r="I6" i="8"/>
  <c r="J6" i="8"/>
  <c r="E8" i="8"/>
  <c r="F8" i="8"/>
  <c r="G8" i="8"/>
  <c r="H8" i="8"/>
  <c r="I8" i="8"/>
  <c r="J8" i="8"/>
  <c r="J18" i="8"/>
  <c r="J23" i="8"/>
  <c r="J61" i="8"/>
  <c r="I18" i="8"/>
  <c r="I23" i="8"/>
  <c r="I61" i="8"/>
  <c r="J95" i="8"/>
  <c r="E5" i="8"/>
  <c r="F5" i="8"/>
  <c r="G5" i="8"/>
  <c r="H5" i="8"/>
  <c r="I5" i="8"/>
  <c r="J5" i="8"/>
  <c r="J17" i="8"/>
  <c r="E7" i="8"/>
  <c r="F7" i="8"/>
  <c r="G7" i="8"/>
  <c r="H7" i="8"/>
  <c r="I7" i="8"/>
  <c r="J7" i="8"/>
  <c r="J19" i="8"/>
  <c r="J20" i="8"/>
  <c r="J24" i="8"/>
  <c r="J25" i="8"/>
  <c r="J29" i="8"/>
  <c r="J30" i="8"/>
  <c r="J31" i="8"/>
  <c r="E9" i="8"/>
  <c r="F9" i="8"/>
  <c r="G9" i="8"/>
  <c r="H9" i="8"/>
  <c r="I9" i="8"/>
  <c r="J9" i="8"/>
  <c r="J32" i="8"/>
  <c r="J33" i="8"/>
  <c r="J76" i="8"/>
  <c r="J52" i="8"/>
  <c r="J35" i="8"/>
  <c r="J77" i="8"/>
  <c r="J78" i="8"/>
  <c r="J79" i="8"/>
  <c r="J80" i="8"/>
  <c r="J81" i="8"/>
  <c r="D35" i="8"/>
  <c r="D53" i="8"/>
  <c r="E52" i="8"/>
  <c r="E35" i="8"/>
  <c r="E53" i="8"/>
  <c r="F52" i="8"/>
  <c r="F35" i="8"/>
  <c r="F53" i="8"/>
  <c r="G52" i="8"/>
  <c r="G35" i="8"/>
  <c r="G53" i="8"/>
  <c r="H52" i="8"/>
  <c r="H35" i="8"/>
  <c r="H53" i="8"/>
  <c r="I52" i="8"/>
  <c r="I35" i="8"/>
  <c r="I53" i="8"/>
  <c r="J53" i="8"/>
  <c r="L87" i="8"/>
  <c r="C84" i="8"/>
  <c r="J85" i="8"/>
  <c r="L88" i="8"/>
  <c r="J86" i="8"/>
  <c r="C87" i="8"/>
  <c r="J88" i="8"/>
  <c r="J89" i="8"/>
  <c r="E11" i="8"/>
  <c r="F11" i="8"/>
  <c r="G11" i="8"/>
  <c r="H11" i="8"/>
  <c r="I11" i="8"/>
  <c r="J11" i="8"/>
  <c r="J49" i="8"/>
  <c r="I17" i="8"/>
  <c r="I49" i="8"/>
  <c r="J93" i="8"/>
  <c r="E12" i="8"/>
  <c r="F12" i="8"/>
  <c r="G12" i="8"/>
  <c r="H12" i="8"/>
  <c r="I12" i="8"/>
  <c r="J12" i="8"/>
  <c r="J50" i="8"/>
  <c r="I50" i="8"/>
  <c r="J94" i="8"/>
  <c r="I19" i="8"/>
  <c r="I20" i="8"/>
  <c r="I24" i="8"/>
  <c r="I25" i="8"/>
  <c r="I29" i="8"/>
  <c r="I30" i="8"/>
  <c r="I31" i="8"/>
  <c r="I32" i="8"/>
  <c r="I33" i="8"/>
  <c r="I76" i="8"/>
  <c r="I77" i="8"/>
  <c r="I78" i="8"/>
  <c r="I79" i="8"/>
  <c r="J96" i="8"/>
  <c r="J99" i="8"/>
  <c r="J100" i="8"/>
  <c r="J101" i="8"/>
  <c r="J102" i="8"/>
  <c r="J104" i="8"/>
  <c r="D17" i="8"/>
  <c r="D18" i="8"/>
  <c r="D19" i="8"/>
  <c r="D20" i="8"/>
  <c r="D23" i="8"/>
  <c r="D24" i="8"/>
  <c r="D25" i="8"/>
  <c r="D29" i="8"/>
  <c r="D30" i="8"/>
  <c r="D31" i="8"/>
  <c r="D32" i="8"/>
  <c r="D33" i="8"/>
  <c r="D76" i="8"/>
  <c r="D36" i="8"/>
  <c r="D77" i="8"/>
  <c r="D78" i="8"/>
  <c r="D79" i="8"/>
  <c r="D80" i="8"/>
  <c r="D81" i="8"/>
  <c r="D49" i="8"/>
  <c r="D93" i="8"/>
  <c r="D50" i="8"/>
  <c r="D94" i="8"/>
  <c r="D61" i="8"/>
  <c r="D95" i="8"/>
  <c r="D96" i="8"/>
  <c r="D104" i="8"/>
  <c r="E17" i="8"/>
  <c r="E18" i="8"/>
  <c r="E19" i="8"/>
  <c r="E20" i="8"/>
  <c r="E23" i="8"/>
  <c r="E24" i="8"/>
  <c r="E25" i="8"/>
  <c r="E29" i="8"/>
  <c r="E30" i="8"/>
  <c r="E31" i="8"/>
  <c r="E32" i="8"/>
  <c r="E33" i="8"/>
  <c r="E76" i="8"/>
  <c r="E54" i="8"/>
  <c r="E36" i="8"/>
  <c r="E77" i="8"/>
  <c r="E78" i="8"/>
  <c r="E79" i="8"/>
  <c r="E80" i="8"/>
  <c r="E81" i="8"/>
  <c r="E49" i="8"/>
  <c r="E93" i="8"/>
  <c r="E50" i="8"/>
  <c r="E94" i="8"/>
  <c r="E61" i="8"/>
  <c r="E95" i="8"/>
  <c r="E96" i="8"/>
  <c r="E104" i="8"/>
  <c r="F17" i="8"/>
  <c r="F18" i="8"/>
  <c r="F19" i="8"/>
  <c r="F20" i="8"/>
  <c r="F23" i="8"/>
  <c r="F24" i="8"/>
  <c r="F25" i="8"/>
  <c r="F29" i="8"/>
  <c r="F30" i="8"/>
  <c r="F31" i="8"/>
  <c r="F32" i="8"/>
  <c r="F33" i="8"/>
  <c r="F76" i="8"/>
  <c r="F54" i="8"/>
  <c r="F36" i="8"/>
  <c r="F77" i="8"/>
  <c r="F78" i="8"/>
  <c r="F79" i="8"/>
  <c r="F80" i="8"/>
  <c r="F81" i="8"/>
  <c r="F49" i="8"/>
  <c r="F93" i="8"/>
  <c r="F50" i="8"/>
  <c r="F94" i="8"/>
  <c r="F61" i="8"/>
  <c r="F95" i="8"/>
  <c r="F96" i="8"/>
  <c r="F104" i="8"/>
  <c r="G17" i="8"/>
  <c r="G18" i="8"/>
  <c r="G19" i="8"/>
  <c r="G20" i="8"/>
  <c r="G23" i="8"/>
  <c r="G24" i="8"/>
  <c r="G25" i="8"/>
  <c r="G29" i="8"/>
  <c r="G30" i="8"/>
  <c r="G31" i="8"/>
  <c r="G32" i="8"/>
  <c r="G33" i="8"/>
  <c r="G76" i="8"/>
  <c r="G54" i="8"/>
  <c r="G36" i="8"/>
  <c r="G77" i="8"/>
  <c r="G78" i="8"/>
  <c r="G79" i="8"/>
  <c r="G80" i="8"/>
  <c r="G81" i="8"/>
  <c r="G49" i="8"/>
  <c r="G93" i="8"/>
  <c r="G50" i="8"/>
  <c r="G94" i="8"/>
  <c r="G61" i="8"/>
  <c r="G95" i="8"/>
  <c r="G96" i="8"/>
  <c r="G104" i="8"/>
  <c r="H17" i="8"/>
  <c r="H18" i="8"/>
  <c r="H19" i="8"/>
  <c r="H20" i="8"/>
  <c r="H23" i="8"/>
  <c r="H24" i="8"/>
  <c r="H25" i="8"/>
  <c r="H29" i="8"/>
  <c r="H30" i="8"/>
  <c r="H31" i="8"/>
  <c r="H32" i="8"/>
  <c r="H33" i="8"/>
  <c r="H76" i="8"/>
  <c r="H54" i="8"/>
  <c r="H36" i="8"/>
  <c r="H77" i="8"/>
  <c r="H78" i="8"/>
  <c r="H79" i="8"/>
  <c r="H80" i="8"/>
  <c r="H81" i="8"/>
  <c r="H49" i="8"/>
  <c r="H93" i="8"/>
  <c r="H50" i="8"/>
  <c r="H94" i="8"/>
  <c r="H61" i="8"/>
  <c r="H95" i="8"/>
  <c r="H96" i="8"/>
  <c r="H104" i="8"/>
  <c r="I80" i="8"/>
  <c r="I81" i="8"/>
  <c r="I93" i="8"/>
  <c r="I94" i="8"/>
  <c r="I95" i="8"/>
  <c r="I96" i="8"/>
  <c r="I104" i="8"/>
  <c r="C90" i="8"/>
  <c r="C104" i="8"/>
  <c r="C109" i="8"/>
  <c r="N76" i="1"/>
  <c r="N77" i="1"/>
  <c r="N78" i="1"/>
  <c r="N79" i="1"/>
  <c r="M76" i="1"/>
  <c r="M77" i="1"/>
  <c r="M78" i="1"/>
  <c r="M79" i="1"/>
  <c r="N96" i="1"/>
  <c r="J105" i="8"/>
  <c r="J116" i="8"/>
  <c r="I118" i="8"/>
  <c r="H118" i="8"/>
  <c r="G118" i="8"/>
  <c r="F118" i="8"/>
  <c r="E118" i="8"/>
  <c r="D118" i="8"/>
  <c r="H114" i="8"/>
  <c r="E114" i="8"/>
  <c r="D114" i="8"/>
  <c r="C116" i="8"/>
  <c r="C122" i="8"/>
  <c r="D122" i="8"/>
  <c r="E122" i="8"/>
  <c r="F114" i="8"/>
  <c r="F122" i="8"/>
  <c r="G114" i="8"/>
  <c r="G122" i="8"/>
  <c r="H115" i="8"/>
  <c r="H122" i="8"/>
  <c r="I122" i="8"/>
  <c r="J122" i="8"/>
  <c r="C125" i="8"/>
  <c r="C123" i="8"/>
  <c r="D123" i="8"/>
  <c r="E123" i="8"/>
  <c r="F123" i="8"/>
  <c r="G123" i="8"/>
  <c r="H123" i="8"/>
  <c r="I123" i="8"/>
  <c r="J123" i="8"/>
  <c r="C124" i="8"/>
  <c r="B120" i="8"/>
  <c r="B118" i="8"/>
  <c r="B116" i="8"/>
  <c r="B114" i="8"/>
  <c r="E3" i="8"/>
  <c r="F3" i="8"/>
  <c r="G3" i="8"/>
  <c r="H3" i="8"/>
  <c r="I3" i="8"/>
  <c r="J3" i="8"/>
  <c r="I37" i="8"/>
  <c r="J37" i="8"/>
  <c r="I38" i="8"/>
  <c r="J38" i="8"/>
  <c r="I40" i="8"/>
  <c r="J40" i="8"/>
  <c r="I41" i="8"/>
  <c r="J41" i="8"/>
  <c r="I43" i="8"/>
  <c r="J43" i="8"/>
  <c r="D47" i="8"/>
  <c r="E47" i="8"/>
  <c r="F47" i="8"/>
  <c r="G47" i="8"/>
  <c r="H47" i="8"/>
  <c r="I47" i="8"/>
  <c r="J47" i="8"/>
  <c r="I54" i="8"/>
  <c r="J54" i="8"/>
  <c r="D55" i="8"/>
  <c r="E55" i="8"/>
  <c r="F55" i="8"/>
  <c r="G55" i="8"/>
  <c r="H55" i="8"/>
  <c r="I55" i="8"/>
  <c r="J55" i="8"/>
  <c r="I56" i="8"/>
  <c r="J56" i="8"/>
  <c r="I58" i="8"/>
  <c r="J58" i="8"/>
  <c r="I62" i="8"/>
  <c r="J62" i="8"/>
  <c r="I64" i="8"/>
  <c r="J64" i="8"/>
  <c r="D38" i="8"/>
  <c r="D37" i="8"/>
  <c r="D40" i="8"/>
  <c r="D41" i="8"/>
  <c r="D43" i="8"/>
  <c r="D68" i="8"/>
  <c r="E38" i="8"/>
  <c r="E37" i="8"/>
  <c r="E40" i="8"/>
  <c r="E41" i="8"/>
  <c r="E43" i="8"/>
  <c r="E68" i="8"/>
  <c r="F38" i="8"/>
  <c r="F37" i="8"/>
  <c r="F40" i="8"/>
  <c r="F41" i="8"/>
  <c r="F43" i="8"/>
  <c r="F68" i="8"/>
  <c r="G38" i="8"/>
  <c r="G37" i="8"/>
  <c r="G40" i="8"/>
  <c r="G41" i="8"/>
  <c r="G43" i="8"/>
  <c r="G68" i="8"/>
  <c r="H38" i="8"/>
  <c r="H37" i="8"/>
  <c r="H40" i="8"/>
  <c r="H41" i="8"/>
  <c r="H43" i="8"/>
  <c r="H68" i="8"/>
  <c r="I68" i="8"/>
  <c r="J68" i="8"/>
  <c r="I70" i="8"/>
  <c r="J70" i="8"/>
  <c r="I71" i="8"/>
  <c r="J71" i="8"/>
  <c r="I105" i="8"/>
  <c r="D64" i="8"/>
  <c r="E64" i="8"/>
  <c r="F64" i="8"/>
  <c r="G64" i="8"/>
  <c r="H64" i="8"/>
  <c r="C105" i="8"/>
  <c r="D105" i="8"/>
  <c r="E105" i="8"/>
  <c r="F105" i="8"/>
  <c r="G105" i="8"/>
  <c r="H105" i="8"/>
  <c r="C108" i="8"/>
  <c r="H56" i="8"/>
  <c r="H58" i="8"/>
  <c r="H62" i="8"/>
  <c r="H70" i="8"/>
  <c r="H71" i="8"/>
  <c r="G56" i="8"/>
  <c r="G58" i="8"/>
  <c r="G62" i="8"/>
  <c r="G70" i="8"/>
  <c r="G71" i="8"/>
  <c r="F56" i="8"/>
  <c r="F58" i="8"/>
  <c r="F62" i="8"/>
  <c r="F70" i="8"/>
  <c r="F71" i="8"/>
  <c r="E56" i="8"/>
  <c r="E58" i="8"/>
  <c r="E62" i="8"/>
  <c r="E70" i="8"/>
  <c r="E71" i="8"/>
  <c r="D58" i="8"/>
  <c r="D62" i="8"/>
  <c r="D70" i="8"/>
  <c r="D71" i="8"/>
  <c r="P68" i="1"/>
  <c r="P70" i="1"/>
  <c r="P71" i="1"/>
  <c r="R64" i="1"/>
  <c r="S64" i="1"/>
  <c r="T64" i="1"/>
  <c r="R65" i="1"/>
  <c r="S65" i="1"/>
  <c r="T65" i="1"/>
  <c r="T68" i="1"/>
  <c r="T71" i="1"/>
  <c r="C107" i="1"/>
  <c r="C87" i="1"/>
  <c r="C84" i="1"/>
  <c r="C90" i="1"/>
  <c r="C104" i="1"/>
  <c r="N88" i="1"/>
  <c r="N89" i="1"/>
  <c r="N80" i="1"/>
  <c r="N81" i="1"/>
  <c r="N85" i="1"/>
  <c r="D53" i="1"/>
  <c r="E53" i="1"/>
  <c r="F53" i="1"/>
  <c r="G53" i="1"/>
  <c r="H53" i="1"/>
  <c r="I53" i="1"/>
  <c r="J53" i="1"/>
  <c r="K53" i="1"/>
  <c r="L53" i="1"/>
  <c r="M53" i="1"/>
  <c r="N53" i="1"/>
  <c r="P87" i="1"/>
  <c r="P88" i="1"/>
  <c r="N86" i="1"/>
  <c r="E12" i="1"/>
  <c r="F12" i="1"/>
  <c r="G12" i="1"/>
  <c r="H12" i="1"/>
  <c r="I12" i="1"/>
  <c r="J12" i="1"/>
  <c r="K12" i="1"/>
  <c r="L12" i="1"/>
  <c r="M12" i="1"/>
  <c r="N12" i="1"/>
  <c r="N50" i="1"/>
  <c r="M50" i="1"/>
  <c r="N94" i="1"/>
  <c r="N61" i="1"/>
  <c r="M61" i="1"/>
  <c r="N95" i="1"/>
  <c r="N99" i="1"/>
  <c r="N100" i="1"/>
  <c r="N101" i="1"/>
  <c r="N102" i="1"/>
  <c r="N104" i="1"/>
  <c r="D76" i="1"/>
  <c r="D77" i="1"/>
  <c r="D78" i="1"/>
  <c r="D79" i="1"/>
  <c r="D80" i="1"/>
  <c r="D81" i="1"/>
  <c r="D49" i="1"/>
  <c r="D93" i="1"/>
  <c r="D50" i="1"/>
  <c r="D94" i="1"/>
  <c r="D61" i="1"/>
  <c r="D95" i="1"/>
  <c r="D96" i="1"/>
  <c r="D104" i="1"/>
  <c r="E76" i="1"/>
  <c r="E77" i="1"/>
  <c r="E78" i="1"/>
  <c r="E79" i="1"/>
  <c r="E80" i="1"/>
  <c r="E81" i="1"/>
  <c r="E49" i="1"/>
  <c r="E93" i="1"/>
  <c r="E50" i="1"/>
  <c r="E94" i="1"/>
  <c r="E61" i="1"/>
  <c r="E95" i="1"/>
  <c r="E96" i="1"/>
  <c r="E104" i="1"/>
  <c r="F76" i="1"/>
  <c r="F77" i="1"/>
  <c r="F78" i="1"/>
  <c r="F79" i="1"/>
  <c r="F80" i="1"/>
  <c r="F81" i="1"/>
  <c r="F49" i="1"/>
  <c r="F93" i="1"/>
  <c r="F50" i="1"/>
  <c r="F94" i="1"/>
  <c r="F61" i="1"/>
  <c r="F95" i="1"/>
  <c r="F96" i="1"/>
  <c r="F104" i="1"/>
  <c r="G76" i="1"/>
  <c r="G77" i="1"/>
  <c r="G78" i="1"/>
  <c r="G79" i="1"/>
  <c r="G80" i="1"/>
  <c r="G81" i="1"/>
  <c r="G49" i="1"/>
  <c r="G93" i="1"/>
  <c r="G50" i="1"/>
  <c r="G94" i="1"/>
  <c r="G61" i="1"/>
  <c r="G95" i="1"/>
  <c r="G96" i="1"/>
  <c r="G104" i="1"/>
  <c r="H76" i="1"/>
  <c r="H77" i="1"/>
  <c r="H78" i="1"/>
  <c r="H79" i="1"/>
  <c r="H80" i="1"/>
  <c r="H81" i="1"/>
  <c r="H49" i="1"/>
  <c r="H93" i="1"/>
  <c r="H50" i="1"/>
  <c r="H94" i="1"/>
  <c r="H61" i="1"/>
  <c r="H95" i="1"/>
  <c r="H96" i="1"/>
  <c r="H104" i="1"/>
  <c r="I76" i="1"/>
  <c r="I77" i="1"/>
  <c r="I78" i="1"/>
  <c r="I79" i="1"/>
  <c r="I80" i="1"/>
  <c r="I81" i="1"/>
  <c r="I49" i="1"/>
  <c r="I93" i="1"/>
  <c r="I50" i="1"/>
  <c r="I94" i="1"/>
  <c r="I61" i="1"/>
  <c r="I95" i="1"/>
  <c r="I96" i="1"/>
  <c r="I104" i="1"/>
  <c r="J76" i="1"/>
  <c r="J77" i="1"/>
  <c r="J78" i="1"/>
  <c r="J79" i="1"/>
  <c r="J80" i="1"/>
  <c r="J81" i="1"/>
  <c r="J49" i="1"/>
  <c r="J93" i="1"/>
  <c r="J50" i="1"/>
  <c r="J94" i="1"/>
  <c r="J61" i="1"/>
  <c r="J95" i="1"/>
  <c r="J96" i="1"/>
  <c r="J104" i="1"/>
  <c r="K76" i="1"/>
  <c r="K77" i="1"/>
  <c r="K78" i="1"/>
  <c r="K79" i="1"/>
  <c r="K80" i="1"/>
  <c r="K81" i="1"/>
  <c r="K49" i="1"/>
  <c r="K93" i="1"/>
  <c r="K50" i="1"/>
  <c r="K94" i="1"/>
  <c r="K61" i="1"/>
  <c r="K95" i="1"/>
  <c r="K96" i="1"/>
  <c r="K104" i="1"/>
  <c r="L76" i="1"/>
  <c r="L77" i="1"/>
  <c r="L78" i="1"/>
  <c r="L79" i="1"/>
  <c r="L80" i="1"/>
  <c r="L81" i="1"/>
  <c r="L49" i="1"/>
  <c r="L93" i="1"/>
  <c r="L50" i="1"/>
  <c r="L94" i="1"/>
  <c r="L61" i="1"/>
  <c r="L95" i="1"/>
  <c r="L96" i="1"/>
  <c r="L104" i="1"/>
  <c r="M80" i="1"/>
  <c r="M81" i="1"/>
  <c r="M93" i="1"/>
  <c r="M94" i="1"/>
  <c r="M95" i="1"/>
  <c r="M96" i="1"/>
  <c r="M104" i="1"/>
  <c r="C109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64" i="6"/>
  <c r="C75" i="6"/>
  <c r="C80" i="6"/>
  <c r="D37" i="6"/>
  <c r="D76" i="6"/>
  <c r="E64" i="6"/>
  <c r="D77" i="6"/>
  <c r="D80" i="6"/>
  <c r="E37" i="6"/>
  <c r="E76" i="6"/>
  <c r="F64" i="6"/>
  <c r="E77" i="6"/>
  <c r="E80" i="6"/>
  <c r="F37" i="6"/>
  <c r="F76" i="6"/>
  <c r="G64" i="6"/>
  <c r="F77" i="6"/>
  <c r="F80" i="6"/>
  <c r="G37" i="6"/>
  <c r="G76" i="6"/>
  <c r="H64" i="6"/>
  <c r="G77" i="6"/>
  <c r="G80" i="6"/>
  <c r="H37" i="6"/>
  <c r="H76" i="6"/>
  <c r="H78" i="6"/>
  <c r="H80" i="6"/>
  <c r="C81" i="6"/>
  <c r="H52" i="6"/>
  <c r="J52" i="6"/>
  <c r="H54" i="6"/>
  <c r="J54" i="6"/>
  <c r="H56" i="6"/>
  <c r="J56" i="6"/>
  <c r="J58" i="6"/>
  <c r="J62" i="6"/>
  <c r="E6" i="6"/>
  <c r="F6" i="6"/>
  <c r="G6" i="6"/>
  <c r="H6" i="6"/>
  <c r="E8" i="6"/>
  <c r="F8" i="6"/>
  <c r="G8" i="6"/>
  <c r="H8" i="6"/>
  <c r="H18" i="6"/>
  <c r="H23" i="6"/>
  <c r="H61" i="6"/>
  <c r="K61" i="6"/>
  <c r="D47" i="6"/>
  <c r="E47" i="6"/>
  <c r="F47" i="6"/>
  <c r="G47" i="6"/>
  <c r="H47" i="6"/>
  <c r="K47" i="6"/>
  <c r="E5" i="6"/>
  <c r="F5" i="6"/>
  <c r="G5" i="6"/>
  <c r="H5" i="6"/>
  <c r="H17" i="6"/>
  <c r="E11" i="6"/>
  <c r="F11" i="6"/>
  <c r="G11" i="6"/>
  <c r="H11" i="6"/>
  <c r="H49" i="6"/>
  <c r="K49" i="6"/>
  <c r="E12" i="6"/>
  <c r="F12" i="6"/>
  <c r="G12" i="6"/>
  <c r="H12" i="6"/>
  <c r="H50" i="6"/>
  <c r="K50" i="6"/>
  <c r="K58" i="6"/>
  <c r="K62" i="6"/>
  <c r="K65" i="6"/>
  <c r="H87" i="6"/>
  <c r="H38" i="6"/>
  <c r="H85" i="6"/>
  <c r="H89" i="6"/>
  <c r="C84" i="6"/>
  <c r="C89" i="6"/>
  <c r="D38" i="6"/>
  <c r="D85" i="6"/>
  <c r="D86" i="6"/>
  <c r="D89" i="6"/>
  <c r="E38" i="6"/>
  <c r="E85" i="6"/>
  <c r="E86" i="6"/>
  <c r="E89" i="6"/>
  <c r="F38" i="6"/>
  <c r="F85" i="6"/>
  <c r="F86" i="6"/>
  <c r="F89" i="6"/>
  <c r="G38" i="6"/>
  <c r="G85" i="6"/>
  <c r="G86" i="6"/>
  <c r="G89" i="6"/>
  <c r="C90" i="6"/>
  <c r="N65" i="6"/>
  <c r="K66" i="6"/>
  <c r="O65" i="6"/>
  <c r="L65" i="6"/>
  <c r="M65" i="6"/>
  <c r="N64" i="6"/>
  <c r="O64" i="6"/>
  <c r="J64" i="6"/>
  <c r="K64" i="6"/>
  <c r="L64" i="6"/>
  <c r="I65" i="6"/>
  <c r="I64" i="6"/>
  <c r="D17" i="6"/>
  <c r="D18" i="6"/>
  <c r="D19" i="6"/>
  <c r="D20" i="6"/>
  <c r="D23" i="6"/>
  <c r="D24" i="6"/>
  <c r="D25" i="6"/>
  <c r="D29" i="6"/>
  <c r="D30" i="6"/>
  <c r="D31" i="6"/>
  <c r="D32" i="6"/>
  <c r="D33" i="6"/>
  <c r="D35" i="6"/>
  <c r="D36" i="6"/>
  <c r="D40" i="6"/>
  <c r="D41" i="6"/>
  <c r="D62" i="6"/>
  <c r="D43" i="6"/>
  <c r="D68" i="6"/>
  <c r="D61" i="6"/>
  <c r="D70" i="6"/>
  <c r="D49" i="6"/>
  <c r="D50" i="6"/>
  <c r="D53" i="6"/>
  <c r="D55" i="6"/>
  <c r="D58" i="6"/>
  <c r="D71" i="6"/>
  <c r="D62" i="1"/>
  <c r="D70" i="1"/>
  <c r="E17" i="6"/>
  <c r="E18" i="6"/>
  <c r="E7" i="6"/>
  <c r="E19" i="6"/>
  <c r="E20" i="6"/>
  <c r="E23" i="6"/>
  <c r="E24" i="6"/>
  <c r="E25" i="6"/>
  <c r="E29" i="6"/>
  <c r="E30" i="6"/>
  <c r="E31" i="6"/>
  <c r="E9" i="6"/>
  <c r="E32" i="6"/>
  <c r="E33" i="6"/>
  <c r="E52" i="6"/>
  <c r="E35" i="6"/>
  <c r="E54" i="6"/>
  <c r="E36" i="6"/>
  <c r="E40" i="6"/>
  <c r="E41" i="6"/>
  <c r="E43" i="6"/>
  <c r="E68" i="6"/>
  <c r="F17" i="6"/>
  <c r="F18" i="6"/>
  <c r="F7" i="6"/>
  <c r="F19" i="6"/>
  <c r="F20" i="6"/>
  <c r="F23" i="6"/>
  <c r="F24" i="6"/>
  <c r="F25" i="6"/>
  <c r="F29" i="6"/>
  <c r="F30" i="6"/>
  <c r="F31" i="6"/>
  <c r="F9" i="6"/>
  <c r="F32" i="6"/>
  <c r="F33" i="6"/>
  <c r="F52" i="6"/>
  <c r="F35" i="6"/>
  <c r="F54" i="6"/>
  <c r="F36" i="6"/>
  <c r="F40" i="6"/>
  <c r="F41" i="6"/>
  <c r="F43" i="6"/>
  <c r="F68" i="6"/>
  <c r="G17" i="6"/>
  <c r="G18" i="6"/>
  <c r="G7" i="6"/>
  <c r="G19" i="6"/>
  <c r="G20" i="6"/>
  <c r="G23" i="6"/>
  <c r="G24" i="6"/>
  <c r="G25" i="6"/>
  <c r="G29" i="6"/>
  <c r="G30" i="6"/>
  <c r="G31" i="6"/>
  <c r="G9" i="6"/>
  <c r="G32" i="6"/>
  <c r="G33" i="6"/>
  <c r="G52" i="6"/>
  <c r="G35" i="6"/>
  <c r="G54" i="6"/>
  <c r="G36" i="6"/>
  <c r="G40" i="6"/>
  <c r="G41" i="6"/>
  <c r="G43" i="6"/>
  <c r="G68" i="6"/>
  <c r="H7" i="6"/>
  <c r="H19" i="6"/>
  <c r="H20" i="6"/>
  <c r="H24" i="6"/>
  <c r="H25" i="6"/>
  <c r="H29" i="6"/>
  <c r="H30" i="6"/>
  <c r="H31" i="6"/>
  <c r="H9" i="6"/>
  <c r="H32" i="6"/>
  <c r="H33" i="6"/>
  <c r="H35" i="6"/>
  <c r="H36" i="6"/>
  <c r="H40" i="6"/>
  <c r="H41" i="6"/>
  <c r="H43" i="6"/>
  <c r="H68" i="6"/>
  <c r="E49" i="6"/>
  <c r="E50" i="6"/>
  <c r="E61" i="6"/>
  <c r="F49" i="6"/>
  <c r="F50" i="6"/>
  <c r="F61" i="6"/>
  <c r="G49" i="6"/>
  <c r="G50" i="6"/>
  <c r="G61" i="6"/>
  <c r="E53" i="6"/>
  <c r="F53" i="6"/>
  <c r="G53" i="6"/>
  <c r="H53" i="6"/>
  <c r="E55" i="6"/>
  <c r="F55" i="6"/>
  <c r="G55" i="6"/>
  <c r="H55" i="6"/>
  <c r="H58" i="6"/>
  <c r="H62" i="6"/>
  <c r="H70" i="6"/>
  <c r="H71" i="6"/>
  <c r="G56" i="6"/>
  <c r="G58" i="6"/>
  <c r="G62" i="6"/>
  <c r="G70" i="6"/>
  <c r="G71" i="6"/>
  <c r="F56" i="6"/>
  <c r="F58" i="6"/>
  <c r="F62" i="6"/>
  <c r="F70" i="6"/>
  <c r="F71" i="6"/>
  <c r="E56" i="6"/>
  <c r="E58" i="6"/>
  <c r="E62" i="6"/>
  <c r="E70" i="6"/>
  <c r="E71" i="6"/>
  <c r="E3" i="6"/>
  <c r="F3" i="6"/>
  <c r="G3" i="6"/>
  <c r="H3" i="6"/>
  <c r="I54" i="1"/>
  <c r="J54" i="1"/>
  <c r="K54" i="1"/>
  <c r="L54" i="1"/>
  <c r="M54" i="1"/>
  <c r="N54" i="1"/>
  <c r="F56" i="1"/>
  <c r="G56" i="1"/>
  <c r="H56" i="1"/>
  <c r="I56" i="1"/>
  <c r="J56" i="1"/>
  <c r="K56" i="1"/>
  <c r="L56" i="1"/>
  <c r="M56" i="1"/>
  <c r="N56" i="1"/>
  <c r="E56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8" i="1"/>
  <c r="E3" i="1"/>
  <c r="F3" i="1"/>
  <c r="G3" i="1"/>
  <c r="H3" i="1"/>
  <c r="I3" i="1"/>
  <c r="J3" i="1"/>
  <c r="K3" i="1"/>
  <c r="L3" i="1"/>
  <c r="M3" i="1"/>
  <c r="N3" i="1"/>
  <c r="D47" i="1"/>
  <c r="E47" i="1"/>
  <c r="D55" i="1"/>
  <c r="E55" i="1"/>
  <c r="E58" i="1"/>
  <c r="F47" i="1"/>
  <c r="F55" i="1"/>
  <c r="F58" i="1"/>
  <c r="G47" i="1"/>
  <c r="G55" i="1"/>
  <c r="G58" i="1"/>
  <c r="H47" i="1"/>
  <c r="H55" i="1"/>
  <c r="H58" i="1"/>
  <c r="I47" i="1"/>
  <c r="I55" i="1"/>
  <c r="I58" i="1"/>
  <c r="J47" i="1"/>
  <c r="J55" i="1"/>
  <c r="J58" i="1"/>
  <c r="K47" i="1"/>
  <c r="K55" i="1"/>
  <c r="K58" i="1"/>
  <c r="L47" i="1"/>
  <c r="L55" i="1"/>
  <c r="L58" i="1"/>
  <c r="M47" i="1"/>
  <c r="M55" i="1"/>
  <c r="M58" i="1"/>
  <c r="N47" i="1"/>
  <c r="N55" i="1"/>
  <c r="N58" i="1"/>
  <c r="D58" i="1"/>
  <c r="E62" i="1"/>
  <c r="E70" i="1"/>
  <c r="E71" i="1"/>
  <c r="F62" i="1"/>
  <c r="F70" i="1"/>
  <c r="F71" i="1"/>
  <c r="G62" i="1"/>
  <c r="G70" i="1"/>
  <c r="G71" i="1"/>
  <c r="H62" i="1"/>
  <c r="H70" i="1"/>
  <c r="H71" i="1"/>
  <c r="I62" i="1"/>
  <c r="I70" i="1"/>
  <c r="I71" i="1"/>
  <c r="J62" i="1"/>
  <c r="J70" i="1"/>
  <c r="J71" i="1"/>
  <c r="K62" i="1"/>
  <c r="K70" i="1"/>
  <c r="K71" i="1"/>
  <c r="L62" i="1"/>
  <c r="L70" i="1"/>
  <c r="L71" i="1"/>
  <c r="M62" i="1"/>
  <c r="M70" i="1"/>
  <c r="M71" i="1"/>
  <c r="N62" i="1"/>
  <c r="N70" i="1"/>
  <c r="N71" i="1"/>
  <c r="D71" i="1"/>
</calcChain>
</file>

<file path=xl/sharedStrings.xml><?xml version="1.0" encoding="utf-8"?>
<sst xmlns="http://schemas.openxmlformats.org/spreadsheetml/2006/main" count="400" uniqueCount="170">
  <si>
    <t>INCOME STATEMENT</t>
  </si>
  <si>
    <t>Revenue</t>
  </si>
  <si>
    <t>Cost of Goods Sold</t>
  </si>
  <si>
    <t>Operating Expenses</t>
  </si>
  <si>
    <t>General and Admin</t>
  </si>
  <si>
    <t>Mortgage Loan Interest</t>
  </si>
  <si>
    <t>Extra Bank Loan Interest</t>
  </si>
  <si>
    <t>Taxable Income</t>
  </si>
  <si>
    <t>Income Tax Expense</t>
  </si>
  <si>
    <t>Net Income</t>
  </si>
  <si>
    <t>BALANCE SHEET</t>
  </si>
  <si>
    <t>Assets</t>
  </si>
  <si>
    <t>Minimum Cash Inventory</t>
  </si>
  <si>
    <t>Extra Cash Above Minimum</t>
  </si>
  <si>
    <t>Accounts Receivable</t>
  </si>
  <si>
    <t>Inventory</t>
  </si>
  <si>
    <t>Buildings</t>
  </si>
  <si>
    <t>Total Assets</t>
  </si>
  <si>
    <t>Liabilities and Owners Equity</t>
  </si>
  <si>
    <t>Accounts Payable</t>
  </si>
  <si>
    <t>Income Tax Payable</t>
  </si>
  <si>
    <t>Mortgage Loan</t>
  </si>
  <si>
    <t>Extra Bank Loan</t>
  </si>
  <si>
    <t>Common Stock</t>
  </si>
  <si>
    <t>Retained Earnings</t>
  </si>
  <si>
    <t>Total Liabilities and Owners Equity</t>
  </si>
  <si>
    <t>TOTALS</t>
  </si>
  <si>
    <t>FCF, NPV, IRR</t>
  </si>
  <si>
    <t>Cash from Operations</t>
  </si>
  <si>
    <t>Total Cash from Operations</t>
  </si>
  <si>
    <t>Cash in/out from Capital Expenditures</t>
  </si>
  <si>
    <t>Buy Building</t>
  </si>
  <si>
    <t>Sell Building</t>
  </si>
  <si>
    <t>Cash in/out from Changes in Working Capital</t>
  </si>
  <si>
    <t>Cash in/out from Liquidation of Working Capital</t>
  </si>
  <si>
    <t>Total Free Cash Flows</t>
  </si>
  <si>
    <t>Present Value of Total Free Cash Flows</t>
  </si>
  <si>
    <t>NPV of Total Free Cash Flows</t>
  </si>
  <si>
    <t>IRR</t>
  </si>
  <si>
    <t>OUTSIDE NUMBERS / ASSUMPTIONS</t>
  </si>
  <si>
    <t>yearly change</t>
  </si>
  <si>
    <t xml:space="preserve"> </t>
  </si>
  <si>
    <t>Day of Inventory</t>
  </si>
  <si>
    <t>Days of Accounts Payable (COGS)</t>
  </si>
  <si>
    <t>percent of Board Game sales</t>
  </si>
  <si>
    <t>percent of both sales</t>
  </si>
  <si>
    <t>Extra Loan Interest Rate</t>
  </si>
  <si>
    <t>tax rate</t>
  </si>
  <si>
    <t>Operating Profit</t>
  </si>
  <si>
    <t>Less: Depreciation</t>
  </si>
  <si>
    <t>Taxable Operating Income</t>
  </si>
  <si>
    <t>Taxes on OPERATIONS ONLY (=Taxes Payable)</t>
  </si>
  <si>
    <t>Add back: Depreciation</t>
  </si>
  <si>
    <t>-</t>
  </si>
  <si>
    <t>+</t>
  </si>
  <si>
    <t>Income Tax Payable ON OPERATIONS ONLY</t>
  </si>
  <si>
    <t>Cost of Capital</t>
  </si>
  <si>
    <t>Beg Balance</t>
  </si>
  <si>
    <t>Principal</t>
  </si>
  <si>
    <t xml:space="preserve">Interest </t>
  </si>
  <si>
    <t>Payment</t>
  </si>
  <si>
    <t>End Balance</t>
  </si>
  <si>
    <t>Beginning Balance</t>
  </si>
  <si>
    <t>Annual rate</t>
  </si>
  <si>
    <t>Monthly rate</t>
  </si>
  <si>
    <t>No. of years</t>
  </si>
  <si>
    <t>No. of months</t>
  </si>
  <si>
    <t>Jan Year 1</t>
  </si>
  <si>
    <t>Dec Year 1</t>
  </si>
  <si>
    <t>Jan Year 2</t>
  </si>
  <si>
    <t>Dec Year 2</t>
  </si>
  <si>
    <t>Jan Year 3</t>
  </si>
  <si>
    <t>Dec Year 3</t>
  </si>
  <si>
    <t>Jan Year 4</t>
  </si>
  <si>
    <t>Dec Year 4</t>
  </si>
  <si>
    <t>Mortgage Loan Interest Rate</t>
  </si>
  <si>
    <t>DFN</t>
  </si>
  <si>
    <t>Service Revenue</t>
  </si>
  <si>
    <t>Days of Accounts Receivable (Furiture Sales)</t>
  </si>
  <si>
    <t>Sales Commissions</t>
  </si>
  <si>
    <t>Service Hours</t>
  </si>
  <si>
    <t>Service Hourly Rate</t>
  </si>
  <si>
    <t>Service Hours a Year</t>
  </si>
  <si>
    <t>Sales Comiision</t>
  </si>
  <si>
    <t>Sale Price</t>
  </si>
  <si>
    <t>Minimum Balance</t>
  </si>
  <si>
    <t>Land</t>
  </si>
  <si>
    <t>Buy Land</t>
  </si>
  <si>
    <t>Sell Land</t>
  </si>
  <si>
    <t>Buy Fixtures</t>
  </si>
  <si>
    <t>Sell Fixtures</t>
  </si>
  <si>
    <t>Fixtures</t>
  </si>
  <si>
    <t>Accumulated Depreciation/B</t>
  </si>
  <si>
    <t>Accumulated Depreciation/F</t>
  </si>
  <si>
    <t xml:space="preserve">Book </t>
  </si>
  <si>
    <t>Gain</t>
  </si>
  <si>
    <t>WACC</t>
  </si>
  <si>
    <t>Beta</t>
  </si>
  <si>
    <t>Taxes on Sale of Land</t>
  </si>
  <si>
    <t>Year Life</t>
  </si>
  <si>
    <t xml:space="preserve">  Taxes On Gain of Building</t>
  </si>
  <si>
    <t>Online Sales Revenue</t>
  </si>
  <si>
    <t>Items sold per year/ Interent</t>
  </si>
  <si>
    <t>Itmes sold per year/ In-Store</t>
  </si>
  <si>
    <t>Average Item Cost</t>
  </si>
  <si>
    <t>Decrease in instore sales</t>
  </si>
  <si>
    <t>Increase in online sales</t>
  </si>
  <si>
    <t xml:space="preserve">Inflation </t>
  </si>
  <si>
    <t>Total Revenue</t>
  </si>
  <si>
    <t>Cost of Online Sales</t>
  </si>
  <si>
    <t>Cost of Instore Sales</t>
  </si>
  <si>
    <t>Cost of Goods Sold In-Store</t>
  </si>
  <si>
    <t>Cost of Goods Sold Online</t>
  </si>
  <si>
    <t>In-Store Sales Revenue</t>
  </si>
  <si>
    <t>Total Cost of Goods Sold</t>
  </si>
  <si>
    <t>Total Operating Expenses</t>
  </si>
  <si>
    <t>Office Building Depreciation</t>
  </si>
  <si>
    <t>Fixtures Depreciation</t>
  </si>
  <si>
    <t>Jan Year 5</t>
  </si>
  <si>
    <t>Dec Year 5</t>
  </si>
  <si>
    <t>Jan Year 6</t>
  </si>
  <si>
    <t>Dec Year 6</t>
  </si>
  <si>
    <t>Jan Year 7</t>
  </si>
  <si>
    <t>Dec Year 7</t>
  </si>
  <si>
    <t>Jan Year 8</t>
  </si>
  <si>
    <t>Dec Year 8</t>
  </si>
  <si>
    <t>Jan Year 9</t>
  </si>
  <si>
    <t>Dec Year 9</t>
  </si>
  <si>
    <t>Jan Year 10</t>
  </si>
  <si>
    <t>Dec Year 10</t>
  </si>
  <si>
    <t>Jan Year 11</t>
  </si>
  <si>
    <t>Dec Year 11</t>
  </si>
  <si>
    <t>Overhead Building Utilities Cost / days in use</t>
  </si>
  <si>
    <t>Store Days In Use</t>
  </si>
  <si>
    <t xml:space="preserve">Overhead Utilities </t>
  </si>
  <si>
    <t>Rate</t>
  </si>
  <si>
    <t>After Tax</t>
  </si>
  <si>
    <t>Weighted</t>
  </si>
  <si>
    <t>Tbill</t>
  </si>
  <si>
    <t>S&amp;P 500</t>
  </si>
  <si>
    <t>Average</t>
  </si>
  <si>
    <t>Proport</t>
  </si>
  <si>
    <t>Return for Equity Holders</t>
  </si>
  <si>
    <t>Leave the Business</t>
  </si>
  <si>
    <t>FCF</t>
  </si>
  <si>
    <t>Pv</t>
  </si>
  <si>
    <t>NPV</t>
  </si>
  <si>
    <t>Strong</t>
  </si>
  <si>
    <t>Explanations</t>
  </si>
  <si>
    <t>Increase in Annual Cash Flows</t>
  </si>
  <si>
    <t>Additional Cash inflow from Online Sales</t>
  </si>
  <si>
    <t>Option</t>
  </si>
  <si>
    <t>Sale of Online Business</t>
  </si>
  <si>
    <t>Bankrupcy Forcast</t>
  </si>
  <si>
    <t xml:space="preserve">Secured </t>
  </si>
  <si>
    <t>Unsecured</t>
  </si>
  <si>
    <t>Paid</t>
  </si>
  <si>
    <t>Porportion</t>
  </si>
  <si>
    <t>Total</t>
  </si>
  <si>
    <t>Cents on the Dollar</t>
  </si>
  <si>
    <t xml:space="preserve">Sold For </t>
  </si>
  <si>
    <t xml:space="preserve">Leftover </t>
  </si>
  <si>
    <t>Leftover Porportion</t>
  </si>
  <si>
    <t xml:space="preserve">Total </t>
  </si>
  <si>
    <t>Return to Debtholders</t>
  </si>
  <si>
    <t xml:space="preserve">Initial Loan </t>
  </si>
  <si>
    <t>Interest Paid</t>
  </si>
  <si>
    <t>Principle Paid</t>
  </si>
  <si>
    <t>Final Pay off</t>
  </si>
  <si>
    <t>Extra Bankloan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</si>
</sst>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* #,##0.00_);_(* \(#,##0.00\);_(* \-??_);_(@_)"/>
    <numFmt numFmtId="166" formatCode="0.0%"/>
    <numFmt numFmtId="167" formatCode="_(\$* #,##0_);_(\$* \(#,##0\);_(\$* \-??_);_(@_)"/>
    <numFmt numFmtId="168" formatCode="[$$-409]#,##0.00;[Red]\-[$$-409]#,##0.00"/>
    <numFmt numFmtId="169" formatCode="_(* #,##0.0_);_(* \(#,##0.0\);_(* \-??_);_(@_)"/>
    <numFmt numFmtId="170" formatCode="0.000%"/>
    <numFmt numFmtId="171" formatCode="_(* #,##0_);_(* \(#,##0\);_(* &quot;-&quot;??_);_(@_)"/>
    <numFmt numFmtId="172" formatCode="_(* #,##0_);_(* \(#,##0\);_(* \-??_);_(@_)"/>
    <numFmt numFmtId="173" formatCode="0.0000000000000000%"/>
  </numFmts>
  <fonts count="12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name val="Calibri"/>
      <family val="2"/>
    </font>
    <font>
      <sz val="11"/>
      <color theme="0"/>
      <name val="Calibri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08">
    <xf numFmtId="0" fontId="0" fillId="0" borderId="0"/>
    <xf numFmtId="165" fontId="1" fillId="0" borderId="0"/>
    <xf numFmtId="164" fontId="1" fillId="0" borderId="0"/>
    <xf numFmtId="9" fontId="2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8">
    <xf numFmtId="0" fontId="0" fillId="0" borderId="0" xfId="0"/>
    <xf numFmtId="0" fontId="1" fillId="0" borderId="0" xfId="4"/>
    <xf numFmtId="0" fontId="1" fillId="0" borderId="0" xfId="4" applyFont="1"/>
    <xf numFmtId="166" fontId="3" fillId="0" borderId="0" xfId="3" applyNumberFormat="1" applyFont="1" applyFill="1" applyBorder="1" applyAlignment="1" applyProtection="1"/>
    <xf numFmtId="166" fontId="1" fillId="0" borderId="0" xfId="4" applyNumberFormat="1" applyFont="1"/>
    <xf numFmtId="0" fontId="1" fillId="3" borderId="1" xfId="4" applyFill="1" applyBorder="1"/>
    <xf numFmtId="167" fontId="1" fillId="0" borderId="0" xfId="4" applyNumberFormat="1"/>
    <xf numFmtId="0" fontId="5" fillId="0" borderId="0" xfId="0" applyFont="1"/>
    <xf numFmtId="9" fontId="1" fillId="0" borderId="0" xfId="4" applyNumberFormat="1"/>
    <xf numFmtId="9" fontId="1" fillId="0" borderId="0" xfId="4" applyNumberFormat="1" applyFont="1"/>
    <xf numFmtId="167" fontId="1" fillId="3" borderId="0" xfId="2" applyNumberFormat="1" applyFill="1"/>
    <xf numFmtId="167" fontId="1" fillId="3" borderId="1" xfId="4" applyNumberFormat="1" applyFill="1" applyBorder="1"/>
    <xf numFmtId="10" fontId="1" fillId="0" borderId="0" xfId="4" applyNumberFormat="1"/>
    <xf numFmtId="0" fontId="0" fillId="0" borderId="0" xfId="0" applyFont="1" applyAlignment="1">
      <alignment wrapText="1"/>
    </xf>
    <xf numFmtId="168" fontId="0" fillId="0" borderId="0" xfId="0" applyNumberFormat="1" applyFont="1" applyAlignment="1">
      <alignment wrapText="1"/>
    </xf>
    <xf numFmtId="168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/>
    <xf numFmtId="164" fontId="6" fillId="0" borderId="0" xfId="2" applyFont="1"/>
    <xf numFmtId="9" fontId="0" fillId="0" borderId="0" xfId="0" applyNumberFormat="1" applyFont="1"/>
    <xf numFmtId="170" fontId="0" fillId="0" borderId="0" xfId="3" applyNumberFormat="1" applyFont="1"/>
    <xf numFmtId="8" fontId="0" fillId="0" borderId="0" xfId="0" applyNumberFormat="1" applyFont="1"/>
    <xf numFmtId="3" fontId="1" fillId="0" borderId="0" xfId="4" applyNumberFormat="1" applyFont="1"/>
    <xf numFmtId="9" fontId="2" fillId="0" borderId="0" xfId="3"/>
    <xf numFmtId="167" fontId="1" fillId="0" borderId="0" xfId="4" applyNumberFormat="1" applyBorder="1"/>
    <xf numFmtId="167" fontId="1" fillId="2" borderId="4" xfId="2" applyNumberFormat="1" applyFont="1" applyFill="1" applyBorder="1"/>
    <xf numFmtId="0" fontId="1" fillId="0" borderId="0" xfId="4" applyFont="1" applyFill="1"/>
    <xf numFmtId="9" fontId="2" fillId="0" borderId="0" xfId="3" applyNumberFormat="1"/>
    <xf numFmtId="167" fontId="1" fillId="2" borderId="2" xfId="2" applyNumberFormat="1" applyFont="1" applyFill="1" applyBorder="1"/>
    <xf numFmtId="167" fontId="1" fillId="2" borderId="0" xfId="2" applyNumberFormat="1" applyFont="1" applyFill="1" applyBorder="1"/>
    <xf numFmtId="167" fontId="1" fillId="0" borderId="0" xfId="2" applyNumberFormat="1"/>
    <xf numFmtId="0" fontId="1" fillId="2" borderId="6" xfId="4" applyFont="1" applyFill="1" applyBorder="1"/>
    <xf numFmtId="0" fontId="1" fillId="2" borderId="0" xfId="4" applyFont="1" applyFill="1" applyBorder="1"/>
    <xf numFmtId="0" fontId="1" fillId="2" borderId="7" xfId="4" applyFont="1" applyFill="1" applyBorder="1"/>
    <xf numFmtId="167" fontId="1" fillId="2" borderId="7" xfId="2" applyNumberFormat="1" applyFont="1" applyFill="1" applyBorder="1"/>
    <xf numFmtId="167" fontId="1" fillId="2" borderId="5" xfId="2" applyNumberFormat="1" applyFont="1" applyFill="1" applyBorder="1"/>
    <xf numFmtId="0" fontId="1" fillId="3" borderId="6" xfId="4" applyFill="1" applyBorder="1"/>
    <xf numFmtId="167" fontId="1" fillId="3" borderId="0" xfId="2" applyNumberFormat="1" applyFill="1" applyBorder="1"/>
    <xf numFmtId="167" fontId="1" fillId="3" borderId="7" xfId="2" applyNumberFormat="1" applyFill="1" applyBorder="1"/>
    <xf numFmtId="167" fontId="1" fillId="2" borderId="8" xfId="2" applyNumberFormat="1" applyFont="1" applyFill="1" applyBorder="1"/>
    <xf numFmtId="0" fontId="4" fillId="2" borderId="6" xfId="4" applyFont="1" applyFill="1" applyBorder="1"/>
    <xf numFmtId="0" fontId="1" fillId="3" borderId="0" xfId="4" applyFill="1" applyBorder="1"/>
    <xf numFmtId="0" fontId="1" fillId="3" borderId="7" xfId="4" applyFill="1" applyBorder="1"/>
    <xf numFmtId="0" fontId="4" fillId="3" borderId="6" xfId="4" applyFont="1" applyFill="1" applyBorder="1"/>
    <xf numFmtId="167" fontId="1" fillId="3" borderId="0" xfId="4" applyNumberFormat="1" applyFill="1" applyBorder="1"/>
    <xf numFmtId="167" fontId="1" fillId="3" borderId="7" xfId="4" applyNumberFormat="1" applyFill="1" applyBorder="1"/>
    <xf numFmtId="0" fontId="4" fillId="3" borderId="0" xfId="4" applyFont="1" applyFill="1" applyBorder="1"/>
    <xf numFmtId="0" fontId="1" fillId="3" borderId="0" xfId="4" applyFill="1" applyBorder="1" applyAlignment="1">
      <alignment horizontal="center"/>
    </xf>
    <xf numFmtId="0" fontId="1" fillId="3" borderId="0" xfId="4" applyFill="1" applyBorder="1" applyAlignment="1">
      <alignment horizontal="left" indent="7"/>
    </xf>
    <xf numFmtId="0" fontId="1" fillId="3" borderId="0" xfId="4" applyFill="1" applyBorder="1" applyAlignment="1">
      <alignment horizontal="left" indent="8"/>
    </xf>
    <xf numFmtId="0" fontId="1" fillId="3" borderId="0" xfId="4" applyFill="1" applyBorder="1" applyAlignment="1">
      <alignment horizontal="left"/>
    </xf>
    <xf numFmtId="164" fontId="1" fillId="3" borderId="7" xfId="2" applyFill="1" applyBorder="1"/>
    <xf numFmtId="0" fontId="1" fillId="3" borderId="6" xfId="4" quotePrefix="1" applyFill="1" applyBorder="1"/>
    <xf numFmtId="8" fontId="1" fillId="3" borderId="0" xfId="4" applyNumberFormat="1" applyFill="1" applyBorder="1"/>
    <xf numFmtId="0" fontId="4" fillId="2" borderId="0" xfId="4" applyFont="1" applyFill="1" applyBorder="1"/>
    <xf numFmtId="0" fontId="1" fillId="0" borderId="6" xfId="4" applyBorder="1"/>
    <xf numFmtId="0" fontId="1" fillId="0" borderId="0" xfId="4" applyBorder="1"/>
    <xf numFmtId="9" fontId="3" fillId="0" borderId="0" xfId="3" applyNumberFormat="1" applyFont="1" applyFill="1" applyBorder="1" applyAlignment="1" applyProtection="1"/>
    <xf numFmtId="10" fontId="2" fillId="0" borderId="0" xfId="3" applyNumberFormat="1" applyBorder="1"/>
    <xf numFmtId="0" fontId="4" fillId="0" borderId="0" xfId="4" applyFont="1" applyBorder="1"/>
    <xf numFmtId="10" fontId="1" fillId="3" borderId="0" xfId="4" applyNumberFormat="1" applyFill="1" applyBorder="1"/>
    <xf numFmtId="167" fontId="1" fillId="0" borderId="0" xfId="4" applyNumberFormat="1" applyFont="1"/>
    <xf numFmtId="167" fontId="1" fillId="0" borderId="2" xfId="4" applyNumberFormat="1" applyFont="1" applyBorder="1"/>
    <xf numFmtId="0" fontId="0" fillId="0" borderId="0" xfId="0" applyFill="1"/>
    <xf numFmtId="0" fontId="1" fillId="0" borderId="0" xfId="4" applyFill="1"/>
    <xf numFmtId="9" fontId="0" fillId="0" borderId="0" xfId="0" applyNumberFormat="1" applyFill="1"/>
    <xf numFmtId="43" fontId="0" fillId="0" borderId="0" xfId="1" applyNumberFormat="1" applyFont="1" applyFill="1"/>
    <xf numFmtId="43" fontId="0" fillId="0" borderId="0" xfId="0" applyNumberFormat="1" applyFill="1"/>
    <xf numFmtId="0" fontId="3" fillId="0" borderId="0" xfId="4" applyFont="1" applyFill="1" applyBorder="1"/>
    <xf numFmtId="0" fontId="3" fillId="0" borderId="0" xfId="4" applyFont="1" applyFill="1"/>
    <xf numFmtId="10" fontId="2" fillId="0" borderId="0" xfId="3" applyNumberFormat="1" applyFont="1" applyFill="1"/>
    <xf numFmtId="167" fontId="3" fillId="0" borderId="0" xfId="4" applyNumberFormat="1" applyFont="1" applyFill="1" applyBorder="1"/>
    <xf numFmtId="167" fontId="2" fillId="0" borderId="0" xfId="3" applyNumberFormat="1" applyFont="1" applyFill="1" applyBorder="1"/>
    <xf numFmtId="172" fontId="2" fillId="0" borderId="0" xfId="3" applyNumberFormat="1" applyFont="1" applyFill="1" applyBorder="1"/>
    <xf numFmtId="0" fontId="9" fillId="0" borderId="0" xfId="4" applyFont="1" applyFill="1" applyBorder="1"/>
    <xf numFmtId="10" fontId="3" fillId="0" borderId="0" xfId="4" applyNumberFormat="1" applyFont="1" applyFill="1" applyBorder="1"/>
    <xf numFmtId="166" fontId="3" fillId="0" borderId="0" xfId="4" applyNumberFormat="1" applyFont="1" applyFill="1" applyBorder="1"/>
    <xf numFmtId="171" fontId="3" fillId="0" borderId="0" xfId="1" applyNumberFormat="1" applyFont="1" applyFill="1" applyBorder="1"/>
    <xf numFmtId="171" fontId="3" fillId="0" borderId="0" xfId="4" applyNumberFormat="1" applyFont="1" applyFill="1" applyBorder="1"/>
    <xf numFmtId="10" fontId="2" fillId="0" borderId="0" xfId="3" applyNumberFormat="1" applyFont="1" applyFill="1" applyBorder="1"/>
    <xf numFmtId="9" fontId="2" fillId="0" borderId="0" xfId="3" applyFont="1" applyFill="1" applyBorder="1"/>
    <xf numFmtId="166" fontId="2" fillId="0" borderId="0" xfId="3" applyNumberFormat="1" applyFont="1" applyFill="1" applyBorder="1"/>
    <xf numFmtId="165" fontId="3" fillId="0" borderId="0" xfId="1" applyFont="1" applyFill="1" applyBorder="1"/>
    <xf numFmtId="9" fontId="3" fillId="0" borderId="0" xfId="4" applyNumberFormat="1" applyFont="1" applyFill="1" applyBorder="1"/>
    <xf numFmtId="167" fontId="1" fillId="0" borderId="4" xfId="4" applyNumberFormat="1" applyBorder="1"/>
    <xf numFmtId="10" fontId="2" fillId="3" borderId="0" xfId="3" applyNumberFormat="1" applyFill="1" applyBorder="1"/>
    <xf numFmtId="10" fontId="0" fillId="0" borderId="0" xfId="3" applyNumberFormat="1" applyFont="1" applyFill="1" applyBorder="1"/>
    <xf numFmtId="167" fontId="1" fillId="3" borderId="17" xfId="4" applyNumberFormat="1" applyFill="1" applyBorder="1"/>
    <xf numFmtId="0" fontId="1" fillId="0" borderId="0" xfId="4" applyFill="1" applyBorder="1"/>
    <xf numFmtId="0" fontId="3" fillId="3" borderId="0" xfId="4" applyFont="1" applyFill="1" applyBorder="1"/>
    <xf numFmtId="0" fontId="1" fillId="0" borderId="0" xfId="4" applyFont="1" applyFill="1" applyBorder="1"/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/>
    <xf numFmtId="9" fontId="1" fillId="0" borderId="0" xfId="4" applyNumberFormat="1" applyFill="1" applyBorder="1"/>
    <xf numFmtId="8" fontId="1" fillId="0" borderId="0" xfId="4" applyNumberFormat="1" applyFill="1" applyBorder="1"/>
    <xf numFmtId="8" fontId="3" fillId="0" borderId="0" xfId="4" applyNumberFormat="1" applyFont="1" applyFill="1" applyBorder="1"/>
    <xf numFmtId="167" fontId="1" fillId="0" borderId="0" xfId="2" applyNumberFormat="1" applyFill="1" applyBorder="1"/>
    <xf numFmtId="8" fontId="2" fillId="0" borderId="0" xfId="3" applyNumberFormat="1" applyFont="1" applyFill="1" applyBorder="1"/>
    <xf numFmtId="167" fontId="1" fillId="0" borderId="0" xfId="4" applyNumberFormat="1" applyFill="1" applyBorder="1"/>
    <xf numFmtId="0" fontId="1" fillId="0" borderId="0" xfId="4" applyFill="1" applyBorder="1" applyAlignment="1">
      <alignment horizontal="right"/>
    </xf>
    <xf numFmtId="0" fontId="3" fillId="0" borderId="0" xfId="4" applyFont="1" applyFill="1" applyBorder="1" applyAlignment="1">
      <alignment horizontal="right"/>
    </xf>
    <xf numFmtId="8" fontId="10" fillId="0" borderId="0" xfId="4" applyNumberFormat="1" applyFont="1" applyFill="1" applyBorder="1"/>
    <xf numFmtId="10" fontId="10" fillId="0" borderId="0" xfId="4" applyNumberFormat="1" applyFont="1" applyFill="1" applyBorder="1"/>
    <xf numFmtId="0" fontId="1" fillId="0" borderId="0" xfId="4" applyFill="1" applyBorder="1" applyAlignment="1">
      <alignment horizontal="center"/>
    </xf>
    <xf numFmtId="8" fontId="2" fillId="0" borderId="0" xfId="3" applyNumberFormat="1" applyFill="1" applyBorder="1"/>
    <xf numFmtId="6" fontId="1" fillId="0" borderId="0" xfId="4" applyNumberFormat="1" applyFill="1" applyBorder="1"/>
    <xf numFmtId="6" fontId="10" fillId="0" borderId="0" xfId="4" applyNumberFormat="1" applyFont="1" applyFill="1" applyBorder="1"/>
    <xf numFmtId="8" fontId="1" fillId="0" borderId="0" xfId="4" applyNumberFormat="1" applyBorder="1"/>
    <xf numFmtId="8" fontId="1" fillId="0" borderId="0" xfId="4" applyNumberFormat="1"/>
    <xf numFmtId="0" fontId="1" fillId="0" borderId="0" xfId="4" applyBorder="1" applyAlignment="1">
      <alignment horizontal="right"/>
    </xf>
    <xf numFmtId="8" fontId="10" fillId="5" borderId="4" xfId="4" applyNumberFormat="1" applyFont="1" applyFill="1" applyBorder="1"/>
    <xf numFmtId="10" fontId="10" fillId="5" borderId="0" xfId="4" applyNumberFormat="1" applyFont="1" applyFill="1" applyBorder="1"/>
    <xf numFmtId="0" fontId="1" fillId="4" borderId="18" xfId="4" applyFill="1" applyBorder="1" applyAlignment="1">
      <alignment horizontal="center"/>
    </xf>
    <xf numFmtId="9" fontId="1" fillId="0" borderId="0" xfId="4" applyNumberFormat="1" applyBorder="1"/>
    <xf numFmtId="8" fontId="2" fillId="0" borderId="0" xfId="3" applyNumberFormat="1" applyBorder="1"/>
    <xf numFmtId="6" fontId="1" fillId="0" borderId="0" xfId="4" applyNumberFormat="1"/>
    <xf numFmtId="0" fontId="10" fillId="5" borderId="3" xfId="4" applyFont="1" applyFill="1" applyBorder="1" applyAlignment="1">
      <alignment horizontal="center"/>
    </xf>
    <xf numFmtId="0" fontId="1" fillId="0" borderId="10" xfId="4" applyFont="1" applyFill="1" applyBorder="1"/>
    <xf numFmtId="0" fontId="1" fillId="0" borderId="11" xfId="4" applyFont="1" applyFill="1" applyBorder="1"/>
    <xf numFmtId="172" fontId="1" fillId="0" borderId="0" xfId="1" applyNumberFormat="1" applyFill="1" applyBorder="1"/>
    <xf numFmtId="172" fontId="1" fillId="0" borderId="13" xfId="1" applyNumberFormat="1" applyFill="1" applyBorder="1"/>
    <xf numFmtId="164" fontId="1" fillId="0" borderId="0" xfId="2" applyFont="1" applyFill="1" applyBorder="1"/>
    <xf numFmtId="164" fontId="1" fillId="0" borderId="13" xfId="2" applyFont="1" applyFill="1" applyBorder="1"/>
    <xf numFmtId="3" fontId="1" fillId="0" borderId="0" xfId="1" applyNumberFormat="1" applyFont="1" applyFill="1" applyBorder="1"/>
    <xf numFmtId="3" fontId="1" fillId="0" borderId="13" xfId="1" applyNumberFormat="1" applyFont="1" applyFill="1" applyBorder="1"/>
    <xf numFmtId="167" fontId="1" fillId="0" borderId="13" xfId="2" applyNumberFormat="1" applyFill="1" applyBorder="1"/>
    <xf numFmtId="165" fontId="1" fillId="0" borderId="0" xfId="1" applyFont="1" applyFill="1" applyBorder="1"/>
    <xf numFmtId="165" fontId="1" fillId="0" borderId="13" xfId="1" applyFont="1" applyFill="1" applyBorder="1"/>
    <xf numFmtId="169" fontId="1" fillId="0" borderId="0" xfId="1" applyNumberFormat="1" applyFill="1" applyBorder="1"/>
    <xf numFmtId="169" fontId="1" fillId="0" borderId="13" xfId="1" applyNumberFormat="1" applyFill="1" applyBorder="1"/>
    <xf numFmtId="169" fontId="1" fillId="0" borderId="15" xfId="1" applyNumberFormat="1" applyFill="1" applyBorder="1"/>
    <xf numFmtId="169" fontId="1" fillId="0" borderId="16" xfId="1" applyNumberFormat="1" applyFill="1" applyBorder="1"/>
    <xf numFmtId="167" fontId="1" fillId="0" borderId="0" xfId="2" applyNumberFormat="1" applyFont="1" applyFill="1" applyBorder="1"/>
    <xf numFmtId="0" fontId="0" fillId="0" borderId="0" xfId="0" applyFill="1" applyBorder="1"/>
    <xf numFmtId="43" fontId="0" fillId="0" borderId="0" xfId="1" applyNumberFormat="1" applyFont="1" applyFill="1" applyBorder="1"/>
    <xf numFmtId="0" fontId="1" fillId="0" borderId="0" xfId="4" applyFont="1" applyBorder="1"/>
    <xf numFmtId="9" fontId="2" fillId="0" borderId="0" xfId="3" applyBorder="1"/>
    <xf numFmtId="9" fontId="2" fillId="0" borderId="0" xfId="3" applyFill="1" applyBorder="1"/>
    <xf numFmtId="10" fontId="2" fillId="0" borderId="0" xfId="3" applyNumberFormat="1" applyFill="1" applyBorder="1"/>
    <xf numFmtId="10" fontId="1" fillId="0" borderId="0" xfId="4" applyNumberFormat="1" applyFill="1" applyBorder="1"/>
    <xf numFmtId="10" fontId="1" fillId="0" borderId="0" xfId="4" applyNumberFormat="1" applyBorder="1"/>
    <xf numFmtId="9" fontId="2" fillId="0" borderId="0" xfId="3" applyNumberFormat="1" applyBorder="1"/>
    <xf numFmtId="164" fontId="1" fillId="0" borderId="0" xfId="2" applyFill="1" applyBorder="1"/>
    <xf numFmtId="171" fontId="0" fillId="0" borderId="0" xfId="1" applyNumberFormat="1" applyFont="1" applyFill="1" applyBorder="1"/>
    <xf numFmtId="171" fontId="0" fillId="0" borderId="0" xfId="3" applyNumberFormat="1" applyFont="1" applyFill="1" applyBorder="1"/>
    <xf numFmtId="171" fontId="0" fillId="0" borderId="0" xfId="0" applyNumberFormat="1" applyFill="1" applyBorder="1"/>
    <xf numFmtId="44" fontId="0" fillId="0" borderId="0" xfId="2" applyNumberFormat="1" applyFont="1" applyFill="1" applyBorder="1"/>
    <xf numFmtId="171" fontId="1" fillId="0" borderId="0" xfId="2" applyNumberFormat="1" applyFont="1" applyFill="1" applyBorder="1"/>
    <xf numFmtId="9" fontId="1" fillId="0" borderId="0" xfId="3" applyFont="1" applyFill="1" applyBorder="1"/>
    <xf numFmtId="9" fontId="0" fillId="0" borderId="0" xfId="3" applyFont="1" applyFill="1" applyBorder="1"/>
    <xf numFmtId="43" fontId="1" fillId="0" borderId="3" xfId="2" applyNumberFormat="1" applyFont="1" applyFill="1" applyBorder="1"/>
    <xf numFmtId="167" fontId="1" fillId="0" borderId="3" xfId="2" applyNumberFormat="1" applyFont="1" applyFill="1" applyBorder="1"/>
    <xf numFmtId="167" fontId="0" fillId="0" borderId="0" xfId="3" applyNumberFormat="1" applyFont="1" applyFill="1" applyBorder="1"/>
    <xf numFmtId="172" fontId="1" fillId="0" borderId="3" xfId="1" applyNumberFormat="1" applyBorder="1"/>
    <xf numFmtId="167" fontId="0" fillId="0" borderId="0" xfId="0" applyNumberFormat="1" applyFill="1" applyBorder="1"/>
    <xf numFmtId="10" fontId="2" fillId="0" borderId="3" xfId="3" applyNumberFormat="1" applyBorder="1"/>
    <xf numFmtId="167" fontId="1" fillId="0" borderId="10" xfId="2" applyNumberFormat="1" applyFont="1" applyFill="1" applyBorder="1"/>
    <xf numFmtId="0" fontId="1" fillId="0" borderId="10" xfId="4" applyFont="1" applyBorder="1"/>
    <xf numFmtId="0" fontId="1" fillId="0" borderId="11" xfId="4" applyFont="1" applyBorder="1"/>
    <xf numFmtId="0" fontId="1" fillId="0" borderId="13" xfId="4" applyFont="1" applyBorder="1"/>
    <xf numFmtId="0" fontId="0" fillId="0" borderId="13" xfId="0" applyFill="1" applyBorder="1"/>
    <xf numFmtId="171" fontId="0" fillId="0" borderId="13" xfId="1" applyNumberFormat="1" applyFont="1" applyFill="1" applyBorder="1"/>
    <xf numFmtId="166" fontId="2" fillId="0" borderId="0" xfId="3" applyNumberFormat="1" applyBorder="1"/>
    <xf numFmtId="9" fontId="1" fillId="0" borderId="12" xfId="2" applyNumberFormat="1" applyFont="1" applyFill="1" applyBorder="1"/>
    <xf numFmtId="171" fontId="0" fillId="0" borderId="20" xfId="1" applyNumberFormat="1" applyFont="1" applyFill="1" applyBorder="1"/>
    <xf numFmtId="167" fontId="1" fillId="0" borderId="14" xfId="2" applyNumberFormat="1" applyFont="1" applyFill="1" applyBorder="1"/>
    <xf numFmtId="167" fontId="1" fillId="0" borderId="15" xfId="2" applyNumberFormat="1" applyFont="1" applyFill="1" applyBorder="1"/>
    <xf numFmtId="0" fontId="0" fillId="0" borderId="15" xfId="0" applyFill="1" applyBorder="1"/>
    <xf numFmtId="9" fontId="0" fillId="0" borderId="15" xfId="3" applyFont="1" applyFill="1" applyBorder="1"/>
    <xf numFmtId="171" fontId="0" fillId="0" borderId="15" xfId="1" applyNumberFormat="1" applyFont="1" applyFill="1" applyBorder="1"/>
    <xf numFmtId="171" fontId="0" fillId="0" borderId="16" xfId="1" applyNumberFormat="1" applyFont="1" applyFill="1" applyBorder="1"/>
    <xf numFmtId="167" fontId="1" fillId="0" borderId="21" xfId="2" applyNumberFormat="1" applyFont="1" applyFill="1" applyBorder="1"/>
    <xf numFmtId="167" fontId="1" fillId="0" borderId="1" xfId="2" applyNumberFormat="1" applyFont="1" applyFill="1" applyBorder="1"/>
    <xf numFmtId="171" fontId="1" fillId="0" borderId="21" xfId="2" applyNumberFormat="1" applyFont="1" applyFill="1" applyBorder="1"/>
    <xf numFmtId="167" fontId="1" fillId="0" borderId="22" xfId="2" applyNumberFormat="1" applyFont="1" applyFill="1" applyBorder="1"/>
    <xf numFmtId="164" fontId="1" fillId="0" borderId="7" xfId="2" applyBorder="1"/>
    <xf numFmtId="164" fontId="1" fillId="0" borderId="19" xfId="2" applyNumberFormat="1" applyBorder="1"/>
    <xf numFmtId="9" fontId="2" fillId="0" borderId="23" xfId="3" applyBorder="1"/>
    <xf numFmtId="167" fontId="1" fillId="0" borderId="23" xfId="2" applyNumberFormat="1" applyFont="1" applyFill="1" applyBorder="1"/>
    <xf numFmtId="167" fontId="1" fillId="0" borderId="24" xfId="2" applyNumberFormat="1" applyFont="1" applyFill="1" applyBorder="1"/>
    <xf numFmtId="167" fontId="1" fillId="0" borderId="25" xfId="2" applyNumberFormat="1" applyFont="1" applyFill="1" applyBorder="1"/>
    <xf numFmtId="9" fontId="1" fillId="0" borderId="26" xfId="2" applyNumberFormat="1" applyFont="1" applyFill="1" applyBorder="1"/>
    <xf numFmtId="167" fontId="4" fillId="0" borderId="27" xfId="2" applyNumberFormat="1" applyFont="1" applyFill="1" applyBorder="1"/>
    <xf numFmtId="167" fontId="4" fillId="0" borderId="1" xfId="2" applyNumberFormat="1" applyFont="1" applyFill="1" applyBorder="1"/>
    <xf numFmtId="0" fontId="4" fillId="0" borderId="6" xfId="4" applyFont="1" applyFill="1" applyBorder="1"/>
    <xf numFmtId="0" fontId="1" fillId="0" borderId="6" xfId="4" applyFill="1" applyBorder="1"/>
    <xf numFmtId="0" fontId="4" fillId="0" borderId="0" xfId="4" applyFont="1" applyFill="1" applyBorder="1"/>
    <xf numFmtId="0" fontId="1" fillId="0" borderId="0" xfId="4" quotePrefix="1" applyFill="1" applyBorder="1"/>
    <xf numFmtId="0" fontId="0" fillId="3" borderId="0" xfId="0" applyFill="1"/>
    <xf numFmtId="167" fontId="1" fillId="3" borderId="0" xfId="4" applyNumberFormat="1" applyFill="1"/>
    <xf numFmtId="0" fontId="1" fillId="3" borderId="0" xfId="4" applyFill="1"/>
    <xf numFmtId="167" fontId="1" fillId="3" borderId="2" xfId="4" applyNumberFormat="1" applyFill="1" applyBorder="1"/>
    <xf numFmtId="10" fontId="2" fillId="3" borderId="18" xfId="3" applyNumberFormat="1" applyFill="1" applyBorder="1"/>
    <xf numFmtId="10" fontId="1" fillId="3" borderId="18" xfId="4" applyNumberFormat="1" applyFill="1" applyBorder="1"/>
    <xf numFmtId="0" fontId="1" fillId="0" borderId="9" xfId="4" applyFont="1" applyFill="1" applyBorder="1"/>
    <xf numFmtId="0" fontId="1" fillId="0" borderId="12" xfId="4" applyFont="1" applyFill="1" applyBorder="1"/>
    <xf numFmtId="0" fontId="1" fillId="0" borderId="12" xfId="4" applyFill="1" applyBorder="1"/>
    <xf numFmtId="0" fontId="1" fillId="0" borderId="14" xfId="4" applyFont="1" applyFill="1" applyBorder="1"/>
    <xf numFmtId="0" fontId="1" fillId="0" borderId="15" xfId="4" applyFont="1" applyFill="1" applyBorder="1"/>
    <xf numFmtId="167" fontId="1" fillId="0" borderId="2" xfId="2" applyNumberFormat="1" applyFont="1" applyFill="1" applyBorder="1" applyAlignment="1">
      <alignment horizontal="center"/>
    </xf>
    <xf numFmtId="9" fontId="0" fillId="0" borderId="2" xfId="3" applyFont="1" applyFill="1" applyBorder="1" applyAlignment="1">
      <alignment horizontal="center"/>
    </xf>
    <xf numFmtId="171" fontId="0" fillId="0" borderId="5" xfId="1" applyNumberFormat="1" applyFont="1" applyFill="1" applyBorder="1" applyAlignment="1">
      <alignment horizontal="center"/>
    </xf>
    <xf numFmtId="10" fontId="0" fillId="0" borderId="2" xfId="0" applyNumberFormat="1" applyFill="1" applyBorder="1"/>
    <xf numFmtId="9" fontId="2" fillId="0" borderId="0" xfId="3" applyFill="1"/>
    <xf numFmtId="9" fontId="1" fillId="0" borderId="0" xfId="4" applyNumberFormat="1" applyFont="1" applyFill="1"/>
    <xf numFmtId="10" fontId="2" fillId="0" borderId="0" xfId="3" applyNumberFormat="1" applyFill="1"/>
    <xf numFmtId="166" fontId="1" fillId="0" borderId="0" xfId="4" applyNumberFormat="1" applyFont="1" applyFill="1"/>
    <xf numFmtId="173" fontId="1" fillId="0" borderId="0" xfId="4" applyNumberFormat="1" applyFill="1"/>
    <xf numFmtId="10" fontId="1" fillId="0" borderId="0" xfId="4" applyNumberFormat="1" applyFont="1" applyFill="1"/>
    <xf numFmtId="10" fontId="1" fillId="0" borderId="0" xfId="4" applyNumberFormat="1" applyFill="1"/>
    <xf numFmtId="164" fontId="1" fillId="3" borderId="0" xfId="2" applyFill="1" applyBorder="1"/>
    <xf numFmtId="9" fontId="1" fillId="0" borderId="0" xfId="4" applyNumberFormat="1" applyFont="1" applyFill="1" applyBorder="1"/>
    <xf numFmtId="166" fontId="1" fillId="0" borderId="0" xfId="4" applyNumberFormat="1" applyFont="1" applyFill="1" applyBorder="1"/>
    <xf numFmtId="9" fontId="0" fillId="0" borderId="0" xfId="0" applyNumberFormat="1" applyFill="1" applyBorder="1"/>
    <xf numFmtId="43" fontId="0" fillId="0" borderId="0" xfId="0" applyNumberFormat="1" applyFill="1" applyBorder="1"/>
    <xf numFmtId="10" fontId="0" fillId="0" borderId="0" xfId="0" applyNumberFormat="1" applyFill="1" applyBorder="1"/>
    <xf numFmtId="9" fontId="1" fillId="0" borderId="0" xfId="4" applyNumberFormat="1" applyFont="1" applyBorder="1"/>
    <xf numFmtId="167" fontId="1" fillId="0" borderId="0" xfId="4" applyNumberFormat="1" applyFont="1" applyBorder="1"/>
    <xf numFmtId="173" fontId="1" fillId="0" borderId="0" xfId="4" applyNumberFormat="1" applyFill="1" applyBorder="1"/>
    <xf numFmtId="3" fontId="1" fillId="0" borderId="0" xfId="4" applyNumberFormat="1" applyFont="1" applyBorder="1"/>
    <xf numFmtId="10" fontId="1" fillId="0" borderId="0" xfId="4" applyNumberFormat="1" applyFont="1" applyFill="1" applyBorder="1"/>
    <xf numFmtId="167" fontId="1" fillId="0" borderId="7" xfId="2" applyNumberFormat="1" applyBorder="1"/>
    <xf numFmtId="0" fontId="4" fillId="2" borderId="2" xfId="4" applyFont="1" applyFill="1" applyBorder="1"/>
    <xf numFmtId="0" fontId="1" fillId="2" borderId="2" xfId="4" applyFont="1" applyFill="1" applyBorder="1"/>
    <xf numFmtId="0" fontId="1" fillId="2" borderId="5" xfId="4" applyFont="1" applyFill="1" applyBorder="1"/>
    <xf numFmtId="0" fontId="10" fillId="0" borderId="0" xfId="4" applyFont="1" applyFill="1" applyBorder="1" applyAlignment="1">
      <alignment horizontal="center"/>
    </xf>
    <xf numFmtId="167" fontId="4" fillId="4" borderId="28" xfId="2" applyNumberFormat="1" applyFont="1" applyFill="1" applyBorder="1" applyAlignment="1">
      <alignment horizontal="center"/>
    </xf>
    <xf numFmtId="167" fontId="4" fillId="4" borderId="29" xfId="2" applyNumberFormat="1" applyFont="1" applyFill="1" applyBorder="1" applyAlignment="1">
      <alignment horizontal="center"/>
    </xf>
  </cellXfs>
  <cellStyles count="108">
    <cellStyle name="Comma" xfId="1" builtinId="3"/>
    <cellStyle name="Currency" xfId="2" builtinId="4"/>
    <cellStyle name="Excel Built-in Normal" xfId="5"/>
    <cellStyle name="Excel Built-in Normal 1" xf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Schneiber/Desktop/Fall%202013/B%20401/Week%209/Dance%20Furniture%20Model%20Erik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1"/>
      <sheetName val="Forecast 2"/>
      <sheetName val="Mortgage"/>
      <sheetName val="Sheet3"/>
    </sheetNames>
    <sheetDataSet>
      <sheetData sheetId="0"/>
      <sheetData sheetId="1"/>
      <sheetData sheetId="2">
        <row r="13">
          <cell r="F13">
            <v>492623.17327216262</v>
          </cell>
        </row>
        <row r="14">
          <cell r="D14">
            <v>24832.470652890941</v>
          </cell>
        </row>
        <row r="27">
          <cell r="F27">
            <v>484868.93408858433</v>
          </cell>
        </row>
        <row r="28">
          <cell r="D28">
            <v>24455.058197150083</v>
          </cell>
        </row>
        <row r="41">
          <cell r="F41">
            <v>476717.97331174527</v>
          </cell>
        </row>
        <row r="42">
          <cell r="D42">
            <v>24058.336603889318</v>
          </cell>
        </row>
        <row r="55">
          <cell r="F55">
            <v>468149.99391200364</v>
          </cell>
        </row>
        <row r="56">
          <cell r="D56">
            <v>23641.317980986667</v>
          </cell>
        </row>
        <row r="69">
          <cell r="F69">
            <v>459143.66042515961</v>
          </cell>
        </row>
        <row r="70">
          <cell r="D70">
            <v>23202.963893884291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53"/>
  <sheetViews>
    <sheetView topLeftCell="A88" workbookViewId="0">
      <selection activeCell="C124" sqref="C124"/>
    </sheetView>
  </sheetViews>
  <sheetFormatPr defaultColWidth="9.42578125" defaultRowHeight="15" x14ac:dyDescent="0.25"/>
  <cols>
    <col min="1" max="1" width="3.28515625" style="1" customWidth="1"/>
    <col min="2" max="2" width="39.42578125" style="1" customWidth="1"/>
    <col min="3" max="3" width="17.42578125" style="1" customWidth="1"/>
    <col min="4" max="4" width="18.7109375" style="1" customWidth="1"/>
    <col min="5" max="5" width="14.28515625" style="1" customWidth="1"/>
    <col min="6" max="6" width="15" style="1" customWidth="1"/>
    <col min="7" max="14" width="14.28515625" style="1" customWidth="1"/>
    <col min="15" max="15" width="12.28515625" style="1" customWidth="1"/>
    <col min="16" max="16" width="22.85546875" style="1" bestFit="1" customWidth="1"/>
    <col min="17" max="19" width="9.42578125" style="1"/>
    <col min="20" max="20" width="18.85546875" style="1" bestFit="1" customWidth="1"/>
    <col min="21" max="16384" width="9.42578125" style="1"/>
  </cols>
  <sheetData>
    <row r="1" spans="1:18" ht="15.75" thickBot="1" x14ac:dyDescent="0.3">
      <c r="A1" s="26"/>
      <c r="B1" s="26"/>
      <c r="C1" s="26"/>
      <c r="D1" s="26">
        <v>2014</v>
      </c>
      <c r="E1" s="26">
        <v>2015</v>
      </c>
      <c r="F1" s="26">
        <v>2016</v>
      </c>
      <c r="G1" s="26">
        <v>2017</v>
      </c>
      <c r="H1" s="26">
        <v>2018</v>
      </c>
      <c r="I1" s="26">
        <v>2019</v>
      </c>
      <c r="J1" s="26">
        <v>2020</v>
      </c>
      <c r="K1" s="26">
        <v>2021</v>
      </c>
      <c r="L1" s="26">
        <v>2022</v>
      </c>
      <c r="M1" s="26">
        <v>2023</v>
      </c>
      <c r="N1" s="26">
        <v>2024</v>
      </c>
      <c r="O1" s="2"/>
      <c r="P1" s="2"/>
      <c r="Q1" s="2"/>
      <c r="R1" s="2"/>
    </row>
    <row r="2" spans="1:18" x14ac:dyDescent="0.25">
      <c r="A2" s="194" t="s">
        <v>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  <c r="O2" s="2"/>
      <c r="P2" s="2"/>
      <c r="Q2" s="26"/>
      <c r="R2" s="2"/>
    </row>
    <row r="3" spans="1:18" x14ac:dyDescent="0.25">
      <c r="A3" s="195" t="s">
        <v>133</v>
      </c>
      <c r="B3" s="90"/>
      <c r="C3" s="90"/>
      <c r="D3" s="119">
        <v>365</v>
      </c>
      <c r="E3" s="119">
        <f>D3*$O$3</f>
        <v>346.75</v>
      </c>
      <c r="F3" s="119">
        <f t="shared" ref="F3:N3" si="0">E3*$O$3</f>
        <v>329.41249999999997</v>
      </c>
      <c r="G3" s="119">
        <f t="shared" si="0"/>
        <v>312.94187499999992</v>
      </c>
      <c r="H3" s="119">
        <f t="shared" si="0"/>
        <v>297.29478124999991</v>
      </c>
      <c r="I3" s="119">
        <f t="shared" si="0"/>
        <v>282.43004218749991</v>
      </c>
      <c r="J3" s="119">
        <f t="shared" si="0"/>
        <v>268.30854007812491</v>
      </c>
      <c r="K3" s="119">
        <f t="shared" si="0"/>
        <v>254.89311307421866</v>
      </c>
      <c r="L3" s="119">
        <f t="shared" si="0"/>
        <v>242.14845742050773</v>
      </c>
      <c r="M3" s="119">
        <f t="shared" si="0"/>
        <v>230.04103454948233</v>
      </c>
      <c r="N3" s="120">
        <f t="shared" si="0"/>
        <v>218.53898282200819</v>
      </c>
      <c r="O3" s="23">
        <v>0.95</v>
      </c>
      <c r="P3" s="2"/>
      <c r="Q3" s="26"/>
      <c r="R3" s="2"/>
    </row>
    <row r="4" spans="1:18" x14ac:dyDescent="0.25">
      <c r="A4" s="195" t="s">
        <v>81</v>
      </c>
      <c r="B4" s="90"/>
      <c r="C4" s="90"/>
      <c r="D4" s="121">
        <v>80</v>
      </c>
      <c r="E4" s="121">
        <v>85</v>
      </c>
      <c r="F4" s="121">
        <v>90</v>
      </c>
      <c r="G4" s="121">
        <v>90</v>
      </c>
      <c r="H4" s="121">
        <v>91</v>
      </c>
      <c r="I4" s="121">
        <v>92</v>
      </c>
      <c r="J4" s="121">
        <v>93</v>
      </c>
      <c r="K4" s="121">
        <v>94</v>
      </c>
      <c r="L4" s="121">
        <v>95</v>
      </c>
      <c r="M4" s="121">
        <v>96</v>
      </c>
      <c r="N4" s="122">
        <v>97</v>
      </c>
      <c r="O4" s="2"/>
      <c r="P4" s="2"/>
      <c r="Q4" s="26"/>
      <c r="R4" s="2"/>
    </row>
    <row r="5" spans="1:18" x14ac:dyDescent="0.25">
      <c r="A5" s="195" t="s">
        <v>82</v>
      </c>
      <c r="B5" s="90"/>
      <c r="C5" s="90"/>
      <c r="D5" s="123">
        <v>900</v>
      </c>
      <c r="E5" s="123">
        <f t="shared" ref="E5:N5" si="1">D5*(1+$O$5)</f>
        <v>945</v>
      </c>
      <c r="F5" s="123">
        <f t="shared" si="1"/>
        <v>992.25</v>
      </c>
      <c r="G5" s="123">
        <f t="shared" si="1"/>
        <v>1041.8625</v>
      </c>
      <c r="H5" s="123">
        <f t="shared" si="1"/>
        <v>1093.9556250000001</v>
      </c>
      <c r="I5" s="123">
        <f t="shared" si="1"/>
        <v>1148.6534062500002</v>
      </c>
      <c r="J5" s="123">
        <f t="shared" si="1"/>
        <v>1206.0860765625002</v>
      </c>
      <c r="K5" s="123">
        <f t="shared" si="1"/>
        <v>1266.3903803906253</v>
      </c>
      <c r="L5" s="123">
        <f t="shared" si="1"/>
        <v>1329.7098994101566</v>
      </c>
      <c r="M5" s="123">
        <f t="shared" si="1"/>
        <v>1396.1953943806645</v>
      </c>
      <c r="N5" s="124">
        <f t="shared" si="1"/>
        <v>1466.0051640996978</v>
      </c>
      <c r="O5" s="3">
        <v>0.05</v>
      </c>
      <c r="P5" s="2" t="s">
        <v>40</v>
      </c>
      <c r="Q5" s="26"/>
      <c r="R5" s="2"/>
    </row>
    <row r="6" spans="1:18" x14ac:dyDescent="0.25">
      <c r="A6" s="195" t="s">
        <v>103</v>
      </c>
      <c r="B6" s="88"/>
      <c r="C6" s="88"/>
      <c r="D6" s="119">
        <v>600</v>
      </c>
      <c r="E6" s="119">
        <f t="shared" ref="E6:N6" si="2">D6*$O$6</f>
        <v>540</v>
      </c>
      <c r="F6" s="119">
        <f t="shared" si="2"/>
        <v>486</v>
      </c>
      <c r="G6" s="119">
        <f t="shared" si="2"/>
        <v>437.40000000000003</v>
      </c>
      <c r="H6" s="119">
        <f t="shared" si="2"/>
        <v>393.66</v>
      </c>
      <c r="I6" s="119">
        <f t="shared" si="2"/>
        <v>354.29400000000004</v>
      </c>
      <c r="J6" s="119">
        <f t="shared" si="2"/>
        <v>318.86460000000005</v>
      </c>
      <c r="K6" s="119">
        <f t="shared" si="2"/>
        <v>286.97814000000005</v>
      </c>
      <c r="L6" s="119">
        <f t="shared" si="2"/>
        <v>258.28032600000006</v>
      </c>
      <c r="M6" s="119">
        <f t="shared" si="2"/>
        <v>232.45229340000006</v>
      </c>
      <c r="N6" s="120">
        <f t="shared" si="2"/>
        <v>209.20706406000005</v>
      </c>
      <c r="O6" s="23">
        <v>0.9</v>
      </c>
      <c r="P6" s="2" t="s">
        <v>105</v>
      </c>
      <c r="Q6" s="2"/>
      <c r="R6" s="2"/>
    </row>
    <row r="7" spans="1:18" x14ac:dyDescent="0.25">
      <c r="A7" s="195" t="s">
        <v>102</v>
      </c>
      <c r="B7" s="88"/>
      <c r="C7" s="88"/>
      <c r="D7" s="119">
        <v>600</v>
      </c>
      <c r="E7" s="119">
        <f>D7*$O$7</f>
        <v>726</v>
      </c>
      <c r="F7" s="119">
        <f>E7*$O$7</f>
        <v>878.45999999999992</v>
      </c>
      <c r="G7" s="119">
        <f>F7*$O$7</f>
        <v>1062.9365999999998</v>
      </c>
      <c r="H7" s="119">
        <f>G7*$O$7</f>
        <v>1286.1532859999998</v>
      </c>
      <c r="I7" s="119">
        <f>H7</f>
        <v>1286.1532859999998</v>
      </c>
      <c r="J7" s="119">
        <f t="shared" ref="J7:N7" si="3">I7</f>
        <v>1286.1532859999998</v>
      </c>
      <c r="K7" s="119">
        <f t="shared" si="3"/>
        <v>1286.1532859999998</v>
      </c>
      <c r="L7" s="119">
        <f t="shared" si="3"/>
        <v>1286.1532859999998</v>
      </c>
      <c r="M7" s="119">
        <f t="shared" si="3"/>
        <v>1286.1532859999998</v>
      </c>
      <c r="N7" s="119">
        <f t="shared" si="3"/>
        <v>1286.1532859999998</v>
      </c>
      <c r="O7" s="27">
        <v>1.21</v>
      </c>
      <c r="P7" s="2" t="s">
        <v>106</v>
      </c>
      <c r="Q7" s="2"/>
      <c r="R7" s="2"/>
    </row>
    <row r="8" spans="1:18" x14ac:dyDescent="0.25">
      <c r="A8" s="195" t="s">
        <v>104</v>
      </c>
      <c r="B8" s="88"/>
      <c r="C8" s="88"/>
      <c r="D8" s="96">
        <v>200</v>
      </c>
      <c r="E8" s="96">
        <f t="shared" ref="E8:N8" si="4">$O$8*D8</f>
        <v>210</v>
      </c>
      <c r="F8" s="96">
        <f t="shared" si="4"/>
        <v>220.5</v>
      </c>
      <c r="G8" s="96">
        <f t="shared" si="4"/>
        <v>231.52500000000001</v>
      </c>
      <c r="H8" s="96">
        <f t="shared" si="4"/>
        <v>243.10125000000002</v>
      </c>
      <c r="I8" s="96">
        <f t="shared" si="4"/>
        <v>255.25631250000004</v>
      </c>
      <c r="J8" s="96">
        <f t="shared" si="4"/>
        <v>268.01912812500007</v>
      </c>
      <c r="K8" s="96">
        <f t="shared" si="4"/>
        <v>281.4200845312501</v>
      </c>
      <c r="L8" s="96">
        <f t="shared" si="4"/>
        <v>295.49108875781263</v>
      </c>
      <c r="M8" s="96">
        <f t="shared" si="4"/>
        <v>310.26564319570326</v>
      </c>
      <c r="N8" s="125">
        <f t="shared" si="4"/>
        <v>325.77892535548841</v>
      </c>
      <c r="O8" s="23">
        <v>1.05</v>
      </c>
      <c r="P8" s="2" t="s">
        <v>107</v>
      </c>
      <c r="Q8" s="2"/>
      <c r="R8" s="2"/>
    </row>
    <row r="9" spans="1:18" x14ac:dyDescent="0.25">
      <c r="A9" s="196" t="s">
        <v>132</v>
      </c>
      <c r="B9" s="90"/>
      <c r="C9" s="90"/>
      <c r="D9" s="96">
        <v>25</v>
      </c>
      <c r="E9" s="96">
        <f>D9*$O$9</f>
        <v>26.25</v>
      </c>
      <c r="F9" s="96">
        <f t="shared" ref="F9:N9" si="5">E9*$O$9</f>
        <v>27.5625</v>
      </c>
      <c r="G9" s="96">
        <f t="shared" si="5"/>
        <v>28.940625000000001</v>
      </c>
      <c r="H9" s="96">
        <f t="shared" si="5"/>
        <v>30.387656250000003</v>
      </c>
      <c r="I9" s="96">
        <f t="shared" si="5"/>
        <v>31.907039062500004</v>
      </c>
      <c r="J9" s="96">
        <f t="shared" si="5"/>
        <v>33.502391015625008</v>
      </c>
      <c r="K9" s="96">
        <f t="shared" si="5"/>
        <v>35.177510566406262</v>
      </c>
      <c r="L9" s="96">
        <f t="shared" si="5"/>
        <v>36.936386094726579</v>
      </c>
      <c r="M9" s="96">
        <f t="shared" si="5"/>
        <v>38.783205399462908</v>
      </c>
      <c r="N9" s="125">
        <f t="shared" si="5"/>
        <v>40.722365669436051</v>
      </c>
      <c r="O9" s="57">
        <v>1.05</v>
      </c>
      <c r="P9" s="2"/>
      <c r="Q9" s="2"/>
      <c r="R9" s="2"/>
    </row>
    <row r="10" spans="1:18" x14ac:dyDescent="0.25">
      <c r="A10" s="195"/>
      <c r="B10" s="90"/>
      <c r="C10" s="90"/>
      <c r="D10" s="126"/>
      <c r="E10" s="126" t="s">
        <v>41</v>
      </c>
      <c r="F10" s="126"/>
      <c r="G10" s="126"/>
      <c r="H10" s="126"/>
      <c r="I10" s="126"/>
      <c r="J10" s="126"/>
      <c r="K10" s="126"/>
      <c r="L10" s="126"/>
      <c r="M10" s="126"/>
      <c r="N10" s="127"/>
      <c r="Q10" s="2"/>
      <c r="R10" s="2"/>
    </row>
    <row r="11" spans="1:18" x14ac:dyDescent="0.25">
      <c r="A11" s="195" t="s">
        <v>78</v>
      </c>
      <c r="B11" s="90"/>
      <c r="C11" s="90"/>
      <c r="D11" s="128">
        <v>25</v>
      </c>
      <c r="E11" s="128">
        <f t="shared" ref="E11:N11" si="6">D11*(1+$O$11)</f>
        <v>26.25</v>
      </c>
      <c r="F11" s="128">
        <f t="shared" si="6"/>
        <v>27.5625</v>
      </c>
      <c r="G11" s="128">
        <f t="shared" si="6"/>
        <v>28.940625000000001</v>
      </c>
      <c r="H11" s="128">
        <f t="shared" si="6"/>
        <v>30.387656250000003</v>
      </c>
      <c r="I11" s="128">
        <f t="shared" si="6"/>
        <v>31.907039062500004</v>
      </c>
      <c r="J11" s="128">
        <f t="shared" si="6"/>
        <v>33.502391015625008</v>
      </c>
      <c r="K11" s="128">
        <f t="shared" si="6"/>
        <v>35.177510566406262</v>
      </c>
      <c r="L11" s="128">
        <f t="shared" si="6"/>
        <v>36.936386094726579</v>
      </c>
      <c r="M11" s="128">
        <f t="shared" si="6"/>
        <v>38.783205399462908</v>
      </c>
      <c r="N11" s="129">
        <f t="shared" si="6"/>
        <v>40.722365669436051</v>
      </c>
      <c r="O11" s="3">
        <v>0.05</v>
      </c>
      <c r="P11" s="2" t="s">
        <v>40</v>
      </c>
      <c r="Q11" s="2"/>
      <c r="R11" s="2"/>
    </row>
    <row r="12" spans="1:18" x14ac:dyDescent="0.25">
      <c r="A12" s="195" t="s">
        <v>42</v>
      </c>
      <c r="B12" s="90"/>
      <c r="C12" s="90"/>
      <c r="D12" s="128">
        <v>30</v>
      </c>
      <c r="E12" s="128">
        <f t="shared" ref="E12:N12" si="7">D12*(1+$O$12)</f>
        <v>28.5</v>
      </c>
      <c r="F12" s="128">
        <f t="shared" si="7"/>
        <v>27.074999999999999</v>
      </c>
      <c r="G12" s="128">
        <f t="shared" si="7"/>
        <v>25.721249999999998</v>
      </c>
      <c r="H12" s="128">
        <f t="shared" si="7"/>
        <v>24.435187499999998</v>
      </c>
      <c r="I12" s="128">
        <f t="shared" si="7"/>
        <v>23.213428124999997</v>
      </c>
      <c r="J12" s="128">
        <f t="shared" si="7"/>
        <v>22.052756718749997</v>
      </c>
      <c r="K12" s="128">
        <f t="shared" si="7"/>
        <v>20.950118882812497</v>
      </c>
      <c r="L12" s="128">
        <f t="shared" si="7"/>
        <v>19.902612938671872</v>
      </c>
      <c r="M12" s="128">
        <f t="shared" si="7"/>
        <v>18.907482291738276</v>
      </c>
      <c r="N12" s="129">
        <f t="shared" si="7"/>
        <v>17.962108177151361</v>
      </c>
      <c r="O12" s="3">
        <v>-0.05</v>
      </c>
      <c r="P12" s="2" t="s">
        <v>40</v>
      </c>
      <c r="Q12" s="2"/>
      <c r="R12" s="2"/>
    </row>
    <row r="13" spans="1:18" ht="15.75" thickBot="1" x14ac:dyDescent="0.3">
      <c r="A13" s="197" t="s">
        <v>43</v>
      </c>
      <c r="B13" s="198"/>
      <c r="C13" s="198"/>
      <c r="D13" s="130">
        <v>20</v>
      </c>
      <c r="E13" s="130">
        <v>20</v>
      </c>
      <c r="F13" s="130">
        <v>20</v>
      </c>
      <c r="G13" s="130">
        <v>20</v>
      </c>
      <c r="H13" s="130">
        <v>21</v>
      </c>
      <c r="I13" s="130">
        <v>22</v>
      </c>
      <c r="J13" s="130">
        <v>23</v>
      </c>
      <c r="K13" s="130">
        <v>24</v>
      </c>
      <c r="L13" s="130">
        <v>25</v>
      </c>
      <c r="M13" s="130">
        <v>26</v>
      </c>
      <c r="N13" s="131">
        <v>27</v>
      </c>
      <c r="O13" s="2"/>
      <c r="P13" s="2"/>
      <c r="Q13" s="2"/>
      <c r="R13" s="2"/>
    </row>
    <row r="14" spans="1:18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3">
        <v>0.82</v>
      </c>
      <c r="P14" s="2" t="s">
        <v>110</v>
      </c>
      <c r="Q14" s="2"/>
      <c r="R14" s="2"/>
    </row>
    <row r="15" spans="1:18" x14ac:dyDescent="0.25">
      <c r="A15" s="222" t="s">
        <v>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/>
      <c r="O15" s="23">
        <v>0.35</v>
      </c>
      <c r="P15" s="2" t="s">
        <v>109</v>
      </c>
      <c r="Q15" s="2"/>
      <c r="R15" s="2"/>
    </row>
    <row r="16" spans="1:18" x14ac:dyDescent="0.25">
      <c r="A16" s="31" t="s">
        <v>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2"/>
      <c r="P16" s="2"/>
      <c r="Q16" s="2"/>
      <c r="R16" s="2"/>
    </row>
    <row r="17" spans="1:18" x14ac:dyDescent="0.25">
      <c r="A17" s="31"/>
      <c r="B17" s="32" t="s">
        <v>77</v>
      </c>
      <c r="C17" s="29"/>
      <c r="D17" s="29">
        <f t="shared" ref="D17:N17" si="8">D4*D5</f>
        <v>72000</v>
      </c>
      <c r="E17" s="29">
        <f t="shared" si="8"/>
        <v>80325</v>
      </c>
      <c r="F17" s="29">
        <f t="shared" si="8"/>
        <v>89302.5</v>
      </c>
      <c r="G17" s="29">
        <f t="shared" si="8"/>
        <v>93767.625</v>
      </c>
      <c r="H17" s="29">
        <f t="shared" si="8"/>
        <v>99549.961875000008</v>
      </c>
      <c r="I17" s="29">
        <f t="shared" si="8"/>
        <v>105676.11337500002</v>
      </c>
      <c r="J17" s="29">
        <f t="shared" si="8"/>
        <v>112166.00512031252</v>
      </c>
      <c r="K17" s="29">
        <f t="shared" si="8"/>
        <v>119040.69575671878</v>
      </c>
      <c r="L17" s="29">
        <f t="shared" si="8"/>
        <v>126322.44044396488</v>
      </c>
      <c r="M17" s="29">
        <f t="shared" si="8"/>
        <v>134034.75786054379</v>
      </c>
      <c r="N17" s="34">
        <f t="shared" si="8"/>
        <v>142202.5009176707</v>
      </c>
      <c r="O17" s="2"/>
      <c r="P17" s="2"/>
      <c r="Q17" s="2"/>
      <c r="R17" s="2"/>
    </row>
    <row r="18" spans="1:18" x14ac:dyDescent="0.25">
      <c r="A18" s="31"/>
      <c r="B18" s="32" t="s">
        <v>113</v>
      </c>
      <c r="C18" s="29"/>
      <c r="D18" s="29">
        <f t="shared" ref="D18:N18" si="9">D6*D8</f>
        <v>120000</v>
      </c>
      <c r="E18" s="29">
        <f t="shared" si="9"/>
        <v>113400</v>
      </c>
      <c r="F18" s="29">
        <f t="shared" si="9"/>
        <v>107163</v>
      </c>
      <c r="G18" s="29">
        <f t="shared" si="9"/>
        <v>101269.035</v>
      </c>
      <c r="H18" s="29">
        <f t="shared" si="9"/>
        <v>95699.238075000016</v>
      </c>
      <c r="I18" s="29">
        <f t="shared" si="9"/>
        <v>90435.779980875028</v>
      </c>
      <c r="J18" s="29">
        <f t="shared" si="9"/>
        <v>85461.81208192691</v>
      </c>
      <c r="K18" s="29">
        <f t="shared" si="9"/>
        <v>80761.412417420943</v>
      </c>
      <c r="L18" s="29">
        <f t="shared" si="9"/>
        <v>76319.534734462795</v>
      </c>
      <c r="M18" s="29">
        <f t="shared" si="9"/>
        <v>72121.960324067346</v>
      </c>
      <c r="N18" s="34">
        <f t="shared" si="9"/>
        <v>68155.252506243633</v>
      </c>
      <c r="O18" s="2"/>
      <c r="P18" s="2"/>
      <c r="Q18" s="2"/>
      <c r="R18" s="2"/>
    </row>
    <row r="19" spans="1:18" x14ac:dyDescent="0.25">
      <c r="A19" s="31"/>
      <c r="B19" s="32" t="s">
        <v>101</v>
      </c>
      <c r="C19" s="29"/>
      <c r="D19" s="29">
        <f t="shared" ref="D19:N19" si="10">D7*D8</f>
        <v>120000</v>
      </c>
      <c r="E19" s="29">
        <f t="shared" si="10"/>
        <v>152460</v>
      </c>
      <c r="F19" s="29">
        <f t="shared" si="10"/>
        <v>193700.43</v>
      </c>
      <c r="G19" s="29">
        <f t="shared" si="10"/>
        <v>246096.39631499996</v>
      </c>
      <c r="H19" s="29">
        <f t="shared" si="10"/>
        <v>312665.47151820746</v>
      </c>
      <c r="I19" s="29">
        <f t="shared" si="10"/>
        <v>328298.74509411788</v>
      </c>
      <c r="J19" s="29">
        <f t="shared" si="10"/>
        <v>344713.68234882382</v>
      </c>
      <c r="K19" s="29">
        <f t="shared" si="10"/>
        <v>361949.366466265</v>
      </c>
      <c r="L19" s="29">
        <f t="shared" si="10"/>
        <v>380046.83478957828</v>
      </c>
      <c r="M19" s="29">
        <f t="shared" si="10"/>
        <v>399049.17652905721</v>
      </c>
      <c r="N19" s="34">
        <f t="shared" si="10"/>
        <v>419001.63535551005</v>
      </c>
      <c r="O19" s="2"/>
      <c r="P19" s="2"/>
      <c r="Q19" s="2"/>
      <c r="R19" s="2"/>
    </row>
    <row r="20" spans="1:18" x14ac:dyDescent="0.25">
      <c r="A20" s="31" t="s">
        <v>108</v>
      </c>
      <c r="B20" s="32"/>
      <c r="C20" s="29"/>
      <c r="D20" s="28">
        <f>SUM(D17:D19)</f>
        <v>312000</v>
      </c>
      <c r="E20" s="28">
        <f t="shared" ref="E20:N20" si="11">SUM(E17:E19)</f>
        <v>346185</v>
      </c>
      <c r="F20" s="28">
        <f t="shared" si="11"/>
        <v>390165.93</v>
      </c>
      <c r="G20" s="28">
        <f t="shared" si="11"/>
        <v>441133.05631499994</v>
      </c>
      <c r="H20" s="28">
        <f t="shared" si="11"/>
        <v>507914.6714682075</v>
      </c>
      <c r="I20" s="28">
        <f t="shared" si="11"/>
        <v>524410.63844999298</v>
      </c>
      <c r="J20" s="28">
        <f t="shared" si="11"/>
        <v>542341.49955106317</v>
      </c>
      <c r="K20" s="28">
        <f t="shared" si="11"/>
        <v>561751.47464040469</v>
      </c>
      <c r="L20" s="28">
        <f t="shared" si="11"/>
        <v>582688.80996800598</v>
      </c>
      <c r="M20" s="28">
        <f t="shared" si="11"/>
        <v>605205.89471366839</v>
      </c>
      <c r="N20" s="35">
        <f t="shared" si="11"/>
        <v>629359.38877942436</v>
      </c>
      <c r="O20" s="2"/>
      <c r="P20" s="2"/>
      <c r="Q20" s="2"/>
      <c r="R20" s="2"/>
    </row>
    <row r="21" spans="1:18" x14ac:dyDescent="0.25">
      <c r="A21" s="31"/>
      <c r="B21" s="32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4"/>
      <c r="O21" s="2"/>
      <c r="P21" s="2"/>
      <c r="Q21" s="2"/>
      <c r="R21" s="2"/>
    </row>
    <row r="22" spans="1:18" x14ac:dyDescent="0.25">
      <c r="A22" s="31" t="s">
        <v>2</v>
      </c>
      <c r="B22" s="3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4"/>
      <c r="O22" s="2"/>
      <c r="P22" s="2"/>
      <c r="Q22" s="2"/>
      <c r="R22" s="2"/>
    </row>
    <row r="23" spans="1:18" x14ac:dyDescent="0.25">
      <c r="A23" s="36"/>
      <c r="B23" s="32" t="s">
        <v>111</v>
      </c>
      <c r="C23" s="29"/>
      <c r="D23" s="29">
        <f>D18*$O$14</f>
        <v>98400</v>
      </c>
      <c r="E23" s="29">
        <f t="shared" ref="E23:N23" si="12">E18*$O$14</f>
        <v>92988</v>
      </c>
      <c r="F23" s="29">
        <f t="shared" si="12"/>
        <v>87873.659999999989</v>
      </c>
      <c r="G23" s="29">
        <f t="shared" si="12"/>
        <v>83040.608699999997</v>
      </c>
      <c r="H23" s="29">
        <f t="shared" si="12"/>
        <v>78473.375221500013</v>
      </c>
      <c r="I23" s="29">
        <f t="shared" si="12"/>
        <v>74157.339584317524</v>
      </c>
      <c r="J23" s="29">
        <f t="shared" si="12"/>
        <v>70078.685907180057</v>
      </c>
      <c r="K23" s="29">
        <f t="shared" si="12"/>
        <v>66224.35818228517</v>
      </c>
      <c r="L23" s="29">
        <f t="shared" si="12"/>
        <v>62582.018482259489</v>
      </c>
      <c r="M23" s="29">
        <f t="shared" si="12"/>
        <v>59140.007465735223</v>
      </c>
      <c r="N23" s="34">
        <f t="shared" si="12"/>
        <v>55887.307055119774</v>
      </c>
      <c r="O23" s="2"/>
      <c r="P23" s="2"/>
      <c r="Q23" s="2"/>
      <c r="R23" s="2"/>
    </row>
    <row r="24" spans="1:18" x14ac:dyDescent="0.25">
      <c r="A24" s="36"/>
      <c r="B24" s="32" t="s">
        <v>112</v>
      </c>
      <c r="C24" s="29"/>
      <c r="D24" s="29">
        <f>D19*$O$15</f>
        <v>42000</v>
      </c>
      <c r="E24" s="29">
        <f t="shared" ref="E24:N24" si="13">E19*$O$15</f>
        <v>53361</v>
      </c>
      <c r="F24" s="29">
        <f t="shared" si="13"/>
        <v>67795.150499999989</v>
      </c>
      <c r="G24" s="29">
        <f t="shared" si="13"/>
        <v>86133.738710249978</v>
      </c>
      <c r="H24" s="29">
        <f t="shared" si="13"/>
        <v>109432.9150313726</v>
      </c>
      <c r="I24" s="29">
        <f t="shared" si="13"/>
        <v>114904.56078294125</v>
      </c>
      <c r="J24" s="29">
        <f t="shared" si="13"/>
        <v>120649.78882208833</v>
      </c>
      <c r="K24" s="29">
        <f t="shared" si="13"/>
        <v>126682.27826319274</v>
      </c>
      <c r="L24" s="29">
        <f t="shared" si="13"/>
        <v>133016.39217635238</v>
      </c>
      <c r="M24" s="29">
        <f t="shared" si="13"/>
        <v>139667.21178517002</v>
      </c>
      <c r="N24" s="34">
        <f t="shared" si="13"/>
        <v>146650.57237442851</v>
      </c>
      <c r="O24" s="2"/>
      <c r="P24" s="2"/>
      <c r="Q24" s="2"/>
      <c r="R24" s="2"/>
    </row>
    <row r="25" spans="1:18" x14ac:dyDescent="0.25">
      <c r="A25" s="31" t="s">
        <v>114</v>
      </c>
      <c r="B25" s="32"/>
      <c r="C25" s="29"/>
      <c r="D25" s="28">
        <f>SUM(D23:D24)</f>
        <v>140400</v>
      </c>
      <c r="E25" s="28">
        <f t="shared" ref="E25:N25" si="14">SUM(E23:E24)</f>
        <v>146349</v>
      </c>
      <c r="F25" s="28">
        <f t="shared" si="14"/>
        <v>155668.81049999996</v>
      </c>
      <c r="G25" s="28">
        <f t="shared" si="14"/>
        <v>169174.34741024999</v>
      </c>
      <c r="H25" s="28">
        <f t="shared" si="14"/>
        <v>187906.29025287263</v>
      </c>
      <c r="I25" s="28">
        <f t="shared" si="14"/>
        <v>189061.90036725876</v>
      </c>
      <c r="J25" s="28">
        <f t="shared" si="14"/>
        <v>190728.4747292684</v>
      </c>
      <c r="K25" s="28">
        <f t="shared" si="14"/>
        <v>192906.6364454779</v>
      </c>
      <c r="L25" s="28">
        <f t="shared" si="14"/>
        <v>195598.41065861186</v>
      </c>
      <c r="M25" s="28">
        <f t="shared" si="14"/>
        <v>198807.21925090524</v>
      </c>
      <c r="N25" s="35">
        <f t="shared" si="14"/>
        <v>202537.87942954828</v>
      </c>
      <c r="O25" s="2"/>
      <c r="P25" s="2"/>
      <c r="Q25" s="2"/>
      <c r="R25" s="2"/>
    </row>
    <row r="26" spans="1:18" x14ac:dyDescent="0.25">
      <c r="A26" s="31"/>
      <c r="B26" s="3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4"/>
      <c r="O26" s="2"/>
      <c r="P26" s="2"/>
      <c r="Q26" s="2"/>
      <c r="R26" s="2"/>
    </row>
    <row r="27" spans="1:18" x14ac:dyDescent="0.25">
      <c r="A27" s="31"/>
      <c r="B27" s="32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4"/>
      <c r="O27" s="2"/>
      <c r="P27" s="2"/>
      <c r="Q27" s="2"/>
      <c r="R27" s="2"/>
    </row>
    <row r="28" spans="1:18" x14ac:dyDescent="0.25">
      <c r="A28" s="31" t="s">
        <v>3</v>
      </c>
      <c r="B28" s="32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4"/>
      <c r="O28" s="2"/>
      <c r="P28" s="2"/>
      <c r="Q28" s="2"/>
      <c r="R28" s="2"/>
    </row>
    <row r="29" spans="1:18" x14ac:dyDescent="0.25">
      <c r="A29" s="31"/>
      <c r="B29" s="32" t="s">
        <v>79</v>
      </c>
      <c r="C29" s="29"/>
      <c r="D29" s="29">
        <f>D17*O29</f>
        <v>10800</v>
      </c>
      <c r="E29" s="29">
        <f t="shared" ref="E29:N29" si="15">E17*$O$29</f>
        <v>12048.75</v>
      </c>
      <c r="F29" s="29">
        <f t="shared" si="15"/>
        <v>13395.375</v>
      </c>
      <c r="G29" s="29">
        <f t="shared" si="15"/>
        <v>14065.143749999999</v>
      </c>
      <c r="H29" s="29">
        <f t="shared" si="15"/>
        <v>14932.494281250001</v>
      </c>
      <c r="I29" s="29">
        <f t="shared" si="15"/>
        <v>15851.417006250002</v>
      </c>
      <c r="J29" s="29">
        <f t="shared" si="15"/>
        <v>16824.900768046879</v>
      </c>
      <c r="K29" s="29">
        <f t="shared" si="15"/>
        <v>17856.104363507817</v>
      </c>
      <c r="L29" s="29">
        <f t="shared" si="15"/>
        <v>18948.366066594732</v>
      </c>
      <c r="M29" s="29">
        <f t="shared" si="15"/>
        <v>20105.213679081568</v>
      </c>
      <c r="N29" s="34">
        <f t="shared" si="15"/>
        <v>21330.375137650604</v>
      </c>
      <c r="O29" s="3">
        <v>0.15</v>
      </c>
      <c r="P29" s="2" t="s">
        <v>83</v>
      </c>
      <c r="Q29" s="2"/>
      <c r="R29" s="2"/>
    </row>
    <row r="30" spans="1:18" x14ac:dyDescent="0.25">
      <c r="A30" s="31"/>
      <c r="B30" s="32" t="s">
        <v>80</v>
      </c>
      <c r="C30" s="29"/>
      <c r="D30" s="29">
        <f>D18*O30</f>
        <v>36000</v>
      </c>
      <c r="E30" s="29">
        <f t="shared" ref="E30:N30" si="16">E18*$O$30</f>
        <v>34020</v>
      </c>
      <c r="F30" s="29">
        <f t="shared" si="16"/>
        <v>32148.899999999998</v>
      </c>
      <c r="G30" s="29">
        <f t="shared" si="16"/>
        <v>30380.710500000001</v>
      </c>
      <c r="H30" s="29">
        <f t="shared" si="16"/>
        <v>28709.771422500005</v>
      </c>
      <c r="I30" s="29">
        <f t="shared" si="16"/>
        <v>27130.733994262508</v>
      </c>
      <c r="J30" s="29">
        <f t="shared" si="16"/>
        <v>25638.543624578073</v>
      </c>
      <c r="K30" s="29">
        <f t="shared" si="16"/>
        <v>24228.423725226283</v>
      </c>
      <c r="L30" s="29">
        <f t="shared" si="16"/>
        <v>22895.860420338839</v>
      </c>
      <c r="M30" s="29">
        <f t="shared" si="16"/>
        <v>21636.588097220203</v>
      </c>
      <c r="N30" s="34">
        <f t="shared" si="16"/>
        <v>20446.57575187309</v>
      </c>
      <c r="O30" s="3">
        <v>0.3</v>
      </c>
      <c r="P30" s="2" t="s">
        <v>44</v>
      </c>
      <c r="Q30" s="2"/>
      <c r="R30" s="2"/>
    </row>
    <row r="31" spans="1:18" x14ac:dyDescent="0.25">
      <c r="A31" s="31"/>
      <c r="B31" s="32" t="s">
        <v>4</v>
      </c>
      <c r="C31" s="29"/>
      <c r="D31" s="29">
        <f t="shared" ref="D31:N31" si="17">(D17+D18)*$O$31</f>
        <v>3840</v>
      </c>
      <c r="E31" s="29">
        <f t="shared" si="17"/>
        <v>3874.5</v>
      </c>
      <c r="F31" s="29">
        <f t="shared" si="17"/>
        <v>3929.31</v>
      </c>
      <c r="G31" s="29">
        <f t="shared" si="17"/>
        <v>3900.7332000000001</v>
      </c>
      <c r="H31" s="29">
        <f t="shared" si="17"/>
        <v>3904.9839990000009</v>
      </c>
      <c r="I31" s="29">
        <f t="shared" si="17"/>
        <v>3922.2378671175011</v>
      </c>
      <c r="J31" s="29">
        <f t="shared" si="17"/>
        <v>3952.5563440447881</v>
      </c>
      <c r="K31" s="29">
        <f t="shared" si="17"/>
        <v>3996.0421634827944</v>
      </c>
      <c r="L31" s="29">
        <f t="shared" si="17"/>
        <v>4052.8395035685535</v>
      </c>
      <c r="M31" s="29">
        <f t="shared" si="17"/>
        <v>4123.1343636922229</v>
      </c>
      <c r="N31" s="34">
        <f t="shared" si="17"/>
        <v>4207.155068478286</v>
      </c>
      <c r="O31" s="3">
        <v>0.02</v>
      </c>
      <c r="P31" s="2" t="s">
        <v>45</v>
      </c>
      <c r="Q31" s="2"/>
      <c r="R31" s="2"/>
    </row>
    <row r="32" spans="1:18" x14ac:dyDescent="0.25">
      <c r="A32" s="31"/>
      <c r="B32" s="32" t="s">
        <v>134</v>
      </c>
      <c r="C32" s="29"/>
      <c r="D32" s="29">
        <f>D9*D5</f>
        <v>22500</v>
      </c>
      <c r="E32" s="29">
        <f t="shared" ref="E32:N32" si="18">E9*E5</f>
        <v>24806.25</v>
      </c>
      <c r="F32" s="29">
        <f t="shared" si="18"/>
        <v>27348.890625</v>
      </c>
      <c r="G32" s="29">
        <f t="shared" si="18"/>
        <v>30152.151914062499</v>
      </c>
      <c r="H32" s="29">
        <f t="shared" si="18"/>
        <v>33242.747485253909</v>
      </c>
      <c r="I32" s="29">
        <f t="shared" si="18"/>
        <v>36650.129102492443</v>
      </c>
      <c r="J32" s="29">
        <f t="shared" si="18"/>
        <v>40406.767335497927</v>
      </c>
      <c r="K32" s="29">
        <f t="shared" si="18"/>
        <v>44548.460987386468</v>
      </c>
      <c r="L32" s="29">
        <f t="shared" si="18"/>
        <v>49114.678238593588</v>
      </c>
      <c r="M32" s="29">
        <f t="shared" si="18"/>
        <v>54148.932758049436</v>
      </c>
      <c r="N32" s="34">
        <f t="shared" si="18"/>
        <v>59699.1983657495</v>
      </c>
      <c r="O32" s="3"/>
      <c r="P32" s="2"/>
      <c r="Q32" s="2"/>
      <c r="R32" s="2"/>
    </row>
    <row r="33" spans="1:18" x14ac:dyDescent="0.25">
      <c r="A33" s="31" t="s">
        <v>115</v>
      </c>
      <c r="B33" s="32"/>
      <c r="C33" s="29"/>
      <c r="D33" s="28">
        <f>SUM(D29:D32)</f>
        <v>73140</v>
      </c>
      <c r="E33" s="28">
        <f>SUM(E29:E32)</f>
        <v>74749.5</v>
      </c>
      <c r="F33" s="28">
        <f t="shared" ref="F33:N33" si="19">SUM(F29:F32)</f>
        <v>76822.475624999992</v>
      </c>
      <c r="G33" s="28">
        <f t="shared" si="19"/>
        <v>78498.739364062509</v>
      </c>
      <c r="H33" s="28">
        <f t="shared" si="19"/>
        <v>80789.997188003908</v>
      </c>
      <c r="I33" s="28">
        <f t="shared" si="19"/>
        <v>83554.517970122455</v>
      </c>
      <c r="J33" s="28">
        <f t="shared" si="19"/>
        <v>86822.768072167673</v>
      </c>
      <c r="K33" s="28">
        <f t="shared" si="19"/>
        <v>90629.031239603355</v>
      </c>
      <c r="L33" s="28">
        <f t="shared" si="19"/>
        <v>95011.744229095711</v>
      </c>
      <c r="M33" s="28">
        <f t="shared" si="19"/>
        <v>100013.86889804344</v>
      </c>
      <c r="N33" s="35">
        <f t="shared" si="19"/>
        <v>105683.30432375148</v>
      </c>
      <c r="O33" s="3"/>
      <c r="P33" s="2"/>
      <c r="Q33" s="2"/>
      <c r="R33" s="2"/>
    </row>
    <row r="34" spans="1:18" x14ac:dyDescent="0.25">
      <c r="A34" s="31"/>
      <c r="B34" s="32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4"/>
      <c r="O34" s="2"/>
      <c r="P34" s="2"/>
      <c r="Q34" s="2"/>
      <c r="R34" s="2"/>
    </row>
    <row r="35" spans="1:18" x14ac:dyDescent="0.25">
      <c r="A35" s="31" t="s">
        <v>116</v>
      </c>
      <c r="B35" s="32"/>
      <c r="C35" s="29"/>
      <c r="D35" s="37">
        <f t="shared" ref="D35:N35" si="20">D52/$O$35</f>
        <v>46666.666666666664</v>
      </c>
      <c r="E35" s="37">
        <f t="shared" si="20"/>
        <v>46666.666666666664</v>
      </c>
      <c r="F35" s="37">
        <f t="shared" si="20"/>
        <v>46666.666666666664</v>
      </c>
      <c r="G35" s="37">
        <f t="shared" si="20"/>
        <v>46666.666666666664</v>
      </c>
      <c r="H35" s="37">
        <f t="shared" si="20"/>
        <v>46666.666666666664</v>
      </c>
      <c r="I35" s="37">
        <f t="shared" si="20"/>
        <v>46666.666666666664</v>
      </c>
      <c r="J35" s="37">
        <f t="shared" si="20"/>
        <v>46666.666666666664</v>
      </c>
      <c r="K35" s="37">
        <f t="shared" si="20"/>
        <v>46666.666666666664</v>
      </c>
      <c r="L35" s="37">
        <f t="shared" si="20"/>
        <v>46666.666666666664</v>
      </c>
      <c r="M35" s="37">
        <f t="shared" si="20"/>
        <v>46666.666666666664</v>
      </c>
      <c r="N35" s="38">
        <f t="shared" si="20"/>
        <v>46666.666666666664</v>
      </c>
      <c r="O35" s="2">
        <v>30</v>
      </c>
      <c r="P35" s="2" t="s">
        <v>99</v>
      </c>
      <c r="Q35" s="2"/>
      <c r="R35" s="2"/>
    </row>
    <row r="36" spans="1:18" x14ac:dyDescent="0.25">
      <c r="A36" s="31" t="s">
        <v>117</v>
      </c>
      <c r="B36" s="32"/>
      <c r="C36" s="29"/>
      <c r="D36" s="37">
        <f>D54/$O$36</f>
        <v>22000</v>
      </c>
      <c r="E36" s="37">
        <f>E54/$O$36</f>
        <v>22000</v>
      </c>
      <c r="F36" s="37">
        <f>F54/$O$36</f>
        <v>22000</v>
      </c>
      <c r="G36" s="37">
        <f>G54/$O$36</f>
        <v>22000</v>
      </c>
      <c r="H36" s="37">
        <f>H54/$O$36</f>
        <v>22000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4">
        <v>0</v>
      </c>
      <c r="O36" s="2">
        <v>5</v>
      </c>
      <c r="P36" s="2" t="s">
        <v>99</v>
      </c>
      <c r="Q36" s="2"/>
      <c r="R36" s="2"/>
    </row>
    <row r="37" spans="1:18" x14ac:dyDescent="0.25">
      <c r="A37" s="31" t="s">
        <v>5</v>
      </c>
      <c r="B37" s="32"/>
      <c r="C37" s="29"/>
      <c r="D37" s="29">
        <f>Mortgage!D14</f>
        <v>14899.482391734566</v>
      </c>
      <c r="E37" s="29">
        <f>Mortgage!D28</f>
        <v>14673.034918290052</v>
      </c>
      <c r="F37" s="29">
        <f>Mortgage!D42</f>
        <v>14435.001962333592</v>
      </c>
      <c r="G37" s="29">
        <f>Mortgage!D56</f>
        <v>14184.790788592003</v>
      </c>
      <c r="H37" s="29">
        <f>Mortgage!D70</f>
        <v>13921.778336330575</v>
      </c>
      <c r="I37" s="29">
        <f>Mortgage!D84</f>
        <v>13645.309667844922</v>
      </c>
      <c r="J37" s="29">
        <f>Mortgage!D98</f>
        <v>13354.696337574705</v>
      </c>
      <c r="K37" s="29">
        <f>Mortgage!D112</f>
        <v>13049.214677778135</v>
      </c>
      <c r="L37" s="29">
        <f>Mortgage!D126</f>
        <v>12728.103996498316</v>
      </c>
      <c r="M37" s="29">
        <f>Mortgage!D140</f>
        <v>12390.564683334125</v>
      </c>
      <c r="N37" s="34">
        <f>Mortgage!D154</f>
        <v>12035.756218298751</v>
      </c>
      <c r="O37" s="9">
        <v>0.08</v>
      </c>
      <c r="P37" s="2" t="s">
        <v>75</v>
      </c>
      <c r="Q37" s="2"/>
      <c r="R37" s="2"/>
    </row>
    <row r="38" spans="1:18" x14ac:dyDescent="0.25">
      <c r="A38" s="31" t="s">
        <v>6</v>
      </c>
      <c r="B38" s="32"/>
      <c r="C38" s="29"/>
      <c r="D38" s="29">
        <f t="shared" ref="D38:N38" si="21">$O$38*D65</f>
        <v>204982.27789411019</v>
      </c>
      <c r="E38" s="29">
        <f t="shared" si="21"/>
        <v>217284.50868940144</v>
      </c>
      <c r="F38" s="29">
        <f t="shared" si="21"/>
        <v>227102.94034026322</v>
      </c>
      <c r="G38" s="29">
        <f t="shared" si="21"/>
        <v>233685.40126514903</v>
      </c>
      <c r="H38" s="29">
        <f t="shared" si="21"/>
        <v>235425.95391603847</v>
      </c>
      <c r="I38" s="29">
        <f t="shared" si="21"/>
        <v>235848.05954363945</v>
      </c>
      <c r="J38" s="29">
        <f t="shared" si="21"/>
        <v>234737.25271327497</v>
      </c>
      <c r="K38" s="29">
        <f t="shared" si="21"/>
        <v>231851.65149359274</v>
      </c>
      <c r="L38" s="29">
        <f t="shared" si="21"/>
        <v>226918.765429825</v>
      </c>
      <c r="M38" s="29">
        <f t="shared" si="21"/>
        <v>219774.45120619179</v>
      </c>
      <c r="N38" s="34">
        <f t="shared" si="21"/>
        <v>210487.62606561484</v>
      </c>
      <c r="O38" s="3">
        <v>0.11</v>
      </c>
      <c r="P38" s="2" t="s">
        <v>46</v>
      </c>
      <c r="Q38" s="2"/>
      <c r="R38" s="2"/>
    </row>
    <row r="39" spans="1:18" x14ac:dyDescent="0.25">
      <c r="A39" s="31"/>
      <c r="B39" s="3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4"/>
      <c r="O39" s="4"/>
      <c r="P39" s="2"/>
      <c r="Q39" s="2"/>
      <c r="R39" s="2"/>
    </row>
    <row r="40" spans="1:18" x14ac:dyDescent="0.25">
      <c r="A40" s="31" t="s">
        <v>7</v>
      </c>
      <c r="B40" s="32"/>
      <c r="C40" s="29"/>
      <c r="D40" s="29">
        <f t="shared" ref="D40:N40" si="22">D20-D25-D33-SUM(D35:D38)</f>
        <v>-190088.42695251142</v>
      </c>
      <c r="E40" s="29">
        <f t="shared" si="22"/>
        <v>-175537.71027435816</v>
      </c>
      <c r="F40" s="29">
        <f t="shared" si="22"/>
        <v>-152529.96509426346</v>
      </c>
      <c r="G40" s="29">
        <f t="shared" si="22"/>
        <v>-123076.88917972025</v>
      </c>
      <c r="H40" s="29">
        <f t="shared" si="22"/>
        <v>-78796.014891704719</v>
      </c>
      <c r="I40" s="29">
        <f t="shared" si="22"/>
        <v>-44365.815765539242</v>
      </c>
      <c r="J40" s="29">
        <f t="shared" si="22"/>
        <v>-29968.358967889275</v>
      </c>
      <c r="K40" s="29">
        <f t="shared" si="22"/>
        <v>-13351.72588271409</v>
      </c>
      <c r="L40" s="29">
        <f t="shared" si="22"/>
        <v>5765.1189873084659</v>
      </c>
      <c r="M40" s="29">
        <f t="shared" si="22"/>
        <v>27553.1240085272</v>
      </c>
      <c r="N40" s="34">
        <f t="shared" si="22"/>
        <v>51948.156075544364</v>
      </c>
      <c r="O40" s="4"/>
      <c r="P40" s="2"/>
      <c r="Q40" s="2"/>
      <c r="R40" s="2"/>
    </row>
    <row r="41" spans="1:18" x14ac:dyDescent="0.25">
      <c r="A41" s="31" t="s">
        <v>8</v>
      </c>
      <c r="B41" s="32"/>
      <c r="C41" s="29"/>
      <c r="D41" s="29">
        <f t="shared" ref="D41:N41" si="23">IF(D40&lt;0,0,D40*$O$41)</f>
        <v>0</v>
      </c>
      <c r="E41" s="29">
        <f t="shared" si="23"/>
        <v>0</v>
      </c>
      <c r="F41" s="29">
        <f t="shared" si="23"/>
        <v>0</v>
      </c>
      <c r="G41" s="29">
        <f t="shared" si="23"/>
        <v>0</v>
      </c>
      <c r="H41" s="29">
        <f t="shared" si="23"/>
        <v>0</v>
      </c>
      <c r="I41" s="29">
        <f t="shared" si="23"/>
        <v>0</v>
      </c>
      <c r="J41" s="29">
        <f t="shared" si="23"/>
        <v>0</v>
      </c>
      <c r="K41" s="29">
        <f t="shared" si="23"/>
        <v>0</v>
      </c>
      <c r="L41" s="29">
        <f t="shared" si="23"/>
        <v>1153.0237974616932</v>
      </c>
      <c r="M41" s="29">
        <f t="shared" si="23"/>
        <v>5510.6248017054404</v>
      </c>
      <c r="N41" s="34">
        <f t="shared" si="23"/>
        <v>10389.631215108873</v>
      </c>
      <c r="O41" s="3">
        <v>0.2</v>
      </c>
      <c r="P41" s="2" t="s">
        <v>47</v>
      </c>
      <c r="Q41" s="2"/>
      <c r="R41" s="2"/>
    </row>
    <row r="42" spans="1:18" x14ac:dyDescent="0.25">
      <c r="A42" s="31"/>
      <c r="B42" s="3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4"/>
      <c r="O42" s="3"/>
      <c r="P42" s="2"/>
      <c r="Q42" s="2"/>
      <c r="R42" s="2"/>
    </row>
    <row r="43" spans="1:18" ht="15.75" thickBot="1" x14ac:dyDescent="0.3">
      <c r="A43" s="31" t="s">
        <v>9</v>
      </c>
      <c r="B43" s="32"/>
      <c r="C43" s="29"/>
      <c r="D43" s="25">
        <f>D40-D41</f>
        <v>-190088.42695251142</v>
      </c>
      <c r="E43" s="25">
        <f>E40-E41</f>
        <v>-175537.71027435816</v>
      </c>
      <c r="F43" s="25">
        <f t="shared" ref="F43:N43" si="24">F40-F41</f>
        <v>-152529.96509426346</v>
      </c>
      <c r="G43" s="25">
        <f t="shared" si="24"/>
        <v>-123076.88917972025</v>
      </c>
      <c r="H43" s="25">
        <f t="shared" si="24"/>
        <v>-78796.014891704719</v>
      </c>
      <c r="I43" s="25">
        <f t="shared" si="24"/>
        <v>-44365.815765539242</v>
      </c>
      <c r="J43" s="25">
        <f t="shared" si="24"/>
        <v>-29968.358967889275</v>
      </c>
      <c r="K43" s="25">
        <f t="shared" si="24"/>
        <v>-13351.72588271409</v>
      </c>
      <c r="L43" s="25">
        <f t="shared" si="24"/>
        <v>4612.0951898467729</v>
      </c>
      <c r="M43" s="25">
        <f t="shared" si="24"/>
        <v>22042.499206821762</v>
      </c>
      <c r="N43" s="39">
        <f t="shared" si="24"/>
        <v>41558.524860435493</v>
      </c>
      <c r="O43" s="2"/>
      <c r="P43" s="2"/>
      <c r="Q43" s="2"/>
      <c r="R43" s="2"/>
    </row>
    <row r="44" spans="1:18" ht="15.75" thickTop="1" x14ac:dyDescent="0.25">
      <c r="A44" s="32"/>
      <c r="B44" s="32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4"/>
      <c r="O44" s="2"/>
      <c r="P44" s="2"/>
      <c r="Q44" s="2"/>
      <c r="R44" s="2"/>
    </row>
    <row r="45" spans="1:18" x14ac:dyDescent="0.25">
      <c r="A45" s="40" t="s">
        <v>10</v>
      </c>
      <c r="B45" s="32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4"/>
      <c r="O45" s="2"/>
      <c r="P45" s="2"/>
      <c r="Q45" s="2"/>
      <c r="R45" s="2"/>
    </row>
    <row r="46" spans="1:18" x14ac:dyDescent="0.25">
      <c r="A46" s="31" t="s">
        <v>11</v>
      </c>
      <c r="B46" s="32"/>
      <c r="C46" s="29" t="s">
        <v>85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4"/>
      <c r="O46" s="2"/>
      <c r="P46" s="2"/>
      <c r="Q46" s="2"/>
      <c r="R46" s="2"/>
    </row>
    <row r="47" spans="1:18" x14ac:dyDescent="0.25">
      <c r="A47" s="31" t="s">
        <v>12</v>
      </c>
      <c r="B47" s="32"/>
      <c r="C47" s="29">
        <v>10000</v>
      </c>
      <c r="D47" s="29">
        <f>C47</f>
        <v>10000</v>
      </c>
      <c r="E47" s="29">
        <f>D47</f>
        <v>10000</v>
      </c>
      <c r="F47" s="29">
        <f t="shared" ref="F47:N47" si="25">E47</f>
        <v>10000</v>
      </c>
      <c r="G47" s="29">
        <f t="shared" si="25"/>
        <v>10000</v>
      </c>
      <c r="H47" s="29">
        <f t="shared" si="25"/>
        <v>10000</v>
      </c>
      <c r="I47" s="29">
        <f t="shared" si="25"/>
        <v>10000</v>
      </c>
      <c r="J47" s="29">
        <f t="shared" si="25"/>
        <v>10000</v>
      </c>
      <c r="K47" s="29">
        <f t="shared" si="25"/>
        <v>10000</v>
      </c>
      <c r="L47" s="29">
        <f t="shared" si="25"/>
        <v>10000</v>
      </c>
      <c r="M47" s="29">
        <f t="shared" si="25"/>
        <v>10000</v>
      </c>
      <c r="N47" s="34">
        <f t="shared" si="25"/>
        <v>10000</v>
      </c>
      <c r="O47" s="2"/>
      <c r="P47" s="2"/>
      <c r="Q47" s="2"/>
      <c r="R47" s="2"/>
    </row>
    <row r="48" spans="1:18" x14ac:dyDescent="0.25">
      <c r="A48" s="31" t="s">
        <v>13</v>
      </c>
      <c r="B48" s="32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4"/>
      <c r="O48" s="2"/>
      <c r="P48" s="2"/>
      <c r="Q48" s="2"/>
      <c r="R48" s="2"/>
    </row>
    <row r="49" spans="1:21" x14ac:dyDescent="0.25">
      <c r="A49" s="31" t="s">
        <v>14</v>
      </c>
      <c r="B49" s="32"/>
      <c r="C49" s="29"/>
      <c r="D49" s="29">
        <f t="shared" ref="D49:N49" si="26">D17/365*D11</f>
        <v>4931.5068493150684</v>
      </c>
      <c r="E49" s="29">
        <f t="shared" si="26"/>
        <v>5776.7979452054797</v>
      </c>
      <c r="F49" s="29">
        <f t="shared" si="26"/>
        <v>6743.5620719178078</v>
      </c>
      <c r="G49" s="29">
        <f t="shared" si="26"/>
        <v>7434.7771842893844</v>
      </c>
      <c r="H49" s="29">
        <f t="shared" si="26"/>
        <v>8287.9178661865917</v>
      </c>
      <c r="I49" s="29">
        <f t="shared" si="26"/>
        <v>9237.8407600802875</v>
      </c>
      <c r="J49" s="29">
        <f t="shared" si="26"/>
        <v>10295.422910140567</v>
      </c>
      <c r="K49" s="29">
        <f t="shared" si="26"/>
        <v>11472.75433647761</v>
      </c>
      <c r="L49" s="29">
        <f t="shared" si="26"/>
        <v>12783.272418264085</v>
      </c>
      <c r="M49" s="29">
        <f t="shared" si="26"/>
        <v>14241.911081569164</v>
      </c>
      <c r="N49" s="34">
        <f t="shared" si="26"/>
        <v>15865.266415007403</v>
      </c>
      <c r="O49" s="2"/>
      <c r="P49" s="2"/>
      <c r="Q49" s="2"/>
      <c r="R49" s="2"/>
    </row>
    <row r="50" spans="1:21" x14ac:dyDescent="0.25">
      <c r="A50" s="31" t="s">
        <v>15</v>
      </c>
      <c r="B50" s="32"/>
      <c r="C50" s="29"/>
      <c r="D50" s="29">
        <f t="shared" ref="D50:N50" si="27">D23/365*D12</f>
        <v>8087.6712328767126</v>
      </c>
      <c r="E50" s="29">
        <f t="shared" si="27"/>
        <v>7260.7068493150682</v>
      </c>
      <c r="F50" s="29">
        <f t="shared" si="27"/>
        <v>6518.299573972602</v>
      </c>
      <c r="G50" s="29">
        <f t="shared" si="27"/>
        <v>5851.8034425339038</v>
      </c>
      <c r="H50" s="29">
        <f t="shared" si="27"/>
        <v>5253.456540534813</v>
      </c>
      <c r="I50" s="29">
        <f t="shared" si="27"/>
        <v>4716.2906092651292</v>
      </c>
      <c r="J50" s="29">
        <f t="shared" si="27"/>
        <v>4234.0498944677693</v>
      </c>
      <c r="K50" s="29">
        <f t="shared" si="27"/>
        <v>3801.1182927584405</v>
      </c>
      <c r="L50" s="29">
        <f t="shared" si="27"/>
        <v>3412.4539473238906</v>
      </c>
      <c r="M50" s="29">
        <f t="shared" si="27"/>
        <v>3063.5305312100222</v>
      </c>
      <c r="N50" s="34">
        <f t="shared" si="27"/>
        <v>2750.284534393797</v>
      </c>
      <c r="O50" s="2"/>
      <c r="P50" s="2"/>
      <c r="Q50" s="2"/>
      <c r="R50" s="2"/>
    </row>
    <row r="51" spans="1:21" x14ac:dyDescent="0.25">
      <c r="A51" s="31"/>
      <c r="B51" s="32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4"/>
      <c r="O51" s="2"/>
      <c r="P51" s="2"/>
      <c r="Q51" s="2"/>
      <c r="R51" s="2"/>
    </row>
    <row r="52" spans="1:21" x14ac:dyDescent="0.25">
      <c r="A52" s="31" t="s">
        <v>16</v>
      </c>
      <c r="B52" s="32"/>
      <c r="C52" s="29"/>
      <c r="D52" s="29">
        <v>1400000</v>
      </c>
      <c r="E52" s="29">
        <f>$D$52</f>
        <v>1400000</v>
      </c>
      <c r="F52" s="29">
        <f t="shared" ref="F52:N52" si="28">$D$52</f>
        <v>1400000</v>
      </c>
      <c r="G52" s="29">
        <f t="shared" si="28"/>
        <v>1400000</v>
      </c>
      <c r="H52" s="29">
        <f t="shared" si="28"/>
        <v>1400000</v>
      </c>
      <c r="I52" s="29">
        <f t="shared" si="28"/>
        <v>1400000</v>
      </c>
      <c r="J52" s="29">
        <f t="shared" si="28"/>
        <v>1400000</v>
      </c>
      <c r="K52" s="29">
        <f t="shared" si="28"/>
        <v>1400000</v>
      </c>
      <c r="L52" s="29">
        <f t="shared" si="28"/>
        <v>1400000</v>
      </c>
      <c r="M52" s="29">
        <f t="shared" si="28"/>
        <v>1400000</v>
      </c>
      <c r="N52" s="34">
        <f t="shared" si="28"/>
        <v>1400000</v>
      </c>
      <c r="O52" s="2"/>
      <c r="P52" s="63"/>
      <c r="Q52" s="63"/>
      <c r="R52" s="26"/>
      <c r="S52" s="64"/>
    </row>
    <row r="53" spans="1:21" x14ac:dyDescent="0.25">
      <c r="A53" s="31" t="s">
        <v>92</v>
      </c>
      <c r="B53" s="32"/>
      <c r="C53" s="29"/>
      <c r="D53" s="29">
        <f t="shared" ref="D53:N53" si="29">C53+D35</f>
        <v>46666.666666666664</v>
      </c>
      <c r="E53" s="29">
        <f t="shared" si="29"/>
        <v>93333.333333333328</v>
      </c>
      <c r="F53" s="29">
        <f t="shared" si="29"/>
        <v>140000</v>
      </c>
      <c r="G53" s="29">
        <f t="shared" si="29"/>
        <v>186666.66666666666</v>
      </c>
      <c r="H53" s="29">
        <f t="shared" si="29"/>
        <v>233333.33333333331</v>
      </c>
      <c r="I53" s="29">
        <f t="shared" si="29"/>
        <v>280000</v>
      </c>
      <c r="J53" s="29">
        <f t="shared" si="29"/>
        <v>326666.66666666669</v>
      </c>
      <c r="K53" s="29">
        <f t="shared" si="29"/>
        <v>373333.33333333337</v>
      </c>
      <c r="L53" s="29">
        <f t="shared" si="29"/>
        <v>420000.00000000006</v>
      </c>
      <c r="M53" s="29">
        <f t="shared" si="29"/>
        <v>466666.66666666674</v>
      </c>
      <c r="N53" s="34">
        <f t="shared" si="29"/>
        <v>513333.33333333343</v>
      </c>
      <c r="O53" s="2"/>
      <c r="P53" s="63"/>
      <c r="Q53" s="65"/>
      <c r="R53" s="26"/>
      <c r="S53" s="64"/>
    </row>
    <row r="54" spans="1:21" x14ac:dyDescent="0.25">
      <c r="A54" s="31" t="s">
        <v>91</v>
      </c>
      <c r="B54" s="32"/>
      <c r="C54" s="29"/>
      <c r="D54" s="29">
        <v>110000</v>
      </c>
      <c r="E54" s="29">
        <f>$D$54</f>
        <v>110000</v>
      </c>
      <c r="F54" s="29">
        <f t="shared" ref="F54:N54" si="30">$D$54</f>
        <v>110000</v>
      </c>
      <c r="G54" s="29">
        <f t="shared" si="30"/>
        <v>110000</v>
      </c>
      <c r="H54" s="29">
        <f t="shared" si="30"/>
        <v>110000</v>
      </c>
      <c r="I54" s="29">
        <f t="shared" si="30"/>
        <v>110000</v>
      </c>
      <c r="J54" s="29">
        <f t="shared" si="30"/>
        <v>110000</v>
      </c>
      <c r="K54" s="29">
        <f t="shared" si="30"/>
        <v>110000</v>
      </c>
      <c r="L54" s="29">
        <f t="shared" si="30"/>
        <v>110000</v>
      </c>
      <c r="M54" s="29">
        <f t="shared" si="30"/>
        <v>110000</v>
      </c>
      <c r="N54" s="34">
        <f t="shared" si="30"/>
        <v>110000</v>
      </c>
      <c r="O54" s="2"/>
      <c r="P54" s="63"/>
      <c r="Q54" s="66"/>
      <c r="R54" s="26"/>
      <c r="S54" s="64"/>
    </row>
    <row r="55" spans="1:21" x14ac:dyDescent="0.25">
      <c r="A55" s="31" t="s">
        <v>93</v>
      </c>
      <c r="B55" s="32"/>
      <c r="C55" s="29"/>
      <c r="D55" s="29">
        <f>D36</f>
        <v>22000</v>
      </c>
      <c r="E55" s="29">
        <f>D55+E36</f>
        <v>44000</v>
      </c>
      <c r="F55" s="29">
        <f>E55+F36</f>
        <v>66000</v>
      </c>
      <c r="G55" s="29">
        <f>F55+G36</f>
        <v>88000</v>
      </c>
      <c r="H55" s="29">
        <f>G55+H36</f>
        <v>110000</v>
      </c>
      <c r="I55" s="29">
        <f>H55</f>
        <v>110000</v>
      </c>
      <c r="J55" s="29">
        <f t="shared" ref="J55:N55" si="31">I55</f>
        <v>110000</v>
      </c>
      <c r="K55" s="29">
        <f t="shared" si="31"/>
        <v>110000</v>
      </c>
      <c r="L55" s="29">
        <f t="shared" si="31"/>
        <v>110000</v>
      </c>
      <c r="M55" s="29">
        <f t="shared" si="31"/>
        <v>110000</v>
      </c>
      <c r="N55" s="34">
        <f t="shared" si="31"/>
        <v>110000</v>
      </c>
      <c r="O55" s="2"/>
      <c r="P55" s="26"/>
      <c r="Q55" s="26"/>
      <c r="R55" s="26"/>
      <c r="S55" s="64"/>
    </row>
    <row r="56" spans="1:21" x14ac:dyDescent="0.25">
      <c r="A56" s="31" t="s">
        <v>86</v>
      </c>
      <c r="B56" s="32"/>
      <c r="C56" s="29"/>
      <c r="D56" s="29">
        <v>600000</v>
      </c>
      <c r="E56" s="29">
        <f>$D$56</f>
        <v>600000</v>
      </c>
      <c r="F56" s="29">
        <f t="shared" ref="F56:N56" si="32">$D$56</f>
        <v>600000</v>
      </c>
      <c r="G56" s="29">
        <f t="shared" si="32"/>
        <v>600000</v>
      </c>
      <c r="H56" s="29">
        <f t="shared" si="32"/>
        <v>600000</v>
      </c>
      <c r="I56" s="29">
        <f t="shared" si="32"/>
        <v>600000</v>
      </c>
      <c r="J56" s="29">
        <f t="shared" si="32"/>
        <v>600000</v>
      </c>
      <c r="K56" s="29">
        <f t="shared" si="32"/>
        <v>600000</v>
      </c>
      <c r="L56" s="29">
        <f t="shared" si="32"/>
        <v>600000</v>
      </c>
      <c r="M56" s="29">
        <f t="shared" si="32"/>
        <v>600000</v>
      </c>
      <c r="N56" s="34">
        <f t="shared" si="32"/>
        <v>600000</v>
      </c>
      <c r="O56" s="2"/>
      <c r="P56" s="63" t="s">
        <v>139</v>
      </c>
      <c r="Q56" s="65">
        <v>0.09</v>
      </c>
      <c r="R56" s="63"/>
      <c r="S56" s="63"/>
    </row>
    <row r="57" spans="1:21" x14ac:dyDescent="0.25">
      <c r="A57" s="31"/>
      <c r="B57" s="32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4"/>
      <c r="O57" s="2"/>
      <c r="P57" s="63" t="s">
        <v>138</v>
      </c>
      <c r="Q57" s="65">
        <v>0.01</v>
      </c>
      <c r="R57" s="63"/>
      <c r="S57" s="63"/>
    </row>
    <row r="58" spans="1:21" ht="15.75" thickBot="1" x14ac:dyDescent="0.3">
      <c r="A58" s="40" t="s">
        <v>17</v>
      </c>
      <c r="B58" s="32"/>
      <c r="C58" s="29"/>
      <c r="D58" s="25">
        <f>SUM(D47:D52)+D54+D56-D53-D55</f>
        <v>2064352.5114155251</v>
      </c>
      <c r="E58" s="25">
        <f t="shared" ref="E58:N58" si="33">SUM(E47:E52)+E54+E56-E53-E55</f>
        <v>1995704.1714611871</v>
      </c>
      <c r="F58" s="25">
        <f t="shared" si="33"/>
        <v>1927261.8616458904</v>
      </c>
      <c r="G58" s="25">
        <f t="shared" si="33"/>
        <v>1858619.9139601563</v>
      </c>
      <c r="H58" s="25">
        <f t="shared" si="33"/>
        <v>1790208.0410733882</v>
      </c>
      <c r="I58" s="25">
        <f t="shared" si="33"/>
        <v>1743954.1313693454</v>
      </c>
      <c r="J58" s="25">
        <f t="shared" si="33"/>
        <v>1697862.8061379415</v>
      </c>
      <c r="K58" s="25">
        <f t="shared" si="33"/>
        <v>1651940.5392959025</v>
      </c>
      <c r="L58" s="25">
        <f t="shared" si="33"/>
        <v>1606195.7263655877</v>
      </c>
      <c r="M58" s="25">
        <f t="shared" si="33"/>
        <v>1560638.7749461124</v>
      </c>
      <c r="N58" s="39">
        <f t="shared" si="33"/>
        <v>1515282.2176160677</v>
      </c>
      <c r="O58" s="2"/>
      <c r="P58" s="63" t="s">
        <v>97</v>
      </c>
      <c r="Q58" s="67">
        <v>2</v>
      </c>
      <c r="R58" s="63"/>
      <c r="S58" s="63"/>
      <c r="T58" s="64"/>
      <c r="U58" s="64"/>
    </row>
    <row r="59" spans="1:21" ht="15.75" thickTop="1" x14ac:dyDescent="0.25">
      <c r="A59" s="31"/>
      <c r="B59" s="32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4"/>
      <c r="O59" s="2"/>
      <c r="P59" s="63"/>
      <c r="Q59" s="202">
        <f>(Q56-Q57)*Q58+Q57</f>
        <v>0.17</v>
      </c>
      <c r="R59" s="63" t="s">
        <v>142</v>
      </c>
      <c r="S59" s="63"/>
      <c r="T59" s="64"/>
      <c r="U59" s="64"/>
    </row>
    <row r="60" spans="1:21" x14ac:dyDescent="0.25">
      <c r="A60" s="40" t="s">
        <v>18</v>
      </c>
      <c r="B60" s="32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4"/>
      <c r="O60" s="2"/>
      <c r="P60" s="2"/>
      <c r="Q60" s="26"/>
      <c r="R60" s="26"/>
      <c r="S60" s="64"/>
      <c r="T60" s="64"/>
      <c r="U60" s="64"/>
    </row>
    <row r="61" spans="1:21" x14ac:dyDescent="0.25">
      <c r="A61" s="31" t="s">
        <v>19</v>
      </c>
      <c r="B61" s="32"/>
      <c r="C61" s="29"/>
      <c r="D61" s="29">
        <f t="shared" ref="D61:N61" si="34">D23/365*D13</f>
        <v>5391.7808219178087</v>
      </c>
      <c r="E61" s="29">
        <f t="shared" si="34"/>
        <v>5095.232876712329</v>
      </c>
      <c r="F61" s="29">
        <f t="shared" si="34"/>
        <v>4814.99506849315</v>
      </c>
      <c r="G61" s="29">
        <f t="shared" si="34"/>
        <v>4550.1703397260271</v>
      </c>
      <c r="H61" s="29">
        <f t="shared" si="34"/>
        <v>4514.9065195931516</v>
      </c>
      <c r="I61" s="29">
        <f t="shared" si="34"/>
        <v>4469.7574543972205</v>
      </c>
      <c r="J61" s="29">
        <f t="shared" si="34"/>
        <v>4415.9171941510722</v>
      </c>
      <c r="K61" s="29">
        <f t="shared" si="34"/>
        <v>4354.4783462324494</v>
      </c>
      <c r="L61" s="29">
        <f t="shared" si="34"/>
        <v>4286.4396220725685</v>
      </c>
      <c r="M61" s="29">
        <f t="shared" si="34"/>
        <v>4212.7128605729195</v>
      </c>
      <c r="N61" s="34">
        <f t="shared" si="34"/>
        <v>4134.1295629814631</v>
      </c>
      <c r="O61" s="2"/>
      <c r="P61" s="2"/>
      <c r="Q61" s="26"/>
      <c r="R61" s="26"/>
      <c r="S61" s="64"/>
      <c r="T61" s="64"/>
      <c r="U61" s="64"/>
    </row>
    <row r="62" spans="1:21" x14ac:dyDescent="0.25">
      <c r="A62" s="31" t="s">
        <v>20</v>
      </c>
      <c r="B62" s="32"/>
      <c r="C62" s="29"/>
      <c r="D62" s="29">
        <f t="shared" ref="D62:N62" si="35">D41</f>
        <v>0</v>
      </c>
      <c r="E62" s="29">
        <f t="shared" si="35"/>
        <v>0</v>
      </c>
      <c r="F62" s="29">
        <f t="shared" si="35"/>
        <v>0</v>
      </c>
      <c r="G62" s="29">
        <f t="shared" si="35"/>
        <v>0</v>
      </c>
      <c r="H62" s="29">
        <f t="shared" si="35"/>
        <v>0</v>
      </c>
      <c r="I62" s="29">
        <f t="shared" si="35"/>
        <v>0</v>
      </c>
      <c r="J62" s="29">
        <f t="shared" si="35"/>
        <v>0</v>
      </c>
      <c r="K62" s="29">
        <f t="shared" si="35"/>
        <v>0</v>
      </c>
      <c r="L62" s="29">
        <f t="shared" si="35"/>
        <v>1153.0237974616932</v>
      </c>
      <c r="M62" s="29">
        <f t="shared" si="35"/>
        <v>5510.6248017054404</v>
      </c>
      <c r="N62" s="34">
        <f t="shared" si="35"/>
        <v>10389.631215108873</v>
      </c>
      <c r="O62" s="2"/>
      <c r="P62" s="2"/>
      <c r="Q62" s="26"/>
      <c r="R62" s="26"/>
      <c r="S62" s="64"/>
      <c r="T62" s="64"/>
      <c r="U62" s="64"/>
    </row>
    <row r="63" spans="1:21" x14ac:dyDescent="0.25">
      <c r="A63" s="31"/>
      <c r="B63" s="32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4"/>
      <c r="O63" s="2"/>
      <c r="P63" s="2" t="s">
        <v>140</v>
      </c>
      <c r="Q63" s="26" t="s">
        <v>141</v>
      </c>
      <c r="R63" s="26" t="s">
        <v>135</v>
      </c>
      <c r="S63" s="64" t="s">
        <v>136</v>
      </c>
      <c r="T63" s="64" t="s">
        <v>137</v>
      </c>
      <c r="U63" s="64"/>
    </row>
    <row r="64" spans="1:21" x14ac:dyDescent="0.25">
      <c r="A64" s="31" t="s">
        <v>21</v>
      </c>
      <c r="B64" s="32"/>
      <c r="C64" s="29"/>
      <c r="D64" s="29">
        <f>Mortgage!F13</f>
        <v>295573.90396329761</v>
      </c>
      <c r="E64" s="29">
        <f>Mortgage!F27</f>
        <v>290921.36045315064</v>
      </c>
      <c r="F64" s="29">
        <f>Mortgage!F41</f>
        <v>286030.78398704727</v>
      </c>
      <c r="G64" s="29">
        <f>Mortgage!F55</f>
        <v>280889.99634720222</v>
      </c>
      <c r="H64" s="29">
        <f>Mortgage!F69</f>
        <v>275486.19625509565</v>
      </c>
      <c r="I64" s="29">
        <f>Mortgage!F83</f>
        <v>269805.92749450356</v>
      </c>
      <c r="J64" s="29">
        <f>Mortgage!F97</f>
        <v>263835.04540364112</v>
      </c>
      <c r="K64" s="29">
        <f>Mortgage!F111</f>
        <v>257558.68165298228</v>
      </c>
      <c r="L64" s="29">
        <f>Mortgage!F125</f>
        <v>250961.20722104362</v>
      </c>
      <c r="M64" s="29">
        <f>Mortgage!F139</f>
        <v>244026.1934759407</v>
      </c>
      <c r="N64" s="34">
        <f>Mortgage!F153</f>
        <v>236736.37126580247</v>
      </c>
      <c r="O64" s="9"/>
      <c r="P64" s="61">
        <f>AVERAGE(D64:N64)</f>
        <v>268347.78795633704</v>
      </c>
      <c r="Q64" s="203">
        <f>P64/P66</f>
        <v>0.11584874296896966</v>
      </c>
      <c r="R64" s="204">
        <f>O37</f>
        <v>0.08</v>
      </c>
      <c r="S64" s="205">
        <f>R64*(1-$O$41)</f>
        <v>6.4000000000000001E-2</v>
      </c>
      <c r="T64" s="205">
        <f>Q64*S64</f>
        <v>7.4143195500140585E-3</v>
      </c>
      <c r="U64" s="64"/>
    </row>
    <row r="65" spans="1:21" x14ac:dyDescent="0.25">
      <c r="A65" s="31" t="s">
        <v>22</v>
      </c>
      <c r="B65" s="32"/>
      <c r="C65" s="29"/>
      <c r="D65" s="29">
        <v>1863475.2535828198</v>
      </c>
      <c r="E65" s="29">
        <v>1975313.7153581949</v>
      </c>
      <c r="F65" s="29">
        <v>2064572.1849114839</v>
      </c>
      <c r="G65" s="29">
        <v>2124412.7387740822</v>
      </c>
      <c r="H65" s="29">
        <v>2140235.9446912589</v>
      </c>
      <c r="I65" s="29">
        <v>2144073.2685785405</v>
      </c>
      <c r="J65" s="29">
        <v>2133975.0246661361</v>
      </c>
      <c r="K65" s="29">
        <v>2107742.2863053884</v>
      </c>
      <c r="L65" s="29">
        <v>2062897.8675438636</v>
      </c>
      <c r="M65" s="29">
        <v>1997949.5564199253</v>
      </c>
      <c r="N65" s="34">
        <v>1913523.8733237712</v>
      </c>
      <c r="O65" s="9"/>
      <c r="P65" s="61">
        <f>AVERAGE(D65:N65)</f>
        <v>2048015.6103777697</v>
      </c>
      <c r="Q65" s="203">
        <f>P65/P66</f>
        <v>0.88415125703103026</v>
      </c>
      <c r="R65" s="206">
        <f>O38</f>
        <v>0.11</v>
      </c>
      <c r="S65" s="205">
        <f>R65*(1-$O$41)</f>
        <v>8.8000000000000009E-2</v>
      </c>
      <c r="T65" s="205">
        <f t="shared" ref="T65" si="36">Q65*S65</f>
        <v>7.7805310618730666E-2</v>
      </c>
      <c r="U65" s="64"/>
    </row>
    <row r="66" spans="1:21" x14ac:dyDescent="0.25">
      <c r="A66" s="31"/>
      <c r="B66" s="32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4"/>
      <c r="O66" s="2"/>
      <c r="P66" s="62">
        <f>SUM(P64:P65)</f>
        <v>2316363.3983341069</v>
      </c>
      <c r="Q66" s="203">
        <f>P66/P66</f>
        <v>1</v>
      </c>
      <c r="R66" s="26"/>
      <c r="S66" s="205"/>
      <c r="T66" s="207"/>
      <c r="U66" s="64"/>
    </row>
    <row r="67" spans="1:21" x14ac:dyDescent="0.25">
      <c r="A67" s="31" t="s">
        <v>23</v>
      </c>
      <c r="B67" s="32"/>
      <c r="C67" s="29"/>
      <c r="D67" s="29">
        <v>90000</v>
      </c>
      <c r="E67" s="29">
        <v>90000</v>
      </c>
      <c r="F67" s="29">
        <v>90000</v>
      </c>
      <c r="G67" s="29">
        <v>90000</v>
      </c>
      <c r="H67" s="29">
        <v>90000</v>
      </c>
      <c r="I67" s="29">
        <v>90000</v>
      </c>
      <c r="J67" s="29">
        <v>90000</v>
      </c>
      <c r="K67" s="29">
        <v>90000</v>
      </c>
      <c r="L67" s="29">
        <v>90000</v>
      </c>
      <c r="M67" s="29">
        <v>90000</v>
      </c>
      <c r="N67" s="34">
        <v>90000</v>
      </c>
      <c r="O67" s="22"/>
      <c r="Q67" s="64"/>
      <c r="R67" s="64"/>
      <c r="S67" s="64"/>
      <c r="T67" s="64"/>
      <c r="U67" s="64"/>
    </row>
    <row r="68" spans="1:21" x14ac:dyDescent="0.25">
      <c r="A68" s="31" t="s">
        <v>24</v>
      </c>
      <c r="B68" s="32"/>
      <c r="C68" s="29"/>
      <c r="D68" s="10">
        <f t="shared" ref="D68:N68" si="37">C68+D43</f>
        <v>-190088.42695251142</v>
      </c>
      <c r="E68" s="10">
        <f t="shared" si="37"/>
        <v>-365626.13722686958</v>
      </c>
      <c r="F68" s="10">
        <f t="shared" si="37"/>
        <v>-518156.10232113302</v>
      </c>
      <c r="G68" s="10">
        <f t="shared" si="37"/>
        <v>-641232.99150085333</v>
      </c>
      <c r="H68" s="10">
        <f t="shared" si="37"/>
        <v>-720029.00639255811</v>
      </c>
      <c r="I68" s="10">
        <f t="shared" si="37"/>
        <v>-764394.82215809729</v>
      </c>
      <c r="J68" s="10">
        <f t="shared" si="37"/>
        <v>-794363.18112598662</v>
      </c>
      <c r="K68" s="10">
        <f t="shared" si="37"/>
        <v>-807714.90700870077</v>
      </c>
      <c r="L68" s="10">
        <f t="shared" si="37"/>
        <v>-803102.81181885395</v>
      </c>
      <c r="M68" s="10">
        <f t="shared" si="37"/>
        <v>-781060.31261203217</v>
      </c>
      <c r="N68" s="38">
        <f t="shared" si="37"/>
        <v>-739501.78775159665</v>
      </c>
      <c r="O68" s="2"/>
      <c r="P68" s="61">
        <f>AVERAGE(D67:N67)</f>
        <v>90000</v>
      </c>
      <c r="Q68" s="203">
        <v>0</v>
      </c>
      <c r="R68" s="208">
        <f>Q59</f>
        <v>0.17</v>
      </c>
      <c r="S68" s="205">
        <f>R68</f>
        <v>0.17</v>
      </c>
      <c r="T68" s="205">
        <f>Q68*S68</f>
        <v>0</v>
      </c>
      <c r="U68" s="64"/>
    </row>
    <row r="69" spans="1:21" x14ac:dyDescent="0.25">
      <c r="A69" s="31"/>
      <c r="B69" s="32"/>
      <c r="C69" s="32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4"/>
      <c r="O69" s="2"/>
      <c r="P69" s="61">
        <f>AVERAGE(D68:N68)</f>
        <v>-647751.86244265386</v>
      </c>
      <c r="Q69" s="203"/>
      <c r="R69" s="26"/>
      <c r="S69" s="205"/>
      <c r="T69" s="64"/>
      <c r="U69" s="64"/>
    </row>
    <row r="70" spans="1:21" ht="15.75" thickBot="1" x14ac:dyDescent="0.3">
      <c r="A70" s="40" t="s">
        <v>25</v>
      </c>
      <c r="B70" s="32"/>
      <c r="C70" s="32"/>
      <c r="D70" s="25">
        <f>SUM(D61:D68)</f>
        <v>2064352.5114155239</v>
      </c>
      <c r="E70" s="25">
        <f t="shared" ref="E70:N70" si="38">SUM(E61:E68)</f>
        <v>1995704.1714611885</v>
      </c>
      <c r="F70" s="25">
        <f t="shared" si="38"/>
        <v>1927261.8616458913</v>
      </c>
      <c r="G70" s="25">
        <f t="shared" si="38"/>
        <v>1858619.9139601572</v>
      </c>
      <c r="H70" s="25">
        <f t="shared" si="38"/>
        <v>1790208.0410733898</v>
      </c>
      <c r="I70" s="25">
        <f t="shared" si="38"/>
        <v>1743954.131369344</v>
      </c>
      <c r="J70" s="25">
        <f t="shared" si="38"/>
        <v>1697862.8061379415</v>
      </c>
      <c r="K70" s="25">
        <f t="shared" si="38"/>
        <v>1651940.5392959022</v>
      </c>
      <c r="L70" s="25">
        <f t="shared" si="38"/>
        <v>1606195.7263655877</v>
      </c>
      <c r="M70" s="25">
        <f t="shared" si="38"/>
        <v>1560638.7749461122</v>
      </c>
      <c r="N70" s="39">
        <f t="shared" si="38"/>
        <v>1515282.2176160675</v>
      </c>
      <c r="O70" s="2"/>
      <c r="P70" s="62">
        <f>SUM(P68:P69)</f>
        <v>-557751.86244265386</v>
      </c>
      <c r="Q70" s="203"/>
      <c r="R70" s="26"/>
      <c r="S70" s="64"/>
      <c r="T70" s="64"/>
      <c r="U70" s="64"/>
    </row>
    <row r="71" spans="1:21" ht="16.5" thickTop="1" thickBot="1" x14ac:dyDescent="0.3">
      <c r="A71" s="55" t="s">
        <v>76</v>
      </c>
      <c r="B71" s="56"/>
      <c r="C71" s="56"/>
      <c r="D71" s="30">
        <f>D58-D70</f>
        <v>0</v>
      </c>
      <c r="E71" s="30">
        <f t="shared" ref="E71:N71" si="39">E58-E70</f>
        <v>0</v>
      </c>
      <c r="F71" s="30">
        <f t="shared" si="39"/>
        <v>0</v>
      </c>
      <c r="G71" s="30">
        <f t="shared" si="39"/>
        <v>0</v>
      </c>
      <c r="H71" s="30">
        <f t="shared" si="39"/>
        <v>0</v>
      </c>
      <c r="I71" s="30">
        <f t="shared" si="39"/>
        <v>0</v>
      </c>
      <c r="J71" s="30">
        <f t="shared" si="39"/>
        <v>0</v>
      </c>
      <c r="K71" s="30">
        <f t="shared" si="39"/>
        <v>0</v>
      </c>
      <c r="L71" s="30">
        <f t="shared" si="39"/>
        <v>0</v>
      </c>
      <c r="M71" s="30">
        <f t="shared" si="39"/>
        <v>0</v>
      </c>
      <c r="N71" s="221">
        <f t="shared" si="39"/>
        <v>0</v>
      </c>
      <c r="O71" s="56"/>
      <c r="P71" s="84">
        <f>P66+P70</f>
        <v>1758611.535891453</v>
      </c>
      <c r="Q71" s="64"/>
      <c r="R71" s="64"/>
      <c r="S71" s="64"/>
      <c r="T71" s="209">
        <f>SUM(T64:T68)</f>
        <v>8.5219630168744731E-2</v>
      </c>
      <c r="U71" s="64" t="s">
        <v>96</v>
      </c>
    </row>
    <row r="72" spans="1:21" ht="15.75" thickTop="1" x14ac:dyDescent="0.25">
      <c r="A72" s="41"/>
      <c r="B72" s="41"/>
      <c r="C72" s="41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5"/>
      <c r="O72" s="56"/>
      <c r="Q72" s="64"/>
      <c r="R72" s="64"/>
      <c r="S72" s="64"/>
      <c r="T72" s="64"/>
      <c r="U72" s="64"/>
    </row>
    <row r="73" spans="1:21" x14ac:dyDescent="0.25">
      <c r="A73" s="43" t="s">
        <v>27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2"/>
    </row>
    <row r="74" spans="1:21" x14ac:dyDescent="0.25">
      <c r="A74" s="36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2"/>
    </row>
    <row r="75" spans="1:21" x14ac:dyDescent="0.25">
      <c r="A75" s="43" t="s">
        <v>28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2"/>
    </row>
    <row r="76" spans="1:21" x14ac:dyDescent="0.25">
      <c r="A76" s="36"/>
      <c r="B76" s="41" t="s">
        <v>48</v>
      </c>
      <c r="C76" s="41"/>
      <c r="D76" s="44">
        <f>D20-D25-D33</f>
        <v>98460</v>
      </c>
      <c r="E76" s="44">
        <f t="shared" ref="E76:N76" si="40">E20-E25-E33</f>
        <v>125086.5</v>
      </c>
      <c r="F76" s="44">
        <f t="shared" si="40"/>
        <v>157674.64387500004</v>
      </c>
      <c r="G76" s="44">
        <f t="shared" si="40"/>
        <v>193459.96954068745</v>
      </c>
      <c r="H76" s="44">
        <f t="shared" si="40"/>
        <v>239218.38402733096</v>
      </c>
      <c r="I76" s="44">
        <f t="shared" si="40"/>
        <v>251794.22011261177</v>
      </c>
      <c r="J76" s="44">
        <f t="shared" si="40"/>
        <v>264790.25674962706</v>
      </c>
      <c r="K76" s="44">
        <f t="shared" si="40"/>
        <v>278215.80695532344</v>
      </c>
      <c r="L76" s="44">
        <f t="shared" si="40"/>
        <v>292078.65508029843</v>
      </c>
      <c r="M76" s="44">
        <f t="shared" si="40"/>
        <v>306384.80656471977</v>
      </c>
      <c r="N76" s="45">
        <f t="shared" si="40"/>
        <v>321138.2050261246</v>
      </c>
    </row>
    <row r="77" spans="1:21" x14ac:dyDescent="0.25">
      <c r="A77" s="36"/>
      <c r="B77" s="41" t="s">
        <v>49</v>
      </c>
      <c r="C77" s="41"/>
      <c r="D77" s="44">
        <f>D35+D36</f>
        <v>68666.666666666657</v>
      </c>
      <c r="E77" s="44">
        <f t="shared" ref="E77:N77" si="41">E35+E36</f>
        <v>68666.666666666657</v>
      </c>
      <c r="F77" s="44">
        <f t="shared" si="41"/>
        <v>68666.666666666657</v>
      </c>
      <c r="G77" s="44">
        <f t="shared" si="41"/>
        <v>68666.666666666657</v>
      </c>
      <c r="H77" s="44">
        <f t="shared" si="41"/>
        <v>68666.666666666657</v>
      </c>
      <c r="I77" s="44">
        <f t="shared" si="41"/>
        <v>46666.666666666664</v>
      </c>
      <c r="J77" s="44">
        <f t="shared" si="41"/>
        <v>46666.666666666664</v>
      </c>
      <c r="K77" s="44">
        <f t="shared" si="41"/>
        <v>46666.666666666664</v>
      </c>
      <c r="L77" s="44">
        <f t="shared" si="41"/>
        <v>46666.666666666664</v>
      </c>
      <c r="M77" s="44">
        <f t="shared" si="41"/>
        <v>46666.666666666664</v>
      </c>
      <c r="N77" s="45">
        <f t="shared" si="41"/>
        <v>46666.666666666664</v>
      </c>
    </row>
    <row r="78" spans="1:21" x14ac:dyDescent="0.25">
      <c r="A78" s="36"/>
      <c r="B78" s="41" t="s">
        <v>50</v>
      </c>
      <c r="C78" s="41"/>
      <c r="D78" s="44">
        <f>D76-D77</f>
        <v>29793.333333333343</v>
      </c>
      <c r="E78" s="44">
        <f t="shared" ref="E78:N78" si="42">E76-E77</f>
        <v>56419.833333333343</v>
      </c>
      <c r="F78" s="44">
        <f t="shared" si="42"/>
        <v>89007.977208333381</v>
      </c>
      <c r="G78" s="44">
        <f t="shared" si="42"/>
        <v>124793.3028740208</v>
      </c>
      <c r="H78" s="44">
        <f t="shared" si="42"/>
        <v>170551.7173606643</v>
      </c>
      <c r="I78" s="44">
        <f t="shared" si="42"/>
        <v>205127.55344594512</v>
      </c>
      <c r="J78" s="44">
        <f t="shared" si="42"/>
        <v>218123.59008296041</v>
      </c>
      <c r="K78" s="44">
        <f t="shared" si="42"/>
        <v>231549.14028865678</v>
      </c>
      <c r="L78" s="44">
        <f t="shared" si="42"/>
        <v>245411.98841363177</v>
      </c>
      <c r="M78" s="44">
        <f t="shared" si="42"/>
        <v>259718.13989805311</v>
      </c>
      <c r="N78" s="45">
        <f t="shared" si="42"/>
        <v>274471.53835945792</v>
      </c>
    </row>
    <row r="79" spans="1:21" x14ac:dyDescent="0.25">
      <c r="A79" s="36"/>
      <c r="B79" s="41" t="s">
        <v>51</v>
      </c>
      <c r="C79" s="41"/>
      <c r="D79" s="37">
        <f t="shared" ref="D79:N79" si="43">D78*$O$41</f>
        <v>5958.6666666666688</v>
      </c>
      <c r="E79" s="37">
        <f t="shared" si="43"/>
        <v>11283.966666666669</v>
      </c>
      <c r="F79" s="37">
        <f t="shared" si="43"/>
        <v>17801.595441666675</v>
      </c>
      <c r="G79" s="37">
        <f t="shared" si="43"/>
        <v>24958.660574804162</v>
      </c>
      <c r="H79" s="37">
        <f t="shared" si="43"/>
        <v>34110.343472132859</v>
      </c>
      <c r="I79" s="37">
        <f t="shared" si="43"/>
        <v>41025.510689189025</v>
      </c>
      <c r="J79" s="37">
        <f t="shared" si="43"/>
        <v>43624.718016592087</v>
      </c>
      <c r="K79" s="37">
        <f t="shared" si="43"/>
        <v>46309.828057731356</v>
      </c>
      <c r="L79" s="37">
        <f t="shared" si="43"/>
        <v>49082.397682726354</v>
      </c>
      <c r="M79" s="37">
        <f t="shared" si="43"/>
        <v>51943.627979610625</v>
      </c>
      <c r="N79" s="38">
        <f t="shared" si="43"/>
        <v>54894.307671891584</v>
      </c>
    </row>
    <row r="80" spans="1:21" x14ac:dyDescent="0.25">
      <c r="A80" s="36"/>
      <c r="B80" s="41" t="s">
        <v>52</v>
      </c>
      <c r="C80" s="41"/>
      <c r="D80" s="44">
        <f t="shared" ref="D80:N80" si="44">D77</f>
        <v>68666.666666666657</v>
      </c>
      <c r="E80" s="44">
        <f t="shared" si="44"/>
        <v>68666.666666666657</v>
      </c>
      <c r="F80" s="44">
        <f t="shared" si="44"/>
        <v>68666.666666666657</v>
      </c>
      <c r="G80" s="44">
        <f t="shared" si="44"/>
        <v>68666.666666666657</v>
      </c>
      <c r="H80" s="44">
        <f t="shared" si="44"/>
        <v>68666.666666666657</v>
      </c>
      <c r="I80" s="44">
        <f t="shared" si="44"/>
        <v>46666.666666666664</v>
      </c>
      <c r="J80" s="44">
        <f t="shared" si="44"/>
        <v>46666.666666666664</v>
      </c>
      <c r="K80" s="44">
        <f t="shared" si="44"/>
        <v>46666.666666666664</v>
      </c>
      <c r="L80" s="44">
        <f t="shared" si="44"/>
        <v>46666.666666666664</v>
      </c>
      <c r="M80" s="44">
        <f t="shared" si="44"/>
        <v>46666.666666666664</v>
      </c>
      <c r="N80" s="45">
        <f t="shared" si="44"/>
        <v>46666.666666666664</v>
      </c>
    </row>
    <row r="81" spans="1:16" x14ac:dyDescent="0.25">
      <c r="A81" s="36"/>
      <c r="B81" s="46" t="s">
        <v>29</v>
      </c>
      <c r="C81" s="5"/>
      <c r="D81" s="11">
        <f>D78-D79+D80</f>
        <v>92501.333333333328</v>
      </c>
      <c r="E81" s="11">
        <f t="shared" ref="E81:N81" si="45">E78-E79+E80</f>
        <v>113802.53333333333</v>
      </c>
      <c r="F81" s="11">
        <f t="shared" si="45"/>
        <v>139873.04843333334</v>
      </c>
      <c r="G81" s="11">
        <f t="shared" si="45"/>
        <v>168501.30896588328</v>
      </c>
      <c r="H81" s="11">
        <f t="shared" si="45"/>
        <v>205108.04055519809</v>
      </c>
      <c r="I81" s="11">
        <f t="shared" si="45"/>
        <v>210768.70942342276</v>
      </c>
      <c r="J81" s="11">
        <f t="shared" si="45"/>
        <v>221165.53873303498</v>
      </c>
      <c r="K81" s="11">
        <f t="shared" si="45"/>
        <v>231905.97889759208</v>
      </c>
      <c r="L81" s="11">
        <f t="shared" si="45"/>
        <v>242996.25739757207</v>
      </c>
      <c r="M81" s="11">
        <f t="shared" si="45"/>
        <v>254441.17858510916</v>
      </c>
      <c r="N81" s="11">
        <f t="shared" si="45"/>
        <v>266243.89735423302</v>
      </c>
    </row>
    <row r="82" spans="1:16" x14ac:dyDescent="0.25">
      <c r="A82" s="36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2"/>
    </row>
    <row r="83" spans="1:16" x14ac:dyDescent="0.25">
      <c r="A83" s="43" t="s">
        <v>30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2"/>
    </row>
    <row r="84" spans="1:16" x14ac:dyDescent="0.25">
      <c r="A84" s="36"/>
      <c r="B84" s="41" t="s">
        <v>31</v>
      </c>
      <c r="C84" s="44">
        <f>-D52</f>
        <v>-1400000</v>
      </c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2"/>
    </row>
    <row r="85" spans="1:16" x14ac:dyDescent="0.25">
      <c r="A85" s="36"/>
      <c r="B85" s="47" t="s">
        <v>32</v>
      </c>
      <c r="C85" s="44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38">
        <f>-C84*O85</f>
        <v>2100000</v>
      </c>
      <c r="O85" s="8">
        <v>1.5</v>
      </c>
      <c r="P85" s="1" t="s">
        <v>84</v>
      </c>
    </row>
    <row r="86" spans="1:16" x14ac:dyDescent="0.25">
      <c r="A86" s="36"/>
      <c r="B86" s="48" t="s">
        <v>100</v>
      </c>
      <c r="C86" s="44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38">
        <f>-P88*O41</f>
        <v>-242666.66666666672</v>
      </c>
      <c r="O86" s="8"/>
    </row>
    <row r="87" spans="1:16" x14ac:dyDescent="0.25">
      <c r="A87" s="36"/>
      <c r="B87" s="41" t="s">
        <v>87</v>
      </c>
      <c r="C87" s="44">
        <f>-D56</f>
        <v>-600000</v>
      </c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38"/>
      <c r="O87" s="8" t="s">
        <v>94</v>
      </c>
      <c r="P87" s="6">
        <f>N52-N53</f>
        <v>886666.66666666651</v>
      </c>
    </row>
    <row r="88" spans="1:16" x14ac:dyDescent="0.25">
      <c r="A88" s="36"/>
      <c r="B88" s="47" t="s">
        <v>88</v>
      </c>
      <c r="C88" s="41"/>
      <c r="D88" s="41"/>
      <c r="E88" s="41"/>
      <c r="F88" s="41"/>
      <c r="G88" s="37"/>
      <c r="H88" s="37"/>
      <c r="I88" s="37"/>
      <c r="J88" s="37"/>
      <c r="K88" s="37"/>
      <c r="L88" s="37"/>
      <c r="M88" s="37"/>
      <c r="N88" s="38">
        <f>-C87</f>
        <v>600000</v>
      </c>
      <c r="O88" s="8" t="s">
        <v>95</v>
      </c>
      <c r="P88" s="6">
        <f>N85-P87</f>
        <v>1213333.3333333335</v>
      </c>
    </row>
    <row r="89" spans="1:16" x14ac:dyDescent="0.25">
      <c r="A89" s="36"/>
      <c r="B89" s="49" t="s">
        <v>98</v>
      </c>
      <c r="C89" s="41"/>
      <c r="D89" s="41"/>
      <c r="E89" s="41"/>
      <c r="F89" s="41"/>
      <c r="G89" s="37"/>
      <c r="H89" s="37"/>
      <c r="I89" s="37"/>
      <c r="J89" s="37"/>
      <c r="K89" s="37"/>
      <c r="L89" s="37"/>
      <c r="M89" s="37"/>
      <c r="N89" s="38">
        <f>-N88*O41</f>
        <v>-120000</v>
      </c>
      <c r="O89" s="8"/>
      <c r="P89" s="6"/>
    </row>
    <row r="90" spans="1:16" x14ac:dyDescent="0.25">
      <c r="A90" s="36"/>
      <c r="B90" s="50" t="s">
        <v>89</v>
      </c>
      <c r="C90" s="44">
        <f>-D54</f>
        <v>-110000</v>
      </c>
      <c r="D90" s="41"/>
      <c r="E90" s="41"/>
      <c r="F90" s="41"/>
      <c r="G90" s="37"/>
      <c r="H90" s="37"/>
      <c r="I90" s="37"/>
      <c r="J90" s="37"/>
      <c r="K90" s="37"/>
      <c r="L90" s="37"/>
      <c r="M90" s="37"/>
      <c r="N90" s="42"/>
    </row>
    <row r="91" spans="1:16" x14ac:dyDescent="0.25">
      <c r="A91" s="36"/>
      <c r="B91" s="47" t="s">
        <v>90</v>
      </c>
      <c r="C91" s="41"/>
      <c r="D91" s="41"/>
      <c r="E91" s="41"/>
      <c r="F91" s="41"/>
      <c r="G91" s="37"/>
      <c r="H91" s="37"/>
      <c r="I91" s="37"/>
      <c r="J91" s="37"/>
      <c r="K91" s="37"/>
      <c r="L91" s="37"/>
      <c r="M91" s="37"/>
      <c r="N91" s="51">
        <v>0</v>
      </c>
    </row>
    <row r="92" spans="1:16" x14ac:dyDescent="0.25">
      <c r="A92" s="43" t="s">
        <v>33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2"/>
    </row>
    <row r="93" spans="1:16" x14ac:dyDescent="0.25">
      <c r="A93" s="52" t="s">
        <v>53</v>
      </c>
      <c r="B93" s="41" t="s">
        <v>14</v>
      </c>
      <c r="C93" s="41"/>
      <c r="D93" s="37">
        <f t="shared" ref="D93:M93" si="46">-(D49-C49)</f>
        <v>-4931.5068493150684</v>
      </c>
      <c r="E93" s="37">
        <f>-(E49-D49)</f>
        <v>-845.29109589041127</v>
      </c>
      <c r="F93" s="37">
        <f t="shared" si="46"/>
        <v>-966.76412671232811</v>
      </c>
      <c r="G93" s="37">
        <f t="shared" si="46"/>
        <v>-691.21511237157665</v>
      </c>
      <c r="H93" s="37">
        <f t="shared" si="46"/>
        <v>-853.14068189720729</v>
      </c>
      <c r="I93" s="37">
        <f t="shared" si="46"/>
        <v>-949.9228938936958</v>
      </c>
      <c r="J93" s="37">
        <f t="shared" si="46"/>
        <v>-1057.5821500602797</v>
      </c>
      <c r="K93" s="37">
        <f t="shared" si="46"/>
        <v>-1177.331426337043</v>
      </c>
      <c r="L93" s="37">
        <f t="shared" si="46"/>
        <v>-1310.5180817864748</v>
      </c>
      <c r="M93" s="37">
        <f t="shared" si="46"/>
        <v>-1458.6386633050788</v>
      </c>
      <c r="N93" s="38">
        <f>-(N49-M49)</f>
        <v>-1623.3553334382395</v>
      </c>
    </row>
    <row r="94" spans="1:16" x14ac:dyDescent="0.25">
      <c r="A94" s="52" t="s">
        <v>53</v>
      </c>
      <c r="B94" s="41" t="s">
        <v>15</v>
      </c>
      <c r="C94" s="41"/>
      <c r="D94" s="37">
        <f t="shared" ref="D94:N94" si="47">-(D50-C50)</f>
        <v>-8087.6712328767126</v>
      </c>
      <c r="E94" s="37">
        <f t="shared" si="47"/>
        <v>826.96438356164435</v>
      </c>
      <c r="F94" s="37">
        <f t="shared" si="47"/>
        <v>742.40727534246616</v>
      </c>
      <c r="G94" s="37">
        <f t="shared" si="47"/>
        <v>666.49613143869828</v>
      </c>
      <c r="H94" s="37">
        <f t="shared" si="47"/>
        <v>598.34690199909073</v>
      </c>
      <c r="I94" s="37">
        <f t="shared" si="47"/>
        <v>537.16593126968382</v>
      </c>
      <c r="J94" s="37">
        <f t="shared" si="47"/>
        <v>482.24071479735994</v>
      </c>
      <c r="K94" s="37">
        <f t="shared" si="47"/>
        <v>432.93160170932879</v>
      </c>
      <c r="L94" s="37">
        <f t="shared" si="47"/>
        <v>388.66434543454989</v>
      </c>
      <c r="M94" s="37">
        <f t="shared" si="47"/>
        <v>348.92341611386837</v>
      </c>
      <c r="N94" s="38">
        <f t="shared" si="47"/>
        <v>313.24599681622522</v>
      </c>
    </row>
    <row r="95" spans="1:16" x14ac:dyDescent="0.25">
      <c r="A95" s="52" t="s">
        <v>54</v>
      </c>
      <c r="B95" s="41" t="s">
        <v>19</v>
      </c>
      <c r="C95" s="41"/>
      <c r="D95" s="44">
        <f t="shared" ref="D95:N95" si="48">(D61-C61)</f>
        <v>5391.7808219178087</v>
      </c>
      <c r="E95" s="44">
        <f t="shared" si="48"/>
        <v>-296.54794520547966</v>
      </c>
      <c r="F95" s="44">
        <f t="shared" si="48"/>
        <v>-280.23780821917899</v>
      </c>
      <c r="G95" s="44">
        <f t="shared" si="48"/>
        <v>-264.82472876712291</v>
      </c>
      <c r="H95" s="44">
        <f t="shared" si="48"/>
        <v>-35.26382013287548</v>
      </c>
      <c r="I95" s="44">
        <f t="shared" si="48"/>
        <v>-45.149065195931144</v>
      </c>
      <c r="J95" s="44">
        <f t="shared" si="48"/>
        <v>-53.840260246148318</v>
      </c>
      <c r="K95" s="44">
        <f t="shared" si="48"/>
        <v>-61.438847918622741</v>
      </c>
      <c r="L95" s="44">
        <f t="shared" si="48"/>
        <v>-68.038724159880985</v>
      </c>
      <c r="M95" s="44">
        <f t="shared" si="48"/>
        <v>-73.726761499649001</v>
      </c>
      <c r="N95" s="45">
        <f t="shared" si="48"/>
        <v>-78.583297591456358</v>
      </c>
    </row>
    <row r="96" spans="1:16" x14ac:dyDescent="0.25">
      <c r="A96" s="52" t="s">
        <v>54</v>
      </c>
      <c r="B96" s="41" t="s">
        <v>55</v>
      </c>
      <c r="C96" s="41"/>
      <c r="D96" s="44">
        <f t="shared" ref="D96:M96" si="49">(D79-C79)</f>
        <v>5958.6666666666688</v>
      </c>
      <c r="E96" s="44">
        <f t="shared" si="49"/>
        <v>5325.3</v>
      </c>
      <c r="F96" s="44">
        <f t="shared" si="49"/>
        <v>6517.6287750000065</v>
      </c>
      <c r="G96" s="44">
        <f t="shared" si="49"/>
        <v>7157.0651331374866</v>
      </c>
      <c r="H96" s="44">
        <f t="shared" si="49"/>
        <v>9151.6828973286974</v>
      </c>
      <c r="I96" s="44">
        <f t="shared" si="49"/>
        <v>6915.1672170561651</v>
      </c>
      <c r="J96" s="44">
        <f t="shared" si="49"/>
        <v>2599.2073274030627</v>
      </c>
      <c r="K96" s="44">
        <f t="shared" si="49"/>
        <v>2685.110041139269</v>
      </c>
      <c r="L96" s="44">
        <f t="shared" si="49"/>
        <v>2772.5696249949979</v>
      </c>
      <c r="M96" s="44">
        <f t="shared" si="49"/>
        <v>2861.2302968842705</v>
      </c>
      <c r="N96" s="45">
        <f>(N79-M79)</f>
        <v>2950.679692280959</v>
      </c>
    </row>
    <row r="97" spans="1:15" x14ac:dyDescent="0.25">
      <c r="A97" s="36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2"/>
    </row>
    <row r="98" spans="1:15" x14ac:dyDescent="0.25">
      <c r="A98" s="43" t="s">
        <v>34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2"/>
    </row>
    <row r="99" spans="1:15" x14ac:dyDescent="0.25">
      <c r="A99" s="52" t="s">
        <v>54</v>
      </c>
      <c r="B99" s="41" t="s">
        <v>14</v>
      </c>
      <c r="C99" s="41"/>
      <c r="D99" s="41"/>
      <c r="E99" s="41"/>
      <c r="F99" s="41"/>
      <c r="G99" s="44"/>
      <c r="H99" s="44"/>
      <c r="I99" s="44"/>
      <c r="J99" s="44"/>
      <c r="K99" s="44"/>
      <c r="L99" s="44"/>
      <c r="M99" s="44"/>
      <c r="N99" s="45">
        <f>N49</f>
        <v>15865.266415007403</v>
      </c>
    </row>
    <row r="100" spans="1:15" x14ac:dyDescent="0.25">
      <c r="A100" s="52" t="s">
        <v>54</v>
      </c>
      <c r="B100" s="41" t="s">
        <v>15</v>
      </c>
      <c r="C100" s="41"/>
      <c r="D100" s="41"/>
      <c r="E100" s="41"/>
      <c r="F100" s="41"/>
      <c r="G100" s="44"/>
      <c r="H100" s="44"/>
      <c r="I100" s="44"/>
      <c r="J100" s="44"/>
      <c r="K100" s="44"/>
      <c r="L100" s="44"/>
      <c r="M100" s="44"/>
      <c r="N100" s="45">
        <f>N50</f>
        <v>2750.284534393797</v>
      </c>
    </row>
    <row r="101" spans="1:15" x14ac:dyDescent="0.25">
      <c r="A101" s="52" t="s">
        <v>53</v>
      </c>
      <c r="B101" s="41" t="s">
        <v>19</v>
      </c>
      <c r="C101" s="41"/>
      <c r="D101" s="41"/>
      <c r="E101" s="41"/>
      <c r="F101" s="41"/>
      <c r="G101" s="44"/>
      <c r="H101" s="44"/>
      <c r="I101" s="44"/>
      <c r="J101" s="44"/>
      <c r="K101" s="44"/>
      <c r="L101" s="44"/>
      <c r="M101" s="44"/>
      <c r="N101" s="45">
        <f>-N61</f>
        <v>-4134.1295629814631</v>
      </c>
    </row>
    <row r="102" spans="1:15" x14ac:dyDescent="0.25">
      <c r="A102" s="52" t="s">
        <v>53</v>
      </c>
      <c r="B102" s="41" t="s">
        <v>55</v>
      </c>
      <c r="C102" s="41"/>
      <c r="D102" s="41"/>
      <c r="E102" s="41"/>
      <c r="F102" s="41"/>
      <c r="G102" s="44"/>
      <c r="H102" s="44"/>
      <c r="I102" s="44"/>
      <c r="J102" s="44"/>
      <c r="K102" s="44"/>
      <c r="L102" s="44"/>
      <c r="M102" s="44"/>
      <c r="N102" s="45">
        <f>-N79</f>
        <v>-54894.307671891584</v>
      </c>
    </row>
    <row r="103" spans="1:15" x14ac:dyDescent="0.25">
      <c r="A103" s="36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2"/>
    </row>
    <row r="104" spans="1:15" x14ac:dyDescent="0.25">
      <c r="A104" s="43" t="s">
        <v>35</v>
      </c>
      <c r="B104" s="41"/>
      <c r="C104" s="37">
        <f t="shared" ref="C104:N104" si="50">SUM(C81:C102)</f>
        <v>-2110000</v>
      </c>
      <c r="D104" s="37">
        <f t="shared" si="50"/>
        <v>90832.602739726033</v>
      </c>
      <c r="E104" s="37">
        <f t="shared" si="50"/>
        <v>118812.95867579908</v>
      </c>
      <c r="F104" s="37">
        <f t="shared" si="50"/>
        <v>145886.08254874431</v>
      </c>
      <c r="G104" s="37">
        <f t="shared" si="50"/>
        <v>175368.83038932076</v>
      </c>
      <c r="H104" s="37">
        <f t="shared" si="50"/>
        <v>213969.66585249579</v>
      </c>
      <c r="I104" s="37">
        <f t="shared" si="50"/>
        <v>217225.97061265894</v>
      </c>
      <c r="J104" s="37">
        <f t="shared" si="50"/>
        <v>223135.56436492899</v>
      </c>
      <c r="K104" s="37">
        <f t="shared" si="50"/>
        <v>233785.25026618503</v>
      </c>
      <c r="L104" s="37">
        <f t="shared" si="50"/>
        <v>244778.93456205525</v>
      </c>
      <c r="M104" s="37">
        <f t="shared" si="50"/>
        <v>256118.96687330253</v>
      </c>
      <c r="N104" s="38">
        <f t="shared" si="50"/>
        <v>2564726.3314601621</v>
      </c>
      <c r="O104" s="12"/>
    </row>
    <row r="105" spans="1:15" x14ac:dyDescent="0.25">
      <c r="A105" s="43" t="s">
        <v>36</v>
      </c>
      <c r="B105" s="41"/>
      <c r="C105" s="37">
        <f t="shared" ref="C105:N105" si="51">-PV($C$107,C106,,C104)</f>
        <v>-2110000</v>
      </c>
      <c r="D105" s="37">
        <f t="shared" si="51"/>
        <v>83699.74170629603</v>
      </c>
      <c r="E105" s="37">
        <f t="shared" si="51"/>
        <v>100885.44845737852</v>
      </c>
      <c r="F105" s="37">
        <f t="shared" si="51"/>
        <v>114146.0636941898</v>
      </c>
      <c r="G105" s="37">
        <f t="shared" si="51"/>
        <v>126439.22978279435</v>
      </c>
      <c r="H105" s="37">
        <f t="shared" si="51"/>
        <v>142155.61011650911</v>
      </c>
      <c r="I105" s="37">
        <f t="shared" si="51"/>
        <v>132985.99304109695</v>
      </c>
      <c r="J105" s="37">
        <f t="shared" si="51"/>
        <v>125876.68840864094</v>
      </c>
      <c r="K105" s="37">
        <f t="shared" si="51"/>
        <v>121527.89623492779</v>
      </c>
      <c r="L105" s="37">
        <f t="shared" si="51"/>
        <v>117250.65335971497</v>
      </c>
      <c r="M105" s="37">
        <f t="shared" si="51"/>
        <v>113048.63729190402</v>
      </c>
      <c r="N105" s="38">
        <f t="shared" si="51"/>
        <v>1043150.5226830263</v>
      </c>
    </row>
    <row r="106" spans="1:15" x14ac:dyDescent="0.25">
      <c r="A106" s="36"/>
      <c r="B106" s="41"/>
      <c r="C106" s="41">
        <v>0</v>
      </c>
      <c r="D106" s="41">
        <v>1</v>
      </c>
      <c r="E106" s="41">
        <v>2</v>
      </c>
      <c r="F106" s="41">
        <v>3</v>
      </c>
      <c r="G106" s="41">
        <v>4</v>
      </c>
      <c r="H106" s="41">
        <v>5</v>
      </c>
      <c r="I106" s="41">
        <v>6</v>
      </c>
      <c r="J106" s="41">
        <v>7</v>
      </c>
      <c r="K106" s="41">
        <v>8</v>
      </c>
      <c r="L106" s="41">
        <v>9</v>
      </c>
      <c r="M106" s="41">
        <v>10</v>
      </c>
      <c r="N106" s="42">
        <v>11</v>
      </c>
    </row>
    <row r="107" spans="1:15" x14ac:dyDescent="0.25">
      <c r="A107" s="36" t="s">
        <v>56</v>
      </c>
      <c r="B107" s="41"/>
      <c r="C107" s="60">
        <f>T71</f>
        <v>8.5219630168744731E-2</v>
      </c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2"/>
    </row>
    <row r="108" spans="1:15" x14ac:dyDescent="0.25">
      <c r="A108" s="43" t="s">
        <v>37</v>
      </c>
      <c r="B108" s="41"/>
      <c r="C108" s="11">
        <f>SUM(C105:N105)</f>
        <v>111166.48477647849</v>
      </c>
      <c r="D108" s="53"/>
      <c r="E108" s="41"/>
      <c r="F108" s="41"/>
      <c r="G108" s="41"/>
      <c r="H108" s="41"/>
      <c r="I108" s="41"/>
      <c r="J108" s="41"/>
      <c r="K108" s="41"/>
      <c r="L108" s="41"/>
      <c r="M108" s="41"/>
      <c r="N108" s="42"/>
    </row>
    <row r="109" spans="1:15" x14ac:dyDescent="0.25">
      <c r="A109" s="43" t="s">
        <v>38</v>
      </c>
      <c r="B109" s="41"/>
      <c r="C109" s="85">
        <f>IRR(C104:N104)</f>
        <v>9.2087120935055777E-2</v>
      </c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2"/>
    </row>
    <row r="110" spans="1:15" x14ac:dyDescent="0.25">
      <c r="A110" s="68"/>
      <c r="B110" s="68"/>
      <c r="C110" s="68"/>
      <c r="D110" s="68"/>
      <c r="E110" s="68"/>
      <c r="F110" s="68"/>
      <c r="G110" s="68"/>
      <c r="H110" s="68"/>
      <c r="I110" s="56"/>
      <c r="J110" s="56"/>
      <c r="K110" s="56"/>
      <c r="L110" s="56"/>
      <c r="M110" s="56"/>
      <c r="N110" s="56"/>
    </row>
    <row r="111" spans="1:15" x14ac:dyDescent="0.25">
      <c r="A111" s="74"/>
      <c r="B111" s="68"/>
      <c r="C111" s="68"/>
      <c r="D111" s="68"/>
      <c r="E111" s="69"/>
      <c r="F111" s="69"/>
      <c r="G111" s="69"/>
      <c r="H111" s="69"/>
    </row>
    <row r="112" spans="1:15" x14ac:dyDescent="0.25">
      <c r="A112" s="43" t="s">
        <v>35</v>
      </c>
      <c r="B112" s="41"/>
      <c r="C112" s="37">
        <v>-2110000</v>
      </c>
      <c r="D112" s="37">
        <f>D104</f>
        <v>90832.602739726033</v>
      </c>
      <c r="E112" s="37">
        <f t="shared" ref="E112:N112" si="52">E104</f>
        <v>118812.95867579908</v>
      </c>
      <c r="F112" s="37">
        <f t="shared" si="52"/>
        <v>145886.08254874431</v>
      </c>
      <c r="G112" s="37">
        <f t="shared" si="52"/>
        <v>175368.83038932076</v>
      </c>
      <c r="H112" s="37">
        <f t="shared" si="52"/>
        <v>213969.66585249579</v>
      </c>
      <c r="I112" s="37">
        <f t="shared" si="52"/>
        <v>217225.97061265894</v>
      </c>
      <c r="J112" s="37">
        <f t="shared" si="52"/>
        <v>223135.56436492899</v>
      </c>
      <c r="K112" s="37">
        <f t="shared" si="52"/>
        <v>233785.25026618503</v>
      </c>
      <c r="L112" s="37">
        <f t="shared" si="52"/>
        <v>244778.93456205525</v>
      </c>
      <c r="M112" s="37">
        <f t="shared" si="52"/>
        <v>256118.96687330253</v>
      </c>
      <c r="N112" s="37">
        <f t="shared" si="52"/>
        <v>2564726.3314601621</v>
      </c>
    </row>
    <row r="113" spans="1:14" x14ac:dyDescent="0.25">
      <c r="A113" s="68"/>
      <c r="B113" s="41" t="s">
        <v>38</v>
      </c>
      <c r="C113" s="85">
        <f>IRR(C112:N112)</f>
        <v>9.2087120935055777E-2</v>
      </c>
      <c r="D113" s="79"/>
      <c r="E113" s="70"/>
      <c r="F113" s="70"/>
      <c r="G113" s="70"/>
      <c r="H113" s="68"/>
    </row>
    <row r="114" spans="1:14" x14ac:dyDescent="0.25">
      <c r="A114" s="68"/>
      <c r="B114" s="68"/>
      <c r="C114" s="68"/>
      <c r="D114" s="79"/>
      <c r="E114" s="70"/>
      <c r="F114" s="70"/>
      <c r="G114" s="70"/>
      <c r="H114" s="68"/>
    </row>
    <row r="115" spans="1:14" x14ac:dyDescent="0.25">
      <c r="A115" s="68"/>
      <c r="B115" s="68"/>
      <c r="C115" s="72"/>
      <c r="D115" s="86"/>
      <c r="E115" s="70"/>
      <c r="F115" s="70"/>
      <c r="G115" s="70"/>
      <c r="H115" s="68"/>
    </row>
    <row r="116" spans="1:14" x14ac:dyDescent="0.25">
      <c r="A116" s="68"/>
      <c r="B116" s="68"/>
      <c r="C116" s="73"/>
      <c r="D116" s="79"/>
      <c r="E116" s="70"/>
      <c r="F116" s="70"/>
      <c r="G116" s="70"/>
      <c r="H116" s="68"/>
    </row>
    <row r="117" spans="1:14" x14ac:dyDescent="0.25">
      <c r="A117" s="68"/>
      <c r="B117" s="68"/>
      <c r="C117" s="71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1:14" x14ac:dyDescent="0.25">
      <c r="A118" s="68"/>
      <c r="B118" s="68"/>
      <c r="C118" s="68"/>
      <c r="D118" s="80"/>
      <c r="E118" s="68"/>
      <c r="F118" s="68"/>
      <c r="G118" s="68"/>
      <c r="H118" s="68"/>
    </row>
    <row r="119" spans="1:14" x14ac:dyDescent="0.25">
      <c r="A119" s="68"/>
      <c r="B119" s="68"/>
      <c r="C119" s="72"/>
      <c r="D119" s="80"/>
      <c r="E119" s="68"/>
      <c r="F119" s="68"/>
      <c r="G119" s="68"/>
      <c r="H119" s="68"/>
    </row>
    <row r="120" spans="1:14" x14ac:dyDescent="0.25">
      <c r="A120" s="68"/>
      <c r="B120" s="68"/>
      <c r="C120" s="68"/>
      <c r="D120" s="68"/>
      <c r="E120" s="68"/>
      <c r="F120" s="74"/>
      <c r="G120" s="75"/>
      <c r="H120" s="68"/>
    </row>
    <row r="121" spans="1:14" x14ac:dyDescent="0.25">
      <c r="A121" s="74"/>
      <c r="B121" s="68"/>
      <c r="C121" s="68"/>
      <c r="D121" s="68"/>
      <c r="E121" s="68"/>
      <c r="F121" s="68"/>
      <c r="G121" s="68"/>
      <c r="H121" s="68"/>
    </row>
    <row r="122" spans="1:14" x14ac:dyDescent="0.25">
      <c r="A122" s="74"/>
      <c r="B122" s="68"/>
      <c r="C122" s="81"/>
      <c r="D122" s="68"/>
      <c r="E122" s="68"/>
      <c r="F122" s="68"/>
      <c r="G122" s="68"/>
      <c r="H122" s="68"/>
    </row>
    <row r="123" spans="1:14" x14ac:dyDescent="0.25">
      <c r="A123" s="68"/>
      <c r="B123" s="68"/>
      <c r="C123" s="82"/>
      <c r="D123" s="68"/>
      <c r="E123" s="68"/>
      <c r="F123" s="68"/>
      <c r="G123" s="68"/>
      <c r="H123" s="68"/>
    </row>
    <row r="124" spans="1:14" x14ac:dyDescent="0.25">
      <c r="A124" s="68"/>
      <c r="B124" s="68"/>
      <c r="C124" s="83"/>
      <c r="D124" s="68"/>
      <c r="E124" s="68"/>
      <c r="F124" s="68"/>
      <c r="G124" s="68"/>
      <c r="H124" s="68"/>
    </row>
    <row r="125" spans="1:14" x14ac:dyDescent="0.25">
      <c r="A125" s="68"/>
      <c r="B125" s="68"/>
      <c r="C125" s="83"/>
      <c r="D125" s="76"/>
      <c r="E125" s="68"/>
      <c r="F125" s="68"/>
      <c r="G125" s="68"/>
      <c r="H125" s="68"/>
    </row>
    <row r="126" spans="1:14" x14ac:dyDescent="0.25">
      <c r="A126" s="68"/>
      <c r="B126" s="68"/>
      <c r="C126" s="68"/>
      <c r="D126" s="77"/>
      <c r="E126" s="77"/>
      <c r="F126" s="77"/>
      <c r="G126" s="77"/>
      <c r="H126" s="77"/>
    </row>
    <row r="127" spans="1:14" x14ac:dyDescent="0.25">
      <c r="A127" s="68"/>
      <c r="B127" s="68"/>
      <c r="C127" s="76"/>
      <c r="D127" s="77"/>
      <c r="E127" s="77"/>
      <c r="F127" s="77"/>
      <c r="G127" s="77"/>
      <c r="H127" s="77"/>
    </row>
    <row r="128" spans="1:14" x14ac:dyDescent="0.25">
      <c r="A128" s="68"/>
      <c r="B128" s="68"/>
      <c r="C128" s="68"/>
      <c r="D128" s="78"/>
      <c r="E128" s="78"/>
      <c r="F128" s="78"/>
      <c r="G128" s="78"/>
      <c r="H128" s="78"/>
    </row>
    <row r="129" spans="1:8" x14ac:dyDescent="0.25">
      <c r="A129" s="68"/>
      <c r="B129" s="68"/>
      <c r="C129" s="68"/>
      <c r="D129" s="68"/>
      <c r="E129" s="68"/>
      <c r="F129" s="68"/>
      <c r="G129" s="68"/>
      <c r="H129" s="68"/>
    </row>
    <row r="130" spans="1:8" x14ac:dyDescent="0.25">
      <c r="A130" s="68"/>
      <c r="B130" s="68"/>
      <c r="C130" s="68"/>
      <c r="D130" s="79"/>
      <c r="E130" s="79"/>
      <c r="F130" s="79"/>
      <c r="G130" s="79"/>
      <c r="H130" s="79"/>
    </row>
    <row r="131" spans="1:8" x14ac:dyDescent="0.25">
      <c r="A131" s="68"/>
      <c r="B131" s="68"/>
      <c r="C131" s="80"/>
      <c r="D131" s="68"/>
      <c r="E131" s="68"/>
      <c r="F131" s="68"/>
      <c r="G131" s="68"/>
      <c r="H131" s="68"/>
    </row>
    <row r="132" spans="1:8" x14ac:dyDescent="0.25">
      <c r="A132" s="68"/>
      <c r="B132" s="68"/>
      <c r="C132" s="68"/>
      <c r="D132" s="68"/>
      <c r="E132" s="68"/>
      <c r="F132" s="68"/>
      <c r="G132" s="68"/>
      <c r="H132" s="68"/>
    </row>
    <row r="133" spans="1:8" x14ac:dyDescent="0.25">
      <c r="A133" s="56"/>
      <c r="B133" s="56"/>
      <c r="C133" s="56"/>
      <c r="D133" s="24"/>
      <c r="E133" s="24"/>
      <c r="F133" s="24"/>
      <c r="G133" s="24"/>
      <c r="H133" s="24"/>
    </row>
    <row r="134" spans="1:8" x14ac:dyDescent="0.25">
      <c r="A134" s="56"/>
      <c r="B134" s="56"/>
      <c r="C134" s="56"/>
      <c r="D134" s="24"/>
      <c r="E134" s="24"/>
      <c r="F134" s="24"/>
      <c r="G134" s="24"/>
      <c r="H134" s="24"/>
    </row>
    <row r="135" spans="1:8" x14ac:dyDescent="0.25">
      <c r="A135" s="56"/>
      <c r="B135" s="56"/>
      <c r="C135" s="56"/>
      <c r="D135" s="56"/>
      <c r="E135" s="56"/>
      <c r="F135" s="56"/>
      <c r="G135" s="56"/>
      <c r="H135" s="56"/>
    </row>
    <row r="136" spans="1:8" x14ac:dyDescent="0.25">
      <c r="A136" s="56"/>
      <c r="B136" s="56"/>
      <c r="C136" s="56"/>
      <c r="D136" s="24"/>
      <c r="E136" s="24"/>
      <c r="F136" s="24"/>
      <c r="G136" s="24"/>
      <c r="H136" s="24"/>
    </row>
    <row r="137" spans="1:8" x14ac:dyDescent="0.25">
      <c r="A137" s="56"/>
      <c r="B137" s="56"/>
      <c r="C137" s="56"/>
      <c r="D137" s="24"/>
      <c r="E137" s="24"/>
      <c r="F137" s="24"/>
      <c r="G137" s="24"/>
      <c r="H137" s="24"/>
    </row>
    <row r="138" spans="1:8" x14ac:dyDescent="0.25">
      <c r="A138" s="56"/>
      <c r="B138" s="56"/>
      <c r="C138" s="56"/>
      <c r="D138" s="58"/>
      <c r="E138" s="58"/>
      <c r="F138" s="58"/>
      <c r="G138" s="58"/>
      <c r="H138" s="58"/>
    </row>
    <row r="139" spans="1:8" x14ac:dyDescent="0.25">
      <c r="A139" s="56"/>
      <c r="B139" s="56"/>
      <c r="C139" s="56"/>
      <c r="D139" s="24"/>
      <c r="E139" s="24"/>
      <c r="F139" s="24"/>
      <c r="G139" s="24"/>
      <c r="H139" s="24"/>
    </row>
    <row r="140" spans="1:8" x14ac:dyDescent="0.25">
      <c r="A140" s="56"/>
      <c r="B140" s="56"/>
      <c r="C140" s="56"/>
      <c r="D140" s="56"/>
      <c r="E140" s="56"/>
      <c r="F140" s="56"/>
      <c r="G140" s="56"/>
      <c r="H140" s="56"/>
    </row>
    <row r="141" spans="1:8" x14ac:dyDescent="0.25">
      <c r="A141" s="56"/>
      <c r="B141" s="56"/>
      <c r="C141" s="56"/>
      <c r="D141" s="24"/>
      <c r="E141" s="24"/>
      <c r="F141" s="24"/>
      <c r="G141" s="24"/>
      <c r="H141" s="24"/>
    </row>
    <row r="142" spans="1:8" x14ac:dyDescent="0.25">
      <c r="A142" s="56"/>
      <c r="B142" s="56"/>
      <c r="C142" s="56"/>
      <c r="D142" s="24"/>
      <c r="E142" s="24"/>
      <c r="F142" s="24"/>
      <c r="G142" s="24"/>
      <c r="H142" s="24"/>
    </row>
    <row r="143" spans="1:8" x14ac:dyDescent="0.25">
      <c r="A143" s="56"/>
      <c r="B143" s="56"/>
      <c r="C143" s="56"/>
      <c r="D143" s="56"/>
      <c r="E143" s="56"/>
      <c r="F143" s="56"/>
      <c r="G143" s="56"/>
      <c r="H143" s="56"/>
    </row>
    <row r="144" spans="1:8" x14ac:dyDescent="0.25">
      <c r="A144" s="56"/>
      <c r="B144" s="56"/>
      <c r="C144" s="56"/>
      <c r="D144" s="24"/>
      <c r="E144" s="24"/>
      <c r="F144" s="24"/>
      <c r="G144" s="24"/>
      <c r="H144" s="24"/>
    </row>
    <row r="145" spans="1:8" x14ac:dyDescent="0.25">
      <c r="A145" s="56"/>
      <c r="B145" s="56"/>
      <c r="C145" s="56"/>
      <c r="D145" s="24"/>
      <c r="E145" s="24"/>
      <c r="F145" s="24"/>
      <c r="G145" s="24"/>
      <c r="H145" s="24"/>
    </row>
    <row r="146" spans="1:8" x14ac:dyDescent="0.25">
      <c r="A146" s="56"/>
      <c r="B146" s="56"/>
      <c r="C146" s="56"/>
      <c r="D146" s="58"/>
      <c r="E146" s="58"/>
      <c r="F146" s="58"/>
      <c r="G146" s="58"/>
      <c r="H146" s="58"/>
    </row>
    <row r="147" spans="1:8" x14ac:dyDescent="0.25">
      <c r="A147" s="56"/>
      <c r="B147" s="56"/>
      <c r="C147" s="56"/>
      <c r="D147" s="56"/>
      <c r="E147" s="56"/>
      <c r="F147" s="56"/>
      <c r="G147" s="56"/>
      <c r="H147" s="56"/>
    </row>
    <row r="148" spans="1:8" x14ac:dyDescent="0.25">
      <c r="A148" s="56"/>
      <c r="B148" s="56"/>
      <c r="C148" s="56"/>
      <c r="D148" s="24"/>
      <c r="E148" s="24"/>
      <c r="F148" s="24"/>
      <c r="G148" s="24"/>
      <c r="H148" s="24"/>
    </row>
    <row r="149" spans="1:8" x14ac:dyDescent="0.25">
      <c r="A149" s="56"/>
      <c r="B149" s="56"/>
      <c r="C149" s="56"/>
      <c r="D149" s="56"/>
      <c r="E149" s="56"/>
      <c r="F149" s="56"/>
      <c r="G149" s="56"/>
      <c r="H149" s="56"/>
    </row>
    <row r="150" spans="1:8" x14ac:dyDescent="0.25">
      <c r="A150" s="56"/>
      <c r="B150" s="56"/>
      <c r="C150" s="56"/>
      <c r="D150" s="56"/>
      <c r="E150" s="56"/>
      <c r="F150" s="56"/>
      <c r="G150" s="56"/>
      <c r="H150" s="56"/>
    </row>
    <row r="151" spans="1:8" x14ac:dyDescent="0.25">
      <c r="A151" s="56"/>
      <c r="B151" s="59"/>
      <c r="C151" s="56"/>
      <c r="D151" s="58"/>
      <c r="E151" s="58"/>
      <c r="F151" s="58"/>
      <c r="G151" s="58"/>
      <c r="H151" s="58"/>
    </row>
    <row r="152" spans="1:8" x14ac:dyDescent="0.25">
      <c r="A152" s="56"/>
      <c r="B152" s="56"/>
      <c r="C152" s="56"/>
      <c r="D152" s="56"/>
      <c r="E152" s="56"/>
      <c r="F152" s="56"/>
      <c r="G152" s="56"/>
      <c r="H152" s="56"/>
    </row>
    <row r="153" spans="1:8" x14ac:dyDescent="0.25">
      <c r="A153" s="56"/>
      <c r="B153" s="56"/>
      <c r="C153" s="56"/>
      <c r="D153" s="56"/>
      <c r="E153" s="56"/>
      <c r="F153" s="56"/>
      <c r="G153" s="56"/>
      <c r="H153" s="56"/>
    </row>
  </sheetData>
  <sheetProtection selectLockedCells="1" selectUnlockedCells="1"/>
  <phoneticPr fontId="11" type="noConversion"/>
  <pageMargins left="0.7" right="0.7" top="0.75" bottom="0.75" header="0.51180555555555551" footer="0.51180555555555551"/>
  <pageSetup scale="26" firstPageNumber="0" fitToHeight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53"/>
  <sheetViews>
    <sheetView topLeftCell="A88" workbookViewId="0">
      <pane xSplit="2" topLeftCell="C1" activePane="topRight" state="frozen"/>
      <selection activeCell="A26" sqref="A26"/>
      <selection pane="topRight" activeCell="K119" sqref="K119"/>
    </sheetView>
  </sheetViews>
  <sheetFormatPr defaultColWidth="9.42578125" defaultRowHeight="15" x14ac:dyDescent="0.25"/>
  <cols>
    <col min="1" max="1" width="3.28515625" style="1" customWidth="1"/>
    <col min="2" max="2" width="39.42578125" style="1" customWidth="1"/>
    <col min="3" max="3" width="17.42578125" style="1" customWidth="1"/>
    <col min="4" max="4" width="18.7109375" style="1" customWidth="1"/>
    <col min="5" max="5" width="14.28515625" style="1" customWidth="1"/>
    <col min="6" max="6" width="15" style="1" customWidth="1"/>
    <col min="7" max="14" width="14.28515625" style="1" customWidth="1"/>
    <col min="15" max="15" width="12.28515625" style="1" customWidth="1"/>
    <col min="16" max="16" width="22.85546875" style="1" bestFit="1" customWidth="1"/>
    <col min="17" max="19" width="9.42578125" style="1"/>
    <col min="20" max="20" width="18.85546875" style="1" bestFit="1" customWidth="1"/>
    <col min="21" max="16384" width="9.42578125" style="1"/>
  </cols>
  <sheetData>
    <row r="1" spans="1:18" ht="15.75" thickBot="1" x14ac:dyDescent="0.3">
      <c r="A1" s="26"/>
      <c r="B1" s="26"/>
      <c r="C1" s="26"/>
      <c r="D1" s="26">
        <v>2014</v>
      </c>
      <c r="E1" s="26">
        <v>2015</v>
      </c>
      <c r="F1" s="26">
        <v>2016</v>
      </c>
      <c r="G1" s="26">
        <v>2017</v>
      </c>
      <c r="H1" s="26">
        <v>2018</v>
      </c>
      <c r="I1" s="26">
        <v>2019</v>
      </c>
      <c r="J1" s="26">
        <v>2020</v>
      </c>
      <c r="K1" s="26"/>
      <c r="L1" s="26"/>
      <c r="M1" s="26"/>
      <c r="N1" s="26"/>
      <c r="O1" s="2"/>
      <c r="P1" s="2"/>
      <c r="Q1" s="2"/>
      <c r="R1" s="2"/>
    </row>
    <row r="2" spans="1:18" x14ac:dyDescent="0.25">
      <c r="A2" s="194" t="s">
        <v>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  <c r="O2" s="2"/>
      <c r="P2" s="2"/>
      <c r="Q2" s="26"/>
      <c r="R2" s="2"/>
    </row>
    <row r="3" spans="1:18" x14ac:dyDescent="0.25">
      <c r="A3" s="195" t="s">
        <v>133</v>
      </c>
      <c r="B3" s="90"/>
      <c r="C3" s="90"/>
      <c r="D3" s="119">
        <v>365</v>
      </c>
      <c r="E3" s="119">
        <f t="shared" ref="E3:J3" si="0">D3*$K$3</f>
        <v>346.75</v>
      </c>
      <c r="F3" s="119">
        <f t="shared" si="0"/>
        <v>329.41249999999997</v>
      </c>
      <c r="G3" s="119">
        <f t="shared" si="0"/>
        <v>312.94187499999992</v>
      </c>
      <c r="H3" s="119">
        <f t="shared" si="0"/>
        <v>297.29478124999991</v>
      </c>
      <c r="I3" s="119">
        <f t="shared" si="0"/>
        <v>282.43004218749991</v>
      </c>
      <c r="J3" s="119">
        <f t="shared" si="0"/>
        <v>268.30854007812491</v>
      </c>
      <c r="K3" s="23">
        <v>0.95</v>
      </c>
      <c r="L3" s="2"/>
      <c r="M3" s="119"/>
      <c r="N3" s="120"/>
      <c r="Q3" s="26"/>
      <c r="R3" s="2"/>
    </row>
    <row r="4" spans="1:18" x14ac:dyDescent="0.25">
      <c r="A4" s="195" t="s">
        <v>81</v>
      </c>
      <c r="B4" s="90"/>
      <c r="C4" s="90"/>
      <c r="D4" s="121">
        <v>80</v>
      </c>
      <c r="E4" s="121">
        <v>85</v>
      </c>
      <c r="F4" s="121">
        <v>90</v>
      </c>
      <c r="G4" s="121">
        <v>90</v>
      </c>
      <c r="H4" s="121">
        <v>91</v>
      </c>
      <c r="I4" s="121">
        <v>92</v>
      </c>
      <c r="J4" s="121">
        <v>93</v>
      </c>
      <c r="K4" s="2"/>
      <c r="L4" s="2"/>
      <c r="M4" s="121"/>
      <c r="N4" s="122"/>
      <c r="Q4" s="26"/>
      <c r="R4" s="2"/>
    </row>
    <row r="5" spans="1:18" x14ac:dyDescent="0.25">
      <c r="A5" s="195" t="s">
        <v>82</v>
      </c>
      <c r="B5" s="90"/>
      <c r="C5" s="90"/>
      <c r="D5" s="123">
        <v>900</v>
      </c>
      <c r="E5" s="123">
        <f t="shared" ref="E5:J5" si="1">D5*(1+$K$5)</f>
        <v>945</v>
      </c>
      <c r="F5" s="123">
        <f t="shared" si="1"/>
        <v>992.25</v>
      </c>
      <c r="G5" s="123">
        <f t="shared" si="1"/>
        <v>1041.8625</v>
      </c>
      <c r="H5" s="123">
        <f t="shared" si="1"/>
        <v>1093.9556250000001</v>
      </c>
      <c r="I5" s="123">
        <f t="shared" si="1"/>
        <v>1148.6534062500002</v>
      </c>
      <c r="J5" s="123">
        <f t="shared" si="1"/>
        <v>1206.0860765625002</v>
      </c>
      <c r="K5" s="3">
        <v>0.05</v>
      </c>
      <c r="L5" s="2" t="s">
        <v>40</v>
      </c>
      <c r="M5" s="123"/>
      <c r="N5" s="124"/>
      <c r="Q5" s="26"/>
      <c r="R5" s="2"/>
    </row>
    <row r="6" spans="1:18" x14ac:dyDescent="0.25">
      <c r="A6" s="195" t="s">
        <v>103</v>
      </c>
      <c r="B6" s="88"/>
      <c r="C6" s="88"/>
      <c r="D6" s="119">
        <v>600</v>
      </c>
      <c r="E6" s="119">
        <f t="shared" ref="E6:J6" si="2">D6*$K$6</f>
        <v>540</v>
      </c>
      <c r="F6" s="119">
        <f t="shared" si="2"/>
        <v>486</v>
      </c>
      <c r="G6" s="119">
        <f t="shared" si="2"/>
        <v>437.40000000000003</v>
      </c>
      <c r="H6" s="119">
        <f t="shared" si="2"/>
        <v>393.66</v>
      </c>
      <c r="I6" s="119">
        <f t="shared" si="2"/>
        <v>354.29400000000004</v>
      </c>
      <c r="J6" s="119">
        <f t="shared" si="2"/>
        <v>318.86460000000005</v>
      </c>
      <c r="K6" s="23">
        <v>0.9</v>
      </c>
      <c r="L6" s="2" t="s">
        <v>105</v>
      </c>
      <c r="M6" s="119"/>
      <c r="N6" s="120"/>
      <c r="Q6" s="2"/>
      <c r="R6" s="2"/>
    </row>
    <row r="7" spans="1:18" x14ac:dyDescent="0.25">
      <c r="A7" s="195" t="s">
        <v>102</v>
      </c>
      <c r="B7" s="88"/>
      <c r="C7" s="88"/>
      <c r="D7" s="119">
        <v>600</v>
      </c>
      <c r="E7" s="119">
        <f>D7*$K$7</f>
        <v>726</v>
      </c>
      <c r="F7" s="119">
        <f>E7*$K$7</f>
        <v>878.45999999999992</v>
      </c>
      <c r="G7" s="119">
        <f>F7*$K$7</f>
        <v>1062.9365999999998</v>
      </c>
      <c r="H7" s="119">
        <f>G7*$K$7</f>
        <v>1286.1532859999998</v>
      </c>
      <c r="I7" s="119">
        <f>H7</f>
        <v>1286.1532859999998</v>
      </c>
      <c r="J7" s="119">
        <f t="shared" ref="J7" si="3">I7</f>
        <v>1286.1532859999998</v>
      </c>
      <c r="K7" s="27">
        <v>1.21</v>
      </c>
      <c r="L7" s="2" t="s">
        <v>106</v>
      </c>
      <c r="M7" s="119"/>
      <c r="N7" s="119"/>
      <c r="Q7" s="2"/>
      <c r="R7" s="2"/>
    </row>
    <row r="8" spans="1:18" x14ac:dyDescent="0.25">
      <c r="A8" s="195" t="s">
        <v>104</v>
      </c>
      <c r="B8" s="88"/>
      <c r="C8" s="88"/>
      <c r="D8" s="96">
        <v>200</v>
      </c>
      <c r="E8" s="96">
        <f t="shared" ref="E8:J8" si="4">$K$8*D8</f>
        <v>210</v>
      </c>
      <c r="F8" s="96">
        <f t="shared" si="4"/>
        <v>220.5</v>
      </c>
      <c r="G8" s="96">
        <f t="shared" si="4"/>
        <v>231.52500000000001</v>
      </c>
      <c r="H8" s="96">
        <f t="shared" si="4"/>
        <v>243.10125000000002</v>
      </c>
      <c r="I8" s="96">
        <f t="shared" si="4"/>
        <v>255.25631250000004</v>
      </c>
      <c r="J8" s="96">
        <f t="shared" si="4"/>
        <v>268.01912812500007</v>
      </c>
      <c r="K8" s="23">
        <v>1.05</v>
      </c>
      <c r="L8" s="2" t="s">
        <v>107</v>
      </c>
      <c r="M8" s="96"/>
      <c r="N8" s="125"/>
      <c r="Q8" s="2"/>
      <c r="R8" s="2"/>
    </row>
    <row r="9" spans="1:18" x14ac:dyDescent="0.25">
      <c r="A9" s="196" t="s">
        <v>132</v>
      </c>
      <c r="B9" s="90"/>
      <c r="C9" s="90"/>
      <c r="D9" s="96">
        <v>25</v>
      </c>
      <c r="E9" s="96">
        <f t="shared" ref="E9:J9" si="5">D9*$K$9</f>
        <v>26.25</v>
      </c>
      <c r="F9" s="96">
        <f t="shared" si="5"/>
        <v>27.5625</v>
      </c>
      <c r="G9" s="96">
        <f t="shared" si="5"/>
        <v>28.940625000000001</v>
      </c>
      <c r="H9" s="96">
        <f t="shared" si="5"/>
        <v>30.387656250000003</v>
      </c>
      <c r="I9" s="96">
        <f t="shared" si="5"/>
        <v>31.907039062500004</v>
      </c>
      <c r="J9" s="96">
        <f t="shared" si="5"/>
        <v>33.502391015625008</v>
      </c>
      <c r="K9" s="57">
        <v>1.05</v>
      </c>
      <c r="L9" s="2"/>
      <c r="M9" s="96"/>
      <c r="N9" s="125"/>
      <c r="Q9" s="2"/>
      <c r="R9" s="2"/>
    </row>
    <row r="10" spans="1:18" x14ac:dyDescent="0.25">
      <c r="A10" s="195"/>
      <c r="B10" s="90"/>
      <c r="C10" s="90"/>
      <c r="D10" s="126"/>
      <c r="E10" s="126" t="s">
        <v>41</v>
      </c>
      <c r="F10" s="126"/>
      <c r="G10" s="126"/>
      <c r="H10" s="126"/>
      <c r="I10" s="126"/>
      <c r="J10" s="126"/>
      <c r="M10" s="126"/>
      <c r="N10" s="127"/>
      <c r="Q10" s="2"/>
      <c r="R10" s="2"/>
    </row>
    <row r="11" spans="1:18" x14ac:dyDescent="0.25">
      <c r="A11" s="195" t="s">
        <v>78</v>
      </c>
      <c r="B11" s="90"/>
      <c r="C11" s="90"/>
      <c r="D11" s="128">
        <v>25</v>
      </c>
      <c r="E11" s="128">
        <f t="shared" ref="E11:J11" si="6">D11*(1+$K$11)</f>
        <v>26.25</v>
      </c>
      <c r="F11" s="128">
        <f t="shared" si="6"/>
        <v>27.5625</v>
      </c>
      <c r="G11" s="128">
        <f t="shared" si="6"/>
        <v>28.940625000000001</v>
      </c>
      <c r="H11" s="128">
        <f t="shared" si="6"/>
        <v>30.387656250000003</v>
      </c>
      <c r="I11" s="128">
        <f t="shared" si="6"/>
        <v>31.907039062500004</v>
      </c>
      <c r="J11" s="128">
        <f t="shared" si="6"/>
        <v>33.502391015625008</v>
      </c>
      <c r="K11" s="3">
        <v>0.05</v>
      </c>
      <c r="L11" s="2" t="s">
        <v>40</v>
      </c>
      <c r="M11" s="128"/>
      <c r="N11" s="129"/>
      <c r="Q11" s="2"/>
      <c r="R11" s="2"/>
    </row>
    <row r="12" spans="1:18" x14ac:dyDescent="0.25">
      <c r="A12" s="195" t="s">
        <v>42</v>
      </c>
      <c r="B12" s="90"/>
      <c r="C12" s="90"/>
      <c r="D12" s="128">
        <v>30</v>
      </c>
      <c r="E12" s="128">
        <f t="shared" ref="E12:J12" si="7">D12*(1+$K$12)</f>
        <v>28.5</v>
      </c>
      <c r="F12" s="128">
        <f t="shared" si="7"/>
        <v>27.074999999999999</v>
      </c>
      <c r="G12" s="128">
        <f t="shared" si="7"/>
        <v>25.721249999999998</v>
      </c>
      <c r="H12" s="128">
        <f t="shared" si="7"/>
        <v>24.435187499999998</v>
      </c>
      <c r="I12" s="128">
        <f t="shared" si="7"/>
        <v>23.213428124999997</v>
      </c>
      <c r="J12" s="128">
        <f t="shared" si="7"/>
        <v>22.052756718749997</v>
      </c>
      <c r="K12" s="3">
        <v>-0.05</v>
      </c>
      <c r="L12" s="2" t="s">
        <v>40</v>
      </c>
      <c r="M12" s="128"/>
      <c r="N12" s="129"/>
      <c r="Q12" s="2"/>
      <c r="R12" s="2"/>
    </row>
    <row r="13" spans="1:18" ht="15.75" thickBot="1" x14ac:dyDescent="0.3">
      <c r="A13" s="197" t="s">
        <v>43</v>
      </c>
      <c r="B13" s="198"/>
      <c r="C13" s="198"/>
      <c r="D13" s="130">
        <v>20</v>
      </c>
      <c r="E13" s="130">
        <v>20</v>
      </c>
      <c r="F13" s="130">
        <v>20</v>
      </c>
      <c r="G13" s="130">
        <v>20</v>
      </c>
      <c r="H13" s="130">
        <v>21</v>
      </c>
      <c r="I13" s="130">
        <v>22</v>
      </c>
      <c r="J13" s="130">
        <v>23</v>
      </c>
      <c r="K13" s="2"/>
      <c r="L13" s="2"/>
      <c r="M13" s="130"/>
      <c r="N13" s="131"/>
      <c r="Q13" s="2"/>
      <c r="R13" s="2"/>
    </row>
    <row r="14" spans="1:18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3">
        <v>0.82</v>
      </c>
      <c r="L14" s="2" t="s">
        <v>110</v>
      </c>
      <c r="M14" s="26"/>
      <c r="N14" s="26"/>
      <c r="Q14" s="2"/>
      <c r="R14" s="2"/>
    </row>
    <row r="15" spans="1:18" x14ac:dyDescent="0.25">
      <c r="A15" s="54" t="s">
        <v>0</v>
      </c>
      <c r="B15" s="32"/>
      <c r="C15" s="32"/>
      <c r="D15" s="32"/>
      <c r="E15" s="32"/>
      <c r="F15" s="32"/>
      <c r="G15" s="32"/>
      <c r="H15" s="32"/>
      <c r="I15" s="32"/>
      <c r="J15" s="32"/>
      <c r="K15" s="137">
        <v>0.35</v>
      </c>
      <c r="L15" s="90" t="s">
        <v>109</v>
      </c>
      <c r="M15" s="90"/>
      <c r="N15" s="90"/>
      <c r="Q15" s="2"/>
      <c r="R15" s="2"/>
    </row>
    <row r="16" spans="1:18" x14ac:dyDescent="0.25">
      <c r="A16" s="31" t="s">
        <v>1</v>
      </c>
      <c r="B16" s="32"/>
      <c r="C16" s="32"/>
      <c r="D16" s="32"/>
      <c r="E16" s="32"/>
      <c r="F16" s="32"/>
      <c r="G16" s="32"/>
      <c r="H16" s="32"/>
      <c r="I16" s="32"/>
      <c r="J16" s="32"/>
      <c r="K16" s="90"/>
      <c r="L16" s="90"/>
      <c r="M16" s="90"/>
      <c r="N16" s="90"/>
      <c r="Q16" s="2"/>
      <c r="R16" s="2"/>
    </row>
    <row r="17" spans="1:18" x14ac:dyDescent="0.25">
      <c r="A17" s="31"/>
      <c r="B17" s="32" t="s">
        <v>77</v>
      </c>
      <c r="C17" s="29"/>
      <c r="D17" s="29">
        <f t="shared" ref="D17:J17" si="8">D4*D5</f>
        <v>72000</v>
      </c>
      <c r="E17" s="29">
        <f t="shared" si="8"/>
        <v>80325</v>
      </c>
      <c r="F17" s="29">
        <f t="shared" si="8"/>
        <v>89302.5</v>
      </c>
      <c r="G17" s="29">
        <f t="shared" si="8"/>
        <v>93767.625</v>
      </c>
      <c r="H17" s="29">
        <f t="shared" si="8"/>
        <v>99549.961875000008</v>
      </c>
      <c r="I17" s="29">
        <f t="shared" si="8"/>
        <v>105676.11337500002</v>
      </c>
      <c r="J17" s="29">
        <f t="shared" si="8"/>
        <v>112166.00512031252</v>
      </c>
      <c r="K17" s="90"/>
      <c r="L17" s="90"/>
      <c r="M17" s="132"/>
      <c r="N17" s="132"/>
      <c r="Q17" s="2"/>
      <c r="R17" s="2"/>
    </row>
    <row r="18" spans="1:18" x14ac:dyDescent="0.25">
      <c r="A18" s="31"/>
      <c r="B18" s="32" t="s">
        <v>113</v>
      </c>
      <c r="C18" s="29"/>
      <c r="D18" s="29">
        <f t="shared" ref="D18:J18" si="9">D6*D8</f>
        <v>120000</v>
      </c>
      <c r="E18" s="29">
        <f t="shared" si="9"/>
        <v>113400</v>
      </c>
      <c r="F18" s="29">
        <f t="shared" si="9"/>
        <v>107163</v>
      </c>
      <c r="G18" s="29">
        <f t="shared" si="9"/>
        <v>101269.035</v>
      </c>
      <c r="H18" s="29">
        <f t="shared" si="9"/>
        <v>95699.238075000016</v>
      </c>
      <c r="I18" s="29">
        <f t="shared" si="9"/>
        <v>90435.779980875028</v>
      </c>
      <c r="J18" s="29">
        <f t="shared" si="9"/>
        <v>85461.81208192691</v>
      </c>
      <c r="K18" s="90"/>
      <c r="L18" s="90"/>
      <c r="M18" s="132"/>
      <c r="N18" s="132"/>
      <c r="Q18" s="2"/>
      <c r="R18" s="2"/>
    </row>
    <row r="19" spans="1:18" x14ac:dyDescent="0.25">
      <c r="A19" s="31"/>
      <c r="B19" s="32" t="s">
        <v>101</v>
      </c>
      <c r="C19" s="29"/>
      <c r="D19" s="29">
        <f t="shared" ref="D19:J19" si="10">D7*D8</f>
        <v>120000</v>
      </c>
      <c r="E19" s="29">
        <f t="shared" si="10"/>
        <v>152460</v>
      </c>
      <c r="F19" s="29">
        <f t="shared" si="10"/>
        <v>193700.43</v>
      </c>
      <c r="G19" s="29">
        <f t="shared" si="10"/>
        <v>246096.39631499996</v>
      </c>
      <c r="H19" s="29">
        <f t="shared" si="10"/>
        <v>312665.47151820746</v>
      </c>
      <c r="I19" s="29">
        <f t="shared" si="10"/>
        <v>328298.74509411788</v>
      </c>
      <c r="J19" s="29">
        <f t="shared" si="10"/>
        <v>344713.68234882382</v>
      </c>
      <c r="K19" s="90"/>
      <c r="L19" s="90"/>
      <c r="M19" s="132"/>
      <c r="N19" s="132"/>
      <c r="Q19" s="2"/>
      <c r="R19" s="2"/>
    </row>
    <row r="20" spans="1:18" x14ac:dyDescent="0.25">
      <c r="A20" s="31" t="s">
        <v>108</v>
      </c>
      <c r="B20" s="32"/>
      <c r="C20" s="29"/>
      <c r="D20" s="28">
        <f>SUM(D17:D19)</f>
        <v>312000</v>
      </c>
      <c r="E20" s="28">
        <f t="shared" ref="E20:J20" si="11">SUM(E17:E19)</f>
        <v>346185</v>
      </c>
      <c r="F20" s="28">
        <f t="shared" si="11"/>
        <v>390165.93</v>
      </c>
      <c r="G20" s="28">
        <f t="shared" si="11"/>
        <v>441133.05631499994</v>
      </c>
      <c r="H20" s="28">
        <f t="shared" si="11"/>
        <v>507914.6714682075</v>
      </c>
      <c r="I20" s="28">
        <f t="shared" si="11"/>
        <v>524410.63844999298</v>
      </c>
      <c r="J20" s="28">
        <f t="shared" si="11"/>
        <v>542341.49955106317</v>
      </c>
      <c r="K20" s="90"/>
      <c r="L20" s="90"/>
      <c r="M20" s="132"/>
      <c r="N20" s="132"/>
      <c r="Q20" s="2"/>
      <c r="R20" s="2"/>
    </row>
    <row r="21" spans="1:18" x14ac:dyDescent="0.25">
      <c r="A21" s="31"/>
      <c r="B21" s="32"/>
      <c r="C21" s="29"/>
      <c r="D21" s="29"/>
      <c r="E21" s="29"/>
      <c r="F21" s="29"/>
      <c r="G21" s="29"/>
      <c r="H21" s="29"/>
      <c r="I21" s="29"/>
      <c r="J21" s="29"/>
      <c r="K21" s="90"/>
      <c r="L21" s="90"/>
      <c r="M21" s="132"/>
      <c r="N21" s="132"/>
      <c r="Q21" s="2"/>
      <c r="R21" s="2"/>
    </row>
    <row r="22" spans="1:18" x14ac:dyDescent="0.25">
      <c r="A22" s="31" t="s">
        <v>2</v>
      </c>
      <c r="B22" s="32"/>
      <c r="C22" s="29"/>
      <c r="D22" s="29"/>
      <c r="E22" s="29"/>
      <c r="F22" s="29"/>
      <c r="G22" s="29"/>
      <c r="H22" s="29"/>
      <c r="I22" s="29"/>
      <c r="J22" s="29"/>
      <c r="K22" s="90"/>
      <c r="L22" s="90"/>
      <c r="M22" s="132"/>
      <c r="N22" s="132"/>
      <c r="Q22" s="2"/>
      <c r="R22" s="2"/>
    </row>
    <row r="23" spans="1:18" x14ac:dyDescent="0.25">
      <c r="A23" s="36"/>
      <c r="B23" s="32" t="s">
        <v>111</v>
      </c>
      <c r="C23" s="29"/>
      <c r="D23" s="29">
        <f t="shared" ref="D23:J23" si="12">D18*$K$14</f>
        <v>98400</v>
      </c>
      <c r="E23" s="29">
        <f t="shared" si="12"/>
        <v>92988</v>
      </c>
      <c r="F23" s="29">
        <f t="shared" si="12"/>
        <v>87873.659999999989</v>
      </c>
      <c r="G23" s="29">
        <f t="shared" si="12"/>
        <v>83040.608699999997</v>
      </c>
      <c r="H23" s="29">
        <f t="shared" si="12"/>
        <v>78473.375221500013</v>
      </c>
      <c r="I23" s="29">
        <f t="shared" si="12"/>
        <v>74157.339584317524</v>
      </c>
      <c r="J23" s="29">
        <f t="shared" si="12"/>
        <v>70078.685907180057</v>
      </c>
      <c r="K23" s="90"/>
      <c r="L23" s="90"/>
      <c r="M23" s="132"/>
      <c r="N23" s="132"/>
      <c r="Q23" s="2"/>
      <c r="R23" s="2"/>
    </row>
    <row r="24" spans="1:18" x14ac:dyDescent="0.25">
      <c r="A24" s="36"/>
      <c r="B24" s="32" t="s">
        <v>112</v>
      </c>
      <c r="C24" s="29"/>
      <c r="D24" s="29">
        <f t="shared" ref="D24:J24" si="13">D19*$K$15</f>
        <v>42000</v>
      </c>
      <c r="E24" s="29">
        <f t="shared" si="13"/>
        <v>53361</v>
      </c>
      <c r="F24" s="29">
        <f t="shared" si="13"/>
        <v>67795.150499999989</v>
      </c>
      <c r="G24" s="29">
        <f t="shared" si="13"/>
        <v>86133.738710249978</v>
      </c>
      <c r="H24" s="29">
        <f t="shared" si="13"/>
        <v>109432.9150313726</v>
      </c>
      <c r="I24" s="29">
        <f t="shared" si="13"/>
        <v>114904.56078294125</v>
      </c>
      <c r="J24" s="29">
        <f t="shared" si="13"/>
        <v>120649.78882208833</v>
      </c>
      <c r="K24" s="90"/>
      <c r="L24" s="90"/>
      <c r="M24" s="132"/>
      <c r="N24" s="132"/>
      <c r="Q24" s="2"/>
      <c r="R24" s="2"/>
    </row>
    <row r="25" spans="1:18" x14ac:dyDescent="0.25">
      <c r="A25" s="31" t="s">
        <v>114</v>
      </c>
      <c r="B25" s="32"/>
      <c r="C25" s="29"/>
      <c r="D25" s="28">
        <f>SUM(D23:D24)</f>
        <v>140400</v>
      </c>
      <c r="E25" s="28">
        <f t="shared" ref="E25:J25" si="14">SUM(E23:E24)</f>
        <v>146349</v>
      </c>
      <c r="F25" s="28">
        <f t="shared" si="14"/>
        <v>155668.81049999996</v>
      </c>
      <c r="G25" s="28">
        <f t="shared" si="14"/>
        <v>169174.34741024999</v>
      </c>
      <c r="H25" s="28">
        <f t="shared" si="14"/>
        <v>187906.29025287263</v>
      </c>
      <c r="I25" s="28">
        <f t="shared" si="14"/>
        <v>189061.90036725876</v>
      </c>
      <c r="J25" s="28">
        <f t="shared" si="14"/>
        <v>190728.4747292684</v>
      </c>
      <c r="K25" s="90"/>
      <c r="L25" s="90"/>
      <c r="M25" s="132"/>
      <c r="N25" s="132"/>
      <c r="Q25" s="2"/>
      <c r="R25" s="2"/>
    </row>
    <row r="26" spans="1:18" x14ac:dyDescent="0.25">
      <c r="A26" s="31"/>
      <c r="B26" s="32"/>
      <c r="C26" s="29"/>
      <c r="D26" s="29"/>
      <c r="E26" s="29"/>
      <c r="F26" s="29"/>
      <c r="G26" s="29"/>
      <c r="H26" s="29"/>
      <c r="I26" s="29"/>
      <c r="J26" s="29"/>
      <c r="K26" s="90"/>
      <c r="L26" s="90"/>
      <c r="M26" s="132"/>
      <c r="N26" s="132"/>
      <c r="Q26" s="2"/>
      <c r="R26" s="2"/>
    </row>
    <row r="27" spans="1:18" x14ac:dyDescent="0.25">
      <c r="A27" s="31"/>
      <c r="B27" s="32"/>
      <c r="C27" s="29"/>
      <c r="D27" s="29"/>
      <c r="E27" s="29"/>
      <c r="F27" s="29"/>
      <c r="G27" s="29"/>
      <c r="H27" s="29"/>
      <c r="I27" s="29"/>
      <c r="J27" s="29"/>
      <c r="K27" s="90"/>
      <c r="L27" s="90"/>
      <c r="M27" s="132"/>
      <c r="N27" s="132"/>
      <c r="Q27" s="2"/>
      <c r="R27" s="2"/>
    </row>
    <row r="28" spans="1:18" x14ac:dyDescent="0.25">
      <c r="A28" s="31" t="s">
        <v>3</v>
      </c>
      <c r="B28" s="32"/>
      <c r="C28" s="29"/>
      <c r="D28" s="29"/>
      <c r="E28" s="29"/>
      <c r="F28" s="29"/>
      <c r="G28" s="29"/>
      <c r="H28" s="29"/>
      <c r="I28" s="29"/>
      <c r="J28" s="29"/>
      <c r="K28" s="90"/>
      <c r="L28" s="90"/>
      <c r="M28" s="132"/>
      <c r="N28" s="132"/>
      <c r="Q28" s="2"/>
      <c r="R28" s="2"/>
    </row>
    <row r="29" spans="1:18" x14ac:dyDescent="0.25">
      <c r="A29" s="31"/>
      <c r="B29" s="32" t="s">
        <v>79</v>
      </c>
      <c r="C29" s="29"/>
      <c r="D29" s="29">
        <f>D17*K29</f>
        <v>10800</v>
      </c>
      <c r="E29" s="29">
        <f t="shared" ref="E29:J29" si="15">E17*$K$29</f>
        <v>12048.75</v>
      </c>
      <c r="F29" s="29">
        <f t="shared" si="15"/>
        <v>13395.375</v>
      </c>
      <c r="G29" s="29">
        <f t="shared" si="15"/>
        <v>14065.143749999999</v>
      </c>
      <c r="H29" s="29">
        <f t="shared" si="15"/>
        <v>14932.494281250001</v>
      </c>
      <c r="I29" s="29">
        <f t="shared" si="15"/>
        <v>15851.417006250002</v>
      </c>
      <c r="J29" s="29">
        <f t="shared" si="15"/>
        <v>16824.900768046879</v>
      </c>
      <c r="K29" s="3">
        <v>0.15</v>
      </c>
      <c r="L29" s="90" t="s">
        <v>83</v>
      </c>
      <c r="M29" s="132"/>
      <c r="N29" s="132"/>
      <c r="Q29" s="2"/>
      <c r="R29" s="2"/>
    </row>
    <row r="30" spans="1:18" x14ac:dyDescent="0.25">
      <c r="A30" s="31"/>
      <c r="B30" s="32" t="s">
        <v>80</v>
      </c>
      <c r="C30" s="29"/>
      <c r="D30" s="29">
        <f>D18*K30</f>
        <v>36000</v>
      </c>
      <c r="E30" s="29">
        <f t="shared" ref="E30:J30" si="16">E18*$K$30</f>
        <v>34020</v>
      </c>
      <c r="F30" s="29">
        <f t="shared" si="16"/>
        <v>32148.899999999998</v>
      </c>
      <c r="G30" s="29">
        <f t="shared" si="16"/>
        <v>30380.710500000001</v>
      </c>
      <c r="H30" s="29">
        <f t="shared" si="16"/>
        <v>28709.771422500005</v>
      </c>
      <c r="I30" s="29">
        <f t="shared" si="16"/>
        <v>27130.733994262508</v>
      </c>
      <c r="J30" s="29">
        <f t="shared" si="16"/>
        <v>25638.543624578073</v>
      </c>
      <c r="K30" s="3">
        <v>0.3</v>
      </c>
      <c r="L30" s="90" t="s">
        <v>44</v>
      </c>
      <c r="M30" s="132"/>
      <c r="N30" s="132"/>
      <c r="Q30" s="2"/>
      <c r="R30" s="2"/>
    </row>
    <row r="31" spans="1:18" x14ac:dyDescent="0.25">
      <c r="A31" s="31"/>
      <c r="B31" s="32" t="s">
        <v>4</v>
      </c>
      <c r="C31" s="29"/>
      <c r="D31" s="29">
        <f t="shared" ref="D31:J31" si="17">(D17+D18)*$K$31</f>
        <v>3840</v>
      </c>
      <c r="E31" s="29">
        <f t="shared" si="17"/>
        <v>3874.5</v>
      </c>
      <c r="F31" s="29">
        <f t="shared" si="17"/>
        <v>3929.31</v>
      </c>
      <c r="G31" s="29">
        <f t="shared" si="17"/>
        <v>3900.7332000000001</v>
      </c>
      <c r="H31" s="29">
        <f t="shared" si="17"/>
        <v>3904.9839990000009</v>
      </c>
      <c r="I31" s="29">
        <f t="shared" si="17"/>
        <v>3922.2378671175011</v>
      </c>
      <c r="J31" s="29">
        <f t="shared" si="17"/>
        <v>3952.5563440447881</v>
      </c>
      <c r="K31" s="3">
        <v>0.02</v>
      </c>
      <c r="L31" s="90" t="s">
        <v>45</v>
      </c>
      <c r="M31" s="132"/>
      <c r="N31" s="132"/>
      <c r="Q31" s="2"/>
      <c r="R31" s="2"/>
    </row>
    <row r="32" spans="1:18" x14ac:dyDescent="0.25">
      <c r="A32" s="31"/>
      <c r="B32" s="32" t="s">
        <v>134</v>
      </c>
      <c r="C32" s="29"/>
      <c r="D32" s="29">
        <f>D9*D5</f>
        <v>22500</v>
      </c>
      <c r="E32" s="29">
        <f t="shared" ref="E32:J32" si="18">E9*E5</f>
        <v>24806.25</v>
      </c>
      <c r="F32" s="29">
        <f t="shared" si="18"/>
        <v>27348.890625</v>
      </c>
      <c r="G32" s="29">
        <f t="shared" si="18"/>
        <v>30152.151914062499</v>
      </c>
      <c r="H32" s="29">
        <f t="shared" si="18"/>
        <v>33242.747485253909</v>
      </c>
      <c r="I32" s="29">
        <f t="shared" si="18"/>
        <v>36650.129102492443</v>
      </c>
      <c r="J32" s="29">
        <f t="shared" si="18"/>
        <v>40406.767335497927</v>
      </c>
      <c r="K32" s="3"/>
      <c r="L32" s="90"/>
      <c r="M32" s="132"/>
      <c r="N32" s="132"/>
      <c r="Q32" s="2"/>
      <c r="R32" s="2"/>
    </row>
    <row r="33" spans="1:18" x14ac:dyDescent="0.25">
      <c r="A33" s="31" t="s">
        <v>115</v>
      </c>
      <c r="B33" s="32"/>
      <c r="C33" s="29"/>
      <c r="D33" s="28">
        <f>SUM(D29:D32)</f>
        <v>73140</v>
      </c>
      <c r="E33" s="28">
        <f>SUM(E29:E32)</f>
        <v>74749.5</v>
      </c>
      <c r="F33" s="28">
        <f t="shared" ref="F33:J33" si="19">SUM(F29:F32)</f>
        <v>76822.475624999992</v>
      </c>
      <c r="G33" s="28">
        <f t="shared" si="19"/>
        <v>78498.739364062509</v>
      </c>
      <c r="H33" s="28">
        <f t="shared" si="19"/>
        <v>80789.997188003908</v>
      </c>
      <c r="I33" s="28">
        <f t="shared" si="19"/>
        <v>83554.517970122455</v>
      </c>
      <c r="J33" s="28">
        <f t="shared" si="19"/>
        <v>86822.768072167673</v>
      </c>
      <c r="K33" s="3"/>
      <c r="L33" s="90"/>
      <c r="M33" s="132"/>
      <c r="N33" s="132"/>
      <c r="Q33" s="2"/>
      <c r="R33" s="2"/>
    </row>
    <row r="34" spans="1:18" x14ac:dyDescent="0.25">
      <c r="A34" s="31"/>
      <c r="B34" s="32"/>
      <c r="C34" s="29"/>
      <c r="D34" s="29"/>
      <c r="E34" s="29"/>
      <c r="F34" s="29"/>
      <c r="G34" s="29"/>
      <c r="H34" s="29"/>
      <c r="I34" s="29"/>
      <c r="J34" s="29"/>
      <c r="K34" s="90"/>
      <c r="L34" s="90"/>
      <c r="M34" s="132"/>
      <c r="N34" s="132"/>
      <c r="Q34" s="2"/>
      <c r="R34" s="2"/>
    </row>
    <row r="35" spans="1:18" x14ac:dyDescent="0.25">
      <c r="A35" s="31" t="s">
        <v>116</v>
      </c>
      <c r="B35" s="32"/>
      <c r="C35" s="29"/>
      <c r="D35" s="37">
        <f t="shared" ref="D35:J35" si="20">D52/$K$35</f>
        <v>46666.666666666664</v>
      </c>
      <c r="E35" s="37">
        <f t="shared" si="20"/>
        <v>46666.666666666664</v>
      </c>
      <c r="F35" s="37">
        <f t="shared" si="20"/>
        <v>46666.666666666664</v>
      </c>
      <c r="G35" s="37">
        <f t="shared" si="20"/>
        <v>46666.666666666664</v>
      </c>
      <c r="H35" s="37">
        <f t="shared" si="20"/>
        <v>46666.666666666664</v>
      </c>
      <c r="I35" s="37">
        <f t="shared" si="20"/>
        <v>46666.666666666664</v>
      </c>
      <c r="J35" s="37">
        <f t="shared" si="20"/>
        <v>46666.666666666664</v>
      </c>
      <c r="K35" s="90">
        <v>30</v>
      </c>
      <c r="L35" s="90" t="s">
        <v>99</v>
      </c>
      <c r="M35" s="96"/>
      <c r="N35" s="96"/>
      <c r="Q35" s="2"/>
      <c r="R35" s="2"/>
    </row>
    <row r="36" spans="1:18" x14ac:dyDescent="0.25">
      <c r="A36" s="31" t="s">
        <v>117</v>
      </c>
      <c r="B36" s="32"/>
      <c r="C36" s="29"/>
      <c r="D36" s="37">
        <f>D54/$K$36</f>
        <v>22000</v>
      </c>
      <c r="E36" s="37">
        <f>E54/$K$36</f>
        <v>22000</v>
      </c>
      <c r="F36" s="37">
        <f>F54/$K$36</f>
        <v>22000</v>
      </c>
      <c r="G36" s="37">
        <f>G54/$K$36</f>
        <v>22000</v>
      </c>
      <c r="H36" s="37">
        <f>H54/$K$36</f>
        <v>22000</v>
      </c>
      <c r="I36" s="29">
        <v>0</v>
      </c>
      <c r="J36" s="29">
        <v>0</v>
      </c>
      <c r="K36" s="90">
        <v>5</v>
      </c>
      <c r="L36" s="90" t="s">
        <v>99</v>
      </c>
      <c r="M36" s="132"/>
      <c r="N36" s="132"/>
      <c r="Q36" s="2"/>
      <c r="R36" s="2"/>
    </row>
    <row r="37" spans="1:18" x14ac:dyDescent="0.25">
      <c r="A37" s="31" t="s">
        <v>5</v>
      </c>
      <c r="B37" s="32"/>
      <c r="C37" s="29"/>
      <c r="D37" s="29">
        <f>Mortgage!D14</f>
        <v>14899.482391734566</v>
      </c>
      <c r="E37" s="29">
        <f>Mortgage!D28</f>
        <v>14673.034918290052</v>
      </c>
      <c r="F37" s="29">
        <f>Mortgage!D42</f>
        <v>14435.001962333592</v>
      </c>
      <c r="G37" s="29">
        <f>Mortgage!D56</f>
        <v>14184.790788592003</v>
      </c>
      <c r="H37" s="29">
        <f>Mortgage!D70</f>
        <v>13921.778336330575</v>
      </c>
      <c r="I37" s="29">
        <f>Mortgage!D84</f>
        <v>13645.309667844922</v>
      </c>
      <c r="J37" s="29">
        <f>Mortgage!D98</f>
        <v>13354.696337574705</v>
      </c>
      <c r="K37" s="211">
        <v>0.08</v>
      </c>
      <c r="L37" s="90" t="s">
        <v>75</v>
      </c>
      <c r="M37" s="132"/>
      <c r="N37" s="132"/>
      <c r="Q37" s="2"/>
      <c r="R37" s="2"/>
    </row>
    <row r="38" spans="1:18" x14ac:dyDescent="0.25">
      <c r="A38" s="31" t="s">
        <v>6</v>
      </c>
      <c r="B38" s="32"/>
      <c r="C38" s="29"/>
      <c r="D38" s="29">
        <f t="shared" ref="D38:J38" si="21">$K$38*D65</f>
        <v>204982.27789411019</v>
      </c>
      <c r="E38" s="29">
        <f t="shared" si="21"/>
        <v>217284.50868940144</v>
      </c>
      <c r="F38" s="29">
        <f t="shared" si="21"/>
        <v>227102.94034026322</v>
      </c>
      <c r="G38" s="29">
        <f t="shared" si="21"/>
        <v>233685.40126514903</v>
      </c>
      <c r="H38" s="29">
        <f t="shared" si="21"/>
        <v>235425.95391603847</v>
      </c>
      <c r="I38" s="29">
        <f t="shared" si="21"/>
        <v>235848.05954363945</v>
      </c>
      <c r="J38" s="29">
        <f t="shared" si="21"/>
        <v>234737.25271327497</v>
      </c>
      <c r="K38" s="3">
        <v>0.11</v>
      </c>
      <c r="L38" s="90" t="s">
        <v>46</v>
      </c>
      <c r="M38" s="132"/>
      <c r="N38" s="132"/>
      <c r="Q38" s="2"/>
      <c r="R38" s="2"/>
    </row>
    <row r="39" spans="1:18" x14ac:dyDescent="0.25">
      <c r="A39" s="31"/>
      <c r="B39" s="32"/>
      <c r="C39" s="29"/>
      <c r="D39" s="29"/>
      <c r="E39" s="29"/>
      <c r="F39" s="29"/>
      <c r="G39" s="29"/>
      <c r="H39" s="29"/>
      <c r="I39" s="29"/>
      <c r="J39" s="29"/>
      <c r="K39" s="212"/>
      <c r="L39" s="90"/>
      <c r="M39" s="132"/>
      <c r="N39" s="132"/>
      <c r="Q39" s="2"/>
      <c r="R39" s="2"/>
    </row>
    <row r="40" spans="1:18" x14ac:dyDescent="0.25">
      <c r="A40" s="31" t="s">
        <v>7</v>
      </c>
      <c r="B40" s="32"/>
      <c r="C40" s="29"/>
      <c r="D40" s="29">
        <f t="shared" ref="D40:J40" si="22">D20-D25-D33-SUM(D35:D38)</f>
        <v>-190088.42695251142</v>
      </c>
      <c r="E40" s="29">
        <f t="shared" si="22"/>
        <v>-175537.71027435816</v>
      </c>
      <c r="F40" s="29">
        <f t="shared" si="22"/>
        <v>-152529.96509426346</v>
      </c>
      <c r="G40" s="29">
        <f t="shared" si="22"/>
        <v>-123076.88917972025</v>
      </c>
      <c r="H40" s="29">
        <f t="shared" si="22"/>
        <v>-78796.014891704719</v>
      </c>
      <c r="I40" s="29">
        <f t="shared" si="22"/>
        <v>-44365.815765539242</v>
      </c>
      <c r="J40" s="29">
        <f t="shared" si="22"/>
        <v>-29968.358967889275</v>
      </c>
      <c r="K40" s="212"/>
      <c r="L40" s="90"/>
      <c r="M40" s="132"/>
      <c r="N40" s="132"/>
      <c r="Q40" s="2"/>
      <c r="R40" s="2"/>
    </row>
    <row r="41" spans="1:18" x14ac:dyDescent="0.25">
      <c r="A41" s="31" t="s">
        <v>8</v>
      </c>
      <c r="B41" s="32"/>
      <c r="C41" s="29"/>
      <c r="D41" s="29">
        <f t="shared" ref="D41:J41" si="23">IF(D40&lt;0,0,D40*$K$41)</f>
        <v>0</v>
      </c>
      <c r="E41" s="29">
        <f t="shared" si="23"/>
        <v>0</v>
      </c>
      <c r="F41" s="29">
        <f t="shared" si="23"/>
        <v>0</v>
      </c>
      <c r="G41" s="29">
        <f t="shared" si="23"/>
        <v>0</v>
      </c>
      <c r="H41" s="29">
        <f t="shared" si="23"/>
        <v>0</v>
      </c>
      <c r="I41" s="29">
        <f t="shared" si="23"/>
        <v>0</v>
      </c>
      <c r="J41" s="29">
        <f t="shared" si="23"/>
        <v>0</v>
      </c>
      <c r="K41" s="3">
        <v>0.2</v>
      </c>
      <c r="L41" s="90" t="s">
        <v>47</v>
      </c>
      <c r="M41" s="132"/>
      <c r="N41" s="132"/>
      <c r="Q41" s="2"/>
      <c r="R41" s="2"/>
    </row>
    <row r="42" spans="1:18" x14ac:dyDescent="0.25">
      <c r="A42" s="31"/>
      <c r="B42" s="32"/>
      <c r="C42" s="29"/>
      <c r="D42" s="29"/>
      <c r="E42" s="29"/>
      <c r="F42" s="29"/>
      <c r="G42" s="29"/>
      <c r="H42" s="29"/>
      <c r="I42" s="29"/>
      <c r="J42" s="29"/>
      <c r="K42" s="132"/>
      <c r="L42" s="132"/>
      <c r="M42" s="132"/>
      <c r="N42" s="132"/>
      <c r="O42" s="3"/>
      <c r="P42" s="2"/>
      <c r="Q42" s="2"/>
      <c r="R42" s="2"/>
    </row>
    <row r="43" spans="1:18" ht="15.75" thickBot="1" x14ac:dyDescent="0.3">
      <c r="A43" s="31" t="s">
        <v>9</v>
      </c>
      <c r="B43" s="32"/>
      <c r="C43" s="29"/>
      <c r="D43" s="25">
        <f>D40-D41</f>
        <v>-190088.42695251142</v>
      </c>
      <c r="E43" s="25">
        <f>E40-E41</f>
        <v>-175537.71027435816</v>
      </c>
      <c r="F43" s="25">
        <f t="shared" ref="F43:J43" si="24">F40-F41</f>
        <v>-152529.96509426346</v>
      </c>
      <c r="G43" s="25">
        <f t="shared" si="24"/>
        <v>-123076.88917972025</v>
      </c>
      <c r="H43" s="25">
        <f t="shared" si="24"/>
        <v>-78796.014891704719</v>
      </c>
      <c r="I43" s="25">
        <f t="shared" si="24"/>
        <v>-44365.815765539242</v>
      </c>
      <c r="J43" s="25">
        <f t="shared" si="24"/>
        <v>-29968.358967889275</v>
      </c>
      <c r="K43" s="132"/>
      <c r="L43" s="132"/>
      <c r="M43" s="132"/>
      <c r="N43" s="132"/>
      <c r="O43" s="2"/>
      <c r="P43" s="2"/>
      <c r="Q43" s="2"/>
      <c r="R43" s="2"/>
    </row>
    <row r="44" spans="1:18" ht="15.75" thickTop="1" x14ac:dyDescent="0.25">
      <c r="A44" s="32"/>
      <c r="B44" s="32"/>
      <c r="C44" s="29"/>
      <c r="D44" s="29"/>
      <c r="E44" s="29"/>
      <c r="F44" s="29"/>
      <c r="G44" s="29"/>
      <c r="H44" s="29"/>
      <c r="I44" s="29"/>
      <c r="J44" s="29"/>
      <c r="K44" s="132"/>
      <c r="L44" s="132"/>
      <c r="M44" s="132"/>
      <c r="N44" s="132"/>
      <c r="O44" s="2"/>
      <c r="P44" s="2"/>
      <c r="Q44" s="2"/>
      <c r="R44" s="2"/>
    </row>
    <row r="45" spans="1:18" x14ac:dyDescent="0.25">
      <c r="A45" s="40" t="s">
        <v>10</v>
      </c>
      <c r="B45" s="32"/>
      <c r="C45" s="29"/>
      <c r="D45" s="29"/>
      <c r="E45" s="29"/>
      <c r="F45" s="29"/>
      <c r="G45" s="29"/>
      <c r="H45" s="29"/>
      <c r="I45" s="29"/>
      <c r="J45" s="29"/>
      <c r="K45" s="132"/>
      <c r="L45" s="132"/>
      <c r="M45" s="132"/>
      <c r="N45" s="132"/>
      <c r="O45" s="2"/>
      <c r="P45" s="2"/>
      <c r="Q45" s="2"/>
      <c r="R45" s="2"/>
    </row>
    <row r="46" spans="1:18" x14ac:dyDescent="0.25">
      <c r="A46" s="31" t="s">
        <v>11</v>
      </c>
      <c r="B46" s="32"/>
      <c r="C46" s="29" t="s">
        <v>85</v>
      </c>
      <c r="D46" s="29"/>
      <c r="E46" s="29"/>
      <c r="F46" s="29"/>
      <c r="G46" s="29"/>
      <c r="H46" s="29"/>
      <c r="I46" s="29"/>
      <c r="J46" s="29"/>
      <c r="K46" s="132"/>
      <c r="L46" s="132"/>
      <c r="M46" s="132"/>
      <c r="N46" s="132"/>
      <c r="O46" s="2"/>
      <c r="P46" s="2"/>
      <c r="Q46" s="2"/>
      <c r="R46" s="2"/>
    </row>
    <row r="47" spans="1:18" x14ac:dyDescent="0.25">
      <c r="A47" s="31" t="s">
        <v>12</v>
      </c>
      <c r="B47" s="32"/>
      <c r="C47" s="29">
        <v>10000</v>
      </c>
      <c r="D47" s="29">
        <f>C47</f>
        <v>10000</v>
      </c>
      <c r="E47" s="29">
        <f>D47</f>
        <v>10000</v>
      </c>
      <c r="F47" s="29">
        <f t="shared" ref="F47:J47" si="25">E47</f>
        <v>10000</v>
      </c>
      <c r="G47" s="29">
        <f t="shared" si="25"/>
        <v>10000</v>
      </c>
      <c r="H47" s="29">
        <f t="shared" si="25"/>
        <v>10000</v>
      </c>
      <c r="I47" s="29">
        <f t="shared" si="25"/>
        <v>10000</v>
      </c>
      <c r="J47" s="29">
        <f t="shared" si="25"/>
        <v>10000</v>
      </c>
      <c r="K47" s="132"/>
      <c r="L47" s="132"/>
      <c r="M47" s="132"/>
      <c r="N47" s="132"/>
      <c r="O47" s="2"/>
      <c r="P47" s="2"/>
      <c r="Q47" s="2"/>
      <c r="R47" s="2"/>
    </row>
    <row r="48" spans="1:18" x14ac:dyDescent="0.25">
      <c r="A48" s="31" t="s">
        <v>13</v>
      </c>
      <c r="B48" s="32"/>
      <c r="C48" s="29"/>
      <c r="D48" s="29"/>
      <c r="E48" s="29"/>
      <c r="F48" s="29"/>
      <c r="G48" s="29"/>
      <c r="H48" s="29"/>
      <c r="I48" s="29"/>
      <c r="J48" s="29"/>
      <c r="K48" s="132"/>
      <c r="L48" s="132"/>
      <c r="M48" s="132"/>
      <c r="N48" s="132"/>
      <c r="O48" s="2"/>
      <c r="P48" s="2"/>
      <c r="Q48" s="2"/>
      <c r="R48" s="2"/>
    </row>
    <row r="49" spans="1:25" x14ac:dyDescent="0.25">
      <c r="A49" s="31" t="s">
        <v>14</v>
      </c>
      <c r="B49" s="32"/>
      <c r="C49" s="29"/>
      <c r="D49" s="29">
        <f t="shared" ref="D49:J49" si="26">D17/365*D11</f>
        <v>4931.5068493150684</v>
      </c>
      <c r="E49" s="29">
        <f t="shared" si="26"/>
        <v>5776.7979452054797</v>
      </c>
      <c r="F49" s="29">
        <f t="shared" si="26"/>
        <v>6743.5620719178078</v>
      </c>
      <c r="G49" s="29">
        <f t="shared" si="26"/>
        <v>7434.7771842893844</v>
      </c>
      <c r="H49" s="29">
        <f t="shared" si="26"/>
        <v>8287.9178661865917</v>
      </c>
      <c r="I49" s="29">
        <f t="shared" si="26"/>
        <v>9237.8407600802875</v>
      </c>
      <c r="J49" s="29">
        <f t="shared" si="26"/>
        <v>10295.422910140567</v>
      </c>
      <c r="K49" s="132"/>
      <c r="L49" s="132"/>
      <c r="M49" s="132"/>
      <c r="N49" s="132"/>
      <c r="O49" s="2"/>
      <c r="P49" s="2"/>
      <c r="Q49" s="2"/>
      <c r="R49" s="2"/>
    </row>
    <row r="50" spans="1:25" x14ac:dyDescent="0.25">
      <c r="A50" s="31" t="s">
        <v>15</v>
      </c>
      <c r="B50" s="32"/>
      <c r="C50" s="29"/>
      <c r="D50" s="29">
        <f t="shared" ref="D50:J50" si="27">D23/365*D12</f>
        <v>8087.6712328767126</v>
      </c>
      <c r="E50" s="29">
        <f t="shared" si="27"/>
        <v>7260.7068493150682</v>
      </c>
      <c r="F50" s="29">
        <f t="shared" si="27"/>
        <v>6518.299573972602</v>
      </c>
      <c r="G50" s="29">
        <f t="shared" si="27"/>
        <v>5851.8034425339038</v>
      </c>
      <c r="H50" s="29">
        <f t="shared" si="27"/>
        <v>5253.456540534813</v>
      </c>
      <c r="I50" s="29">
        <f t="shared" si="27"/>
        <v>4716.2906092651292</v>
      </c>
      <c r="J50" s="29">
        <f t="shared" si="27"/>
        <v>4234.0498944677693</v>
      </c>
      <c r="K50" s="132"/>
      <c r="L50" s="132"/>
      <c r="M50" s="132"/>
      <c r="N50" s="132"/>
      <c r="O50" s="2"/>
      <c r="P50" s="2"/>
      <c r="Q50" s="2"/>
      <c r="R50" s="2"/>
    </row>
    <row r="51" spans="1:25" x14ac:dyDescent="0.25">
      <c r="A51" s="31"/>
      <c r="B51" s="32"/>
      <c r="C51" s="29"/>
      <c r="D51" s="29"/>
      <c r="E51" s="29"/>
      <c r="F51" s="29"/>
      <c r="G51" s="29"/>
      <c r="H51" s="29"/>
      <c r="I51" s="29"/>
      <c r="J51" s="29"/>
      <c r="K51" s="132"/>
      <c r="L51" s="132"/>
      <c r="M51" s="132"/>
      <c r="N51" s="132"/>
      <c r="O51" s="2"/>
      <c r="P51" s="2"/>
      <c r="Q51" s="2"/>
      <c r="R51" s="2"/>
    </row>
    <row r="52" spans="1:25" x14ac:dyDescent="0.25">
      <c r="A52" s="31" t="s">
        <v>16</v>
      </c>
      <c r="B52" s="32"/>
      <c r="C52" s="29"/>
      <c r="D52" s="29">
        <v>1400000</v>
      </c>
      <c r="E52" s="29">
        <f>$D$52</f>
        <v>1400000</v>
      </c>
      <c r="F52" s="29">
        <f t="shared" ref="F52:J52" si="28">$D$52</f>
        <v>1400000</v>
      </c>
      <c r="G52" s="29">
        <f t="shared" si="28"/>
        <v>1400000</v>
      </c>
      <c r="H52" s="29">
        <f t="shared" si="28"/>
        <v>1400000</v>
      </c>
      <c r="I52" s="29">
        <f t="shared" si="28"/>
        <v>1400000</v>
      </c>
      <c r="J52" s="29">
        <f t="shared" si="28"/>
        <v>1400000</v>
      </c>
      <c r="K52" s="132"/>
      <c r="L52" s="132"/>
      <c r="M52" s="132"/>
      <c r="N52" s="132"/>
      <c r="O52" s="135"/>
      <c r="P52" s="133"/>
      <c r="Q52" s="133"/>
      <c r="R52" s="90"/>
      <c r="S52" s="88"/>
      <c r="T52" s="56"/>
      <c r="U52" s="56"/>
      <c r="V52" s="56"/>
      <c r="W52" s="56"/>
      <c r="X52" s="56"/>
      <c r="Y52" s="56"/>
    </row>
    <row r="53" spans="1:25" x14ac:dyDescent="0.25">
      <c r="A53" s="31" t="s">
        <v>92</v>
      </c>
      <c r="B53" s="32"/>
      <c r="C53" s="29"/>
      <c r="D53" s="29">
        <f t="shared" ref="D53:J53" si="29">C53+D35</f>
        <v>46666.666666666664</v>
      </c>
      <c r="E53" s="29">
        <f t="shared" si="29"/>
        <v>93333.333333333328</v>
      </c>
      <c r="F53" s="29">
        <f t="shared" si="29"/>
        <v>140000</v>
      </c>
      <c r="G53" s="29">
        <f t="shared" si="29"/>
        <v>186666.66666666666</v>
      </c>
      <c r="H53" s="29">
        <f t="shared" si="29"/>
        <v>233333.33333333331</v>
      </c>
      <c r="I53" s="29">
        <f t="shared" si="29"/>
        <v>280000</v>
      </c>
      <c r="J53" s="29">
        <f t="shared" si="29"/>
        <v>326666.66666666669</v>
      </c>
      <c r="K53" s="132"/>
      <c r="L53" s="132"/>
      <c r="M53" s="132"/>
      <c r="N53" s="132"/>
      <c r="O53" s="135"/>
      <c r="P53" s="133"/>
      <c r="Q53" s="213"/>
      <c r="R53" s="90"/>
      <c r="S53" s="88"/>
      <c r="T53" s="56"/>
      <c r="U53" s="56"/>
      <c r="V53" s="56"/>
      <c r="W53" s="56"/>
      <c r="X53" s="56"/>
      <c r="Y53" s="56"/>
    </row>
    <row r="54" spans="1:25" x14ac:dyDescent="0.25">
      <c r="A54" s="31" t="s">
        <v>91</v>
      </c>
      <c r="B54" s="32"/>
      <c r="C54" s="29"/>
      <c r="D54" s="29">
        <v>110000</v>
      </c>
      <c r="E54" s="29">
        <f>$D$54</f>
        <v>110000</v>
      </c>
      <c r="F54" s="29">
        <f t="shared" ref="F54:J54" si="30">$D$54</f>
        <v>110000</v>
      </c>
      <c r="G54" s="29">
        <f t="shared" si="30"/>
        <v>110000</v>
      </c>
      <c r="H54" s="29">
        <f t="shared" si="30"/>
        <v>110000</v>
      </c>
      <c r="I54" s="29">
        <f t="shared" si="30"/>
        <v>110000</v>
      </c>
      <c r="J54" s="29">
        <f t="shared" si="30"/>
        <v>110000</v>
      </c>
      <c r="K54" s="132"/>
      <c r="L54" s="132"/>
      <c r="M54" s="132"/>
      <c r="N54" s="132"/>
      <c r="O54" s="135"/>
      <c r="P54" s="133"/>
      <c r="Q54" s="134"/>
      <c r="R54" s="90"/>
      <c r="S54" s="88"/>
      <c r="T54" s="56"/>
      <c r="U54" s="56"/>
      <c r="V54" s="56"/>
      <c r="W54" s="56"/>
      <c r="X54" s="56"/>
      <c r="Y54" s="56"/>
    </row>
    <row r="55" spans="1:25" x14ac:dyDescent="0.25">
      <c r="A55" s="31" t="s">
        <v>93</v>
      </c>
      <c r="B55" s="32"/>
      <c r="C55" s="29"/>
      <c r="D55" s="29">
        <f>D36</f>
        <v>22000</v>
      </c>
      <c r="E55" s="29">
        <f>D55+E36</f>
        <v>44000</v>
      </c>
      <c r="F55" s="29">
        <f>E55+F36</f>
        <v>66000</v>
      </c>
      <c r="G55" s="29">
        <f>F55+G36</f>
        <v>88000</v>
      </c>
      <c r="H55" s="29">
        <f>G55+H36</f>
        <v>110000</v>
      </c>
      <c r="I55" s="29">
        <f>H55</f>
        <v>110000</v>
      </c>
      <c r="J55" s="29">
        <f t="shared" ref="J55" si="31">I55</f>
        <v>110000</v>
      </c>
      <c r="K55" s="132"/>
      <c r="L55" s="132"/>
      <c r="M55" s="132"/>
      <c r="N55" s="132"/>
      <c r="O55" s="135"/>
      <c r="P55" s="90"/>
      <c r="Q55" s="90"/>
      <c r="R55" s="90"/>
      <c r="S55" s="88"/>
      <c r="T55" s="56"/>
      <c r="U55" s="56"/>
      <c r="V55" s="56"/>
      <c r="W55" s="56"/>
      <c r="X55" s="56"/>
      <c r="Y55" s="56"/>
    </row>
    <row r="56" spans="1:25" x14ac:dyDescent="0.25">
      <c r="A56" s="31" t="s">
        <v>86</v>
      </c>
      <c r="B56" s="32"/>
      <c r="C56" s="29"/>
      <c r="D56" s="29">
        <v>600000</v>
      </c>
      <c r="E56" s="29">
        <f>$D$56</f>
        <v>600000</v>
      </c>
      <c r="F56" s="29">
        <f t="shared" ref="F56:J56" si="32">$D$56</f>
        <v>600000</v>
      </c>
      <c r="G56" s="29">
        <f t="shared" si="32"/>
        <v>600000</v>
      </c>
      <c r="H56" s="29">
        <f t="shared" si="32"/>
        <v>600000</v>
      </c>
      <c r="I56" s="29">
        <f t="shared" si="32"/>
        <v>600000</v>
      </c>
      <c r="J56" s="29">
        <f t="shared" si="32"/>
        <v>600000</v>
      </c>
      <c r="K56" s="132"/>
      <c r="L56" s="132"/>
      <c r="M56" s="132"/>
      <c r="N56" s="132"/>
      <c r="O56" s="135"/>
      <c r="P56" s="133"/>
      <c r="Q56" s="213"/>
      <c r="R56" s="133"/>
      <c r="S56" s="133"/>
      <c r="T56" s="56"/>
      <c r="U56" s="56"/>
      <c r="V56" s="56"/>
      <c r="W56" s="56"/>
      <c r="X56" s="56"/>
      <c r="Y56" s="56"/>
    </row>
    <row r="57" spans="1:25" x14ac:dyDescent="0.25">
      <c r="A57" s="31"/>
      <c r="B57" s="32"/>
      <c r="C57" s="29"/>
      <c r="D57" s="29"/>
      <c r="E57" s="29"/>
      <c r="F57" s="29"/>
      <c r="G57" s="29"/>
      <c r="H57" s="29"/>
      <c r="I57" s="29"/>
      <c r="J57" s="29"/>
      <c r="K57" s="132"/>
      <c r="L57" s="132"/>
      <c r="M57" s="132"/>
      <c r="N57" s="132"/>
      <c r="O57" s="135"/>
      <c r="P57" s="133"/>
      <c r="Q57" s="213"/>
      <c r="R57" s="133"/>
      <c r="S57" s="133"/>
      <c r="T57" s="56"/>
      <c r="U57" s="56"/>
      <c r="V57" s="56"/>
      <c r="W57" s="56"/>
      <c r="X57" s="56"/>
      <c r="Y57" s="56"/>
    </row>
    <row r="58" spans="1:25" ht="15.75" thickBot="1" x14ac:dyDescent="0.3">
      <c r="A58" s="40" t="s">
        <v>17</v>
      </c>
      <c r="B58" s="32"/>
      <c r="C58" s="29"/>
      <c r="D58" s="25">
        <f>SUM(D47:D52)+D54+D56-D53-D55</f>
        <v>2064352.5114155251</v>
      </c>
      <c r="E58" s="25">
        <f t="shared" ref="E58:J58" si="33">SUM(E47:E52)+E54+E56-E53-E55</f>
        <v>1995704.1714611871</v>
      </c>
      <c r="F58" s="25">
        <f t="shared" si="33"/>
        <v>1927261.8616458904</v>
      </c>
      <c r="G58" s="25">
        <f t="shared" si="33"/>
        <v>1858619.9139601563</v>
      </c>
      <c r="H58" s="25">
        <f t="shared" si="33"/>
        <v>1790208.0410733882</v>
      </c>
      <c r="I58" s="25">
        <f t="shared" si="33"/>
        <v>1743954.1313693454</v>
      </c>
      <c r="J58" s="25">
        <f t="shared" si="33"/>
        <v>1697862.8061379415</v>
      </c>
      <c r="K58" s="132"/>
      <c r="L58" s="132"/>
      <c r="M58" s="132"/>
      <c r="N58" s="132"/>
      <c r="O58" s="135"/>
      <c r="P58" s="133"/>
      <c r="Q58" s="214"/>
      <c r="R58" s="133"/>
      <c r="S58" s="133"/>
      <c r="T58" s="88"/>
      <c r="U58" s="88"/>
      <c r="V58" s="56"/>
      <c r="W58" s="56"/>
      <c r="X58" s="56"/>
      <c r="Y58" s="56"/>
    </row>
    <row r="59" spans="1:25" ht="15.75" thickTop="1" x14ac:dyDescent="0.25">
      <c r="A59" s="31"/>
      <c r="B59" s="32"/>
      <c r="C59" s="29"/>
      <c r="D59" s="29"/>
      <c r="E59" s="29"/>
      <c r="F59" s="29"/>
      <c r="G59" s="29"/>
      <c r="H59" s="29"/>
      <c r="I59" s="29"/>
      <c r="J59" s="29"/>
      <c r="K59" s="132"/>
      <c r="L59" s="132"/>
      <c r="M59" s="132"/>
      <c r="N59" s="132"/>
      <c r="O59" s="135"/>
      <c r="P59" s="133"/>
      <c r="Q59" s="215"/>
      <c r="R59" s="133"/>
      <c r="S59" s="133"/>
      <c r="T59" s="88"/>
      <c r="U59" s="88"/>
      <c r="V59" s="56"/>
      <c r="W59" s="56"/>
      <c r="X59" s="56"/>
      <c r="Y59" s="56"/>
    </row>
    <row r="60" spans="1:25" x14ac:dyDescent="0.25">
      <c r="A60" s="40" t="s">
        <v>18</v>
      </c>
      <c r="B60" s="32"/>
      <c r="C60" s="29"/>
      <c r="D60" s="29"/>
      <c r="E60" s="29"/>
      <c r="F60" s="29"/>
      <c r="G60" s="29"/>
      <c r="H60" s="29"/>
      <c r="I60" s="29"/>
      <c r="J60" s="29"/>
      <c r="K60" s="132"/>
      <c r="L60" s="132"/>
      <c r="M60" s="132"/>
      <c r="N60" s="132"/>
      <c r="O60" s="135"/>
      <c r="P60" s="135"/>
      <c r="Q60" s="90"/>
      <c r="R60" s="90"/>
      <c r="S60" s="88"/>
      <c r="T60" s="88"/>
      <c r="U60" s="88"/>
      <c r="V60" s="56"/>
      <c r="W60" s="56"/>
      <c r="X60" s="56"/>
      <c r="Y60" s="56"/>
    </row>
    <row r="61" spans="1:25" x14ac:dyDescent="0.25">
      <c r="A61" s="31" t="s">
        <v>19</v>
      </c>
      <c r="B61" s="32"/>
      <c r="C61" s="29"/>
      <c r="D61" s="29">
        <f t="shared" ref="D61:J61" si="34">D23/365*D13</f>
        <v>5391.7808219178087</v>
      </c>
      <c r="E61" s="29">
        <f t="shared" si="34"/>
        <v>5095.232876712329</v>
      </c>
      <c r="F61" s="29">
        <f t="shared" si="34"/>
        <v>4814.99506849315</v>
      </c>
      <c r="G61" s="29">
        <f t="shared" si="34"/>
        <v>4550.1703397260271</v>
      </c>
      <c r="H61" s="29">
        <f t="shared" si="34"/>
        <v>4514.9065195931516</v>
      </c>
      <c r="I61" s="29">
        <f t="shared" si="34"/>
        <v>4469.7574543972205</v>
      </c>
      <c r="J61" s="29">
        <f t="shared" si="34"/>
        <v>4415.9171941510722</v>
      </c>
      <c r="K61" s="132"/>
      <c r="L61" s="132"/>
      <c r="M61" s="132"/>
      <c r="N61" s="132"/>
      <c r="O61" s="135"/>
      <c r="P61" s="135"/>
      <c r="Q61" s="90"/>
      <c r="R61" s="90"/>
      <c r="S61" s="88"/>
      <c r="T61" s="88"/>
      <c r="U61" s="88"/>
      <c r="V61" s="56"/>
      <c r="W61" s="56"/>
      <c r="X61" s="56"/>
      <c r="Y61" s="56"/>
    </row>
    <row r="62" spans="1:25" x14ac:dyDescent="0.25">
      <c r="A62" s="31" t="s">
        <v>20</v>
      </c>
      <c r="B62" s="32"/>
      <c r="C62" s="29"/>
      <c r="D62" s="29">
        <f t="shared" ref="D62:J62" si="35">D41</f>
        <v>0</v>
      </c>
      <c r="E62" s="29">
        <f t="shared" si="35"/>
        <v>0</v>
      </c>
      <c r="F62" s="29">
        <f t="shared" si="35"/>
        <v>0</v>
      </c>
      <c r="G62" s="29">
        <f t="shared" si="35"/>
        <v>0</v>
      </c>
      <c r="H62" s="29">
        <f t="shared" si="35"/>
        <v>0</v>
      </c>
      <c r="I62" s="29">
        <f t="shared" si="35"/>
        <v>0</v>
      </c>
      <c r="J62" s="29">
        <f t="shared" si="35"/>
        <v>0</v>
      </c>
      <c r="K62" s="132"/>
      <c r="L62" s="132"/>
      <c r="M62" s="132"/>
      <c r="N62" s="132"/>
      <c r="O62" s="135"/>
      <c r="P62" s="135"/>
      <c r="Q62" s="90"/>
      <c r="R62" s="90"/>
      <c r="S62" s="88"/>
      <c r="T62" s="88"/>
      <c r="U62" s="88"/>
      <c r="V62" s="56"/>
      <c r="W62" s="56"/>
      <c r="X62" s="56"/>
      <c r="Y62" s="56"/>
    </row>
    <row r="63" spans="1:25" x14ac:dyDescent="0.25">
      <c r="A63" s="31"/>
      <c r="B63" s="32"/>
      <c r="C63" s="29"/>
      <c r="D63" s="29"/>
      <c r="E63" s="29"/>
      <c r="F63" s="29"/>
      <c r="G63" s="29"/>
      <c r="H63" s="29"/>
      <c r="I63" s="29"/>
      <c r="J63" s="29"/>
      <c r="K63" s="132"/>
      <c r="L63" s="132"/>
      <c r="M63" s="132"/>
      <c r="N63" s="132"/>
      <c r="O63" s="135"/>
      <c r="P63" s="135"/>
      <c r="Q63" s="90"/>
      <c r="R63" s="90"/>
      <c r="S63" s="88"/>
      <c r="T63" s="88"/>
      <c r="U63" s="88"/>
      <c r="V63" s="56"/>
      <c r="W63" s="56"/>
      <c r="X63" s="56"/>
      <c r="Y63" s="56"/>
    </row>
    <row r="64" spans="1:25" x14ac:dyDescent="0.25">
      <c r="A64" s="31" t="s">
        <v>21</v>
      </c>
      <c r="B64" s="32"/>
      <c r="C64" s="29"/>
      <c r="D64" s="29">
        <f>Mortgage!F13</f>
        <v>295573.90396329761</v>
      </c>
      <c r="E64" s="29">
        <f>Mortgage!F27</f>
        <v>290921.36045315064</v>
      </c>
      <c r="F64" s="29">
        <f>Mortgage!F41</f>
        <v>286030.78398704727</v>
      </c>
      <c r="G64" s="29">
        <f>Mortgage!F55</f>
        <v>280889.99634720222</v>
      </c>
      <c r="H64" s="29">
        <f>Mortgage!F69</f>
        <v>275486.19625509565</v>
      </c>
      <c r="I64" s="29">
        <f>Mortgage!F83</f>
        <v>269805.92749450356</v>
      </c>
      <c r="J64" s="29">
        <f>Mortgage!F97</f>
        <v>263835.04540364112</v>
      </c>
      <c r="K64" s="132"/>
      <c r="L64" s="132"/>
      <c r="M64" s="132"/>
      <c r="N64" s="132"/>
      <c r="O64" s="216"/>
      <c r="P64" s="217"/>
      <c r="Q64" s="137"/>
      <c r="R64" s="211"/>
      <c r="S64" s="138"/>
      <c r="T64" s="138"/>
      <c r="U64" s="88"/>
      <c r="V64" s="56"/>
      <c r="W64" s="56"/>
      <c r="X64" s="56"/>
      <c r="Y64" s="56"/>
    </row>
    <row r="65" spans="1:25" x14ac:dyDescent="0.25">
      <c r="A65" s="31" t="s">
        <v>22</v>
      </c>
      <c r="B65" s="32"/>
      <c r="C65" s="29"/>
      <c r="D65" s="29">
        <v>1863475.2535828198</v>
      </c>
      <c r="E65" s="29">
        <v>1975313.7153581949</v>
      </c>
      <c r="F65" s="29">
        <v>2064572.1849114839</v>
      </c>
      <c r="G65" s="29">
        <v>2124412.7387740822</v>
      </c>
      <c r="H65" s="29">
        <v>2140235.9446912589</v>
      </c>
      <c r="I65" s="29">
        <v>2144073.2685785405</v>
      </c>
      <c r="J65" s="29">
        <v>2133975.0246661361</v>
      </c>
      <c r="K65" s="132"/>
      <c r="L65" s="132"/>
      <c r="M65" s="132"/>
      <c r="N65" s="132"/>
      <c r="O65" s="216"/>
      <c r="P65" s="217"/>
      <c r="Q65" s="137"/>
      <c r="R65" s="212"/>
      <c r="S65" s="138"/>
      <c r="T65" s="138"/>
      <c r="U65" s="88"/>
      <c r="V65" s="56"/>
      <c r="W65" s="56"/>
      <c r="X65" s="56"/>
      <c r="Y65" s="56"/>
    </row>
    <row r="66" spans="1:25" x14ac:dyDescent="0.25">
      <c r="A66" s="31"/>
      <c r="B66" s="32"/>
      <c r="C66" s="29"/>
      <c r="D66" s="29"/>
      <c r="E66" s="29"/>
      <c r="F66" s="29"/>
      <c r="G66" s="29"/>
      <c r="H66" s="29"/>
      <c r="I66" s="29"/>
      <c r="J66" s="29"/>
      <c r="K66" s="132"/>
      <c r="L66" s="132"/>
      <c r="M66" s="132"/>
      <c r="N66" s="132"/>
      <c r="O66" s="135"/>
      <c r="P66" s="217"/>
      <c r="Q66" s="137"/>
      <c r="R66" s="90"/>
      <c r="S66" s="138"/>
      <c r="T66" s="218"/>
      <c r="U66" s="88"/>
      <c r="V66" s="56"/>
      <c r="W66" s="56"/>
      <c r="X66" s="56"/>
      <c r="Y66" s="56"/>
    </row>
    <row r="67" spans="1:25" x14ac:dyDescent="0.25">
      <c r="A67" s="31" t="s">
        <v>23</v>
      </c>
      <c r="B67" s="32"/>
      <c r="C67" s="29"/>
      <c r="D67" s="29">
        <v>90000</v>
      </c>
      <c r="E67" s="29">
        <v>90000</v>
      </c>
      <c r="F67" s="29">
        <v>90000</v>
      </c>
      <c r="G67" s="29">
        <v>90000</v>
      </c>
      <c r="H67" s="29">
        <v>90000</v>
      </c>
      <c r="I67" s="29">
        <v>90000</v>
      </c>
      <c r="J67" s="29">
        <v>90000</v>
      </c>
      <c r="K67" s="132"/>
      <c r="L67" s="132"/>
      <c r="M67" s="132"/>
      <c r="N67" s="132"/>
      <c r="O67" s="219"/>
      <c r="P67" s="56"/>
      <c r="Q67" s="88"/>
      <c r="R67" s="88"/>
      <c r="S67" s="88"/>
      <c r="T67" s="88"/>
      <c r="U67" s="88"/>
      <c r="V67" s="56"/>
      <c r="W67" s="56"/>
      <c r="X67" s="56"/>
      <c r="Y67" s="56"/>
    </row>
    <row r="68" spans="1:25" x14ac:dyDescent="0.25">
      <c r="A68" s="31" t="s">
        <v>24</v>
      </c>
      <c r="B68" s="32"/>
      <c r="C68" s="29"/>
      <c r="D68" s="10">
        <f t="shared" ref="D68:J68" si="36">C68+D43</f>
        <v>-190088.42695251142</v>
      </c>
      <c r="E68" s="10">
        <f t="shared" si="36"/>
        <v>-365626.13722686958</v>
      </c>
      <c r="F68" s="10">
        <f t="shared" si="36"/>
        <v>-518156.10232113302</v>
      </c>
      <c r="G68" s="10">
        <f t="shared" si="36"/>
        <v>-641232.99150085333</v>
      </c>
      <c r="H68" s="10">
        <f t="shared" si="36"/>
        <v>-720029.00639255811</v>
      </c>
      <c r="I68" s="10">
        <f t="shared" si="36"/>
        <v>-764394.82215809729</v>
      </c>
      <c r="J68" s="10">
        <f t="shared" si="36"/>
        <v>-794363.18112598662</v>
      </c>
      <c r="K68" s="96"/>
      <c r="L68" s="96"/>
      <c r="M68" s="96"/>
      <c r="N68" s="96"/>
      <c r="O68" s="135"/>
      <c r="P68" s="217"/>
      <c r="Q68" s="137"/>
      <c r="R68" s="220"/>
      <c r="S68" s="138"/>
      <c r="T68" s="138"/>
      <c r="U68" s="88"/>
      <c r="V68" s="56"/>
      <c r="W68" s="56"/>
      <c r="X68" s="56"/>
      <c r="Y68" s="56"/>
    </row>
    <row r="69" spans="1:25" x14ac:dyDescent="0.25">
      <c r="A69" s="31"/>
      <c r="B69" s="32"/>
      <c r="C69" s="32"/>
      <c r="D69" s="29"/>
      <c r="E69" s="29"/>
      <c r="F69" s="29"/>
      <c r="G69" s="29"/>
      <c r="H69" s="29"/>
      <c r="I69" s="29"/>
      <c r="J69" s="29"/>
      <c r="K69" s="132"/>
      <c r="L69" s="132"/>
      <c r="M69" s="132"/>
      <c r="N69" s="132"/>
      <c r="O69" s="135"/>
      <c r="P69" s="217"/>
      <c r="Q69" s="137"/>
      <c r="R69" s="90"/>
      <c r="S69" s="138"/>
      <c r="T69" s="88"/>
      <c r="U69" s="88"/>
      <c r="V69" s="56"/>
      <c r="W69" s="56"/>
      <c r="X69" s="56"/>
      <c r="Y69" s="56"/>
    </row>
    <row r="70" spans="1:25" ht="15.75" thickBot="1" x14ac:dyDescent="0.3">
      <c r="A70" s="40" t="s">
        <v>25</v>
      </c>
      <c r="B70" s="32"/>
      <c r="C70" s="32"/>
      <c r="D70" s="25">
        <f>SUM(D61:D68)</f>
        <v>2064352.5114155239</v>
      </c>
      <c r="E70" s="25">
        <f t="shared" ref="E70:J70" si="37">SUM(E61:E68)</f>
        <v>1995704.1714611885</v>
      </c>
      <c r="F70" s="25">
        <f t="shared" si="37"/>
        <v>1927261.8616458913</v>
      </c>
      <c r="G70" s="25">
        <f t="shared" si="37"/>
        <v>1858619.9139601572</v>
      </c>
      <c r="H70" s="25">
        <f t="shared" si="37"/>
        <v>1790208.0410733898</v>
      </c>
      <c r="I70" s="25">
        <f t="shared" si="37"/>
        <v>1743954.131369344</v>
      </c>
      <c r="J70" s="25">
        <f t="shared" si="37"/>
        <v>1697862.8061379415</v>
      </c>
      <c r="K70" s="132"/>
      <c r="L70" s="132"/>
      <c r="M70" s="132"/>
      <c r="N70" s="132"/>
      <c r="O70" s="135"/>
      <c r="P70" s="217"/>
      <c r="Q70" s="137"/>
      <c r="R70" s="90"/>
      <c r="S70" s="88"/>
      <c r="T70" s="88"/>
      <c r="U70" s="88"/>
      <c r="V70" s="56"/>
      <c r="W70" s="56"/>
      <c r="X70" s="56"/>
      <c r="Y70" s="56"/>
    </row>
    <row r="71" spans="1:25" ht="15.75" thickTop="1" x14ac:dyDescent="0.25">
      <c r="A71" s="55" t="s">
        <v>76</v>
      </c>
      <c r="B71" s="56"/>
      <c r="C71" s="56"/>
      <c r="D71" s="30">
        <f>D58-D70</f>
        <v>0</v>
      </c>
      <c r="E71" s="30">
        <f t="shared" ref="E71:J71" si="38">E58-E70</f>
        <v>0</v>
      </c>
      <c r="F71" s="30">
        <f t="shared" si="38"/>
        <v>0</v>
      </c>
      <c r="G71" s="30">
        <f t="shared" si="38"/>
        <v>0</v>
      </c>
      <c r="H71" s="30">
        <f t="shared" si="38"/>
        <v>0</v>
      </c>
      <c r="I71" s="30">
        <f t="shared" si="38"/>
        <v>0</v>
      </c>
      <c r="J71" s="30">
        <f t="shared" si="38"/>
        <v>0</v>
      </c>
      <c r="K71" s="96"/>
      <c r="L71" s="96"/>
      <c r="M71" s="96"/>
      <c r="N71" s="96"/>
      <c r="O71" s="56"/>
      <c r="P71" s="24"/>
      <c r="Q71" s="88"/>
      <c r="R71" s="88"/>
      <c r="S71" s="88"/>
      <c r="T71" s="139"/>
      <c r="U71" s="88"/>
      <c r="V71" s="56"/>
      <c r="W71" s="56"/>
      <c r="X71" s="56"/>
      <c r="Y71" s="56"/>
    </row>
    <row r="72" spans="1:25" x14ac:dyDescent="0.25">
      <c r="A72" s="41"/>
      <c r="B72" s="41"/>
      <c r="C72" s="41"/>
      <c r="D72" s="44"/>
      <c r="E72" s="44"/>
      <c r="F72" s="44"/>
      <c r="G72" s="44"/>
      <c r="H72" s="44"/>
      <c r="I72" s="44"/>
      <c r="J72" s="44"/>
      <c r="K72" s="98"/>
      <c r="L72" s="98"/>
      <c r="M72" s="98"/>
      <c r="N72" s="98"/>
      <c r="O72" s="56"/>
      <c r="P72" s="56"/>
      <c r="Q72" s="88"/>
      <c r="R72" s="88"/>
      <c r="S72" s="88"/>
      <c r="T72" s="88"/>
      <c r="U72" s="88"/>
      <c r="V72" s="56"/>
      <c r="W72" s="56"/>
      <c r="X72" s="56"/>
      <c r="Y72" s="56"/>
    </row>
    <row r="73" spans="1:25" x14ac:dyDescent="0.25">
      <c r="A73" s="43" t="s">
        <v>27</v>
      </c>
      <c r="B73" s="41"/>
      <c r="C73" s="41"/>
      <c r="D73" s="41"/>
      <c r="E73" s="41"/>
      <c r="F73" s="41"/>
      <c r="G73" s="41"/>
      <c r="H73" s="41"/>
      <c r="I73" s="41"/>
      <c r="J73" s="41"/>
      <c r="K73" s="88"/>
      <c r="L73" s="88"/>
      <c r="M73" s="88"/>
      <c r="N73" s="88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</row>
    <row r="74" spans="1:25" x14ac:dyDescent="0.25">
      <c r="A74" s="36"/>
      <c r="B74" s="41"/>
      <c r="C74" s="41"/>
      <c r="D74" s="41"/>
      <c r="E74" s="41"/>
      <c r="F74" s="41"/>
      <c r="G74" s="41"/>
      <c r="H74" s="41"/>
      <c r="I74" s="41"/>
      <c r="J74" s="41"/>
      <c r="K74" s="88"/>
      <c r="L74" s="88"/>
      <c r="M74" s="88"/>
      <c r="N74" s="88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</row>
    <row r="75" spans="1:25" x14ac:dyDescent="0.25">
      <c r="A75" s="43" t="s">
        <v>28</v>
      </c>
      <c r="B75" s="41"/>
      <c r="C75" s="41"/>
      <c r="D75" s="41"/>
      <c r="E75" s="41"/>
      <c r="F75" s="41"/>
      <c r="G75" s="41"/>
      <c r="H75" s="41"/>
      <c r="I75" s="41"/>
      <c r="J75" s="41"/>
      <c r="K75" s="88"/>
      <c r="L75" s="88"/>
      <c r="M75" s="88"/>
      <c r="N75" s="88"/>
      <c r="O75" s="56"/>
    </row>
    <row r="76" spans="1:25" x14ac:dyDescent="0.25">
      <c r="A76" s="36"/>
      <c r="B76" s="41" t="s">
        <v>48</v>
      </c>
      <c r="C76" s="41"/>
      <c r="D76" s="44">
        <f>D20-D25-D33</f>
        <v>98460</v>
      </c>
      <c r="E76" s="44">
        <f t="shared" ref="E76:I76" si="39">E20-E25-E33</f>
        <v>125086.5</v>
      </c>
      <c r="F76" s="44">
        <f t="shared" si="39"/>
        <v>157674.64387500004</v>
      </c>
      <c r="G76" s="44">
        <f t="shared" si="39"/>
        <v>193459.96954068745</v>
      </c>
      <c r="H76" s="44">
        <f t="shared" si="39"/>
        <v>239218.38402733096</v>
      </c>
      <c r="I76" s="44">
        <f t="shared" si="39"/>
        <v>251794.22011261177</v>
      </c>
      <c r="J76" s="44">
        <f>J20-J25-J33</f>
        <v>264790.25674962706</v>
      </c>
      <c r="K76" s="88"/>
      <c r="L76" s="88"/>
      <c r="M76" s="98"/>
      <c r="N76" s="88"/>
      <c r="O76" s="56"/>
    </row>
    <row r="77" spans="1:25" x14ac:dyDescent="0.25">
      <c r="A77" s="36"/>
      <c r="B77" s="41" t="s">
        <v>49</v>
      </c>
      <c r="C77" s="41"/>
      <c r="D77" s="44">
        <f>D35+D36</f>
        <v>68666.666666666657</v>
      </c>
      <c r="E77" s="44">
        <f t="shared" ref="E77:I77" si="40">E35+E36</f>
        <v>68666.666666666657</v>
      </c>
      <c r="F77" s="44">
        <f t="shared" si="40"/>
        <v>68666.666666666657</v>
      </c>
      <c r="G77" s="44">
        <f t="shared" si="40"/>
        <v>68666.666666666657</v>
      </c>
      <c r="H77" s="44">
        <f t="shared" si="40"/>
        <v>68666.666666666657</v>
      </c>
      <c r="I77" s="44">
        <f t="shared" si="40"/>
        <v>46666.666666666664</v>
      </c>
      <c r="J77" s="44">
        <f>J35+J36</f>
        <v>46666.666666666664</v>
      </c>
      <c r="K77" s="88"/>
      <c r="L77" s="88"/>
      <c r="M77" s="98"/>
      <c r="N77" s="88"/>
      <c r="O77" s="56"/>
    </row>
    <row r="78" spans="1:25" x14ac:dyDescent="0.25">
      <c r="A78" s="36"/>
      <c r="B78" s="41" t="s">
        <v>50</v>
      </c>
      <c r="C78" s="41"/>
      <c r="D78" s="44">
        <f>D76-D77</f>
        <v>29793.333333333343</v>
      </c>
      <c r="E78" s="44">
        <f t="shared" ref="E78:I78" si="41">E76-E77</f>
        <v>56419.833333333343</v>
      </c>
      <c r="F78" s="44">
        <f t="shared" si="41"/>
        <v>89007.977208333381</v>
      </c>
      <c r="G78" s="44">
        <f t="shared" si="41"/>
        <v>124793.3028740208</v>
      </c>
      <c r="H78" s="44">
        <f t="shared" si="41"/>
        <v>170551.7173606643</v>
      </c>
      <c r="I78" s="44">
        <f t="shared" si="41"/>
        <v>205127.55344594512</v>
      </c>
      <c r="J78" s="44">
        <f>J76-J77</f>
        <v>218123.59008296041</v>
      </c>
      <c r="K78" s="88"/>
      <c r="L78" s="88"/>
      <c r="M78" s="98"/>
      <c r="N78" s="88"/>
      <c r="O78" s="56"/>
    </row>
    <row r="79" spans="1:25" x14ac:dyDescent="0.25">
      <c r="A79" s="36"/>
      <c r="B79" s="41" t="s">
        <v>51</v>
      </c>
      <c r="C79" s="41"/>
      <c r="D79" s="37">
        <f t="shared" ref="D79:J79" si="42">D78*$K$41</f>
        <v>5958.6666666666688</v>
      </c>
      <c r="E79" s="37">
        <f t="shared" si="42"/>
        <v>11283.966666666669</v>
      </c>
      <c r="F79" s="37">
        <f t="shared" si="42"/>
        <v>17801.595441666675</v>
      </c>
      <c r="G79" s="37">
        <f t="shared" si="42"/>
        <v>24958.660574804162</v>
      </c>
      <c r="H79" s="37">
        <f t="shared" si="42"/>
        <v>34110.343472132859</v>
      </c>
      <c r="I79" s="37">
        <f t="shared" si="42"/>
        <v>41025.510689189025</v>
      </c>
      <c r="J79" s="37">
        <f t="shared" si="42"/>
        <v>43624.718016592087</v>
      </c>
      <c r="K79" s="88"/>
      <c r="L79" s="88"/>
      <c r="M79" s="96"/>
      <c r="N79" s="88"/>
      <c r="O79" s="56"/>
    </row>
    <row r="80" spans="1:25" x14ac:dyDescent="0.25">
      <c r="A80" s="36"/>
      <c r="B80" s="41" t="s">
        <v>52</v>
      </c>
      <c r="C80" s="41"/>
      <c r="D80" s="44">
        <f t="shared" ref="D80:I80" si="43">D77</f>
        <v>68666.666666666657</v>
      </c>
      <c r="E80" s="44">
        <f t="shared" si="43"/>
        <v>68666.666666666657</v>
      </c>
      <c r="F80" s="44">
        <f t="shared" si="43"/>
        <v>68666.666666666657</v>
      </c>
      <c r="G80" s="44">
        <f t="shared" si="43"/>
        <v>68666.666666666657</v>
      </c>
      <c r="H80" s="44">
        <f t="shared" si="43"/>
        <v>68666.666666666657</v>
      </c>
      <c r="I80" s="44">
        <f t="shared" si="43"/>
        <v>46666.666666666664</v>
      </c>
      <c r="J80" s="44">
        <f>J77</f>
        <v>46666.666666666664</v>
      </c>
      <c r="K80" s="88"/>
      <c r="L80" s="88"/>
      <c r="M80" s="98"/>
      <c r="N80" s="88"/>
      <c r="O80" s="56"/>
    </row>
    <row r="81" spans="1:15" x14ac:dyDescent="0.25">
      <c r="A81" s="36"/>
      <c r="B81" s="46" t="s">
        <v>29</v>
      </c>
      <c r="C81" s="5"/>
      <c r="D81" s="11">
        <f>D78-D79+D80</f>
        <v>92501.333333333328</v>
      </c>
      <c r="E81" s="11">
        <f t="shared" ref="E81:I81" si="44">E78-E79+E80</f>
        <v>113802.53333333333</v>
      </c>
      <c r="F81" s="11">
        <f t="shared" si="44"/>
        <v>139873.04843333334</v>
      </c>
      <c r="G81" s="11">
        <f t="shared" si="44"/>
        <v>168501.30896588328</v>
      </c>
      <c r="H81" s="11">
        <f t="shared" si="44"/>
        <v>205108.04055519809</v>
      </c>
      <c r="I81" s="11">
        <f t="shared" si="44"/>
        <v>210768.70942342276</v>
      </c>
      <c r="J81" s="87">
        <f>J78-J79+J80</f>
        <v>221165.53873303498</v>
      </c>
      <c r="K81" s="88"/>
      <c r="L81" s="88"/>
      <c r="M81" s="98"/>
      <c r="N81" s="88"/>
      <c r="O81" s="56"/>
    </row>
    <row r="82" spans="1:15" x14ac:dyDescent="0.25">
      <c r="A82" s="36"/>
      <c r="B82" s="41"/>
      <c r="C82" s="41"/>
      <c r="D82" s="41"/>
      <c r="E82" s="41"/>
      <c r="F82" s="41"/>
      <c r="G82" s="41"/>
      <c r="H82" s="41"/>
      <c r="I82" s="41"/>
      <c r="J82" s="41"/>
      <c r="K82" s="88"/>
      <c r="L82" s="88"/>
      <c r="M82" s="88"/>
      <c r="N82" s="88"/>
      <c r="O82" s="56"/>
    </row>
    <row r="83" spans="1:15" x14ac:dyDescent="0.25">
      <c r="A83" s="43" t="s">
        <v>30</v>
      </c>
      <c r="B83" s="41"/>
      <c r="C83" s="41"/>
      <c r="D83" s="41"/>
      <c r="E83" s="41"/>
      <c r="F83" s="41"/>
      <c r="G83" s="41"/>
      <c r="H83" s="41"/>
      <c r="I83" s="41"/>
      <c r="J83" s="41"/>
      <c r="K83" s="88"/>
      <c r="L83" s="88"/>
      <c r="M83" s="88"/>
      <c r="N83" s="88"/>
      <c r="O83" s="56"/>
    </row>
    <row r="84" spans="1:15" x14ac:dyDescent="0.25">
      <c r="A84" s="36"/>
      <c r="B84" s="41" t="s">
        <v>31</v>
      </c>
      <c r="C84" s="44">
        <f>-D52</f>
        <v>-1400000</v>
      </c>
      <c r="D84" s="41"/>
      <c r="E84" s="41"/>
      <c r="F84" s="41"/>
      <c r="G84" s="41"/>
      <c r="H84" s="41"/>
      <c r="I84" s="41"/>
      <c r="J84" s="41"/>
      <c r="K84" s="88"/>
      <c r="L84" s="88"/>
      <c r="M84" s="88"/>
      <c r="N84" s="88"/>
      <c r="O84" s="56"/>
    </row>
    <row r="85" spans="1:15" x14ac:dyDescent="0.25">
      <c r="A85" s="36"/>
      <c r="B85" s="47" t="s">
        <v>32</v>
      </c>
      <c r="C85" s="44"/>
      <c r="D85" s="41"/>
      <c r="E85" s="41"/>
      <c r="F85" s="41"/>
      <c r="G85" s="41"/>
      <c r="H85" s="41"/>
      <c r="I85" s="41"/>
      <c r="J85" s="37">
        <f>-C84*K85</f>
        <v>2100000</v>
      </c>
      <c r="K85" s="93">
        <v>1.5</v>
      </c>
      <c r="L85" s="88" t="s">
        <v>84</v>
      </c>
      <c r="M85" s="88"/>
      <c r="N85" s="88"/>
      <c r="O85" s="56"/>
    </row>
    <row r="86" spans="1:15" x14ac:dyDescent="0.25">
      <c r="A86" s="36"/>
      <c r="B86" s="48" t="s">
        <v>100</v>
      </c>
      <c r="C86" s="44"/>
      <c r="D86" s="41"/>
      <c r="E86" s="41"/>
      <c r="F86" s="41"/>
      <c r="G86" s="41"/>
      <c r="H86" s="41"/>
      <c r="I86" s="41"/>
      <c r="J86" s="37">
        <f>-L88*K41</f>
        <v>-205333.33333333337</v>
      </c>
      <c r="K86" s="93"/>
      <c r="L86" s="88"/>
      <c r="M86" s="88"/>
      <c r="N86" s="88"/>
      <c r="O86" s="56"/>
    </row>
    <row r="87" spans="1:15" x14ac:dyDescent="0.25">
      <c r="A87" s="36"/>
      <c r="B87" s="41" t="s">
        <v>87</v>
      </c>
      <c r="C87" s="44">
        <f>-D56</f>
        <v>-600000</v>
      </c>
      <c r="D87" s="41"/>
      <c r="E87" s="41"/>
      <c r="F87" s="41"/>
      <c r="G87" s="41"/>
      <c r="H87" s="41"/>
      <c r="I87" s="41"/>
      <c r="J87" s="37"/>
      <c r="K87" s="93" t="s">
        <v>94</v>
      </c>
      <c r="L87" s="98">
        <f>J52-J53</f>
        <v>1073333.3333333333</v>
      </c>
      <c r="M87" s="88"/>
      <c r="N87" s="88"/>
      <c r="O87" s="56"/>
    </row>
    <row r="88" spans="1:15" x14ac:dyDescent="0.25">
      <c r="A88" s="36"/>
      <c r="B88" s="47" t="s">
        <v>88</v>
      </c>
      <c r="C88" s="41"/>
      <c r="D88" s="41"/>
      <c r="E88" s="41"/>
      <c r="F88" s="41"/>
      <c r="G88" s="37"/>
      <c r="H88" s="37"/>
      <c r="I88" s="37"/>
      <c r="J88" s="37">
        <f>-C87</f>
        <v>600000</v>
      </c>
      <c r="K88" s="93" t="s">
        <v>95</v>
      </c>
      <c r="L88" s="98">
        <f>J85-L87</f>
        <v>1026666.6666666667</v>
      </c>
      <c r="M88" s="96"/>
      <c r="N88" s="88"/>
      <c r="O88" s="56"/>
    </row>
    <row r="89" spans="1:15" x14ac:dyDescent="0.25">
      <c r="A89" s="36"/>
      <c r="B89" s="49" t="s">
        <v>98</v>
      </c>
      <c r="C89" s="41"/>
      <c r="D89" s="41"/>
      <c r="E89" s="41"/>
      <c r="F89" s="41"/>
      <c r="G89" s="37"/>
      <c r="H89" s="37"/>
      <c r="I89" s="37"/>
      <c r="J89" s="37">
        <f>-J88*K41</f>
        <v>-120000</v>
      </c>
      <c r="K89" s="93"/>
      <c r="L89" s="98"/>
      <c r="M89" s="96"/>
      <c r="N89" s="88"/>
      <c r="O89" s="56"/>
    </row>
    <row r="90" spans="1:15" x14ac:dyDescent="0.25">
      <c r="A90" s="36"/>
      <c r="B90" s="50" t="s">
        <v>89</v>
      </c>
      <c r="C90" s="44">
        <f>-D54</f>
        <v>-110000</v>
      </c>
      <c r="D90" s="41"/>
      <c r="E90" s="41"/>
      <c r="F90" s="41"/>
      <c r="G90" s="37"/>
      <c r="H90" s="37"/>
      <c r="I90" s="37"/>
      <c r="J90" s="41"/>
      <c r="K90" s="88"/>
      <c r="L90" s="88"/>
      <c r="M90" s="96"/>
      <c r="N90" s="88"/>
      <c r="O90" s="56"/>
    </row>
    <row r="91" spans="1:15" x14ac:dyDescent="0.25">
      <c r="A91" s="36"/>
      <c r="B91" s="47" t="s">
        <v>90</v>
      </c>
      <c r="C91" s="41"/>
      <c r="D91" s="41"/>
      <c r="E91" s="41"/>
      <c r="F91" s="41"/>
      <c r="G91" s="37"/>
      <c r="H91" s="37"/>
      <c r="I91" s="37"/>
      <c r="J91" s="210">
        <v>0</v>
      </c>
      <c r="K91" s="88"/>
      <c r="L91" s="88"/>
      <c r="M91" s="96"/>
      <c r="N91" s="88"/>
      <c r="O91" s="56"/>
    </row>
    <row r="92" spans="1:15" x14ac:dyDescent="0.25">
      <c r="A92" s="43" t="s">
        <v>33</v>
      </c>
      <c r="B92" s="41"/>
      <c r="C92" s="41"/>
      <c r="D92" s="41"/>
      <c r="E92" s="41"/>
      <c r="F92" s="41"/>
      <c r="G92" s="41"/>
      <c r="H92" s="41"/>
      <c r="I92" s="41"/>
      <c r="J92" s="41"/>
      <c r="K92" s="88"/>
      <c r="L92" s="88"/>
      <c r="M92" s="88"/>
      <c r="N92" s="88"/>
      <c r="O92" s="56"/>
    </row>
    <row r="93" spans="1:15" x14ac:dyDescent="0.25">
      <c r="A93" s="52" t="s">
        <v>53</v>
      </c>
      <c r="B93" s="41" t="s">
        <v>14</v>
      </c>
      <c r="C93" s="41"/>
      <c r="D93" s="37">
        <f t="shared" ref="D93:I94" si="45">-(D49-C49)</f>
        <v>-4931.5068493150684</v>
      </c>
      <c r="E93" s="37">
        <f>-(E49-D49)</f>
        <v>-845.29109589041127</v>
      </c>
      <c r="F93" s="37">
        <f t="shared" si="45"/>
        <v>-966.76412671232811</v>
      </c>
      <c r="G93" s="37">
        <f t="shared" si="45"/>
        <v>-691.21511237157665</v>
      </c>
      <c r="H93" s="37">
        <f t="shared" si="45"/>
        <v>-853.14068189720729</v>
      </c>
      <c r="I93" s="37">
        <f t="shared" si="45"/>
        <v>-949.9228938936958</v>
      </c>
      <c r="J93" s="37">
        <f>-(J49-I49)</f>
        <v>-1057.5821500602797</v>
      </c>
      <c r="K93" s="88"/>
      <c r="L93" s="88"/>
      <c r="M93" s="96"/>
      <c r="N93" s="88"/>
      <c r="O93" s="56"/>
    </row>
    <row r="94" spans="1:15" x14ac:dyDescent="0.25">
      <c r="A94" s="52" t="s">
        <v>53</v>
      </c>
      <c r="B94" s="41" t="s">
        <v>15</v>
      </c>
      <c r="C94" s="41"/>
      <c r="D94" s="37">
        <f t="shared" si="45"/>
        <v>-8087.6712328767126</v>
      </c>
      <c r="E94" s="37">
        <f t="shared" si="45"/>
        <v>826.96438356164435</v>
      </c>
      <c r="F94" s="37">
        <f t="shared" si="45"/>
        <v>742.40727534246616</v>
      </c>
      <c r="G94" s="37">
        <f t="shared" si="45"/>
        <v>666.49613143869828</v>
      </c>
      <c r="H94" s="37">
        <f t="shared" si="45"/>
        <v>598.34690199909073</v>
      </c>
      <c r="I94" s="37">
        <f t="shared" si="45"/>
        <v>537.16593126968382</v>
      </c>
      <c r="J94" s="37">
        <f>-(J50-I50)</f>
        <v>482.24071479735994</v>
      </c>
      <c r="K94" s="88"/>
      <c r="L94" s="88"/>
      <c r="M94" s="96"/>
      <c r="N94" s="88"/>
      <c r="O94" s="56"/>
    </row>
    <row r="95" spans="1:15" x14ac:dyDescent="0.25">
      <c r="A95" s="52" t="s">
        <v>54</v>
      </c>
      <c r="B95" s="41" t="s">
        <v>19</v>
      </c>
      <c r="C95" s="41"/>
      <c r="D95" s="44">
        <f t="shared" ref="D95:I95" si="46">(D61-C61)</f>
        <v>5391.7808219178087</v>
      </c>
      <c r="E95" s="44">
        <f t="shared" si="46"/>
        <v>-296.54794520547966</v>
      </c>
      <c r="F95" s="44">
        <f t="shared" si="46"/>
        <v>-280.23780821917899</v>
      </c>
      <c r="G95" s="44">
        <f t="shared" si="46"/>
        <v>-264.82472876712291</v>
      </c>
      <c r="H95" s="44">
        <f t="shared" si="46"/>
        <v>-35.26382013287548</v>
      </c>
      <c r="I95" s="44">
        <f t="shared" si="46"/>
        <v>-45.149065195931144</v>
      </c>
      <c r="J95" s="44">
        <f>(J61-I61)</f>
        <v>-53.840260246148318</v>
      </c>
      <c r="K95" s="88"/>
      <c r="L95" s="88"/>
      <c r="M95" s="98"/>
      <c r="N95" s="88"/>
      <c r="O95" s="56"/>
    </row>
    <row r="96" spans="1:15" x14ac:dyDescent="0.25">
      <c r="A96" s="52" t="s">
        <v>54</v>
      </c>
      <c r="B96" s="41" t="s">
        <v>55</v>
      </c>
      <c r="C96" s="41"/>
      <c r="D96" s="44">
        <f t="shared" ref="D96:I96" si="47">(D79-C79)</f>
        <v>5958.6666666666688</v>
      </c>
      <c r="E96" s="44">
        <f t="shared" si="47"/>
        <v>5325.3</v>
      </c>
      <c r="F96" s="44">
        <f t="shared" si="47"/>
        <v>6517.6287750000065</v>
      </c>
      <c r="G96" s="44">
        <f t="shared" si="47"/>
        <v>7157.0651331374866</v>
      </c>
      <c r="H96" s="44">
        <f t="shared" si="47"/>
        <v>9151.6828973286974</v>
      </c>
      <c r="I96" s="44">
        <f t="shared" si="47"/>
        <v>6915.1672170561651</v>
      </c>
      <c r="J96" s="44">
        <f>(I79-J79)</f>
        <v>-2599.2073274030627</v>
      </c>
      <c r="K96" s="88"/>
      <c r="L96" s="88"/>
      <c r="M96" s="98"/>
      <c r="N96" s="88"/>
      <c r="O96" s="56"/>
    </row>
    <row r="97" spans="1:16" x14ac:dyDescent="0.25">
      <c r="A97" s="36"/>
      <c r="B97" s="41"/>
      <c r="C97" s="41"/>
      <c r="D97" s="41"/>
      <c r="E97" s="41"/>
      <c r="F97" s="41"/>
      <c r="G97" s="41"/>
      <c r="H97" s="41"/>
      <c r="I97" s="41"/>
      <c r="J97" s="41"/>
      <c r="K97" s="88"/>
      <c r="L97" s="88"/>
      <c r="M97" s="88"/>
      <c r="N97" s="88"/>
      <c r="O97" s="56"/>
    </row>
    <row r="98" spans="1:16" x14ac:dyDescent="0.25">
      <c r="A98" s="43" t="s">
        <v>34</v>
      </c>
      <c r="B98" s="41"/>
      <c r="C98" s="41"/>
      <c r="D98" s="41"/>
      <c r="E98" s="41"/>
      <c r="F98" s="41"/>
      <c r="G98" s="41"/>
      <c r="H98" s="41"/>
      <c r="I98" s="41"/>
      <c r="J98" s="41"/>
      <c r="K98" s="88"/>
      <c r="L98" s="88"/>
      <c r="M98" s="88"/>
      <c r="N98" s="88"/>
      <c r="O98" s="56"/>
    </row>
    <row r="99" spans="1:16" x14ac:dyDescent="0.25">
      <c r="A99" s="52" t="s">
        <v>54</v>
      </c>
      <c r="B99" s="41" t="s">
        <v>14</v>
      </c>
      <c r="C99" s="41"/>
      <c r="D99" s="41"/>
      <c r="E99" s="41"/>
      <c r="F99" s="41"/>
      <c r="G99" s="44"/>
      <c r="H99" s="44"/>
      <c r="I99" s="44"/>
      <c r="J99" s="44">
        <f>J49</f>
        <v>10295.422910140567</v>
      </c>
      <c r="K99" s="88"/>
      <c r="L99" s="88"/>
      <c r="M99" s="98"/>
      <c r="N99" s="88"/>
      <c r="O99" s="56"/>
    </row>
    <row r="100" spans="1:16" x14ac:dyDescent="0.25">
      <c r="A100" s="52" t="s">
        <v>54</v>
      </c>
      <c r="B100" s="41" t="s">
        <v>15</v>
      </c>
      <c r="C100" s="41"/>
      <c r="D100" s="41"/>
      <c r="E100" s="41"/>
      <c r="F100" s="41"/>
      <c r="G100" s="44"/>
      <c r="H100" s="44"/>
      <c r="I100" s="44"/>
      <c r="J100" s="44">
        <f>J50</f>
        <v>4234.0498944677693</v>
      </c>
      <c r="K100" s="88"/>
      <c r="L100" s="88"/>
      <c r="M100" s="98"/>
      <c r="N100" s="88"/>
      <c r="O100" s="56"/>
    </row>
    <row r="101" spans="1:16" x14ac:dyDescent="0.25">
      <c r="A101" s="52" t="s">
        <v>53</v>
      </c>
      <c r="B101" s="41" t="s">
        <v>19</v>
      </c>
      <c r="C101" s="41"/>
      <c r="D101" s="41"/>
      <c r="E101" s="41"/>
      <c r="F101" s="41"/>
      <c r="G101" s="44"/>
      <c r="H101" s="44"/>
      <c r="I101" s="44"/>
      <c r="J101" s="44">
        <f>-J61</f>
        <v>-4415.9171941510722</v>
      </c>
      <c r="K101" s="88"/>
      <c r="L101" s="88"/>
      <c r="M101" s="98"/>
      <c r="N101" s="88"/>
      <c r="O101" s="56"/>
    </row>
    <row r="102" spans="1:16" x14ac:dyDescent="0.25">
      <c r="A102" s="52" t="s">
        <v>53</v>
      </c>
      <c r="B102" s="41" t="s">
        <v>55</v>
      </c>
      <c r="C102" s="41"/>
      <c r="D102" s="41"/>
      <c r="E102" s="41"/>
      <c r="F102" s="41"/>
      <c r="G102" s="44"/>
      <c r="H102" s="44"/>
      <c r="I102" s="44"/>
      <c r="J102" s="44">
        <f>-J79</f>
        <v>-43624.718016592087</v>
      </c>
      <c r="K102" s="88"/>
      <c r="L102" s="88"/>
      <c r="M102" s="98"/>
      <c r="N102" s="88"/>
      <c r="O102" s="56"/>
    </row>
    <row r="103" spans="1:16" x14ac:dyDescent="0.25">
      <c r="A103" s="36"/>
      <c r="B103" s="41"/>
      <c r="C103" s="41"/>
      <c r="D103" s="41"/>
      <c r="E103" s="41"/>
      <c r="F103" s="41"/>
      <c r="G103" s="41"/>
      <c r="H103" s="41"/>
      <c r="I103" s="41"/>
      <c r="J103" s="41"/>
      <c r="K103" s="88"/>
      <c r="L103" s="88"/>
      <c r="M103" s="88"/>
      <c r="N103" s="88"/>
      <c r="O103" s="56"/>
    </row>
    <row r="104" spans="1:16" x14ac:dyDescent="0.25">
      <c r="A104" s="43" t="s">
        <v>35</v>
      </c>
      <c r="B104" s="41"/>
      <c r="C104" s="37">
        <f t="shared" ref="C104:I104" si="48">SUM(C81:C102)</f>
        <v>-2110000</v>
      </c>
      <c r="D104" s="37">
        <f t="shared" si="48"/>
        <v>90832.602739726033</v>
      </c>
      <c r="E104" s="37">
        <f t="shared" si="48"/>
        <v>118812.95867579908</v>
      </c>
      <c r="F104" s="37">
        <f t="shared" si="48"/>
        <v>145886.08254874431</v>
      </c>
      <c r="G104" s="37">
        <f t="shared" si="48"/>
        <v>175368.83038932076</v>
      </c>
      <c r="H104" s="37">
        <f t="shared" si="48"/>
        <v>213969.66585249579</v>
      </c>
      <c r="I104" s="37">
        <f t="shared" si="48"/>
        <v>217225.97061265894</v>
      </c>
      <c r="J104" s="37">
        <f>SUM(J81:J102)</f>
        <v>2559092.6539706541</v>
      </c>
      <c r="K104" s="139"/>
      <c r="L104" s="88"/>
      <c r="M104" s="96"/>
      <c r="N104" s="88"/>
      <c r="O104" s="56"/>
    </row>
    <row r="105" spans="1:16" x14ac:dyDescent="0.25">
      <c r="A105" s="43" t="s">
        <v>36</v>
      </c>
      <c r="B105" s="41"/>
      <c r="C105" s="37">
        <f t="shared" ref="C105:I105" si="49">-PV($C$107,C106,,C104)</f>
        <v>-2110000</v>
      </c>
      <c r="D105" s="37">
        <f t="shared" si="49"/>
        <v>83478.175479943049</v>
      </c>
      <c r="E105" s="37">
        <f t="shared" si="49"/>
        <v>100352.0364784455</v>
      </c>
      <c r="F105" s="37">
        <f t="shared" si="49"/>
        <v>113241.97406967342</v>
      </c>
      <c r="G105" s="37">
        <f t="shared" si="49"/>
        <v>125105.71931469538</v>
      </c>
      <c r="H105" s="37">
        <f t="shared" si="49"/>
        <v>140284.00525818285</v>
      </c>
      <c r="I105" s="37">
        <f t="shared" si="49"/>
        <v>130887.71458881364</v>
      </c>
      <c r="J105" s="37">
        <f>-PV($C$107,J106,,J104)</f>
        <v>1417112.5299832819</v>
      </c>
      <c r="K105" s="88"/>
      <c r="L105" s="88"/>
      <c r="M105" s="96"/>
      <c r="N105" s="88"/>
      <c r="O105" s="56"/>
    </row>
    <row r="106" spans="1:16" x14ac:dyDescent="0.25">
      <c r="A106" s="36"/>
      <c r="B106" s="41"/>
      <c r="C106" s="41">
        <v>0</v>
      </c>
      <c r="D106" s="41">
        <v>1</v>
      </c>
      <c r="E106" s="41">
        <v>2</v>
      </c>
      <c r="F106" s="41">
        <v>3</v>
      </c>
      <c r="G106" s="41">
        <v>4</v>
      </c>
      <c r="H106" s="41">
        <v>5</v>
      </c>
      <c r="I106" s="41">
        <v>6</v>
      </c>
      <c r="J106" s="41">
        <v>7</v>
      </c>
      <c r="K106" s="88"/>
      <c r="L106" s="88"/>
      <c r="M106" s="88"/>
      <c r="N106" s="88"/>
      <c r="O106" s="56"/>
    </row>
    <row r="107" spans="1:16" x14ac:dyDescent="0.25">
      <c r="A107" s="36" t="s">
        <v>56</v>
      </c>
      <c r="B107" s="41"/>
      <c r="C107" s="60">
        <v>8.8099999999999998E-2</v>
      </c>
      <c r="D107" s="41"/>
      <c r="E107" s="41"/>
      <c r="F107" s="41"/>
      <c r="G107" s="41"/>
      <c r="H107" s="41"/>
      <c r="I107" s="41"/>
      <c r="J107" s="41"/>
      <c r="K107" s="88"/>
      <c r="L107" s="88"/>
      <c r="M107" s="88"/>
      <c r="N107" s="88"/>
      <c r="O107" s="56"/>
    </row>
    <row r="108" spans="1:16" x14ac:dyDescent="0.25">
      <c r="A108" s="43" t="s">
        <v>37</v>
      </c>
      <c r="B108" s="41"/>
      <c r="C108" s="11">
        <f>SUM(C105:J105)</f>
        <v>462.15517303533852</v>
      </c>
      <c r="D108" s="53"/>
      <c r="E108" s="41"/>
      <c r="F108" s="41"/>
      <c r="G108" s="41"/>
      <c r="H108" s="41"/>
      <c r="I108" s="41"/>
      <c r="J108" s="41"/>
      <c r="K108" s="88"/>
      <c r="L108" s="88"/>
      <c r="M108" s="88"/>
      <c r="N108" s="88"/>
      <c r="O108" s="56"/>
    </row>
    <row r="109" spans="1:16" x14ac:dyDescent="0.25">
      <c r="A109" s="43" t="s">
        <v>38</v>
      </c>
      <c r="B109" s="41"/>
      <c r="C109" s="85">
        <f>IRR(C104:J104)</f>
        <v>8.8140136127045743E-2</v>
      </c>
      <c r="D109" s="41"/>
      <c r="E109" s="41"/>
      <c r="F109" s="41"/>
      <c r="G109" s="41"/>
      <c r="H109" s="41"/>
      <c r="I109" s="41"/>
      <c r="J109" s="41"/>
      <c r="K109" s="88"/>
      <c r="L109" s="88"/>
      <c r="M109" s="88"/>
      <c r="N109" s="88"/>
      <c r="O109" s="56"/>
    </row>
    <row r="110" spans="1:16" x14ac:dyDescent="0.25">
      <c r="A110" s="68"/>
      <c r="B110" s="68"/>
      <c r="C110" s="68"/>
      <c r="D110" s="68"/>
      <c r="E110" s="68"/>
      <c r="F110" s="68"/>
      <c r="G110" s="68"/>
      <c r="H110" s="68"/>
      <c r="I110" s="56"/>
      <c r="J110" s="56"/>
      <c r="K110" s="56"/>
      <c r="L110" s="56"/>
      <c r="M110" s="56"/>
      <c r="N110" s="56"/>
      <c r="O110" s="56"/>
    </row>
    <row r="111" spans="1:16" x14ac:dyDescent="0.25">
      <c r="A111" s="74"/>
      <c r="B111" s="91"/>
      <c r="C111" s="92"/>
      <c r="D111" s="77">
        <v>1</v>
      </c>
      <c r="E111" s="77">
        <v>2</v>
      </c>
      <c r="F111" s="77">
        <v>3</v>
      </c>
      <c r="G111" s="92">
        <v>4</v>
      </c>
      <c r="H111" s="77">
        <v>5</v>
      </c>
      <c r="I111" s="77">
        <v>6</v>
      </c>
      <c r="J111" s="77">
        <v>7</v>
      </c>
      <c r="M111" s="64"/>
      <c r="N111" s="64"/>
      <c r="O111" s="64"/>
      <c r="P111" s="64"/>
    </row>
    <row r="112" spans="1:16" ht="15.75" thickBot="1" x14ac:dyDescent="0.3">
      <c r="A112" s="184"/>
      <c r="B112" s="112" t="s">
        <v>147</v>
      </c>
      <c r="C112" s="107"/>
      <c r="D112" s="107"/>
      <c r="E112" s="107"/>
      <c r="F112" s="107"/>
      <c r="G112" s="107"/>
      <c r="H112" s="107"/>
      <c r="I112" s="108"/>
      <c r="K112" s="116" t="s">
        <v>148</v>
      </c>
      <c r="L112" s="116"/>
      <c r="M112" s="96"/>
      <c r="N112" s="96"/>
      <c r="O112" s="64"/>
      <c r="P112" s="64"/>
    </row>
    <row r="113" spans="1:16" ht="15.75" thickTop="1" x14ac:dyDescent="0.25">
      <c r="A113" s="68"/>
      <c r="B113" s="113">
        <v>0.3</v>
      </c>
      <c r="C113" s="95"/>
      <c r="D113" s="114"/>
      <c r="E113" s="114"/>
      <c r="F113" s="114"/>
      <c r="G113" s="114"/>
      <c r="H113" s="114"/>
      <c r="I113" s="108"/>
      <c r="J113" s="96"/>
      <c r="K113" s="8">
        <v>0.3</v>
      </c>
      <c r="L113" s="1" t="s">
        <v>149</v>
      </c>
      <c r="M113" s="64"/>
      <c r="N113" s="64"/>
      <c r="O113" s="64"/>
      <c r="P113" s="64"/>
    </row>
    <row r="114" spans="1:16" x14ac:dyDescent="0.25">
      <c r="A114" s="68"/>
      <c r="B114" s="68" t="str">
        <f>$A$75</f>
        <v>Cash from Operations</v>
      </c>
      <c r="C114" s="95"/>
      <c r="D114" s="71">
        <f>D$81*(1+$K$113)</f>
        <v>120251.73333333334</v>
      </c>
      <c r="E114" s="71">
        <f>E$81*(1+$K$113)</f>
        <v>147943.29333333333</v>
      </c>
      <c r="F114" s="71">
        <f>F$81*(1+$K$113)</f>
        <v>181834.96296333335</v>
      </c>
      <c r="G114" s="71">
        <f>G$81*(1+$K$113)</f>
        <v>219051.70165564827</v>
      </c>
      <c r="H114" s="71">
        <f>H$81*(1+$K$113)</f>
        <v>266640.45272175752</v>
      </c>
      <c r="I114" s="71"/>
      <c r="J114" s="71"/>
      <c r="K114" s="8">
        <v>0.2</v>
      </c>
      <c r="L114" s="1" t="s">
        <v>150</v>
      </c>
      <c r="M114" s="64"/>
      <c r="N114" s="64"/>
      <c r="O114" s="64"/>
      <c r="P114" s="64"/>
    </row>
    <row r="115" spans="1:16" x14ac:dyDescent="0.25">
      <c r="A115" s="68"/>
      <c r="B115" s="100" t="s">
        <v>151</v>
      </c>
      <c r="C115" s="95"/>
      <c r="D115" s="71"/>
      <c r="E115" s="71"/>
      <c r="F115" s="71"/>
      <c r="G115" s="71"/>
      <c r="H115" s="78">
        <f>H114*$K$114</f>
        <v>53328.090544351508</v>
      </c>
      <c r="I115" s="78"/>
      <c r="J115" s="78"/>
      <c r="M115" s="64"/>
      <c r="N115" s="64"/>
      <c r="O115" s="64"/>
      <c r="P115" s="64"/>
    </row>
    <row r="116" spans="1:16" x14ac:dyDescent="0.25">
      <c r="A116" s="68"/>
      <c r="B116" s="68" t="str">
        <f>$A$83</f>
        <v>Cash in/out from Capital Expenditures</v>
      </c>
      <c r="C116" s="71">
        <f>C104</f>
        <v>-2110000</v>
      </c>
      <c r="H116" s="115">
        <v>-100000</v>
      </c>
      <c r="J116" s="96">
        <f>SUM(J85:J91)+K116</f>
        <v>2674666.6666666665</v>
      </c>
      <c r="K116" s="115">
        <v>300000</v>
      </c>
      <c r="L116" s="1" t="s">
        <v>152</v>
      </c>
      <c r="M116" s="64"/>
      <c r="N116" s="64"/>
      <c r="O116" s="64"/>
      <c r="P116" s="64"/>
    </row>
    <row r="117" spans="1:16" x14ac:dyDescent="0.25">
      <c r="A117" s="68"/>
      <c r="B117" s="100" t="s">
        <v>151</v>
      </c>
      <c r="C117" s="95"/>
      <c r="J117" s="56"/>
      <c r="M117" s="72"/>
      <c r="N117" s="72"/>
      <c r="O117" s="64"/>
      <c r="P117" s="64"/>
    </row>
    <row r="118" spans="1:16" x14ac:dyDescent="0.25">
      <c r="A118" s="68"/>
      <c r="B118" s="68" t="str">
        <f>$A$92</f>
        <v>Cash in/out from Changes in Working Capital</v>
      </c>
      <c r="C118" s="97"/>
      <c r="D118" s="72">
        <f t="shared" ref="D118:I118" si="50">SUM(D$93:D$96)</f>
        <v>-1668.7305936073044</v>
      </c>
      <c r="E118" s="72">
        <f t="shared" si="50"/>
        <v>5010.4253424657536</v>
      </c>
      <c r="F118" s="72">
        <f t="shared" si="50"/>
        <v>6013.0341154109656</v>
      </c>
      <c r="G118" s="72">
        <f t="shared" si="50"/>
        <v>6867.5214234374853</v>
      </c>
      <c r="H118" s="72">
        <f t="shared" si="50"/>
        <v>8861.6252972977054</v>
      </c>
      <c r="I118" s="72">
        <f t="shared" si="50"/>
        <v>6457.261189236222</v>
      </c>
      <c r="J118" s="72"/>
      <c r="M118" s="64"/>
      <c r="N118" s="64"/>
      <c r="O118" s="64"/>
      <c r="P118" s="64"/>
    </row>
    <row r="119" spans="1:16" x14ac:dyDescent="0.25">
      <c r="A119" s="68"/>
      <c r="B119" s="100" t="s">
        <v>151</v>
      </c>
      <c r="C119" s="97"/>
      <c r="D119" s="72"/>
      <c r="E119" s="72"/>
      <c r="F119" s="72"/>
      <c r="G119" s="72"/>
      <c r="H119" s="72"/>
      <c r="I119" s="72"/>
      <c r="J119" s="72"/>
      <c r="M119" s="64"/>
      <c r="N119" s="64"/>
      <c r="O119" s="64"/>
      <c r="P119" s="64"/>
    </row>
    <row r="120" spans="1:16" x14ac:dyDescent="0.25">
      <c r="A120" s="68"/>
      <c r="B120" s="68" t="str">
        <f>$A$98</f>
        <v>Cash in/out from Liquidation of Working Capital</v>
      </c>
      <c r="C120" s="95"/>
      <c r="D120" s="95"/>
      <c r="E120" s="95"/>
      <c r="F120" s="95"/>
      <c r="G120" s="95"/>
      <c r="H120" s="95"/>
      <c r="I120" s="108"/>
      <c r="J120" s="98"/>
      <c r="M120" s="64"/>
      <c r="N120" s="64"/>
      <c r="O120" s="64"/>
      <c r="P120" s="64"/>
    </row>
    <row r="121" spans="1:16" x14ac:dyDescent="0.25">
      <c r="A121" s="74"/>
      <c r="B121" s="100" t="s">
        <v>151</v>
      </c>
      <c r="C121" s="107"/>
      <c r="D121" s="107"/>
      <c r="E121" s="107"/>
      <c r="F121" s="107"/>
      <c r="G121" s="107"/>
      <c r="H121" s="107"/>
      <c r="I121" s="108"/>
    </row>
    <row r="122" spans="1:16" ht="15.75" thickBot="1" x14ac:dyDescent="0.3">
      <c r="A122" s="74"/>
      <c r="B122" s="109" t="s">
        <v>144</v>
      </c>
      <c r="C122" s="84">
        <f>SUM(C116:C121)</f>
        <v>-2110000</v>
      </c>
      <c r="D122" s="84">
        <f>SUM(D114:D120)</f>
        <v>118583.00273972603</v>
      </c>
      <c r="E122" s="84">
        <f t="shared" ref="E122:I122" si="51">SUM(E114:E120)</f>
        <v>152953.71867579909</v>
      </c>
      <c r="F122" s="84">
        <f t="shared" si="51"/>
        <v>187847.99707874432</v>
      </c>
      <c r="G122" s="84">
        <f t="shared" si="51"/>
        <v>225919.22307908576</v>
      </c>
      <c r="H122" s="84">
        <f t="shared" si="51"/>
        <v>228830.16856340671</v>
      </c>
      <c r="I122" s="84">
        <f t="shared" si="51"/>
        <v>6457.261189236222</v>
      </c>
      <c r="J122" s="84">
        <f>SUM(J114:J120)</f>
        <v>2674666.6666666665</v>
      </c>
    </row>
    <row r="123" spans="1:16" ht="15.75" thickTop="1" x14ac:dyDescent="0.25">
      <c r="A123" s="68"/>
      <c r="B123" s="1" t="s">
        <v>145</v>
      </c>
      <c r="C123" s="107">
        <f>C122</f>
        <v>-2110000</v>
      </c>
      <c r="D123" s="107">
        <f t="shared" ref="D123:J123" si="52">-PV($C$107,D$111,,D122+D122)</f>
        <v>217963.42751534973</v>
      </c>
      <c r="E123" s="107">
        <f t="shared" si="52"/>
        <v>258376.14561809832</v>
      </c>
      <c r="F123" s="107">
        <f t="shared" si="52"/>
        <v>291628.61381411942</v>
      </c>
      <c r="G123" s="107">
        <f t="shared" si="52"/>
        <v>322335.35283984314</v>
      </c>
      <c r="H123" s="107">
        <f t="shared" si="52"/>
        <v>300053.86457077909</v>
      </c>
      <c r="I123" s="107">
        <f t="shared" si="52"/>
        <v>7781.5388019992206</v>
      </c>
      <c r="J123" s="107">
        <f t="shared" si="52"/>
        <v>2962224.631437995</v>
      </c>
    </row>
    <row r="124" spans="1:16" ht="15.75" thickBot="1" x14ac:dyDescent="0.3">
      <c r="A124" s="68"/>
      <c r="B124" s="100" t="s">
        <v>146</v>
      </c>
      <c r="C124" s="110">
        <f>SUM(C123:J123)</f>
        <v>2250363.5745981839</v>
      </c>
      <c r="D124" s="108"/>
      <c r="E124" s="108"/>
      <c r="F124" s="108"/>
      <c r="G124" s="108"/>
      <c r="H124" s="108"/>
      <c r="I124" s="108"/>
    </row>
    <row r="125" spans="1:16" ht="15.75" thickTop="1" x14ac:dyDescent="0.25">
      <c r="A125" s="68"/>
      <c r="B125" s="100" t="s">
        <v>38</v>
      </c>
      <c r="C125" s="111">
        <f>IRR(C122:J122)</f>
        <v>9.4294055573286739E-2</v>
      </c>
      <c r="D125" s="108"/>
      <c r="E125" s="108"/>
      <c r="F125" s="108"/>
      <c r="G125" s="108"/>
      <c r="H125" s="108"/>
      <c r="I125" s="108"/>
    </row>
    <row r="126" spans="1:16" x14ac:dyDescent="0.25">
      <c r="A126" s="68"/>
      <c r="B126" s="68"/>
      <c r="C126" s="68"/>
      <c r="D126" s="77"/>
      <c r="E126" s="77"/>
      <c r="F126" s="77"/>
      <c r="G126" s="77"/>
      <c r="H126" s="77"/>
    </row>
    <row r="127" spans="1:16" x14ac:dyDescent="0.25">
      <c r="A127" s="68"/>
      <c r="B127" s="68"/>
      <c r="C127" s="76"/>
      <c r="D127" s="77"/>
      <c r="E127" s="77"/>
      <c r="F127" s="77"/>
      <c r="G127" s="77"/>
      <c r="H127" s="77"/>
    </row>
    <row r="128" spans="1:16" x14ac:dyDescent="0.25">
      <c r="A128" s="68"/>
      <c r="B128" s="68"/>
      <c r="C128" s="68"/>
      <c r="D128" s="78"/>
      <c r="E128" s="78"/>
      <c r="F128" s="78"/>
      <c r="G128" s="78"/>
      <c r="H128" s="78"/>
    </row>
    <row r="129" spans="1:8" x14ac:dyDescent="0.25">
      <c r="A129" s="68"/>
      <c r="B129" s="68"/>
      <c r="C129" s="68"/>
      <c r="D129" s="68"/>
      <c r="E129" s="68"/>
      <c r="F129" s="68"/>
      <c r="G129" s="68"/>
      <c r="H129" s="68"/>
    </row>
    <row r="130" spans="1:8" x14ac:dyDescent="0.25">
      <c r="A130" s="68"/>
      <c r="B130" s="68"/>
      <c r="C130" s="68"/>
      <c r="D130" s="79"/>
      <c r="E130" s="79"/>
      <c r="F130" s="79"/>
      <c r="G130" s="79"/>
      <c r="H130" s="79"/>
    </row>
    <row r="131" spans="1:8" x14ac:dyDescent="0.25">
      <c r="A131" s="68"/>
      <c r="B131" s="68"/>
      <c r="C131" s="80"/>
      <c r="D131" s="68"/>
      <c r="E131" s="68"/>
      <c r="F131" s="68"/>
      <c r="G131" s="68"/>
      <c r="H131" s="68"/>
    </row>
    <row r="132" spans="1:8" x14ac:dyDescent="0.25">
      <c r="A132" s="68"/>
      <c r="B132" s="68"/>
      <c r="C132" s="68"/>
      <c r="D132" s="68"/>
      <c r="E132" s="68"/>
      <c r="F132" s="68"/>
      <c r="G132" s="68"/>
      <c r="H132" s="68"/>
    </row>
    <row r="133" spans="1:8" x14ac:dyDescent="0.25">
      <c r="A133" s="56"/>
      <c r="B133" s="56"/>
      <c r="C133" s="56"/>
      <c r="D133" s="24"/>
      <c r="E133" s="24"/>
      <c r="F133" s="24"/>
      <c r="G133" s="24"/>
      <c r="H133" s="24"/>
    </row>
    <row r="134" spans="1:8" x14ac:dyDescent="0.25">
      <c r="A134" s="56"/>
      <c r="B134" s="56"/>
      <c r="C134" s="56"/>
      <c r="D134" s="24"/>
      <c r="E134" s="24"/>
      <c r="F134" s="24"/>
      <c r="G134" s="24"/>
      <c r="H134" s="24"/>
    </row>
    <row r="135" spans="1:8" x14ac:dyDescent="0.25">
      <c r="A135" s="56"/>
      <c r="B135" s="56"/>
      <c r="C135" s="56"/>
      <c r="D135" s="56"/>
      <c r="E135" s="56"/>
      <c r="F135" s="56"/>
      <c r="G135" s="56"/>
      <c r="H135" s="56"/>
    </row>
    <row r="136" spans="1:8" x14ac:dyDescent="0.25">
      <c r="A136" s="56"/>
      <c r="B136" s="56"/>
      <c r="C136" s="56"/>
      <c r="D136" s="24"/>
      <c r="E136" s="24"/>
      <c r="F136" s="24"/>
      <c r="G136" s="24"/>
      <c r="H136" s="24"/>
    </row>
    <row r="137" spans="1:8" x14ac:dyDescent="0.25">
      <c r="A137" s="56"/>
      <c r="B137" s="56"/>
      <c r="C137" s="56"/>
      <c r="D137" s="24"/>
      <c r="E137" s="24"/>
      <c r="F137" s="24"/>
      <c r="G137" s="24"/>
      <c r="H137" s="24"/>
    </row>
    <row r="138" spans="1:8" x14ac:dyDescent="0.25">
      <c r="A138" s="56"/>
      <c r="B138" s="56"/>
      <c r="C138" s="56"/>
      <c r="D138" s="58"/>
      <c r="E138" s="58"/>
      <c r="F138" s="58"/>
      <c r="G138" s="58"/>
      <c r="H138" s="58"/>
    </row>
    <row r="139" spans="1:8" x14ac:dyDescent="0.25">
      <c r="A139" s="56"/>
      <c r="B139" s="56"/>
      <c r="C139" s="56"/>
      <c r="D139" s="24"/>
      <c r="E139" s="24"/>
      <c r="F139" s="24"/>
      <c r="G139" s="24"/>
      <c r="H139" s="24"/>
    </row>
    <row r="140" spans="1:8" x14ac:dyDescent="0.25">
      <c r="A140" s="56"/>
      <c r="B140" s="56"/>
      <c r="C140" s="56"/>
      <c r="D140" s="56"/>
      <c r="E140" s="56"/>
      <c r="F140" s="56"/>
      <c r="G140" s="56"/>
      <c r="H140" s="56"/>
    </row>
    <row r="141" spans="1:8" x14ac:dyDescent="0.25">
      <c r="A141" s="56"/>
      <c r="B141" s="56"/>
      <c r="C141" s="56"/>
      <c r="D141" s="24"/>
      <c r="E141" s="24"/>
      <c r="F141" s="24"/>
      <c r="G141" s="24"/>
      <c r="H141" s="24"/>
    </row>
    <row r="142" spans="1:8" x14ac:dyDescent="0.25">
      <c r="A142" s="56"/>
      <c r="B142" s="56"/>
      <c r="C142" s="56"/>
      <c r="D142" s="24"/>
      <c r="E142" s="24"/>
      <c r="F142" s="24"/>
      <c r="G142" s="24"/>
      <c r="H142" s="24"/>
    </row>
    <row r="143" spans="1:8" x14ac:dyDescent="0.25">
      <c r="A143" s="56"/>
      <c r="B143" s="56"/>
      <c r="C143" s="56"/>
      <c r="D143" s="56"/>
      <c r="E143" s="56"/>
      <c r="F143" s="56"/>
      <c r="G143" s="56"/>
      <c r="H143" s="56"/>
    </row>
    <row r="144" spans="1:8" x14ac:dyDescent="0.25">
      <c r="A144" s="56"/>
      <c r="B144" s="56"/>
      <c r="C144" s="56"/>
      <c r="D144" s="24"/>
      <c r="E144" s="24"/>
      <c r="F144" s="24"/>
      <c r="G144" s="24"/>
      <c r="H144" s="24"/>
    </row>
    <row r="145" spans="1:8" x14ac:dyDescent="0.25">
      <c r="A145" s="56"/>
      <c r="B145" s="56"/>
      <c r="C145" s="56"/>
      <c r="D145" s="24"/>
      <c r="E145" s="24"/>
      <c r="F145" s="24"/>
      <c r="G145" s="24"/>
      <c r="H145" s="24"/>
    </row>
    <row r="146" spans="1:8" x14ac:dyDescent="0.25">
      <c r="A146" s="56"/>
      <c r="B146" s="56"/>
      <c r="C146" s="56"/>
      <c r="D146" s="58"/>
      <c r="E146" s="58"/>
      <c r="F146" s="58"/>
      <c r="G146" s="58"/>
      <c r="H146" s="58"/>
    </row>
    <row r="147" spans="1:8" x14ac:dyDescent="0.25">
      <c r="A147" s="56"/>
      <c r="B147" s="56"/>
      <c r="C147" s="56"/>
      <c r="D147" s="56"/>
      <c r="E147" s="56"/>
      <c r="F147" s="56"/>
      <c r="G147" s="56"/>
      <c r="H147" s="56"/>
    </row>
    <row r="148" spans="1:8" x14ac:dyDescent="0.25">
      <c r="A148" s="56"/>
      <c r="B148" s="56"/>
      <c r="C148" s="56"/>
      <c r="D148" s="24"/>
      <c r="E148" s="24"/>
      <c r="F148" s="24"/>
      <c r="G148" s="24"/>
      <c r="H148" s="24"/>
    </row>
    <row r="149" spans="1:8" x14ac:dyDescent="0.25">
      <c r="A149" s="56"/>
      <c r="B149" s="56"/>
      <c r="C149" s="56"/>
      <c r="D149" s="56"/>
      <c r="E149" s="56"/>
      <c r="F149" s="56"/>
      <c r="G149" s="56"/>
      <c r="H149" s="56"/>
    </row>
    <row r="150" spans="1:8" x14ac:dyDescent="0.25">
      <c r="A150" s="56"/>
      <c r="B150" s="56"/>
      <c r="C150" s="56"/>
      <c r="D150" s="56"/>
      <c r="E150" s="56"/>
      <c r="F150" s="56"/>
      <c r="G150" s="56"/>
      <c r="H150" s="56"/>
    </row>
    <row r="151" spans="1:8" x14ac:dyDescent="0.25">
      <c r="A151" s="56"/>
      <c r="B151" s="59"/>
      <c r="C151" s="56"/>
      <c r="D151" s="58"/>
      <c r="E151" s="58"/>
      <c r="F151" s="58"/>
      <c r="G151" s="58"/>
      <c r="H151" s="58"/>
    </row>
    <row r="152" spans="1:8" x14ac:dyDescent="0.25">
      <c r="A152" s="56"/>
      <c r="B152" s="56"/>
      <c r="C152" s="56"/>
      <c r="D152" s="56"/>
      <c r="E152" s="56"/>
      <c r="F152" s="56"/>
      <c r="G152" s="56"/>
      <c r="H152" s="56"/>
    </row>
    <row r="153" spans="1:8" x14ac:dyDescent="0.25">
      <c r="A153" s="56"/>
      <c r="B153" s="56"/>
      <c r="C153" s="56"/>
      <c r="D153" s="56"/>
      <c r="E153" s="56"/>
      <c r="F153" s="56"/>
      <c r="G153" s="56"/>
      <c r="H153" s="56"/>
    </row>
  </sheetData>
  <sheetProtection selectLockedCells="1" selectUnlockedCells="1"/>
  <phoneticPr fontId="11" type="noConversion"/>
  <pageMargins left="0.7" right="0.7" top="0.75" bottom="0.75" header="0.51180555555555551" footer="0.51180555555555551"/>
  <pageSetup scale="38" firstPageNumber="0" fitToHeight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160"/>
  <sheetViews>
    <sheetView showGridLines="0" tabSelected="1" workbookViewId="0">
      <pane ySplit="1" topLeftCell="A48" activePane="bottomLeft" state="frozen"/>
      <selection pane="bottomLeft" activeCell="C92" sqref="C92"/>
    </sheetView>
  </sheetViews>
  <sheetFormatPr defaultColWidth="9.42578125" defaultRowHeight="15" x14ac:dyDescent="0.25"/>
  <cols>
    <col min="1" max="1" width="3.28515625" style="1" customWidth="1"/>
    <col min="2" max="2" width="39.42578125" style="1" customWidth="1"/>
    <col min="3" max="3" width="17.42578125" style="1" customWidth="1"/>
    <col min="4" max="4" width="18.7109375" style="1" customWidth="1"/>
    <col min="5" max="5" width="14.28515625" style="1" customWidth="1"/>
    <col min="6" max="6" width="15" style="1" customWidth="1"/>
    <col min="7" max="8" width="14.28515625" style="1" customWidth="1"/>
    <col min="9" max="9" width="7.42578125" style="1" customWidth="1"/>
    <col min="10" max="10" width="18.85546875" style="1" bestFit="1" customWidth="1"/>
    <col min="11" max="12" width="14.28515625" style="1" customWidth="1"/>
    <col min="13" max="13" width="16.7109375" style="1" customWidth="1"/>
    <col min="14" max="14" width="11.85546875" style="1" customWidth="1"/>
    <col min="15" max="15" width="15.85546875" style="1" customWidth="1"/>
    <col min="16" max="16" width="1" style="1" customWidth="1"/>
    <col min="17" max="19" width="9.42578125" style="1"/>
    <col min="20" max="20" width="18.85546875" style="1" bestFit="1" customWidth="1"/>
    <col min="21" max="16384" width="9.42578125" style="1"/>
  </cols>
  <sheetData>
    <row r="1" spans="1:18" ht="15.75" thickBot="1" x14ac:dyDescent="0.3">
      <c r="A1" s="26"/>
      <c r="B1" s="26"/>
      <c r="C1" s="26"/>
      <c r="D1" s="26">
        <v>2014</v>
      </c>
      <c r="E1" s="26">
        <v>2015</v>
      </c>
      <c r="F1" s="26">
        <v>2016</v>
      </c>
      <c r="G1" s="26">
        <v>2017</v>
      </c>
      <c r="H1" s="26">
        <v>2018</v>
      </c>
      <c r="I1" s="90"/>
      <c r="J1" s="90"/>
      <c r="K1" s="90"/>
      <c r="L1" s="90"/>
      <c r="M1" s="90"/>
      <c r="N1" s="90"/>
      <c r="O1" s="135"/>
      <c r="P1" s="2"/>
      <c r="Q1" s="2"/>
      <c r="R1" s="2"/>
    </row>
    <row r="2" spans="1:18" x14ac:dyDescent="0.25">
      <c r="A2" s="194" t="s">
        <v>39</v>
      </c>
      <c r="B2" s="117"/>
      <c r="C2" s="117"/>
      <c r="D2" s="117"/>
      <c r="E2" s="117"/>
      <c r="F2" s="117"/>
      <c r="G2" s="117"/>
      <c r="H2" s="117"/>
      <c r="I2" s="90"/>
      <c r="J2" s="90"/>
      <c r="K2" s="90"/>
      <c r="L2" s="90"/>
      <c r="M2" s="90"/>
      <c r="N2" s="90"/>
      <c r="O2" s="135"/>
      <c r="P2" s="2"/>
      <c r="Q2" s="26"/>
      <c r="R2" s="2"/>
    </row>
    <row r="3" spans="1:18" x14ac:dyDescent="0.25">
      <c r="A3" s="195" t="s">
        <v>133</v>
      </c>
      <c r="B3" s="90"/>
      <c r="C3" s="90"/>
      <c r="D3" s="119">
        <v>365</v>
      </c>
      <c r="E3" s="119">
        <f>D3*$I$3</f>
        <v>346.75</v>
      </c>
      <c r="F3" s="119">
        <f>E3*$I$3</f>
        <v>329.41249999999997</v>
      </c>
      <c r="G3" s="119">
        <f>F3*$I$3</f>
        <v>312.94187499999992</v>
      </c>
      <c r="H3" s="119">
        <f>G3*$I$3</f>
        <v>297.29478124999991</v>
      </c>
      <c r="I3" s="136">
        <v>0.95</v>
      </c>
      <c r="J3" s="135"/>
      <c r="K3" s="119"/>
      <c r="L3" s="119"/>
      <c r="M3" s="119"/>
      <c r="N3" s="119"/>
      <c r="O3" s="56"/>
      <c r="Q3" s="26"/>
      <c r="R3" s="2"/>
    </row>
    <row r="4" spans="1:18" x14ac:dyDescent="0.25">
      <c r="A4" s="195" t="s">
        <v>81</v>
      </c>
      <c r="B4" s="90"/>
      <c r="C4" s="90"/>
      <c r="D4" s="121">
        <v>80</v>
      </c>
      <c r="E4" s="121">
        <v>85</v>
      </c>
      <c r="F4" s="121">
        <v>90</v>
      </c>
      <c r="G4" s="121">
        <v>90</v>
      </c>
      <c r="H4" s="121">
        <v>91</v>
      </c>
      <c r="I4" s="135"/>
      <c r="J4" s="135"/>
      <c r="K4" s="121"/>
      <c r="L4" s="121"/>
      <c r="M4" s="121"/>
      <c r="N4" s="121"/>
      <c r="O4" s="56"/>
      <c r="Q4" s="26"/>
      <c r="R4" s="2"/>
    </row>
    <row r="5" spans="1:18" x14ac:dyDescent="0.25">
      <c r="A5" s="195" t="s">
        <v>82</v>
      </c>
      <c r="B5" s="90"/>
      <c r="C5" s="90"/>
      <c r="D5" s="123">
        <v>900</v>
      </c>
      <c r="E5" s="123">
        <f>D5*(1+$I$5)</f>
        <v>945</v>
      </c>
      <c r="F5" s="123">
        <f>E5*(1+$I$5)</f>
        <v>992.25</v>
      </c>
      <c r="G5" s="123">
        <f>F5*(1+$I$5)</f>
        <v>1041.8625</v>
      </c>
      <c r="H5" s="123">
        <f>G5*(1+$I$5)</f>
        <v>1093.9556250000001</v>
      </c>
      <c r="I5" s="3">
        <v>0.05</v>
      </c>
      <c r="J5" s="135" t="s">
        <v>40</v>
      </c>
      <c r="K5" s="123"/>
      <c r="L5" s="123"/>
      <c r="M5" s="123"/>
      <c r="N5" s="123"/>
      <c r="O5" s="56"/>
      <c r="Q5" s="26"/>
      <c r="R5" s="2"/>
    </row>
    <row r="6" spans="1:18" x14ac:dyDescent="0.25">
      <c r="A6" s="195" t="s">
        <v>103</v>
      </c>
      <c r="B6" s="88"/>
      <c r="C6" s="88"/>
      <c r="D6" s="119">
        <v>600</v>
      </c>
      <c r="E6" s="119">
        <f>D6*$I$6</f>
        <v>540</v>
      </c>
      <c r="F6" s="119">
        <f>E6*$I$6</f>
        <v>486</v>
      </c>
      <c r="G6" s="119">
        <f>F6*$I$6</f>
        <v>437.40000000000003</v>
      </c>
      <c r="H6" s="119">
        <f>G6*$I$6</f>
        <v>393.66</v>
      </c>
      <c r="I6" s="136">
        <v>0.9</v>
      </c>
      <c r="J6" s="135" t="s">
        <v>105</v>
      </c>
      <c r="K6" s="119"/>
      <c r="L6" s="119"/>
      <c r="M6" s="119"/>
      <c r="N6" s="119"/>
      <c r="O6" s="56"/>
      <c r="Q6" s="2"/>
      <c r="R6" s="2"/>
    </row>
    <row r="7" spans="1:18" x14ac:dyDescent="0.25">
      <c r="A7" s="195" t="s">
        <v>102</v>
      </c>
      <c r="B7" s="88"/>
      <c r="C7" s="88"/>
      <c r="D7" s="119">
        <v>600</v>
      </c>
      <c r="E7" s="119">
        <f>D7*$I$7</f>
        <v>480</v>
      </c>
      <c r="F7" s="119">
        <f>E7*$I$7</f>
        <v>384</v>
      </c>
      <c r="G7" s="119">
        <f>F7*$I$7</f>
        <v>307.20000000000005</v>
      </c>
      <c r="H7" s="119">
        <f>G7*$I$7</f>
        <v>245.76000000000005</v>
      </c>
      <c r="I7" s="141">
        <v>0.8</v>
      </c>
      <c r="J7" s="135" t="s">
        <v>106</v>
      </c>
      <c r="K7" s="119"/>
      <c r="L7" s="119"/>
      <c r="M7" s="119"/>
      <c r="N7" s="119"/>
      <c r="O7" s="56"/>
      <c r="Q7" s="2"/>
      <c r="R7" s="2"/>
    </row>
    <row r="8" spans="1:18" x14ac:dyDescent="0.25">
      <c r="A8" s="195" t="s">
        <v>104</v>
      </c>
      <c r="B8" s="88"/>
      <c r="C8" s="88"/>
      <c r="D8" s="96">
        <v>200</v>
      </c>
      <c r="E8" s="96">
        <f>$I$8*D8</f>
        <v>210</v>
      </c>
      <c r="F8" s="96">
        <f>$I$8*E8</f>
        <v>220.5</v>
      </c>
      <c r="G8" s="96">
        <f>$I$8*F8</f>
        <v>231.52500000000001</v>
      </c>
      <c r="H8" s="96">
        <f>$I$8*G8</f>
        <v>243.10125000000002</v>
      </c>
      <c r="I8" s="136">
        <v>1.05</v>
      </c>
      <c r="J8" s="135" t="s">
        <v>107</v>
      </c>
      <c r="K8" s="96"/>
      <c r="L8" s="96"/>
      <c r="M8" s="96"/>
      <c r="N8" s="96"/>
      <c r="O8" s="56"/>
      <c r="Q8" s="2"/>
      <c r="R8" s="2"/>
    </row>
    <row r="9" spans="1:18" x14ac:dyDescent="0.25">
      <c r="A9" s="196" t="s">
        <v>132</v>
      </c>
      <c r="B9" s="90"/>
      <c r="C9" s="90"/>
      <c r="D9" s="96">
        <v>25</v>
      </c>
      <c r="E9" s="96">
        <f>D9*$I$9</f>
        <v>26.25</v>
      </c>
      <c r="F9" s="96">
        <f>E9*$I$9</f>
        <v>27.5625</v>
      </c>
      <c r="G9" s="96">
        <f>F9*$I$9</f>
        <v>28.940625000000001</v>
      </c>
      <c r="H9" s="96">
        <f>G9*$I$9</f>
        <v>30.387656250000003</v>
      </c>
      <c r="I9" s="57">
        <v>1.05</v>
      </c>
      <c r="J9" s="135"/>
      <c r="K9" s="96"/>
      <c r="L9" s="96"/>
      <c r="M9" s="96"/>
      <c r="N9" s="96"/>
      <c r="O9" s="56"/>
      <c r="Q9" s="2"/>
      <c r="R9" s="2"/>
    </row>
    <row r="10" spans="1:18" x14ac:dyDescent="0.25">
      <c r="A10" s="195"/>
      <c r="B10" s="90"/>
      <c r="C10" s="90"/>
      <c r="D10" s="126"/>
      <c r="E10" s="126" t="s">
        <v>41</v>
      </c>
      <c r="F10" s="126"/>
      <c r="G10" s="126"/>
      <c r="H10" s="126"/>
      <c r="I10" s="56"/>
      <c r="J10" s="56"/>
      <c r="K10" s="126"/>
      <c r="L10" s="126"/>
      <c r="M10" s="126"/>
      <c r="N10" s="126"/>
      <c r="O10" s="56"/>
      <c r="Q10" s="2"/>
      <c r="R10" s="2"/>
    </row>
    <row r="11" spans="1:18" x14ac:dyDescent="0.25">
      <c r="A11" s="195" t="s">
        <v>78</v>
      </c>
      <c r="B11" s="90"/>
      <c r="C11" s="90"/>
      <c r="D11" s="128">
        <v>25</v>
      </c>
      <c r="E11" s="128">
        <f>D11*(1+$I$11)</f>
        <v>26.25</v>
      </c>
      <c r="F11" s="128">
        <f>E11*(1+$I$11)</f>
        <v>27.5625</v>
      </c>
      <c r="G11" s="128">
        <f>F11*(1+$I$11)</f>
        <v>28.940625000000001</v>
      </c>
      <c r="H11" s="128">
        <f>G11*(1+$I$11)</f>
        <v>30.387656250000003</v>
      </c>
      <c r="I11" s="3">
        <v>0.05</v>
      </c>
      <c r="J11" s="135" t="s">
        <v>40</v>
      </c>
      <c r="K11" s="128"/>
      <c r="L11" s="128"/>
      <c r="M11" s="128"/>
      <c r="N11" s="128"/>
      <c r="O11" s="56"/>
      <c r="Q11" s="2"/>
      <c r="R11" s="2"/>
    </row>
    <row r="12" spans="1:18" x14ac:dyDescent="0.25">
      <c r="A12" s="195" t="s">
        <v>42</v>
      </c>
      <c r="B12" s="90"/>
      <c r="C12" s="90"/>
      <c r="D12" s="128">
        <v>30</v>
      </c>
      <c r="E12" s="128">
        <f>D12*(1+$I$12)</f>
        <v>28.5</v>
      </c>
      <c r="F12" s="128">
        <f>E12*(1+$I$12)</f>
        <v>27.074999999999999</v>
      </c>
      <c r="G12" s="128">
        <f>F12*(1+$I$12)</f>
        <v>25.721249999999998</v>
      </c>
      <c r="H12" s="128">
        <f>G12*(1+$I$12)</f>
        <v>24.435187499999998</v>
      </c>
      <c r="I12" s="3">
        <v>-0.05</v>
      </c>
      <c r="J12" s="135" t="s">
        <v>40</v>
      </c>
      <c r="K12" s="128"/>
      <c r="L12" s="128"/>
      <c r="M12" s="128"/>
      <c r="N12" s="128"/>
      <c r="O12" s="56"/>
      <c r="Q12" s="2"/>
      <c r="R12" s="2"/>
    </row>
    <row r="13" spans="1:18" ht="15.75" thickBot="1" x14ac:dyDescent="0.3">
      <c r="A13" s="197" t="s">
        <v>43</v>
      </c>
      <c r="B13" s="198"/>
      <c r="C13" s="198"/>
      <c r="D13" s="130">
        <v>20</v>
      </c>
      <c r="E13" s="130">
        <v>20</v>
      </c>
      <c r="F13" s="130">
        <v>20</v>
      </c>
      <c r="G13" s="130">
        <v>20</v>
      </c>
      <c r="H13" s="130">
        <v>21</v>
      </c>
      <c r="I13" s="135"/>
      <c r="J13" s="135"/>
      <c r="K13" s="128"/>
      <c r="L13" s="128"/>
      <c r="M13" s="128"/>
      <c r="N13" s="128"/>
      <c r="O13" s="56"/>
      <c r="Q13" s="2"/>
      <c r="R13" s="2"/>
    </row>
    <row r="14" spans="1:18" x14ac:dyDescent="0.25">
      <c r="A14" s="26"/>
      <c r="B14" s="26"/>
      <c r="C14" s="26"/>
      <c r="D14" s="26"/>
      <c r="E14" s="26"/>
      <c r="F14" s="26"/>
      <c r="G14" s="26"/>
      <c r="H14" s="26"/>
      <c r="I14" s="3">
        <v>0.82</v>
      </c>
      <c r="J14" s="135" t="s">
        <v>110</v>
      </c>
      <c r="K14" s="90"/>
      <c r="L14" s="90"/>
      <c r="M14" s="90"/>
      <c r="N14" s="90"/>
      <c r="O14" s="56"/>
      <c r="Q14" s="2"/>
      <c r="R14" s="2"/>
    </row>
    <row r="15" spans="1:18" x14ac:dyDescent="0.25">
      <c r="A15" s="54" t="s">
        <v>0</v>
      </c>
      <c r="B15" s="32"/>
      <c r="C15" s="32"/>
      <c r="D15" s="32"/>
      <c r="E15" s="32"/>
      <c r="F15" s="32"/>
      <c r="G15" s="32"/>
      <c r="H15" s="32"/>
      <c r="I15" s="136">
        <v>0.35</v>
      </c>
      <c r="J15" s="135" t="s">
        <v>109</v>
      </c>
      <c r="K15" s="90"/>
      <c r="L15" s="90"/>
      <c r="M15" s="90"/>
      <c r="N15" s="90"/>
      <c r="O15" s="56"/>
      <c r="Q15" s="2"/>
      <c r="R15" s="2"/>
    </row>
    <row r="16" spans="1:18" x14ac:dyDescent="0.25">
      <c r="A16" s="31" t="s">
        <v>1</v>
      </c>
      <c r="B16" s="32"/>
      <c r="C16" s="32"/>
      <c r="D16" s="32"/>
      <c r="E16" s="32"/>
      <c r="F16" s="32"/>
      <c r="G16" s="32"/>
      <c r="H16" s="32"/>
      <c r="I16" s="135"/>
      <c r="J16" s="135"/>
      <c r="K16" s="90"/>
      <c r="L16" s="90"/>
      <c r="M16" s="90"/>
      <c r="N16" s="90"/>
      <c r="O16" s="56"/>
      <c r="Q16" s="2"/>
      <c r="R16" s="2"/>
    </row>
    <row r="17" spans="1:18" x14ac:dyDescent="0.25">
      <c r="A17" s="31"/>
      <c r="B17" s="32" t="s">
        <v>77</v>
      </c>
      <c r="C17" s="29"/>
      <c r="D17" s="29">
        <f t="shared" ref="D17:H17" si="0">D4*D5</f>
        <v>72000</v>
      </c>
      <c r="E17" s="29">
        <f t="shared" si="0"/>
        <v>80325</v>
      </c>
      <c r="F17" s="29">
        <f t="shared" si="0"/>
        <v>89302.5</v>
      </c>
      <c r="G17" s="29">
        <f t="shared" si="0"/>
        <v>93767.625</v>
      </c>
      <c r="H17" s="29">
        <f t="shared" si="0"/>
        <v>99549.961875000008</v>
      </c>
      <c r="I17" s="2"/>
      <c r="J17" s="2"/>
      <c r="K17" s="132"/>
      <c r="L17" s="132"/>
      <c r="M17" s="132"/>
      <c r="N17" s="132"/>
      <c r="Q17" s="2"/>
      <c r="R17" s="2"/>
    </row>
    <row r="18" spans="1:18" x14ac:dyDescent="0.25">
      <c r="A18" s="31"/>
      <c r="B18" s="32" t="s">
        <v>113</v>
      </c>
      <c r="C18" s="29"/>
      <c r="D18" s="29">
        <f t="shared" ref="D18:H18" si="1">D6*D8</f>
        <v>120000</v>
      </c>
      <c r="E18" s="29">
        <f t="shared" si="1"/>
        <v>113400</v>
      </c>
      <c r="F18" s="29">
        <f t="shared" si="1"/>
        <v>107163</v>
      </c>
      <c r="G18" s="29">
        <f t="shared" si="1"/>
        <v>101269.035</v>
      </c>
      <c r="H18" s="29">
        <f t="shared" si="1"/>
        <v>95699.238075000016</v>
      </c>
      <c r="I18" s="2"/>
      <c r="J18" s="2"/>
      <c r="K18" s="132"/>
      <c r="L18" s="132"/>
      <c r="M18" s="132"/>
      <c r="N18" s="132"/>
      <c r="Q18" s="2"/>
      <c r="R18" s="2"/>
    </row>
    <row r="19" spans="1:18" x14ac:dyDescent="0.25">
      <c r="A19" s="31"/>
      <c r="B19" s="32" t="s">
        <v>101</v>
      </c>
      <c r="C19" s="29"/>
      <c r="D19" s="29">
        <f t="shared" ref="D19:H19" si="2">D7*D8</f>
        <v>120000</v>
      </c>
      <c r="E19" s="29">
        <f t="shared" si="2"/>
        <v>100800</v>
      </c>
      <c r="F19" s="29">
        <f t="shared" si="2"/>
        <v>84672</v>
      </c>
      <c r="G19" s="29">
        <f t="shared" si="2"/>
        <v>71124.48000000001</v>
      </c>
      <c r="H19" s="29">
        <f t="shared" si="2"/>
        <v>59744.563200000019</v>
      </c>
      <c r="I19" s="2"/>
      <c r="J19" s="2"/>
      <c r="K19" s="132"/>
      <c r="L19" s="132"/>
      <c r="M19" s="132"/>
      <c r="N19" s="132"/>
      <c r="Q19" s="2"/>
      <c r="R19" s="2"/>
    </row>
    <row r="20" spans="1:18" x14ac:dyDescent="0.25">
      <c r="A20" s="31" t="s">
        <v>108</v>
      </c>
      <c r="B20" s="32"/>
      <c r="C20" s="29"/>
      <c r="D20" s="28">
        <f>SUM(D17:D19)</f>
        <v>312000</v>
      </c>
      <c r="E20" s="28">
        <f t="shared" ref="E20:H20" si="3">SUM(E17:E19)</f>
        <v>294525</v>
      </c>
      <c r="F20" s="28">
        <f t="shared" si="3"/>
        <v>281137.5</v>
      </c>
      <c r="G20" s="28">
        <f t="shared" si="3"/>
        <v>266161.14</v>
      </c>
      <c r="H20" s="28">
        <f t="shared" si="3"/>
        <v>254993.76315000007</v>
      </c>
      <c r="I20" s="2"/>
      <c r="J20" s="2"/>
      <c r="K20" s="132"/>
      <c r="L20" s="132"/>
      <c r="M20" s="132"/>
      <c r="N20" s="132"/>
      <c r="Q20" s="2"/>
      <c r="R20" s="2"/>
    </row>
    <row r="21" spans="1:18" x14ac:dyDescent="0.25">
      <c r="A21" s="31"/>
      <c r="B21" s="32"/>
      <c r="C21" s="29"/>
      <c r="D21" s="29"/>
      <c r="E21" s="29"/>
      <c r="F21" s="29"/>
      <c r="G21" s="29"/>
      <c r="H21" s="29"/>
      <c r="I21" s="2"/>
      <c r="J21" s="2"/>
      <c r="K21" s="132"/>
      <c r="L21" s="132"/>
      <c r="M21" s="132"/>
      <c r="N21" s="132"/>
      <c r="Q21" s="2"/>
      <c r="R21" s="2"/>
    </row>
    <row r="22" spans="1:18" x14ac:dyDescent="0.25">
      <c r="A22" s="31" t="s">
        <v>2</v>
      </c>
      <c r="B22" s="32"/>
      <c r="C22" s="29"/>
      <c r="D22" s="29"/>
      <c r="E22" s="29"/>
      <c r="F22" s="29"/>
      <c r="G22" s="29"/>
      <c r="H22" s="29"/>
      <c r="I22" s="2"/>
      <c r="J22" s="2"/>
      <c r="K22" s="132"/>
      <c r="L22" s="132"/>
      <c r="M22" s="132"/>
      <c r="N22" s="132"/>
      <c r="Q22" s="2"/>
      <c r="R22" s="2"/>
    </row>
    <row r="23" spans="1:18" x14ac:dyDescent="0.25">
      <c r="A23" s="36"/>
      <c r="B23" s="32" t="s">
        <v>111</v>
      </c>
      <c r="C23" s="29"/>
      <c r="D23" s="29">
        <f>D18*$I$14</f>
        <v>98400</v>
      </c>
      <c r="E23" s="29">
        <f>E18*$I$14</f>
        <v>92988</v>
      </c>
      <c r="F23" s="29">
        <f>F18*$I$14</f>
        <v>87873.659999999989</v>
      </c>
      <c r="G23" s="29">
        <f>G18*$I$14</f>
        <v>83040.608699999997</v>
      </c>
      <c r="H23" s="29">
        <f>H18*$I$14</f>
        <v>78473.375221500013</v>
      </c>
      <c r="I23" s="2"/>
      <c r="J23" s="2"/>
      <c r="K23" s="132"/>
      <c r="L23" s="132"/>
      <c r="M23" s="132"/>
      <c r="N23" s="132"/>
      <c r="Q23" s="2"/>
      <c r="R23" s="2"/>
    </row>
    <row r="24" spans="1:18" x14ac:dyDescent="0.25">
      <c r="A24" s="36"/>
      <c r="B24" s="32" t="s">
        <v>112</v>
      </c>
      <c r="C24" s="29"/>
      <c r="D24" s="29">
        <f>D19*$I$15</f>
        <v>42000</v>
      </c>
      <c r="E24" s="29">
        <f>E19*$I$15</f>
        <v>35280</v>
      </c>
      <c r="F24" s="29">
        <f>F19*$I$15</f>
        <v>29635.199999999997</v>
      </c>
      <c r="G24" s="29">
        <f>G19*$I$15</f>
        <v>24893.568000000003</v>
      </c>
      <c r="H24" s="29">
        <f>H19*$I$15</f>
        <v>20910.597120000006</v>
      </c>
      <c r="I24" s="2"/>
      <c r="J24" s="2"/>
      <c r="K24" s="132"/>
      <c r="L24" s="132"/>
      <c r="M24" s="132"/>
      <c r="N24" s="132"/>
      <c r="Q24" s="2"/>
      <c r="R24" s="2"/>
    </row>
    <row r="25" spans="1:18" x14ac:dyDescent="0.25">
      <c r="A25" s="31" t="s">
        <v>114</v>
      </c>
      <c r="B25" s="32"/>
      <c r="C25" s="29"/>
      <c r="D25" s="28">
        <f>SUM(D23:D24)</f>
        <v>140400</v>
      </c>
      <c r="E25" s="28">
        <f t="shared" ref="E25:H25" si="4">SUM(E23:E24)</f>
        <v>128268</v>
      </c>
      <c r="F25" s="28">
        <f t="shared" si="4"/>
        <v>117508.85999999999</v>
      </c>
      <c r="G25" s="28">
        <f t="shared" si="4"/>
        <v>107934.1767</v>
      </c>
      <c r="H25" s="28">
        <f t="shared" si="4"/>
        <v>99383.972341500019</v>
      </c>
      <c r="I25" s="2"/>
      <c r="J25" s="2"/>
      <c r="K25" s="132"/>
      <c r="L25" s="132"/>
      <c r="M25" s="132"/>
      <c r="N25" s="132"/>
      <c r="Q25" s="2"/>
      <c r="R25" s="2"/>
    </row>
    <row r="26" spans="1:18" x14ac:dyDescent="0.25">
      <c r="A26" s="31"/>
      <c r="B26" s="32"/>
      <c r="C26" s="29"/>
      <c r="D26" s="29"/>
      <c r="E26" s="29"/>
      <c r="F26" s="29"/>
      <c r="G26" s="29"/>
      <c r="H26" s="29"/>
      <c r="I26" s="2"/>
      <c r="J26" s="2"/>
      <c r="K26" s="132"/>
      <c r="L26" s="132"/>
      <c r="M26" s="132"/>
      <c r="N26" s="132"/>
      <c r="Q26" s="2"/>
      <c r="R26" s="2"/>
    </row>
    <row r="27" spans="1:18" x14ac:dyDescent="0.25">
      <c r="A27" s="31"/>
      <c r="B27" s="32"/>
      <c r="C27" s="29"/>
      <c r="D27" s="29"/>
      <c r="E27" s="29"/>
      <c r="F27" s="29"/>
      <c r="G27" s="29"/>
      <c r="H27" s="29"/>
      <c r="I27" s="2"/>
      <c r="J27" s="2"/>
      <c r="K27" s="132"/>
      <c r="L27" s="132"/>
      <c r="M27" s="132"/>
      <c r="N27" s="132"/>
      <c r="Q27" s="2"/>
      <c r="R27" s="2"/>
    </row>
    <row r="28" spans="1:18" x14ac:dyDescent="0.25">
      <c r="A28" s="31" t="s">
        <v>3</v>
      </c>
      <c r="B28" s="32"/>
      <c r="C28" s="29"/>
      <c r="D28" s="29"/>
      <c r="E28" s="29"/>
      <c r="F28" s="29"/>
      <c r="G28" s="29"/>
      <c r="H28" s="29"/>
      <c r="I28" s="2"/>
      <c r="J28" s="2"/>
      <c r="K28" s="132"/>
      <c r="L28" s="132"/>
      <c r="M28" s="132"/>
      <c r="N28" s="132"/>
      <c r="Q28" s="2"/>
      <c r="R28" s="2"/>
    </row>
    <row r="29" spans="1:18" x14ac:dyDescent="0.25">
      <c r="A29" s="31"/>
      <c r="B29" s="32" t="s">
        <v>79</v>
      </c>
      <c r="C29" s="29"/>
      <c r="D29" s="29">
        <f>D17*I29</f>
        <v>10800</v>
      </c>
      <c r="E29" s="29">
        <f>E17*$I$29</f>
        <v>12048.75</v>
      </c>
      <c r="F29" s="29">
        <f>F17*$I$29</f>
        <v>13395.375</v>
      </c>
      <c r="G29" s="29">
        <f>G17*$I$29</f>
        <v>14065.143749999999</v>
      </c>
      <c r="H29" s="29">
        <f>H17*$I$29</f>
        <v>14932.494281250001</v>
      </c>
      <c r="I29" s="3">
        <v>0.15</v>
      </c>
      <c r="J29" s="2" t="s">
        <v>83</v>
      </c>
      <c r="K29" s="132"/>
      <c r="L29" s="132"/>
      <c r="M29" s="132"/>
      <c r="N29" s="132"/>
      <c r="Q29" s="2"/>
      <c r="R29" s="2"/>
    </row>
    <row r="30" spans="1:18" x14ac:dyDescent="0.25">
      <c r="A30" s="31"/>
      <c r="B30" s="32" t="s">
        <v>80</v>
      </c>
      <c r="C30" s="29"/>
      <c r="D30" s="29">
        <f>D18*I30</f>
        <v>36000</v>
      </c>
      <c r="E30" s="29">
        <f>E18*$I$30</f>
        <v>34020</v>
      </c>
      <c r="F30" s="29">
        <f>F18*$I$30</f>
        <v>32148.899999999998</v>
      </c>
      <c r="G30" s="29">
        <f>G18*$I$30</f>
        <v>30380.710500000001</v>
      </c>
      <c r="H30" s="29">
        <f>H18*$I$30</f>
        <v>28709.771422500005</v>
      </c>
      <c r="I30" s="3">
        <v>0.3</v>
      </c>
      <c r="J30" s="2" t="s">
        <v>44</v>
      </c>
      <c r="K30" s="132"/>
      <c r="L30" s="132"/>
      <c r="M30" s="132"/>
      <c r="N30" s="132"/>
      <c r="Q30" s="2"/>
      <c r="R30" s="2"/>
    </row>
    <row r="31" spans="1:18" x14ac:dyDescent="0.25">
      <c r="A31" s="31"/>
      <c r="B31" s="32" t="s">
        <v>4</v>
      </c>
      <c r="C31" s="29"/>
      <c r="D31" s="29">
        <f>(D17+D18)*$I$31</f>
        <v>3840</v>
      </c>
      <c r="E31" s="29">
        <f>(E17+E18)*$I$31</f>
        <v>3874.5</v>
      </c>
      <c r="F31" s="29">
        <f>(F17+F18)*$I$31</f>
        <v>3929.31</v>
      </c>
      <c r="G31" s="29">
        <f>(G17+G18)*$I$31</f>
        <v>3900.7332000000001</v>
      </c>
      <c r="H31" s="29">
        <f>(H17+H18)*$I$31</f>
        <v>3904.9839990000009</v>
      </c>
      <c r="I31" s="3">
        <v>0.02</v>
      </c>
      <c r="J31" s="2" t="s">
        <v>45</v>
      </c>
      <c r="K31" s="132"/>
      <c r="L31" s="132"/>
      <c r="M31" s="132"/>
      <c r="N31" s="132"/>
      <c r="Q31" s="2"/>
      <c r="R31" s="2"/>
    </row>
    <row r="32" spans="1:18" x14ac:dyDescent="0.25">
      <c r="A32" s="31"/>
      <c r="B32" s="32" t="s">
        <v>134</v>
      </c>
      <c r="C32" s="29"/>
      <c r="D32" s="29">
        <f>D9*D5</f>
        <v>22500</v>
      </c>
      <c r="E32" s="29">
        <f t="shared" ref="E32:H32" si="5">E9*E5</f>
        <v>24806.25</v>
      </c>
      <c r="F32" s="29">
        <f t="shared" si="5"/>
        <v>27348.890625</v>
      </c>
      <c r="G32" s="29">
        <f t="shared" si="5"/>
        <v>30152.151914062499</v>
      </c>
      <c r="H32" s="29">
        <f t="shared" si="5"/>
        <v>33242.747485253909</v>
      </c>
      <c r="I32" s="3"/>
      <c r="J32" s="2"/>
      <c r="K32" s="132"/>
      <c r="L32" s="132"/>
      <c r="M32" s="132"/>
      <c r="N32" s="132"/>
      <c r="Q32" s="2"/>
      <c r="R32" s="2"/>
    </row>
    <row r="33" spans="1:18" x14ac:dyDescent="0.25">
      <c r="A33" s="31" t="s">
        <v>115</v>
      </c>
      <c r="B33" s="32"/>
      <c r="C33" s="29"/>
      <c r="D33" s="28">
        <f>SUM(D29:D32)</f>
        <v>73140</v>
      </c>
      <c r="E33" s="28">
        <f>SUM(E29:E32)</f>
        <v>74749.5</v>
      </c>
      <c r="F33" s="28">
        <f t="shared" ref="F33:H33" si="6">SUM(F29:F32)</f>
        <v>76822.475624999992</v>
      </c>
      <c r="G33" s="28">
        <f t="shared" si="6"/>
        <v>78498.739364062509</v>
      </c>
      <c r="H33" s="28">
        <f t="shared" si="6"/>
        <v>80789.997188003908</v>
      </c>
      <c r="I33" s="3"/>
      <c r="J33" s="2"/>
      <c r="K33" s="132"/>
      <c r="L33" s="132"/>
      <c r="M33" s="132"/>
      <c r="N33" s="132"/>
      <c r="Q33" s="2"/>
      <c r="R33" s="2"/>
    </row>
    <row r="34" spans="1:18" x14ac:dyDescent="0.25">
      <c r="A34" s="31"/>
      <c r="B34" s="32"/>
      <c r="C34" s="29"/>
      <c r="D34" s="29"/>
      <c r="E34" s="29"/>
      <c r="F34" s="29"/>
      <c r="G34" s="29"/>
      <c r="H34" s="29"/>
      <c r="I34" s="2"/>
      <c r="J34" s="2"/>
      <c r="K34" s="132"/>
      <c r="L34" s="132"/>
      <c r="M34" s="132"/>
      <c r="N34" s="132"/>
      <c r="Q34" s="2"/>
      <c r="R34" s="2"/>
    </row>
    <row r="35" spans="1:18" x14ac:dyDescent="0.25">
      <c r="A35" s="31" t="s">
        <v>116</v>
      </c>
      <c r="B35" s="32"/>
      <c r="C35" s="29"/>
      <c r="D35" s="37">
        <f>D52/$I$35</f>
        <v>50000</v>
      </c>
      <c r="E35" s="37">
        <f>E52/$I$35</f>
        <v>50000</v>
      </c>
      <c r="F35" s="37">
        <f>F52/$I$35</f>
        <v>50000</v>
      </c>
      <c r="G35" s="37">
        <f>G52/$I$35</f>
        <v>50000</v>
      </c>
      <c r="H35" s="37">
        <f>H52/$I$35</f>
        <v>50000</v>
      </c>
      <c r="I35" s="2">
        <v>30</v>
      </c>
      <c r="J35" s="2" t="s">
        <v>99</v>
      </c>
      <c r="K35" s="96"/>
      <c r="L35" s="96"/>
      <c r="M35" s="96"/>
      <c r="N35" s="96"/>
      <c r="Q35" s="2"/>
      <c r="R35" s="2"/>
    </row>
    <row r="36" spans="1:18" x14ac:dyDescent="0.25">
      <c r="A36" s="31" t="s">
        <v>117</v>
      </c>
      <c r="B36" s="32"/>
      <c r="C36" s="29"/>
      <c r="D36" s="37">
        <f>D54/$I$36</f>
        <v>19000</v>
      </c>
      <c r="E36" s="37">
        <f>E54/$I$36</f>
        <v>19000</v>
      </c>
      <c r="F36" s="37">
        <f>F54/$I$36</f>
        <v>19000</v>
      </c>
      <c r="G36" s="37">
        <f>G54/$I$36</f>
        <v>19000</v>
      </c>
      <c r="H36" s="37">
        <f>H54/$I$36</f>
        <v>19000</v>
      </c>
      <c r="I36" s="2">
        <v>5</v>
      </c>
      <c r="J36" s="2" t="s">
        <v>99</v>
      </c>
      <c r="K36" s="132"/>
      <c r="L36" s="132"/>
      <c r="M36" s="132"/>
      <c r="N36" s="132"/>
      <c r="Q36" s="2"/>
      <c r="R36" s="2"/>
    </row>
    <row r="37" spans="1:18" x14ac:dyDescent="0.25">
      <c r="A37" s="31" t="s">
        <v>5</v>
      </c>
      <c r="B37" s="32"/>
      <c r="C37" s="29"/>
      <c r="D37" s="29">
        <f>[1]Mortgage!D14</f>
        <v>24832.470652890941</v>
      </c>
      <c r="E37" s="29">
        <f>[1]Mortgage!D28</f>
        <v>24455.058197150083</v>
      </c>
      <c r="F37" s="29">
        <f>[1]Mortgage!D42</f>
        <v>24058.336603889318</v>
      </c>
      <c r="G37" s="29">
        <f>[1]Mortgage!D56</f>
        <v>23641.317980986667</v>
      </c>
      <c r="H37" s="29">
        <f>[1]Mortgage!D70</f>
        <v>23202.963893884291</v>
      </c>
      <c r="I37" s="9">
        <v>0.08</v>
      </c>
      <c r="J37" s="2" t="s">
        <v>75</v>
      </c>
      <c r="K37" s="132"/>
      <c r="L37" s="132"/>
      <c r="M37" s="132"/>
      <c r="N37" s="132"/>
      <c r="Q37" s="2"/>
      <c r="R37" s="2"/>
    </row>
    <row r="38" spans="1:18" x14ac:dyDescent="0.25">
      <c r="A38" s="31" t="s">
        <v>6</v>
      </c>
      <c r="B38" s="32"/>
      <c r="C38" s="29"/>
      <c r="D38" s="29">
        <f>$I$38*D65</f>
        <v>167642.06338259584</v>
      </c>
      <c r="E38" s="29">
        <f>$I$38*E65</f>
        <v>181071.79472674686</v>
      </c>
      <c r="F38" s="29">
        <f>$I$38*F65</f>
        <v>196765.89299992332</v>
      </c>
      <c r="G38" s="29">
        <f>$I$38*G65</f>
        <v>215247.9335808059</v>
      </c>
      <c r="H38" s="29">
        <f>$I$38*H65</f>
        <v>236620.99475329765</v>
      </c>
      <c r="I38" s="3">
        <v>0.11</v>
      </c>
      <c r="J38" s="2" t="s">
        <v>46</v>
      </c>
      <c r="K38" s="132"/>
      <c r="L38" s="132"/>
      <c r="M38" s="132"/>
      <c r="N38" s="132"/>
      <c r="Q38" s="2"/>
      <c r="R38" s="2"/>
    </row>
    <row r="39" spans="1:18" x14ac:dyDescent="0.25">
      <c r="A39" s="31"/>
      <c r="B39" s="32"/>
      <c r="C39" s="29"/>
      <c r="D39" s="29"/>
      <c r="E39" s="29"/>
      <c r="F39" s="29"/>
      <c r="G39" s="29"/>
      <c r="H39" s="29"/>
      <c r="I39" s="4"/>
      <c r="J39" s="2"/>
      <c r="K39" s="132"/>
      <c r="L39" s="132"/>
      <c r="M39" s="132"/>
      <c r="N39" s="132"/>
      <c r="Q39" s="2"/>
      <c r="R39" s="2"/>
    </row>
    <row r="40" spans="1:18" x14ac:dyDescent="0.25">
      <c r="A40" s="31" t="s">
        <v>7</v>
      </c>
      <c r="B40" s="32"/>
      <c r="C40" s="29"/>
      <c r="D40" s="29">
        <f t="shared" ref="D40:H40" si="7">D20-D25-D33-SUM(D35:D38)</f>
        <v>-163014.53403548678</v>
      </c>
      <c r="E40" s="29">
        <f t="shared" si="7"/>
        <v>-183019.35292389692</v>
      </c>
      <c r="F40" s="29">
        <f t="shared" si="7"/>
        <v>-203018.0652288126</v>
      </c>
      <c r="G40" s="29">
        <f t="shared" si="7"/>
        <v>-228161.02762585506</v>
      </c>
      <c r="H40" s="29">
        <f t="shared" si="7"/>
        <v>-254004.16502668583</v>
      </c>
      <c r="I40" s="4"/>
      <c r="J40" s="2"/>
      <c r="K40" s="132"/>
      <c r="L40" s="132"/>
      <c r="M40" s="132"/>
      <c r="N40" s="132"/>
      <c r="Q40" s="2"/>
      <c r="R40" s="2"/>
    </row>
    <row r="41" spans="1:18" x14ac:dyDescent="0.25">
      <c r="A41" s="31" t="s">
        <v>8</v>
      </c>
      <c r="B41" s="32"/>
      <c r="C41" s="29"/>
      <c r="D41" s="29">
        <f>IF(D40&lt;0,0,D40*$I$41)</f>
        <v>0</v>
      </c>
      <c r="E41" s="29">
        <f>IF(E40&lt;0,0,E40*$I$41)</f>
        <v>0</v>
      </c>
      <c r="F41" s="29">
        <f>IF(F40&lt;0,0,F40*$I$41)</f>
        <v>0</v>
      </c>
      <c r="G41" s="29">
        <f>IF(G40&lt;0,0,G40*$I$41)</f>
        <v>0</v>
      </c>
      <c r="H41" s="29">
        <f>IF(H40&lt;0,0,H40*$I$41)</f>
        <v>0</v>
      </c>
      <c r="I41" s="3">
        <v>0.2</v>
      </c>
      <c r="J41" s="2" t="s">
        <v>47</v>
      </c>
      <c r="K41" s="132"/>
      <c r="L41" s="132"/>
      <c r="M41" s="132"/>
      <c r="N41" s="132"/>
      <c r="Q41" s="2"/>
      <c r="R41" s="2"/>
    </row>
    <row r="42" spans="1:18" x14ac:dyDescent="0.25">
      <c r="A42" s="31"/>
      <c r="B42" s="32"/>
      <c r="C42" s="29"/>
      <c r="D42" s="29"/>
      <c r="E42" s="29"/>
      <c r="F42" s="29"/>
      <c r="G42" s="29"/>
      <c r="H42" s="29"/>
      <c r="I42" s="132"/>
      <c r="J42" s="132"/>
      <c r="K42" s="132"/>
      <c r="L42" s="132"/>
      <c r="M42" s="132"/>
      <c r="N42" s="132"/>
      <c r="O42" s="3"/>
      <c r="P42" s="2"/>
      <c r="Q42" s="2"/>
      <c r="R42" s="2"/>
    </row>
    <row r="43" spans="1:18" ht="15.75" thickBot="1" x14ac:dyDescent="0.3">
      <c r="A43" s="31" t="s">
        <v>9</v>
      </c>
      <c r="B43" s="32"/>
      <c r="C43" s="29"/>
      <c r="D43" s="25">
        <f>D40-D41</f>
        <v>-163014.53403548678</v>
      </c>
      <c r="E43" s="25">
        <f>E40-E41</f>
        <v>-183019.35292389692</v>
      </c>
      <c r="F43" s="25">
        <f t="shared" ref="F43:H43" si="8">F40-F41</f>
        <v>-203018.0652288126</v>
      </c>
      <c r="G43" s="25">
        <f t="shared" si="8"/>
        <v>-228161.02762585506</v>
      </c>
      <c r="H43" s="25">
        <f t="shared" si="8"/>
        <v>-254004.16502668583</v>
      </c>
      <c r="I43" s="132"/>
      <c r="J43" s="132"/>
      <c r="K43" s="132"/>
      <c r="L43" s="132"/>
      <c r="M43" s="132"/>
      <c r="N43" s="132"/>
      <c r="O43" s="2"/>
      <c r="P43" s="2"/>
      <c r="Q43" s="2"/>
      <c r="R43" s="2"/>
    </row>
    <row r="44" spans="1:18" ht="16.5" thickTop="1" thickBot="1" x14ac:dyDescent="0.3">
      <c r="A44" s="32"/>
      <c r="B44" s="32"/>
      <c r="C44" s="29"/>
      <c r="D44" s="29"/>
      <c r="E44" s="29"/>
      <c r="F44" s="29"/>
      <c r="G44" s="29"/>
      <c r="H44" s="29" t="s">
        <v>143</v>
      </c>
      <c r="I44" s="132"/>
      <c r="J44" s="132"/>
      <c r="K44" s="132"/>
      <c r="L44" s="132"/>
      <c r="M44" s="132"/>
      <c r="N44" s="132"/>
      <c r="O44" s="2"/>
      <c r="P44" s="2"/>
      <c r="Q44" s="2"/>
      <c r="R44" s="2"/>
    </row>
    <row r="45" spans="1:18" x14ac:dyDescent="0.25">
      <c r="A45" s="40" t="s">
        <v>10</v>
      </c>
      <c r="B45" s="32"/>
      <c r="C45" s="29"/>
      <c r="D45" s="29"/>
      <c r="E45" s="29"/>
      <c r="F45" s="29"/>
      <c r="G45" s="29"/>
      <c r="H45" s="29"/>
      <c r="I45" s="226" t="s">
        <v>153</v>
      </c>
      <c r="J45" s="227"/>
      <c r="K45" s="227"/>
      <c r="L45" s="156"/>
      <c r="M45" s="156"/>
      <c r="N45" s="156"/>
      <c r="O45" s="157"/>
      <c r="P45" s="158"/>
      <c r="Q45" s="2"/>
      <c r="R45" s="2"/>
    </row>
    <row r="46" spans="1:18" x14ac:dyDescent="0.25">
      <c r="A46" s="31" t="s">
        <v>11</v>
      </c>
      <c r="B46" s="32"/>
      <c r="C46" s="29" t="s">
        <v>85</v>
      </c>
      <c r="D46" s="29"/>
      <c r="E46" s="29"/>
      <c r="F46" s="29"/>
      <c r="G46" s="29"/>
      <c r="H46" s="29"/>
      <c r="I46" s="182" t="s">
        <v>160</v>
      </c>
      <c r="J46" s="183" t="s">
        <v>154</v>
      </c>
      <c r="K46" s="183" t="s">
        <v>155</v>
      </c>
      <c r="L46" s="132"/>
      <c r="M46" s="132"/>
      <c r="N46" s="132"/>
      <c r="O46" s="135"/>
      <c r="P46" s="159"/>
      <c r="Q46" s="2"/>
      <c r="R46" s="2"/>
    </row>
    <row r="47" spans="1:18" x14ac:dyDescent="0.25">
      <c r="A47" s="31" t="s">
        <v>12</v>
      </c>
      <c r="B47" s="32"/>
      <c r="C47" s="29">
        <v>10000</v>
      </c>
      <c r="D47" s="29">
        <f>C47</f>
        <v>10000</v>
      </c>
      <c r="E47" s="29">
        <f>D47</f>
        <v>10000</v>
      </c>
      <c r="F47" s="29">
        <f t="shared" ref="F47:H47" si="9">E47</f>
        <v>10000</v>
      </c>
      <c r="G47" s="29">
        <f t="shared" si="9"/>
        <v>10000</v>
      </c>
      <c r="H47" s="29">
        <f t="shared" si="9"/>
        <v>10000</v>
      </c>
      <c r="I47" s="177">
        <v>1</v>
      </c>
      <c r="J47" s="171"/>
      <c r="K47" s="171">
        <f>H47*I47</f>
        <v>10000</v>
      </c>
      <c r="L47" s="132"/>
      <c r="M47" s="132"/>
      <c r="N47" s="132"/>
      <c r="O47" s="135"/>
      <c r="P47" s="159"/>
      <c r="Q47" s="2"/>
      <c r="R47" s="2"/>
    </row>
    <row r="48" spans="1:18" x14ac:dyDescent="0.25">
      <c r="A48" s="31" t="s">
        <v>13</v>
      </c>
      <c r="B48" s="32"/>
      <c r="C48" s="29"/>
      <c r="D48" s="29"/>
      <c r="E48" s="29"/>
      <c r="F48" s="29"/>
      <c r="G48" s="29"/>
      <c r="H48" s="29"/>
      <c r="I48" s="177"/>
      <c r="J48" s="171"/>
      <c r="K48" s="171"/>
      <c r="L48" s="132"/>
      <c r="M48" s="132"/>
      <c r="N48" s="132"/>
      <c r="O48" s="135"/>
      <c r="P48" s="159"/>
      <c r="Q48" s="2"/>
      <c r="R48" s="2"/>
    </row>
    <row r="49" spans="1:22" x14ac:dyDescent="0.25">
      <c r="A49" s="31" t="s">
        <v>14</v>
      </c>
      <c r="B49" s="32"/>
      <c r="C49" s="29"/>
      <c r="D49" s="29">
        <f t="shared" ref="D49:H49" si="10">D17/365*D11</f>
        <v>4931.5068493150684</v>
      </c>
      <c r="E49" s="29">
        <f t="shared" si="10"/>
        <v>5776.7979452054797</v>
      </c>
      <c r="F49" s="29">
        <f t="shared" si="10"/>
        <v>6743.5620719178078</v>
      </c>
      <c r="G49" s="29">
        <f t="shared" si="10"/>
        <v>7434.7771842893844</v>
      </c>
      <c r="H49" s="29">
        <f t="shared" si="10"/>
        <v>8287.9178661865917</v>
      </c>
      <c r="I49" s="177">
        <v>0.8</v>
      </c>
      <c r="J49" s="171"/>
      <c r="K49" s="171">
        <f>H49*I49</f>
        <v>6630.3342929492737</v>
      </c>
      <c r="L49" s="132"/>
      <c r="M49" s="132"/>
      <c r="N49" s="132"/>
      <c r="O49" s="135"/>
      <c r="P49" s="159"/>
      <c r="Q49" s="2"/>
      <c r="R49" s="2"/>
    </row>
    <row r="50" spans="1:22" x14ac:dyDescent="0.25">
      <c r="A50" s="31" t="s">
        <v>15</v>
      </c>
      <c r="B50" s="32"/>
      <c r="C50" s="29"/>
      <c r="D50" s="29">
        <f t="shared" ref="D50:H50" si="11">D23/365*D12</f>
        <v>8087.6712328767126</v>
      </c>
      <c r="E50" s="29">
        <f t="shared" si="11"/>
        <v>7260.7068493150682</v>
      </c>
      <c r="F50" s="29">
        <f t="shared" si="11"/>
        <v>6518.299573972602</v>
      </c>
      <c r="G50" s="29">
        <f t="shared" si="11"/>
        <v>5851.8034425339038</v>
      </c>
      <c r="H50" s="29">
        <f t="shared" si="11"/>
        <v>5253.456540534813</v>
      </c>
      <c r="I50" s="177">
        <v>0.8</v>
      </c>
      <c r="J50" s="171"/>
      <c r="K50" s="171">
        <f>H50*I50</f>
        <v>4202.7652324278506</v>
      </c>
      <c r="L50" s="132"/>
      <c r="M50" s="133"/>
      <c r="N50" s="133"/>
      <c r="O50" s="133"/>
      <c r="P50" s="160"/>
      <c r="Q50" s="133"/>
      <c r="R50" s="133"/>
      <c r="S50" s="133"/>
      <c r="T50" s="133"/>
    </row>
    <row r="51" spans="1:22" x14ac:dyDescent="0.25">
      <c r="A51" s="31"/>
      <c r="B51" s="32"/>
      <c r="C51" s="29"/>
      <c r="D51" s="29"/>
      <c r="E51" s="29"/>
      <c r="F51" s="29"/>
      <c r="G51" s="29"/>
      <c r="H51" s="29"/>
      <c r="I51" s="177"/>
      <c r="J51" s="171"/>
      <c r="K51" s="171"/>
      <c r="L51" s="132"/>
      <c r="M51" s="133"/>
      <c r="N51" s="133"/>
      <c r="O51" s="133"/>
      <c r="P51" s="160"/>
      <c r="Q51" s="133"/>
      <c r="R51" s="133"/>
      <c r="S51" s="133"/>
      <c r="T51" s="133"/>
    </row>
    <row r="52" spans="1:22" x14ac:dyDescent="0.25">
      <c r="A52" s="31" t="s">
        <v>16</v>
      </c>
      <c r="B52" s="32"/>
      <c r="C52" s="29"/>
      <c r="D52" s="29">
        <v>1500000</v>
      </c>
      <c r="E52" s="29">
        <f>$D$52</f>
        <v>1500000</v>
      </c>
      <c r="F52" s="29">
        <f t="shared" ref="F52:H52" si="12">$D$52</f>
        <v>1500000</v>
      </c>
      <c r="G52" s="29">
        <f t="shared" si="12"/>
        <v>1500000</v>
      </c>
      <c r="H52" s="29">
        <f t="shared" si="12"/>
        <v>1500000</v>
      </c>
      <c r="I52" s="177">
        <v>0.9</v>
      </c>
      <c r="J52" s="171">
        <f>H52*I52</f>
        <v>1350000</v>
      </c>
      <c r="K52" s="171"/>
      <c r="L52" s="132"/>
      <c r="M52" s="133"/>
      <c r="N52" s="148"/>
      <c r="O52" s="143"/>
      <c r="P52" s="161"/>
      <c r="Q52" s="143"/>
      <c r="R52" s="133"/>
      <c r="S52" s="133"/>
      <c r="T52" s="133"/>
      <c r="U52" s="88"/>
      <c r="V52" s="88"/>
    </row>
    <row r="53" spans="1:22" x14ac:dyDescent="0.25">
      <c r="A53" s="31" t="s">
        <v>92</v>
      </c>
      <c r="B53" s="32"/>
      <c r="C53" s="29"/>
      <c r="D53" s="29">
        <f t="shared" ref="D53:H53" si="13">C53+D35</f>
        <v>50000</v>
      </c>
      <c r="E53" s="29">
        <f t="shared" si="13"/>
        <v>100000</v>
      </c>
      <c r="F53" s="29">
        <f t="shared" si="13"/>
        <v>150000</v>
      </c>
      <c r="G53" s="29">
        <f t="shared" si="13"/>
        <v>200000</v>
      </c>
      <c r="H53" s="29">
        <f t="shared" si="13"/>
        <v>250000</v>
      </c>
      <c r="I53" s="177"/>
      <c r="J53" s="171"/>
      <c r="K53" s="171"/>
      <c r="L53" s="132"/>
      <c r="M53" s="133"/>
      <c r="N53" s="149"/>
      <c r="O53" s="143"/>
      <c r="P53" s="161"/>
      <c r="Q53" s="143"/>
      <c r="R53" s="133"/>
      <c r="S53" s="133"/>
      <c r="T53" s="133"/>
      <c r="U53" s="88"/>
      <c r="V53" s="88"/>
    </row>
    <row r="54" spans="1:22" x14ac:dyDescent="0.25">
      <c r="A54" s="31" t="s">
        <v>91</v>
      </c>
      <c r="B54" s="32"/>
      <c r="C54" s="29"/>
      <c r="D54" s="29">
        <v>95000</v>
      </c>
      <c r="E54" s="29">
        <f>$D$54</f>
        <v>95000</v>
      </c>
      <c r="F54" s="29">
        <f t="shared" ref="F54:H54" si="14">$D$54</f>
        <v>95000</v>
      </c>
      <c r="G54" s="29">
        <f t="shared" si="14"/>
        <v>95000</v>
      </c>
      <c r="H54" s="29">
        <f t="shared" si="14"/>
        <v>95000</v>
      </c>
      <c r="I54" s="177">
        <v>0.2</v>
      </c>
      <c r="J54" s="171">
        <f>H54*I54</f>
        <v>19000</v>
      </c>
      <c r="K54" s="171"/>
      <c r="L54" s="132"/>
      <c r="M54" s="133"/>
      <c r="N54" s="149"/>
      <c r="O54" s="143"/>
      <c r="P54" s="161"/>
      <c r="Q54" s="143"/>
      <c r="R54" s="133"/>
      <c r="S54" s="133"/>
      <c r="T54" s="133"/>
      <c r="U54" s="88"/>
      <c r="V54" s="88"/>
    </row>
    <row r="55" spans="1:22" x14ac:dyDescent="0.25">
      <c r="A55" s="31" t="s">
        <v>93</v>
      </c>
      <c r="B55" s="32"/>
      <c r="C55" s="29"/>
      <c r="D55" s="29">
        <f>D36</f>
        <v>19000</v>
      </c>
      <c r="E55" s="29">
        <f>D55+E36</f>
        <v>38000</v>
      </c>
      <c r="F55" s="29">
        <f>E55+F36</f>
        <v>57000</v>
      </c>
      <c r="G55" s="29">
        <f>F55+G36</f>
        <v>76000</v>
      </c>
      <c r="H55" s="29">
        <f>G55+H36</f>
        <v>95000</v>
      </c>
      <c r="I55" s="177"/>
      <c r="J55" s="171"/>
      <c r="K55" s="171"/>
      <c r="L55" s="132"/>
      <c r="M55" s="133"/>
      <c r="N55" s="149"/>
      <c r="O55" s="143"/>
      <c r="P55" s="161"/>
      <c r="Q55" s="143"/>
      <c r="R55" s="133"/>
      <c r="S55" s="133"/>
      <c r="T55" s="133"/>
      <c r="U55" s="88"/>
      <c r="V55" s="88"/>
    </row>
    <row r="56" spans="1:22" x14ac:dyDescent="0.25">
      <c r="A56" s="31" t="s">
        <v>86</v>
      </c>
      <c r="B56" s="32"/>
      <c r="C56" s="29"/>
      <c r="D56" s="29">
        <v>400000</v>
      </c>
      <c r="E56" s="29">
        <f>$D$56</f>
        <v>400000</v>
      </c>
      <c r="F56" s="29">
        <f t="shared" ref="F56:H56" si="15">$D$56</f>
        <v>400000</v>
      </c>
      <c r="G56" s="29">
        <f t="shared" si="15"/>
        <v>400000</v>
      </c>
      <c r="H56" s="29">
        <f t="shared" si="15"/>
        <v>400000</v>
      </c>
      <c r="I56" s="177">
        <v>0.9</v>
      </c>
      <c r="J56" s="171">
        <f>H56*I56</f>
        <v>360000</v>
      </c>
      <c r="K56" s="171"/>
      <c r="L56" s="132"/>
      <c r="M56" s="133"/>
      <c r="N56" s="149"/>
      <c r="O56" s="143"/>
      <c r="P56" s="161"/>
      <c r="Q56" s="143"/>
      <c r="R56" s="133"/>
      <c r="S56" s="133"/>
      <c r="T56" s="133"/>
      <c r="U56" s="88"/>
      <c r="V56" s="88"/>
    </row>
    <row r="57" spans="1:22" x14ac:dyDescent="0.25">
      <c r="A57" s="31"/>
      <c r="B57" s="32"/>
      <c r="C57" s="29"/>
      <c r="D57" s="29"/>
      <c r="E57" s="29"/>
      <c r="F57" s="29"/>
      <c r="G57" s="29"/>
      <c r="H57" s="29"/>
      <c r="I57" s="178"/>
      <c r="J57" s="171"/>
      <c r="K57" s="171"/>
      <c r="L57" s="132"/>
      <c r="M57" s="133"/>
      <c r="N57" s="149"/>
      <c r="O57" s="143"/>
      <c r="P57" s="161"/>
      <c r="Q57" s="143"/>
      <c r="R57" s="133"/>
      <c r="S57" s="133"/>
      <c r="T57" s="133"/>
      <c r="U57" s="88"/>
      <c r="V57" s="88"/>
    </row>
    <row r="58" spans="1:22" ht="15.75" thickBot="1" x14ac:dyDescent="0.3">
      <c r="A58" s="40" t="s">
        <v>17</v>
      </c>
      <c r="B58" s="32"/>
      <c r="C58" s="29"/>
      <c r="D58" s="25">
        <f>SUM(D47:D52)+D54+D56-D53-D55</f>
        <v>1949019.1780821919</v>
      </c>
      <c r="E58" s="25">
        <f t="shared" ref="E58:H58" si="16">SUM(E47:E52)+E54+E56-E53-E55</f>
        <v>1880037.5047945206</v>
      </c>
      <c r="F58" s="25">
        <f t="shared" si="16"/>
        <v>1811261.8616458904</v>
      </c>
      <c r="G58" s="25">
        <f t="shared" si="16"/>
        <v>1742286.5806268232</v>
      </c>
      <c r="H58" s="25">
        <f t="shared" si="16"/>
        <v>1673541.3744067214</v>
      </c>
      <c r="I58" s="178"/>
      <c r="J58" s="172">
        <f>SUM(J47:J56)</f>
        <v>1729000</v>
      </c>
      <c r="K58" s="172">
        <f>SUM(K47:K57)</f>
        <v>20833.099525377122</v>
      </c>
      <c r="L58" s="132"/>
      <c r="M58" s="133"/>
      <c r="N58" s="149"/>
      <c r="O58" s="143"/>
      <c r="P58" s="161"/>
      <c r="Q58" s="143"/>
      <c r="R58" s="133"/>
      <c r="S58" s="133"/>
      <c r="T58" s="133"/>
      <c r="U58" s="88"/>
      <c r="V58" s="88"/>
    </row>
    <row r="59" spans="1:22" ht="15.75" thickTop="1" x14ac:dyDescent="0.25">
      <c r="A59" s="31"/>
      <c r="B59" s="32"/>
      <c r="C59" s="29"/>
      <c r="D59" s="29"/>
      <c r="E59" s="29"/>
      <c r="F59" s="29"/>
      <c r="G59" s="29"/>
      <c r="H59" s="29"/>
      <c r="I59" s="178"/>
      <c r="J59" s="171"/>
      <c r="K59" s="171"/>
      <c r="L59" s="132"/>
      <c r="M59" s="133"/>
      <c r="N59" s="154"/>
      <c r="O59" s="143"/>
      <c r="P59" s="161"/>
      <c r="Q59" s="143"/>
      <c r="R59" s="133"/>
      <c r="S59" s="133"/>
      <c r="T59" s="133"/>
      <c r="U59" s="88"/>
      <c r="V59" s="88"/>
    </row>
    <row r="60" spans="1:22" x14ac:dyDescent="0.25">
      <c r="A60" s="40" t="s">
        <v>18</v>
      </c>
      <c r="B60" s="32"/>
      <c r="C60" s="29"/>
      <c r="D60" s="29"/>
      <c r="E60" s="29"/>
      <c r="F60" s="29"/>
      <c r="G60" s="29"/>
      <c r="H60" s="29"/>
      <c r="I60" s="178"/>
      <c r="J60" s="171"/>
      <c r="K60" s="171"/>
      <c r="L60" s="132"/>
      <c r="M60" s="133"/>
      <c r="N60" s="152"/>
      <c r="O60" s="162"/>
      <c r="P60" s="161"/>
      <c r="Q60" s="143"/>
      <c r="R60" s="133"/>
      <c r="S60" s="133"/>
      <c r="T60" s="133"/>
      <c r="U60" s="88"/>
      <c r="V60" s="88"/>
    </row>
    <row r="61" spans="1:22" x14ac:dyDescent="0.25">
      <c r="A61" s="31" t="s">
        <v>19</v>
      </c>
      <c r="B61" s="32"/>
      <c r="C61" s="29"/>
      <c r="D61" s="29">
        <f>D23/365*D13</f>
        <v>5391.7808219178087</v>
      </c>
      <c r="E61" s="29">
        <f t="shared" ref="E61:H61" si="17">E23/365*E13</f>
        <v>5095.232876712329</v>
      </c>
      <c r="F61" s="29">
        <f t="shared" si="17"/>
        <v>4814.99506849315</v>
      </c>
      <c r="G61" s="29">
        <f t="shared" si="17"/>
        <v>4550.1703397260271</v>
      </c>
      <c r="H61" s="29">
        <f t="shared" si="17"/>
        <v>4514.9065195931516</v>
      </c>
      <c r="I61" s="177">
        <v>-1</v>
      </c>
      <c r="J61" s="171"/>
      <c r="K61" s="173">
        <f>H61*I61</f>
        <v>-4514.9065195931516</v>
      </c>
      <c r="L61" s="132"/>
      <c r="M61" s="133"/>
      <c r="N61" s="149"/>
      <c r="O61" s="143"/>
      <c r="P61" s="161"/>
      <c r="Q61" s="143"/>
      <c r="R61" s="133"/>
      <c r="S61" s="133"/>
      <c r="T61" s="133"/>
      <c r="U61" s="88"/>
      <c r="V61" s="88"/>
    </row>
    <row r="62" spans="1:22" ht="15.75" thickBot="1" x14ac:dyDescent="0.3">
      <c r="A62" s="31" t="s">
        <v>20</v>
      </c>
      <c r="B62" s="32"/>
      <c r="C62" s="29"/>
      <c r="D62" s="29">
        <f t="shared" ref="D62:H62" si="18">D41</f>
        <v>0</v>
      </c>
      <c r="E62" s="29">
        <f t="shared" si="18"/>
        <v>0</v>
      </c>
      <c r="F62" s="29">
        <f t="shared" si="18"/>
        <v>0</v>
      </c>
      <c r="G62" s="29">
        <f t="shared" si="18"/>
        <v>0</v>
      </c>
      <c r="H62" s="29">
        <f t="shared" si="18"/>
        <v>0</v>
      </c>
      <c r="I62" s="179"/>
      <c r="J62" s="174">
        <f>J58-H64</f>
        <v>1269856.3395748404</v>
      </c>
      <c r="K62" s="174">
        <f>K61+K58</f>
        <v>16318.193005783971</v>
      </c>
      <c r="L62" s="132"/>
      <c r="M62" s="133"/>
      <c r="N62" s="149"/>
      <c r="O62" s="143"/>
      <c r="P62" s="161"/>
      <c r="Q62" s="143"/>
      <c r="R62" s="133"/>
      <c r="S62" s="133"/>
      <c r="T62" s="133"/>
      <c r="U62" s="88"/>
      <c r="V62" s="88"/>
    </row>
    <row r="63" spans="1:22" ht="15.75" thickTop="1" x14ac:dyDescent="0.25">
      <c r="A63" s="31"/>
      <c r="B63" s="32"/>
      <c r="C63" s="29"/>
      <c r="D63" s="29"/>
      <c r="E63" s="29"/>
      <c r="F63" s="29"/>
      <c r="G63" s="29"/>
      <c r="H63" s="29"/>
      <c r="I63" s="180"/>
      <c r="J63" s="199" t="s">
        <v>156</v>
      </c>
      <c r="K63" s="199" t="s">
        <v>161</v>
      </c>
      <c r="L63" s="199" t="s">
        <v>157</v>
      </c>
      <c r="M63" s="199" t="s">
        <v>162</v>
      </c>
      <c r="N63" s="200" t="s">
        <v>163</v>
      </c>
      <c r="O63" s="201" t="s">
        <v>159</v>
      </c>
      <c r="P63" s="161"/>
      <c r="Q63" s="143"/>
      <c r="R63" s="133"/>
      <c r="S63" s="133"/>
      <c r="T63" s="133"/>
      <c r="U63" s="88"/>
      <c r="V63" s="88"/>
    </row>
    <row r="64" spans="1:22" x14ac:dyDescent="0.25">
      <c r="A64" s="31" t="s">
        <v>21</v>
      </c>
      <c r="B64" s="32"/>
      <c r="C64" s="29"/>
      <c r="D64" s="29">
        <f>[1]Mortgage!F13</f>
        <v>492623.17327216262</v>
      </c>
      <c r="E64" s="29">
        <f>[1]Mortgage!F27</f>
        <v>484868.93408858433</v>
      </c>
      <c r="F64" s="29">
        <f>[1]Mortgage!F41</f>
        <v>476717.97331174527</v>
      </c>
      <c r="G64" s="29">
        <f>[1]Mortgage!F55</f>
        <v>468149.99391200364</v>
      </c>
      <c r="H64" s="29">
        <f>[1]Mortgage!F69</f>
        <v>459143.66042515961</v>
      </c>
      <c r="I64" s="163" t="str">
        <f>A64</f>
        <v>Mortgage Loan</v>
      </c>
      <c r="J64" s="147">
        <f>J58</f>
        <v>1729000</v>
      </c>
      <c r="K64" s="132">
        <f>IF(H64-J64&lt;0,0,H64-J64)</f>
        <v>0</v>
      </c>
      <c r="L64" s="136">
        <f>K64/K66</f>
        <v>0</v>
      </c>
      <c r="M64" s="133">
        <v>0</v>
      </c>
      <c r="N64" s="152">
        <f>H64</f>
        <v>459143.66042515961</v>
      </c>
      <c r="O64" s="175">
        <f>H64/N64</f>
        <v>1</v>
      </c>
      <c r="P64" s="161"/>
      <c r="Q64" s="143"/>
      <c r="R64" s="133"/>
      <c r="S64" s="133"/>
      <c r="T64" s="133"/>
      <c r="U64" s="88"/>
      <c r="V64" s="88"/>
    </row>
    <row r="65" spans="1:22" x14ac:dyDescent="0.25">
      <c r="A65" s="31" t="s">
        <v>22</v>
      </c>
      <c r="B65" s="32"/>
      <c r="C65" s="29"/>
      <c r="D65" s="29">
        <v>1524018.7580235985</v>
      </c>
      <c r="E65" s="29">
        <v>1646107.2247886078</v>
      </c>
      <c r="F65" s="29">
        <v>1788780.8454538484</v>
      </c>
      <c r="G65" s="29">
        <v>1956799.3961891446</v>
      </c>
      <c r="H65" s="29">
        <v>2151099.952302706</v>
      </c>
      <c r="I65" s="181" t="str">
        <f>A65</f>
        <v>Extra Bank Loan</v>
      </c>
      <c r="J65" s="150"/>
      <c r="K65" s="151">
        <f>J62+K62</f>
        <v>1286174.5325806243</v>
      </c>
      <c r="L65" s="155">
        <f>K65/K66</f>
        <v>0.59791481618685471</v>
      </c>
      <c r="M65" s="155">
        <f>1-L65</f>
        <v>0.40208518381314529</v>
      </c>
      <c r="N65" s="153">
        <f>H65-K65</f>
        <v>864925.41972208163</v>
      </c>
      <c r="O65" s="176">
        <f>N65/K66</f>
        <v>0.40208518381314529</v>
      </c>
      <c r="P65" s="164"/>
      <c r="Q65" s="143"/>
      <c r="R65" s="133"/>
      <c r="S65" s="133"/>
      <c r="T65" s="133"/>
      <c r="U65" s="88"/>
      <c r="V65" s="88"/>
    </row>
    <row r="66" spans="1:22" ht="15.75" thickBot="1" x14ac:dyDescent="0.3">
      <c r="A66" s="31"/>
      <c r="B66" s="32"/>
      <c r="C66" s="29"/>
      <c r="D66" s="29"/>
      <c r="E66" s="29"/>
      <c r="F66" s="29"/>
      <c r="G66" s="29"/>
      <c r="H66" s="29"/>
      <c r="I66" s="165"/>
      <c r="J66" s="166"/>
      <c r="K66" s="166">
        <f>H65</f>
        <v>2151099.952302706</v>
      </c>
      <c r="L66" s="166"/>
      <c r="M66" s="167"/>
      <c r="N66" s="168"/>
      <c r="O66" s="169"/>
      <c r="P66" s="170"/>
      <c r="Q66" s="143"/>
      <c r="R66" s="133"/>
      <c r="S66" s="133"/>
      <c r="T66" s="133"/>
      <c r="U66" s="88"/>
      <c r="V66" s="88"/>
    </row>
    <row r="67" spans="1:22" x14ac:dyDescent="0.25">
      <c r="A67" s="31" t="s">
        <v>23</v>
      </c>
      <c r="B67" s="32"/>
      <c r="C67" s="29"/>
      <c r="D67" s="29">
        <v>90000</v>
      </c>
      <c r="E67" s="29">
        <v>90000</v>
      </c>
      <c r="F67" s="29">
        <v>90000</v>
      </c>
      <c r="G67" s="29">
        <v>90000</v>
      </c>
      <c r="H67" s="29">
        <v>90000</v>
      </c>
      <c r="I67" s="132"/>
      <c r="J67" s="132"/>
      <c r="K67" s="132"/>
      <c r="L67" s="132"/>
      <c r="M67" s="63"/>
      <c r="N67" s="149"/>
      <c r="O67" s="143"/>
      <c r="P67" s="143"/>
      <c r="Q67" s="143"/>
      <c r="R67" s="133"/>
      <c r="S67" s="133"/>
      <c r="T67" s="133"/>
      <c r="U67" s="88"/>
      <c r="V67" s="88"/>
    </row>
    <row r="68" spans="1:22" x14ac:dyDescent="0.25">
      <c r="A68" s="31" t="s">
        <v>24</v>
      </c>
      <c r="B68" s="32"/>
      <c r="C68" s="29"/>
      <c r="D68" s="10">
        <f t="shared" ref="D68:H68" si="19">C68+D43</f>
        <v>-163014.53403548678</v>
      </c>
      <c r="E68" s="10">
        <f t="shared" si="19"/>
        <v>-346033.88695938373</v>
      </c>
      <c r="F68" s="10">
        <f t="shared" si="19"/>
        <v>-549051.95218819636</v>
      </c>
      <c r="G68" s="10">
        <f t="shared" si="19"/>
        <v>-777212.97981405142</v>
      </c>
      <c r="H68" s="10">
        <f t="shared" si="19"/>
        <v>-1031217.1448407372</v>
      </c>
      <c r="I68" s="96"/>
      <c r="J68" s="96"/>
      <c r="K68" s="96"/>
      <c r="L68" s="96"/>
      <c r="M68" s="133"/>
      <c r="N68" s="149"/>
      <c r="O68" s="143"/>
      <c r="P68" s="143"/>
      <c r="Q68" s="143"/>
      <c r="R68" s="133"/>
      <c r="S68" s="133"/>
      <c r="T68" s="133"/>
      <c r="U68" s="88"/>
      <c r="V68" s="88"/>
    </row>
    <row r="69" spans="1:22" x14ac:dyDescent="0.25">
      <c r="A69" s="31"/>
      <c r="B69" s="32"/>
      <c r="C69" s="32"/>
      <c r="D69" s="29"/>
      <c r="E69" s="29"/>
      <c r="F69" s="29"/>
      <c r="G69" s="29"/>
      <c r="H69" s="29"/>
      <c r="I69" s="132"/>
      <c r="J69" s="132"/>
      <c r="K69" s="132"/>
      <c r="L69" s="132"/>
      <c r="M69" s="133"/>
      <c r="N69" s="143"/>
      <c r="O69" s="133"/>
      <c r="P69" s="143"/>
      <c r="Q69" s="143"/>
      <c r="R69" s="143"/>
      <c r="S69" s="143"/>
      <c r="T69" s="133"/>
      <c r="U69" s="88"/>
      <c r="V69" s="88"/>
    </row>
    <row r="70" spans="1:22" ht="15.75" thickBot="1" x14ac:dyDescent="0.3">
      <c r="A70" s="40" t="s">
        <v>25</v>
      </c>
      <c r="B70" s="32"/>
      <c r="C70" s="32"/>
      <c r="D70" s="25">
        <f t="shared" ref="D70:H70" si="20">SUM(D61:D68)</f>
        <v>1949019.1780821921</v>
      </c>
      <c r="E70" s="25">
        <f t="shared" si="20"/>
        <v>1880037.5047945208</v>
      </c>
      <c r="F70" s="25">
        <f t="shared" si="20"/>
        <v>1811261.8616458906</v>
      </c>
      <c r="G70" s="25">
        <f t="shared" si="20"/>
        <v>1742286.5806268228</v>
      </c>
      <c r="H70" s="25">
        <f t="shared" si="20"/>
        <v>1673541.3744067214</v>
      </c>
      <c r="I70" s="132"/>
      <c r="J70" s="132"/>
      <c r="K70" s="132"/>
      <c r="L70" s="132"/>
      <c r="M70" s="133"/>
      <c r="N70" s="144"/>
      <c r="O70" s="143"/>
      <c r="P70" s="134"/>
      <c r="Q70" s="143"/>
      <c r="R70" s="145"/>
      <c r="S70" s="146"/>
      <c r="T70" s="133"/>
      <c r="U70" s="88"/>
      <c r="V70" s="88"/>
    </row>
    <row r="71" spans="1:22" ht="15.75" thickTop="1" x14ac:dyDescent="0.25">
      <c r="A71" s="185" t="s">
        <v>76</v>
      </c>
      <c r="B71" s="88"/>
      <c r="C71" s="88"/>
      <c r="D71" s="96">
        <f>D58-D70</f>
        <v>0</v>
      </c>
      <c r="E71" s="96">
        <f t="shared" ref="E71:H71" si="21">E58-E70</f>
        <v>0</v>
      </c>
      <c r="F71" s="96">
        <f t="shared" si="21"/>
        <v>0</v>
      </c>
      <c r="G71" s="96">
        <f t="shared" si="21"/>
        <v>0</v>
      </c>
      <c r="H71" s="96">
        <f t="shared" si="21"/>
        <v>0</v>
      </c>
      <c r="I71" s="96"/>
      <c r="J71" s="96"/>
      <c r="K71" s="96"/>
      <c r="L71" s="96"/>
      <c r="M71" s="133"/>
      <c r="N71" s="149"/>
      <c r="O71" s="143"/>
      <c r="P71" s="134"/>
      <c r="Q71" s="143"/>
      <c r="R71" s="145"/>
      <c r="S71" s="146"/>
      <c r="T71" s="133"/>
      <c r="U71" s="88"/>
      <c r="V71" s="88"/>
    </row>
    <row r="72" spans="1:22" x14ac:dyDescent="0.25">
      <c r="A72" s="41"/>
      <c r="B72" s="41"/>
      <c r="C72" s="41"/>
      <c r="D72" s="44"/>
      <c r="E72" s="44"/>
      <c r="F72" s="44"/>
      <c r="G72" s="44"/>
      <c r="H72" s="44"/>
      <c r="I72" s="98"/>
      <c r="J72" s="98"/>
      <c r="K72" s="98"/>
      <c r="L72" s="98"/>
      <c r="M72" s="149"/>
      <c r="N72" s="143"/>
      <c r="O72" s="143"/>
      <c r="P72" s="143"/>
      <c r="Q72" s="133"/>
      <c r="R72" s="133"/>
      <c r="S72" s="133"/>
      <c r="T72" s="133"/>
      <c r="U72" s="88"/>
      <c r="V72" s="88"/>
    </row>
    <row r="73" spans="1:22" x14ac:dyDescent="0.25">
      <c r="A73" s="188" t="s">
        <v>164</v>
      </c>
      <c r="B73" s="188"/>
      <c r="C73" s="41"/>
      <c r="D73" s="41"/>
      <c r="E73" s="41"/>
      <c r="F73" s="41"/>
      <c r="G73" s="41"/>
      <c r="H73" s="41"/>
      <c r="I73" s="88"/>
      <c r="J73" s="88"/>
      <c r="K73" s="88"/>
      <c r="L73" s="88"/>
      <c r="M73" s="88"/>
      <c r="N73" s="88"/>
      <c r="P73" s="88"/>
      <c r="Q73" s="88"/>
      <c r="R73" s="88"/>
      <c r="S73" s="88"/>
      <c r="T73" s="88"/>
      <c r="U73" s="88"/>
      <c r="V73" s="88"/>
    </row>
    <row r="74" spans="1:22" x14ac:dyDescent="0.25">
      <c r="A74" s="188" t="s">
        <v>21</v>
      </c>
      <c r="B74" s="188"/>
      <c r="C74" s="41"/>
      <c r="D74" s="41"/>
      <c r="E74" s="41"/>
      <c r="F74" s="41"/>
      <c r="G74" s="41"/>
      <c r="H74" s="41"/>
      <c r="I74" s="88"/>
      <c r="J74" s="88"/>
      <c r="K74" s="88"/>
      <c r="L74" s="88"/>
      <c r="M74" s="88"/>
      <c r="N74" s="88"/>
    </row>
    <row r="75" spans="1:22" x14ac:dyDescent="0.25">
      <c r="A75" s="188"/>
      <c r="B75" s="188" t="s">
        <v>165</v>
      </c>
      <c r="C75" s="189">
        <f>-D64</f>
        <v>-492623.17327216262</v>
      </c>
      <c r="D75" s="190"/>
      <c r="E75" s="190"/>
      <c r="F75" s="190"/>
      <c r="G75" s="190"/>
      <c r="H75" s="190"/>
      <c r="I75" s="88"/>
      <c r="J75" s="88"/>
      <c r="K75" s="88"/>
      <c r="L75" s="88"/>
      <c r="M75" s="88"/>
      <c r="N75" s="88"/>
    </row>
    <row r="76" spans="1:22" x14ac:dyDescent="0.25">
      <c r="A76" s="188"/>
      <c r="B76" s="188" t="s">
        <v>166</v>
      </c>
      <c r="C76" s="190"/>
      <c r="D76" s="189">
        <f>D37</f>
        <v>24832.470652890941</v>
      </c>
      <c r="E76" s="189">
        <f t="shared" ref="E76:H76" si="22">E37</f>
        <v>24455.058197150083</v>
      </c>
      <c r="F76" s="189">
        <f t="shared" si="22"/>
        <v>24058.336603889318</v>
      </c>
      <c r="G76" s="189">
        <f t="shared" si="22"/>
        <v>23641.317980986667</v>
      </c>
      <c r="H76" s="189">
        <f t="shared" si="22"/>
        <v>23202.963893884291</v>
      </c>
      <c r="I76" s="98"/>
      <c r="J76" s="98"/>
      <c r="K76" s="98"/>
      <c r="L76" s="98"/>
      <c r="M76" s="98"/>
      <c r="N76" s="98"/>
    </row>
    <row r="77" spans="1:22" x14ac:dyDescent="0.25">
      <c r="A77" s="188"/>
      <c r="B77" s="188" t="s">
        <v>167</v>
      </c>
      <c r="C77" s="190"/>
      <c r="D77" s="189">
        <f>D64-E64</f>
        <v>7754.239183578291</v>
      </c>
      <c r="E77" s="189">
        <f t="shared" ref="E77:G77" si="23">E64-F64</f>
        <v>8150.9607768390561</v>
      </c>
      <c r="F77" s="189">
        <f t="shared" si="23"/>
        <v>8567.9793997416273</v>
      </c>
      <c r="G77" s="189">
        <f t="shared" si="23"/>
        <v>9006.3334868440288</v>
      </c>
      <c r="H77" s="189"/>
      <c r="I77" s="98"/>
      <c r="J77" s="98"/>
      <c r="K77" s="98"/>
      <c r="L77" s="98"/>
      <c r="M77" s="98"/>
      <c r="N77" s="98"/>
    </row>
    <row r="78" spans="1:22" x14ac:dyDescent="0.25">
      <c r="A78" s="188"/>
      <c r="B78" s="188" t="s">
        <v>168</v>
      </c>
      <c r="C78" s="41"/>
      <c r="D78" s="44"/>
      <c r="E78" s="44"/>
      <c r="F78" s="44"/>
      <c r="G78" s="44"/>
      <c r="H78" s="44">
        <f>H64</f>
        <v>459143.66042515961</v>
      </c>
      <c r="I78" s="98"/>
      <c r="J78" s="98"/>
      <c r="K78" s="98"/>
      <c r="L78" s="98"/>
      <c r="M78" s="98"/>
      <c r="N78" s="98"/>
    </row>
    <row r="79" spans="1:22" x14ac:dyDescent="0.25">
      <c r="A79" s="188"/>
      <c r="B79" s="188"/>
      <c r="C79" s="41"/>
      <c r="D79" s="37"/>
      <c r="E79" s="37"/>
      <c r="F79" s="37"/>
      <c r="G79" s="37"/>
      <c r="H79" s="37"/>
      <c r="I79" s="96"/>
      <c r="J79" s="96"/>
      <c r="K79" s="96"/>
      <c r="L79" s="96"/>
      <c r="M79" s="96"/>
      <c r="N79" s="96"/>
    </row>
    <row r="80" spans="1:22" x14ac:dyDescent="0.25">
      <c r="A80" s="188"/>
      <c r="B80" s="188" t="s">
        <v>158</v>
      </c>
      <c r="C80" s="191">
        <f>SUM(C75:C79)</f>
        <v>-492623.17327216262</v>
      </c>
      <c r="D80" s="191">
        <f t="shared" ref="D80:H80" si="24">SUM(D75:D79)</f>
        <v>32586.709836469232</v>
      </c>
      <c r="E80" s="191">
        <f t="shared" si="24"/>
        <v>32606.018973989139</v>
      </c>
      <c r="F80" s="191">
        <f t="shared" si="24"/>
        <v>32626.316003630945</v>
      </c>
      <c r="G80" s="191">
        <f t="shared" si="24"/>
        <v>32647.651467830696</v>
      </c>
      <c r="H80" s="191">
        <f t="shared" si="24"/>
        <v>482346.62431904388</v>
      </c>
      <c r="I80" s="98"/>
      <c r="J80" s="98"/>
      <c r="K80" s="98"/>
      <c r="L80" s="98"/>
      <c r="M80" s="98"/>
      <c r="N80" s="98"/>
      <c r="O80" s="56"/>
      <c r="P80" s="56"/>
    </row>
    <row r="81" spans="1:16" ht="15.75" thickBot="1" x14ac:dyDescent="0.3">
      <c r="A81" s="188"/>
      <c r="B81" s="188" t="s">
        <v>38</v>
      </c>
      <c r="C81" s="193">
        <f>IRR(C80:H80)</f>
        <v>5.0465078712952582E-2</v>
      </c>
      <c r="D81" s="44"/>
      <c r="E81" s="44"/>
      <c r="F81" s="44"/>
      <c r="G81" s="44"/>
      <c r="H81" s="44"/>
      <c r="I81" s="98"/>
      <c r="J81" s="98"/>
      <c r="K81" s="98"/>
      <c r="L81" s="98"/>
      <c r="M81" s="98"/>
      <c r="N81" s="98"/>
      <c r="O81" s="56"/>
      <c r="P81" s="56"/>
    </row>
    <row r="82" spans="1:16" ht="15.75" thickTop="1" x14ac:dyDescent="0.25">
      <c r="A82" s="188"/>
      <c r="B82" s="188"/>
      <c r="C82" s="41"/>
      <c r="D82" s="41"/>
      <c r="E82" s="41"/>
      <c r="F82" s="41"/>
      <c r="G82" s="41"/>
      <c r="H82" s="41"/>
      <c r="I82" s="88"/>
      <c r="J82" s="88"/>
      <c r="K82" s="88"/>
      <c r="L82" s="88"/>
      <c r="M82" s="88"/>
      <c r="N82" s="88"/>
      <c r="O82" s="56"/>
      <c r="P82" s="56"/>
    </row>
    <row r="83" spans="1:16" x14ac:dyDescent="0.25">
      <c r="A83" s="188" t="s">
        <v>169</v>
      </c>
      <c r="B83" s="188"/>
      <c r="C83" s="41"/>
      <c r="D83" s="41"/>
      <c r="E83" s="41"/>
      <c r="F83" s="41"/>
      <c r="G83" s="41"/>
      <c r="H83" s="41"/>
      <c r="I83" s="88"/>
      <c r="J83" s="88"/>
      <c r="K83" s="88"/>
      <c r="L83" s="88"/>
      <c r="M83" s="88"/>
      <c r="N83" s="88"/>
      <c r="O83" s="56"/>
      <c r="P83" s="56"/>
    </row>
    <row r="84" spans="1:16" x14ac:dyDescent="0.25">
      <c r="A84" s="188"/>
      <c r="B84" s="188" t="s">
        <v>165</v>
      </c>
      <c r="C84" s="44">
        <f>-D65</f>
        <v>-1524018.7580235985</v>
      </c>
      <c r="D84" s="41"/>
      <c r="E84" s="41"/>
      <c r="F84" s="41"/>
      <c r="G84" s="41"/>
      <c r="H84" s="41"/>
      <c r="I84" s="88"/>
      <c r="J84" s="88"/>
      <c r="K84" s="88"/>
      <c r="L84" s="88"/>
      <c r="M84" s="88"/>
      <c r="N84" s="88"/>
      <c r="O84" s="56"/>
      <c r="P84" s="56"/>
    </row>
    <row r="85" spans="1:16" x14ac:dyDescent="0.25">
      <c r="A85" s="188"/>
      <c r="B85" s="188" t="s">
        <v>166</v>
      </c>
      <c r="C85" s="41"/>
      <c r="D85" s="44">
        <f>D38</f>
        <v>167642.06338259584</v>
      </c>
      <c r="E85" s="44">
        <f>E38</f>
        <v>181071.79472674686</v>
      </c>
      <c r="F85" s="44">
        <f>F38</f>
        <v>196765.89299992332</v>
      </c>
      <c r="G85" s="44">
        <f>G38</f>
        <v>215247.9335808059</v>
      </c>
      <c r="H85" s="44">
        <f>H38</f>
        <v>236620.99475329765</v>
      </c>
      <c r="I85" s="88"/>
      <c r="J85" s="96"/>
      <c r="K85" s="93"/>
      <c r="L85" s="88"/>
      <c r="M85" s="88"/>
      <c r="N85" s="56"/>
      <c r="O85" s="56"/>
      <c r="P85" s="56"/>
    </row>
    <row r="86" spans="1:16" x14ac:dyDescent="0.25">
      <c r="A86" s="188"/>
      <c r="B86" s="188" t="s">
        <v>167</v>
      </c>
      <c r="C86" s="41"/>
      <c r="D86" s="44">
        <f>D65-E65</f>
        <v>-122088.46676500933</v>
      </c>
      <c r="E86" s="44">
        <f>E65-F65</f>
        <v>-142673.62066524057</v>
      </c>
      <c r="F86" s="44">
        <f>F65-G65</f>
        <v>-168018.55073529622</v>
      </c>
      <c r="G86" s="44">
        <f>G65-H65</f>
        <v>-194300.55611356138</v>
      </c>
      <c r="H86" s="44"/>
      <c r="I86" s="88"/>
      <c r="J86" s="96"/>
      <c r="K86" s="93"/>
      <c r="L86" s="88"/>
      <c r="M86" s="88"/>
      <c r="N86" s="56"/>
      <c r="O86" s="56"/>
      <c r="P86" s="56"/>
    </row>
    <row r="87" spans="1:16" x14ac:dyDescent="0.25">
      <c r="A87" s="188"/>
      <c r="B87" s="188" t="s">
        <v>168</v>
      </c>
      <c r="C87" s="44"/>
      <c r="D87" s="41"/>
      <c r="E87" s="41"/>
      <c r="F87" s="41"/>
      <c r="G87" s="41"/>
      <c r="H87" s="44">
        <f>K65</f>
        <v>1286174.5325806243</v>
      </c>
      <c r="I87" s="88"/>
      <c r="J87" s="96"/>
      <c r="K87" s="93"/>
      <c r="L87" s="98"/>
      <c r="M87" s="88"/>
      <c r="N87" s="56"/>
      <c r="O87" s="56"/>
      <c r="P87" s="56"/>
    </row>
    <row r="88" spans="1:16" x14ac:dyDescent="0.25">
      <c r="A88" s="188"/>
      <c r="B88" s="188"/>
      <c r="C88" s="41"/>
      <c r="D88" s="41"/>
      <c r="E88" s="41"/>
      <c r="F88" s="41"/>
      <c r="G88" s="37"/>
      <c r="H88" s="37"/>
      <c r="I88" s="88"/>
      <c r="J88" s="96"/>
      <c r="K88" s="93"/>
      <c r="L88" s="98"/>
      <c r="M88" s="96"/>
      <c r="N88" s="56"/>
      <c r="O88" s="56"/>
      <c r="P88" s="56"/>
    </row>
    <row r="89" spans="1:16" x14ac:dyDescent="0.25">
      <c r="A89" s="188"/>
      <c r="B89" s="188" t="s">
        <v>158</v>
      </c>
      <c r="C89" s="191">
        <f>SUM(C84:C88)</f>
        <v>-1524018.7580235985</v>
      </c>
      <c r="D89" s="191">
        <f t="shared" ref="D89:H89" si="25">SUM(D84:D88)</f>
        <v>45553.596617586503</v>
      </c>
      <c r="E89" s="191">
        <f t="shared" si="25"/>
        <v>38398.174061506288</v>
      </c>
      <c r="F89" s="191">
        <f t="shared" si="25"/>
        <v>28747.342264627106</v>
      </c>
      <c r="G89" s="191">
        <f t="shared" si="25"/>
        <v>20947.377467244514</v>
      </c>
      <c r="H89" s="191">
        <f t="shared" si="25"/>
        <v>1522795.527333922</v>
      </c>
      <c r="I89" s="88"/>
      <c r="J89" s="96"/>
      <c r="K89" s="93"/>
      <c r="L89" s="98"/>
      <c r="M89" s="96"/>
      <c r="N89" s="56"/>
      <c r="O89" s="56"/>
      <c r="P89" s="56"/>
    </row>
    <row r="90" spans="1:16" ht="15.75" thickBot="1" x14ac:dyDescent="0.3">
      <c r="A90" s="188"/>
      <c r="B90" s="188" t="s">
        <v>38</v>
      </c>
      <c r="C90" s="192">
        <f>IRR(C89:H89)</f>
        <v>1.7632185594484762E-2</v>
      </c>
      <c r="D90" s="41"/>
      <c r="E90" s="41"/>
      <c r="F90" s="41"/>
      <c r="G90" s="37"/>
      <c r="H90" s="37"/>
      <c r="I90" s="88"/>
      <c r="J90" s="88"/>
      <c r="K90" s="88"/>
      <c r="L90" s="96"/>
      <c r="M90" s="96"/>
      <c r="N90" s="56"/>
      <c r="O90" s="56"/>
      <c r="P90" s="56"/>
    </row>
    <row r="91" spans="1:16" ht="15.75" thickTop="1" x14ac:dyDescent="0.25">
      <c r="A91" s="88"/>
      <c r="B91" s="103"/>
      <c r="C91" s="88"/>
      <c r="D91" s="88"/>
      <c r="E91" s="88"/>
      <c r="F91" s="88"/>
      <c r="G91" s="96"/>
      <c r="H91" s="96"/>
      <c r="I91" s="142"/>
      <c r="J91" s="88"/>
      <c r="K91" s="88"/>
      <c r="L91" s="96"/>
      <c r="M91" s="96"/>
      <c r="N91" s="56"/>
      <c r="O91" s="56"/>
      <c r="P91" s="56"/>
    </row>
    <row r="92" spans="1:16" x14ac:dyDescent="0.25">
      <c r="A92" s="186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56"/>
      <c r="P92" s="56"/>
    </row>
    <row r="93" spans="1:16" x14ac:dyDescent="0.25">
      <c r="A93" s="187"/>
      <c r="B93" s="88"/>
      <c r="C93" s="88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56"/>
      <c r="P93" s="56"/>
    </row>
    <row r="94" spans="1:16" x14ac:dyDescent="0.25">
      <c r="A94" s="187"/>
      <c r="B94" s="88"/>
      <c r="C94" s="88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56"/>
      <c r="P94" s="56"/>
    </row>
    <row r="95" spans="1:16" x14ac:dyDescent="0.25">
      <c r="A95" s="187"/>
      <c r="B95" s="88"/>
      <c r="C95" s="8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56"/>
      <c r="P95" s="56"/>
    </row>
    <row r="96" spans="1:16" x14ac:dyDescent="0.25">
      <c r="A96" s="187"/>
      <c r="B96" s="88"/>
      <c r="C96" s="8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56"/>
      <c r="P96" s="56"/>
    </row>
    <row r="97" spans="1:16" x14ac:dyDescent="0.25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56"/>
      <c r="P97" s="56"/>
    </row>
    <row r="98" spans="1:16" x14ac:dyDescent="0.25">
      <c r="A98" s="18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56"/>
      <c r="P98" s="56"/>
    </row>
    <row r="99" spans="1:16" x14ac:dyDescent="0.25">
      <c r="A99" s="187"/>
      <c r="B99" s="88"/>
      <c r="C99" s="88"/>
      <c r="D99" s="88"/>
      <c r="E99" s="88"/>
      <c r="F99" s="88"/>
      <c r="G99" s="98"/>
      <c r="H99" s="98"/>
      <c r="I99" s="98"/>
      <c r="J99" s="98"/>
      <c r="K99" s="98"/>
      <c r="L99" s="98"/>
      <c r="M99" s="98"/>
      <c r="N99" s="98"/>
      <c r="O99" s="56"/>
      <c r="P99" s="56"/>
    </row>
    <row r="100" spans="1:16" x14ac:dyDescent="0.25">
      <c r="A100" s="187"/>
      <c r="B100" s="88"/>
      <c r="C100" s="88"/>
      <c r="D100" s="88"/>
      <c r="E100" s="88"/>
      <c r="F100" s="88"/>
      <c r="G100" s="98"/>
      <c r="H100" s="98"/>
      <c r="I100" s="98"/>
      <c r="J100" s="98"/>
      <c r="K100" s="98"/>
      <c r="L100" s="98"/>
      <c r="M100" s="98"/>
      <c r="N100" s="98"/>
      <c r="O100" s="56"/>
      <c r="P100" s="56"/>
    </row>
    <row r="101" spans="1:16" x14ac:dyDescent="0.25">
      <c r="A101" s="187"/>
      <c r="B101" s="88"/>
      <c r="C101" s="88"/>
      <c r="D101" s="88"/>
      <c r="E101" s="88"/>
      <c r="F101" s="88"/>
      <c r="G101" s="98"/>
      <c r="H101" s="98"/>
      <c r="I101" s="98"/>
      <c r="J101" s="98"/>
      <c r="K101" s="98"/>
      <c r="L101" s="98"/>
      <c r="M101" s="98"/>
      <c r="N101" s="98"/>
      <c r="O101" s="56"/>
      <c r="P101" s="56"/>
    </row>
    <row r="102" spans="1:16" x14ac:dyDescent="0.25">
      <c r="A102" s="187"/>
      <c r="B102" s="88"/>
      <c r="C102" s="88"/>
      <c r="D102" s="88"/>
      <c r="E102" s="88"/>
      <c r="F102" s="88"/>
      <c r="G102" s="98"/>
      <c r="H102" s="98"/>
      <c r="I102" s="98"/>
      <c r="J102" s="98"/>
      <c r="K102" s="98"/>
      <c r="L102" s="98"/>
      <c r="M102" s="98"/>
      <c r="N102" s="98"/>
      <c r="O102" s="56"/>
      <c r="P102" s="56"/>
    </row>
    <row r="103" spans="1:16" x14ac:dyDescent="0.2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56"/>
      <c r="P103" s="56"/>
    </row>
    <row r="104" spans="1:16" x14ac:dyDescent="0.25">
      <c r="A104" s="186"/>
      <c r="B104" s="88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140"/>
      <c r="P104" s="56"/>
    </row>
    <row r="105" spans="1:16" x14ac:dyDescent="0.25">
      <c r="A105" s="186"/>
      <c r="B105" s="88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56"/>
      <c r="P105" s="56"/>
    </row>
    <row r="106" spans="1:16" x14ac:dyDescent="0.2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56"/>
      <c r="P106" s="56"/>
    </row>
    <row r="107" spans="1:16" x14ac:dyDescent="0.25">
      <c r="A107" s="88"/>
      <c r="B107" s="88"/>
      <c r="C107" s="139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56"/>
      <c r="P107" s="56"/>
    </row>
    <row r="108" spans="1:16" x14ac:dyDescent="0.25">
      <c r="A108" s="186"/>
      <c r="B108" s="88"/>
      <c r="C108" s="98"/>
      <c r="D108" s="94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56"/>
      <c r="P108" s="56"/>
    </row>
    <row r="109" spans="1:16" x14ac:dyDescent="0.25">
      <c r="A109" s="186"/>
      <c r="B109" s="88"/>
      <c r="C109" s="137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56"/>
    </row>
    <row r="110" spans="1:16" x14ac:dyDescent="0.25">
      <c r="A110" s="68"/>
      <c r="B110" s="68"/>
      <c r="C110" s="68"/>
      <c r="D110" s="68"/>
      <c r="E110" s="68"/>
      <c r="F110" s="68"/>
      <c r="G110" s="68"/>
      <c r="H110" s="68"/>
      <c r="I110" s="88"/>
      <c r="J110" s="88"/>
      <c r="K110" s="88"/>
      <c r="L110" s="88"/>
      <c r="M110" s="88"/>
      <c r="N110" s="88"/>
      <c r="O110" s="56"/>
    </row>
    <row r="111" spans="1:16" x14ac:dyDescent="0.25">
      <c r="A111" s="74"/>
      <c r="B111" s="68"/>
      <c r="C111" s="68"/>
      <c r="D111" s="68"/>
      <c r="E111" s="68"/>
      <c r="F111" s="68"/>
      <c r="G111" s="68"/>
      <c r="H111" s="68"/>
      <c r="I111" s="88"/>
      <c r="J111" s="88"/>
      <c r="K111" s="88"/>
      <c r="L111" s="88"/>
      <c r="M111" s="88"/>
      <c r="N111" s="88"/>
      <c r="O111" s="56"/>
    </row>
    <row r="112" spans="1:16" x14ac:dyDescent="0.25">
      <c r="A112" s="186"/>
      <c r="B112" s="88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56"/>
    </row>
    <row r="113" spans="1:17" x14ac:dyDescent="0.25">
      <c r="A113" s="68"/>
      <c r="B113" s="88"/>
      <c r="C113" s="138"/>
      <c r="D113" s="79"/>
      <c r="E113" s="79"/>
      <c r="F113" s="79"/>
      <c r="G113" s="79"/>
      <c r="H113" s="68"/>
      <c r="I113" s="88"/>
      <c r="J113" s="88"/>
      <c r="K113" s="88"/>
      <c r="L113" s="88"/>
      <c r="M113" s="88"/>
      <c r="N113" s="64"/>
    </row>
    <row r="114" spans="1:17" x14ac:dyDescent="0.25">
      <c r="A114" s="68"/>
      <c r="B114" s="68"/>
      <c r="C114" s="68"/>
      <c r="D114" s="79"/>
      <c r="E114" s="79"/>
      <c r="F114" s="79"/>
      <c r="G114" s="79"/>
      <c r="H114" s="68"/>
      <c r="I114" s="88"/>
      <c r="J114" s="88"/>
      <c r="K114" s="88"/>
      <c r="L114" s="88"/>
      <c r="M114" s="88"/>
      <c r="N114" s="64"/>
    </row>
    <row r="115" spans="1:17" x14ac:dyDescent="0.25">
      <c r="A115" s="68"/>
      <c r="B115" s="68"/>
      <c r="C115" s="72"/>
      <c r="D115" s="86"/>
      <c r="E115" s="79"/>
      <c r="F115" s="79"/>
      <c r="G115" s="79"/>
      <c r="H115" s="68"/>
      <c r="I115" s="88"/>
      <c r="J115" s="88"/>
      <c r="K115" s="88"/>
      <c r="L115" s="88"/>
      <c r="M115" s="88"/>
      <c r="N115" s="88"/>
      <c r="O115" s="88"/>
      <c r="P115" s="88"/>
      <c r="Q115" s="88"/>
    </row>
    <row r="116" spans="1:17" x14ac:dyDescent="0.25">
      <c r="A116" s="89"/>
      <c r="B116" s="68"/>
      <c r="C116" s="68"/>
      <c r="D116" s="90"/>
      <c r="E116" s="90"/>
      <c r="F116" s="90"/>
      <c r="G116" s="90"/>
      <c r="H116" s="90"/>
      <c r="I116" s="88"/>
      <c r="J116" s="88"/>
      <c r="K116" s="88"/>
      <c r="L116" s="88"/>
      <c r="M116" s="88"/>
      <c r="N116" s="88"/>
      <c r="O116" s="88"/>
      <c r="P116" s="88"/>
      <c r="Q116" s="88"/>
    </row>
    <row r="117" spans="1:17" x14ac:dyDescent="0.25">
      <c r="A117" s="68"/>
      <c r="B117" s="91"/>
      <c r="C117" s="92"/>
      <c r="D117" s="77"/>
      <c r="E117" s="77"/>
      <c r="F117" s="77"/>
      <c r="G117" s="92"/>
      <c r="H117" s="77"/>
      <c r="I117" s="77"/>
      <c r="J117" s="77"/>
      <c r="K117" s="92"/>
      <c r="L117" s="77"/>
      <c r="M117" s="77"/>
      <c r="N117" s="77"/>
      <c r="O117" s="88"/>
      <c r="P117" s="88"/>
      <c r="Q117" s="88"/>
    </row>
    <row r="118" spans="1:17" x14ac:dyDescent="0.25">
      <c r="A118" s="56"/>
      <c r="B118" s="93"/>
      <c r="C118" s="88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88"/>
      <c r="O118" s="88"/>
      <c r="P118" s="88"/>
      <c r="Q118" s="88"/>
    </row>
    <row r="119" spans="1:17" x14ac:dyDescent="0.25">
      <c r="A119" s="68"/>
      <c r="B119" s="68"/>
      <c r="C119" s="95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88"/>
      <c r="P119" s="88"/>
      <c r="Q119" s="88"/>
    </row>
    <row r="120" spans="1:17" x14ac:dyDescent="0.25">
      <c r="A120" s="68"/>
      <c r="B120" s="68"/>
      <c r="C120" s="71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96"/>
      <c r="O120" s="88"/>
      <c r="P120" s="88"/>
      <c r="Q120" s="88"/>
    </row>
    <row r="121" spans="1:17" x14ac:dyDescent="0.25">
      <c r="A121" s="68"/>
      <c r="B121" s="68"/>
      <c r="C121" s="97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88"/>
      <c r="P121" s="88"/>
      <c r="Q121" s="88"/>
    </row>
    <row r="122" spans="1:17" x14ac:dyDescent="0.25">
      <c r="A122" s="68"/>
      <c r="B122" s="68"/>
      <c r="C122" s="95"/>
      <c r="D122" s="95"/>
      <c r="E122" s="95"/>
      <c r="F122" s="95"/>
      <c r="G122" s="95"/>
      <c r="H122" s="95"/>
      <c r="I122" s="94"/>
      <c r="J122" s="94"/>
      <c r="K122" s="94"/>
      <c r="L122" s="94"/>
      <c r="M122" s="94"/>
      <c r="N122" s="98"/>
      <c r="O122" s="88"/>
      <c r="P122" s="88"/>
      <c r="Q122" s="88"/>
    </row>
    <row r="123" spans="1:17" x14ac:dyDescent="0.25">
      <c r="A123" s="56"/>
      <c r="B123" s="88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88"/>
      <c r="O123" s="88"/>
      <c r="P123" s="88"/>
      <c r="Q123" s="88"/>
    </row>
    <row r="124" spans="1:17" x14ac:dyDescent="0.25">
      <c r="A124" s="56"/>
      <c r="B124" s="99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88"/>
      <c r="P124" s="88"/>
      <c r="Q124" s="88"/>
    </row>
    <row r="125" spans="1:17" x14ac:dyDescent="0.25">
      <c r="A125" s="56"/>
      <c r="B125" s="88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88"/>
      <c r="P125" s="88"/>
      <c r="Q125" s="88"/>
    </row>
    <row r="126" spans="1:17" x14ac:dyDescent="0.25">
      <c r="A126" s="56"/>
      <c r="B126" s="100"/>
      <c r="C126" s="101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88"/>
      <c r="O126" s="88"/>
      <c r="P126" s="88"/>
      <c r="Q126" s="88"/>
    </row>
    <row r="127" spans="1:17" x14ac:dyDescent="0.25">
      <c r="A127" s="56"/>
      <c r="B127" s="100"/>
      <c r="C127" s="102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88"/>
      <c r="O127" s="88"/>
      <c r="P127" s="88"/>
      <c r="Q127" s="88"/>
    </row>
    <row r="128" spans="1:17" x14ac:dyDescent="0.25">
      <c r="A128" s="56"/>
      <c r="B128" s="10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88"/>
      <c r="O128" s="225"/>
      <c r="P128" s="225"/>
      <c r="Q128" s="225"/>
    </row>
    <row r="129" spans="1:17" x14ac:dyDescent="0.25">
      <c r="A129" s="56"/>
      <c r="B129" s="93"/>
      <c r="C129" s="95"/>
      <c r="D129" s="104"/>
      <c r="E129" s="104"/>
      <c r="F129" s="104"/>
      <c r="G129" s="104"/>
      <c r="H129" s="104"/>
      <c r="I129" s="94"/>
      <c r="J129" s="94"/>
      <c r="K129" s="94"/>
      <c r="L129" s="94"/>
      <c r="M129" s="94"/>
      <c r="N129" s="96"/>
      <c r="O129" s="93"/>
      <c r="P129" s="88"/>
      <c r="Q129" s="88"/>
    </row>
    <row r="130" spans="1:17" x14ac:dyDescent="0.25">
      <c r="A130" s="56"/>
      <c r="B130" s="68"/>
      <c r="C130" s="95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93"/>
      <c r="P130" s="88"/>
      <c r="Q130" s="88"/>
    </row>
    <row r="131" spans="1:17" x14ac:dyDescent="0.25">
      <c r="A131" s="56"/>
      <c r="B131" s="100"/>
      <c r="C131" s="95"/>
      <c r="D131" s="71"/>
      <c r="E131" s="71"/>
      <c r="F131" s="71"/>
      <c r="G131" s="71"/>
      <c r="H131" s="78"/>
      <c r="I131" s="78"/>
      <c r="J131" s="78"/>
      <c r="K131" s="78"/>
      <c r="L131" s="78"/>
      <c r="M131" s="78"/>
      <c r="N131" s="78"/>
      <c r="O131" s="88"/>
      <c r="P131" s="88"/>
      <c r="Q131" s="88"/>
    </row>
    <row r="132" spans="1:17" x14ac:dyDescent="0.25">
      <c r="A132" s="56"/>
      <c r="B132" s="68"/>
      <c r="C132" s="71"/>
      <c r="D132" s="88"/>
      <c r="E132" s="88"/>
      <c r="F132" s="88"/>
      <c r="G132" s="88"/>
      <c r="H132" s="105"/>
      <c r="I132" s="88"/>
      <c r="J132" s="88"/>
      <c r="K132" s="88"/>
      <c r="L132" s="88"/>
      <c r="M132" s="88"/>
      <c r="N132" s="96"/>
      <c r="O132" s="105"/>
      <c r="P132" s="88"/>
      <c r="Q132" s="88"/>
    </row>
    <row r="133" spans="1:17" x14ac:dyDescent="0.25">
      <c r="A133" s="56"/>
      <c r="B133" s="100"/>
      <c r="C133" s="95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</row>
    <row r="134" spans="1:17" x14ac:dyDescent="0.25">
      <c r="A134" s="56"/>
      <c r="B134" s="68"/>
      <c r="C134" s="97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88"/>
      <c r="P134" s="88"/>
      <c r="Q134" s="88"/>
    </row>
    <row r="135" spans="1:17" x14ac:dyDescent="0.25">
      <c r="A135" s="56"/>
      <c r="B135" s="100"/>
      <c r="C135" s="97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88"/>
      <c r="P135" s="88"/>
      <c r="Q135" s="88"/>
    </row>
    <row r="136" spans="1:17" x14ac:dyDescent="0.25">
      <c r="A136" s="56"/>
      <c r="B136" s="68"/>
      <c r="C136" s="95"/>
      <c r="D136" s="95"/>
      <c r="E136" s="95"/>
      <c r="F136" s="95"/>
      <c r="G136" s="95"/>
      <c r="H136" s="95"/>
      <c r="I136" s="94"/>
      <c r="J136" s="94"/>
      <c r="K136" s="94"/>
      <c r="L136" s="94"/>
      <c r="M136" s="94"/>
      <c r="N136" s="98"/>
      <c r="O136" s="88"/>
      <c r="P136" s="88"/>
      <c r="Q136" s="88"/>
    </row>
    <row r="137" spans="1:17" x14ac:dyDescent="0.25">
      <c r="A137" s="56"/>
      <c r="B137" s="100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88"/>
      <c r="O137" s="88"/>
      <c r="P137" s="88"/>
      <c r="Q137" s="88"/>
    </row>
    <row r="138" spans="1:17" x14ac:dyDescent="0.25">
      <c r="A138" s="56"/>
      <c r="B138" s="99"/>
      <c r="C138" s="94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88"/>
      <c r="P138" s="88"/>
      <c r="Q138" s="88"/>
    </row>
    <row r="139" spans="1:17" x14ac:dyDescent="0.25">
      <c r="B139" s="88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88"/>
      <c r="P139" s="88"/>
      <c r="Q139" s="88"/>
    </row>
    <row r="140" spans="1:17" x14ac:dyDescent="0.25">
      <c r="B140" s="100"/>
      <c r="C140" s="101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88"/>
      <c r="O140" s="88"/>
      <c r="P140" s="88"/>
      <c r="Q140" s="88"/>
    </row>
    <row r="141" spans="1:17" x14ac:dyDescent="0.25">
      <c r="B141" s="100"/>
      <c r="C141" s="102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88"/>
      <c r="O141" s="88"/>
      <c r="P141" s="88"/>
      <c r="Q141" s="88"/>
    </row>
    <row r="142" spans="1:17" x14ac:dyDescent="0.25">
      <c r="B142" s="103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88"/>
      <c r="O142" s="88"/>
      <c r="P142" s="88"/>
      <c r="Q142" s="88"/>
    </row>
    <row r="143" spans="1:17" x14ac:dyDescent="0.25">
      <c r="B143" s="93"/>
      <c r="C143" s="95"/>
      <c r="D143" s="95"/>
      <c r="E143" s="95"/>
      <c r="F143" s="95"/>
      <c r="G143" s="95"/>
      <c r="H143" s="95"/>
      <c r="I143" s="94"/>
      <c r="J143" s="94"/>
      <c r="K143" s="94"/>
      <c r="L143" s="94"/>
      <c r="M143" s="94"/>
      <c r="N143" s="96"/>
      <c r="O143" s="88"/>
      <c r="P143" s="88"/>
      <c r="Q143" s="88"/>
    </row>
    <row r="144" spans="1:17" x14ac:dyDescent="0.25">
      <c r="B144" s="68"/>
      <c r="C144" s="95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88"/>
      <c r="P144" s="88"/>
      <c r="Q144" s="88"/>
    </row>
    <row r="145" spans="2:17" x14ac:dyDescent="0.25">
      <c r="B145" s="68"/>
      <c r="C145" s="71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96"/>
      <c r="O145" s="88"/>
      <c r="P145" s="88"/>
      <c r="Q145" s="88"/>
    </row>
    <row r="146" spans="2:17" x14ac:dyDescent="0.25">
      <c r="B146" s="68"/>
      <c r="C146" s="97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88"/>
      <c r="P146" s="88"/>
      <c r="Q146" s="88"/>
    </row>
    <row r="147" spans="2:17" x14ac:dyDescent="0.25">
      <c r="B147" s="68"/>
      <c r="C147" s="95"/>
      <c r="D147" s="95"/>
      <c r="E147" s="95"/>
      <c r="F147" s="95"/>
      <c r="G147" s="95"/>
      <c r="H147" s="95"/>
      <c r="I147" s="94"/>
      <c r="J147" s="94"/>
      <c r="K147" s="94"/>
      <c r="L147" s="94"/>
      <c r="M147" s="94"/>
      <c r="N147" s="98"/>
      <c r="O147" s="88"/>
      <c r="P147" s="88"/>
      <c r="Q147" s="88"/>
    </row>
    <row r="148" spans="2:17" x14ac:dyDescent="0.25">
      <c r="B148" s="88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88"/>
      <c r="O148" s="88"/>
      <c r="P148" s="88"/>
      <c r="Q148" s="88"/>
    </row>
    <row r="149" spans="2:17" x14ac:dyDescent="0.25">
      <c r="B149" s="99"/>
      <c r="C149" s="94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88"/>
      <c r="P149" s="88"/>
      <c r="Q149" s="88"/>
    </row>
    <row r="150" spans="2:17" x14ac:dyDescent="0.25">
      <c r="B150" s="88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88"/>
      <c r="P150" s="88"/>
      <c r="Q150" s="88"/>
    </row>
    <row r="151" spans="2:17" x14ac:dyDescent="0.25">
      <c r="B151" s="100"/>
      <c r="C151" s="101"/>
      <c r="D151" s="95"/>
      <c r="E151" s="95"/>
      <c r="F151" s="95"/>
      <c r="G151" s="95"/>
      <c r="H151" s="95"/>
      <c r="I151" s="94"/>
      <c r="J151" s="94"/>
      <c r="K151" s="94"/>
      <c r="L151" s="94"/>
      <c r="M151" s="94"/>
      <c r="N151" s="96"/>
      <c r="O151" s="88"/>
      <c r="P151" s="88"/>
      <c r="Q151" s="88"/>
    </row>
    <row r="152" spans="2:17" x14ac:dyDescent="0.25">
      <c r="B152" s="100"/>
      <c r="C152" s="102"/>
      <c r="D152" s="97"/>
      <c r="E152" s="97"/>
      <c r="F152" s="97"/>
      <c r="G152" s="97"/>
      <c r="H152" s="97"/>
      <c r="I152" s="94"/>
      <c r="J152" s="94"/>
      <c r="K152" s="94"/>
      <c r="L152" s="94"/>
      <c r="M152" s="94"/>
      <c r="N152" s="96"/>
      <c r="O152" s="88"/>
      <c r="P152" s="88"/>
      <c r="Q152" s="88"/>
    </row>
    <row r="153" spans="2:17" x14ac:dyDescent="0.25">
      <c r="B153" s="68"/>
      <c r="C153" s="97"/>
      <c r="D153" s="95"/>
      <c r="E153" s="95"/>
      <c r="F153" s="95"/>
      <c r="G153" s="95"/>
      <c r="H153" s="95"/>
      <c r="I153" s="94"/>
      <c r="J153" s="94"/>
      <c r="K153" s="94"/>
      <c r="L153" s="94"/>
      <c r="M153" s="94"/>
      <c r="N153" s="98"/>
      <c r="O153" s="88"/>
      <c r="P153" s="88"/>
      <c r="Q153" s="88"/>
    </row>
    <row r="154" spans="2:17" x14ac:dyDescent="0.25">
      <c r="B154" s="68"/>
      <c r="C154" s="95"/>
      <c r="D154" s="95"/>
      <c r="E154" s="95"/>
      <c r="F154" s="95"/>
      <c r="G154" s="95"/>
      <c r="H154" s="95"/>
      <c r="I154" s="94"/>
      <c r="J154" s="94"/>
      <c r="K154" s="94"/>
      <c r="L154" s="94"/>
      <c r="M154" s="94"/>
      <c r="N154" s="98"/>
      <c r="O154" s="88"/>
      <c r="P154" s="88"/>
      <c r="Q154" s="88"/>
    </row>
    <row r="155" spans="2:17" x14ac:dyDescent="0.25">
      <c r="B155" s="88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88"/>
      <c r="O155" s="88"/>
      <c r="P155" s="88"/>
      <c r="Q155" s="88"/>
    </row>
    <row r="156" spans="2:17" x14ac:dyDescent="0.25">
      <c r="B156" s="99"/>
      <c r="C156" s="101"/>
      <c r="D156" s="93"/>
      <c r="E156" s="105"/>
      <c r="F156" s="94"/>
      <c r="G156" s="94"/>
      <c r="H156" s="94"/>
      <c r="I156" s="94"/>
      <c r="J156" s="94"/>
      <c r="K156" s="94"/>
      <c r="L156" s="94"/>
      <c r="M156" s="94"/>
      <c r="N156" s="88"/>
      <c r="O156" s="88"/>
      <c r="P156" s="88"/>
      <c r="Q156" s="88"/>
    </row>
    <row r="157" spans="2:17" x14ac:dyDescent="0.25">
      <c r="B157" s="99"/>
      <c r="C157" s="101"/>
      <c r="D157" s="93"/>
      <c r="E157" s="105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</row>
    <row r="158" spans="2:17" x14ac:dyDescent="0.25">
      <c r="B158" s="99"/>
      <c r="C158" s="101"/>
      <c r="D158" s="93"/>
      <c r="E158" s="105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</row>
    <row r="159" spans="2:17" x14ac:dyDescent="0.25">
      <c r="B159" s="88"/>
      <c r="C159" s="88"/>
      <c r="D159" s="88"/>
      <c r="E159" s="106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</row>
    <row r="160" spans="2:17" x14ac:dyDescent="0.25"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</row>
  </sheetData>
  <sheetProtection selectLockedCells="1" selectUnlockedCells="1"/>
  <mergeCells count="2">
    <mergeCell ref="O128:Q128"/>
    <mergeCell ref="I45:K45"/>
  </mergeCells>
  <phoneticPr fontId="11" type="noConversion"/>
  <pageMargins left="0.7" right="0.7" top="0.75" bottom="0.75" header="0.51" footer="0.51"/>
  <pageSetup scale="34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opLeftCell="A112" zoomScale="95" zoomScaleNormal="95" zoomScalePageLayoutView="95" workbookViewId="0">
      <selection activeCell="J2" sqref="J2"/>
    </sheetView>
  </sheetViews>
  <sheetFormatPr defaultColWidth="11.42578125" defaultRowHeight="12.75" x14ac:dyDescent="0.2"/>
  <cols>
    <col min="1" max="1" width="30.140625" customWidth="1"/>
    <col min="2" max="2" width="16.140625" customWidth="1"/>
    <col min="3" max="3" width="12.7109375" customWidth="1"/>
    <col min="4" max="4" width="12.85546875" customWidth="1"/>
    <col min="5" max="5" width="13.42578125" customWidth="1"/>
    <col min="6" max="6" width="12.42578125" customWidth="1"/>
    <col min="10" max="10" width="16.42578125" customWidth="1"/>
  </cols>
  <sheetData>
    <row r="1" spans="1:10" ht="14.25" x14ac:dyDescent="0.2">
      <c r="B1" t="s">
        <v>57</v>
      </c>
      <c r="C1" t="s">
        <v>58</v>
      </c>
      <c r="D1" t="s">
        <v>59</v>
      </c>
      <c r="E1" s="17" t="s">
        <v>60</v>
      </c>
      <c r="F1" s="17" t="s">
        <v>61</v>
      </c>
      <c r="G1" s="17"/>
      <c r="H1" s="17" t="s">
        <v>62</v>
      </c>
      <c r="I1" s="17"/>
      <c r="J1" s="18">
        <v>300000</v>
      </c>
    </row>
    <row r="2" spans="1:10" x14ac:dyDescent="0.2">
      <c r="A2" s="13" t="s">
        <v>67</v>
      </c>
      <c r="B2" s="14">
        <f>J1</f>
        <v>300000</v>
      </c>
      <c r="C2" s="14">
        <f>+E2-D2</f>
        <v>360.46486903641721</v>
      </c>
      <c r="D2" s="14">
        <f>+B2*$J$3</f>
        <v>1250</v>
      </c>
      <c r="E2" s="14">
        <f>$J$6</f>
        <v>1610.4648690364172</v>
      </c>
      <c r="F2" s="14">
        <f>+B2-C2</f>
        <v>299639.5351309636</v>
      </c>
      <c r="G2" s="17"/>
      <c r="H2" s="17" t="s">
        <v>63</v>
      </c>
      <c r="I2" s="17"/>
      <c r="J2" s="19">
        <v>0.05</v>
      </c>
    </row>
    <row r="3" spans="1:10" x14ac:dyDescent="0.2">
      <c r="A3" s="13"/>
      <c r="B3" s="14">
        <f>+F2</f>
        <v>299639.5351309636</v>
      </c>
      <c r="C3" s="14">
        <f>+E3-D3</f>
        <v>361.96680599073557</v>
      </c>
      <c r="D3" s="14">
        <f>+B3*$J$3</f>
        <v>1248.4980630456816</v>
      </c>
      <c r="E3" s="14">
        <f>$J$6</f>
        <v>1610.4648690364172</v>
      </c>
      <c r="F3" s="14">
        <f>+B3-C3</f>
        <v>299277.56832497288</v>
      </c>
      <c r="G3" s="17"/>
      <c r="H3" s="17" t="s">
        <v>64</v>
      </c>
      <c r="I3" s="17"/>
      <c r="J3" s="20">
        <f>J2/12</f>
        <v>4.1666666666666666E-3</v>
      </c>
    </row>
    <row r="4" spans="1:10" x14ac:dyDescent="0.2">
      <c r="A4" s="13"/>
      <c r="B4" s="14">
        <f t="shared" ref="B4:B13" si="0">+F3</f>
        <v>299277.56832497288</v>
      </c>
      <c r="C4" s="14">
        <f t="shared" ref="C4:C13" si="1">+E4-D4</f>
        <v>363.47500101569699</v>
      </c>
      <c r="D4" s="14">
        <f t="shared" ref="D4:D13" si="2">+B4*$J$3</f>
        <v>1246.9898680207202</v>
      </c>
      <c r="E4" s="14">
        <f t="shared" ref="E4:E13" si="3">$J$6</f>
        <v>1610.4648690364172</v>
      </c>
      <c r="F4" s="14">
        <f t="shared" ref="F4:F13" si="4">+B4-C4</f>
        <v>298914.09332395718</v>
      </c>
      <c r="G4" s="17"/>
      <c r="H4" s="17" t="s">
        <v>65</v>
      </c>
      <c r="I4" s="17"/>
      <c r="J4" s="17">
        <v>30</v>
      </c>
    </row>
    <row r="5" spans="1:10" x14ac:dyDescent="0.2">
      <c r="A5" s="13"/>
      <c r="B5" s="14">
        <f t="shared" si="0"/>
        <v>298914.09332395718</v>
      </c>
      <c r="C5" s="14">
        <f t="shared" si="1"/>
        <v>364.98948018659576</v>
      </c>
      <c r="D5" s="14">
        <f t="shared" si="2"/>
        <v>1245.4753888498215</v>
      </c>
      <c r="E5" s="14">
        <f t="shared" si="3"/>
        <v>1610.4648690364172</v>
      </c>
      <c r="F5" s="14">
        <f t="shared" si="4"/>
        <v>298549.10384377057</v>
      </c>
      <c r="G5" s="17"/>
      <c r="H5" s="17" t="s">
        <v>66</v>
      </c>
      <c r="I5" s="17"/>
      <c r="J5" s="17">
        <f>J4*12</f>
        <v>360</v>
      </c>
    </row>
    <row r="6" spans="1:10" x14ac:dyDescent="0.2">
      <c r="A6" s="13"/>
      <c r="B6" s="14">
        <f t="shared" si="0"/>
        <v>298549.10384377057</v>
      </c>
      <c r="C6" s="14">
        <f t="shared" si="1"/>
        <v>366.51026968737324</v>
      </c>
      <c r="D6" s="14">
        <f t="shared" si="2"/>
        <v>1243.954599349044</v>
      </c>
      <c r="E6" s="14">
        <f t="shared" si="3"/>
        <v>1610.4648690364172</v>
      </c>
      <c r="F6" s="14">
        <f t="shared" si="4"/>
        <v>298182.59357408318</v>
      </c>
      <c r="G6" s="17"/>
      <c r="H6" s="17" t="s">
        <v>60</v>
      </c>
      <c r="I6" s="17"/>
      <c r="J6" s="21">
        <f>-PMT(J3,J5,J1)</f>
        <v>1610.4648690364172</v>
      </c>
    </row>
    <row r="7" spans="1:10" x14ac:dyDescent="0.2">
      <c r="A7" s="13"/>
      <c r="B7" s="14">
        <f t="shared" si="0"/>
        <v>298182.59357408318</v>
      </c>
      <c r="C7" s="14">
        <f t="shared" si="1"/>
        <v>368.03739581107061</v>
      </c>
      <c r="D7" s="14">
        <f t="shared" si="2"/>
        <v>1242.4274732253466</v>
      </c>
      <c r="E7" s="14">
        <f t="shared" si="3"/>
        <v>1610.4648690364172</v>
      </c>
      <c r="F7" s="14">
        <f t="shared" si="4"/>
        <v>297814.55617827212</v>
      </c>
    </row>
    <row r="8" spans="1:10" x14ac:dyDescent="0.2">
      <c r="A8" s="13"/>
      <c r="B8" s="14">
        <f t="shared" si="0"/>
        <v>297814.55617827212</v>
      </c>
      <c r="C8" s="14">
        <f t="shared" si="1"/>
        <v>369.57088496028337</v>
      </c>
      <c r="D8" s="14">
        <f t="shared" si="2"/>
        <v>1240.8939840761338</v>
      </c>
      <c r="E8" s="14">
        <f t="shared" si="3"/>
        <v>1610.4648690364172</v>
      </c>
      <c r="F8" s="14">
        <f t="shared" si="4"/>
        <v>297444.98529331182</v>
      </c>
    </row>
    <row r="9" spans="1:10" x14ac:dyDescent="0.2">
      <c r="A9" s="13"/>
      <c r="B9" s="14">
        <f t="shared" si="0"/>
        <v>297444.98529331182</v>
      </c>
      <c r="C9" s="14">
        <f t="shared" si="1"/>
        <v>371.11076364761789</v>
      </c>
      <c r="D9" s="14">
        <f t="shared" si="2"/>
        <v>1239.3541053887993</v>
      </c>
      <c r="E9" s="14">
        <f t="shared" si="3"/>
        <v>1610.4648690364172</v>
      </c>
      <c r="F9" s="14">
        <f t="shared" si="4"/>
        <v>297073.87452966423</v>
      </c>
    </row>
    <row r="10" spans="1:10" x14ac:dyDescent="0.2">
      <c r="A10" s="13"/>
      <c r="B10" s="14">
        <f t="shared" si="0"/>
        <v>297073.87452966423</v>
      </c>
      <c r="C10" s="14">
        <f t="shared" si="1"/>
        <v>372.6570584961496</v>
      </c>
      <c r="D10" s="14">
        <f t="shared" si="2"/>
        <v>1237.8078105402676</v>
      </c>
      <c r="E10" s="14">
        <f t="shared" si="3"/>
        <v>1610.4648690364172</v>
      </c>
      <c r="F10" s="14">
        <f t="shared" si="4"/>
        <v>296701.21747116809</v>
      </c>
    </row>
    <row r="11" spans="1:10" x14ac:dyDescent="0.2">
      <c r="A11" s="13"/>
      <c r="B11" s="14">
        <f t="shared" si="0"/>
        <v>296701.21747116809</v>
      </c>
      <c r="C11" s="14">
        <f t="shared" si="1"/>
        <v>374.20979623988364</v>
      </c>
      <c r="D11" s="14">
        <f t="shared" si="2"/>
        <v>1236.2550727965336</v>
      </c>
      <c r="E11" s="14">
        <f t="shared" si="3"/>
        <v>1610.4648690364172</v>
      </c>
      <c r="F11" s="14">
        <f t="shared" si="4"/>
        <v>296327.00767492823</v>
      </c>
    </row>
    <row r="12" spans="1:10" x14ac:dyDescent="0.2">
      <c r="A12" s="13"/>
      <c r="B12" s="14">
        <f t="shared" si="0"/>
        <v>296327.00767492823</v>
      </c>
      <c r="C12" s="14">
        <f t="shared" si="1"/>
        <v>375.76900372421619</v>
      </c>
      <c r="D12" s="14">
        <f t="shared" si="2"/>
        <v>1234.695865312201</v>
      </c>
      <c r="E12" s="14">
        <f t="shared" si="3"/>
        <v>1610.4648690364172</v>
      </c>
      <c r="F12" s="14">
        <f t="shared" si="4"/>
        <v>295951.23867120402</v>
      </c>
    </row>
    <row r="13" spans="1:10" x14ac:dyDescent="0.2">
      <c r="A13" s="13" t="s">
        <v>68</v>
      </c>
      <c r="B13" s="14">
        <f t="shared" si="0"/>
        <v>295951.23867120402</v>
      </c>
      <c r="C13" s="14">
        <f t="shared" si="1"/>
        <v>377.33470790640058</v>
      </c>
      <c r="D13" s="14">
        <f t="shared" si="2"/>
        <v>1233.1301611300166</v>
      </c>
      <c r="E13" s="14">
        <f t="shared" si="3"/>
        <v>1610.4648690364172</v>
      </c>
      <c r="F13" s="15">
        <f t="shared" si="4"/>
        <v>295573.90396329761</v>
      </c>
    </row>
    <row r="14" spans="1:10" x14ac:dyDescent="0.2">
      <c r="A14" s="16" t="s">
        <v>26</v>
      </c>
      <c r="B14" s="16"/>
      <c r="C14" s="15"/>
      <c r="D14" s="15">
        <f>SUM(D2:D13)</f>
        <v>14899.482391734566</v>
      </c>
      <c r="E14" s="14"/>
      <c r="F14" s="14"/>
    </row>
    <row r="15" spans="1:10" x14ac:dyDescent="0.2">
      <c r="A15" s="13"/>
      <c r="B15" s="13"/>
      <c r="C15" s="14"/>
      <c r="D15" s="14"/>
      <c r="E15" s="14"/>
      <c r="F15" s="14"/>
    </row>
    <row r="16" spans="1:10" x14ac:dyDescent="0.2">
      <c r="A16" s="13" t="s">
        <v>69</v>
      </c>
      <c r="B16" s="14">
        <f>F13</f>
        <v>295573.90396329761</v>
      </c>
      <c r="C16" s="14">
        <f t="shared" ref="C16:C27" si="5">+E16-D16</f>
        <v>378.90693585601048</v>
      </c>
      <c r="D16" s="14">
        <f>+B16*$J$3</f>
        <v>1231.5579331804067</v>
      </c>
      <c r="E16" s="14">
        <f>$J$6</f>
        <v>1610.4648690364172</v>
      </c>
      <c r="F16" s="14">
        <f t="shared" ref="F16:F27" si="6">+B16-C16</f>
        <v>295194.99702744157</v>
      </c>
    </row>
    <row r="17" spans="1:6" x14ac:dyDescent="0.2">
      <c r="A17" s="13"/>
      <c r="B17" s="14">
        <f t="shared" ref="B17:B27" si="7">+F16</f>
        <v>295194.99702744157</v>
      </c>
      <c r="C17" s="14">
        <f t="shared" si="5"/>
        <v>380.48571475541075</v>
      </c>
      <c r="D17" s="14">
        <f>+B17*$J$3</f>
        <v>1229.9791542810065</v>
      </c>
      <c r="E17" s="14">
        <f>$J$6</f>
        <v>1610.4648690364172</v>
      </c>
      <c r="F17" s="14">
        <f t="shared" si="6"/>
        <v>294814.51131268614</v>
      </c>
    </row>
    <row r="18" spans="1:6" x14ac:dyDescent="0.2">
      <c r="A18" s="13"/>
      <c r="B18" s="14">
        <f t="shared" si="7"/>
        <v>294814.51131268614</v>
      </c>
      <c r="C18" s="14">
        <f t="shared" si="5"/>
        <v>382.07107190022498</v>
      </c>
      <c r="D18" s="14">
        <f t="shared" ref="D18:D27" si="8">+B18*$J$3</f>
        <v>1228.3937971361922</v>
      </c>
      <c r="E18" s="14">
        <f t="shared" ref="E18:E27" si="9">$J$6</f>
        <v>1610.4648690364172</v>
      </c>
      <c r="F18" s="14">
        <f t="shared" si="6"/>
        <v>294432.44024078589</v>
      </c>
    </row>
    <row r="19" spans="1:6" x14ac:dyDescent="0.2">
      <c r="A19" s="13"/>
      <c r="B19" s="14">
        <f t="shared" si="7"/>
        <v>294432.44024078589</v>
      </c>
      <c r="C19" s="14">
        <f t="shared" si="5"/>
        <v>383.66303469980926</v>
      </c>
      <c r="D19" s="14">
        <f t="shared" si="8"/>
        <v>1226.801834336608</v>
      </c>
      <c r="E19" s="14">
        <f t="shared" si="9"/>
        <v>1610.4648690364172</v>
      </c>
      <c r="F19" s="14">
        <f t="shared" si="6"/>
        <v>294048.77720608609</v>
      </c>
    </row>
    <row r="20" spans="1:6" x14ac:dyDescent="0.2">
      <c r="A20" s="13"/>
      <c r="B20" s="14">
        <f t="shared" si="7"/>
        <v>294048.77720608609</v>
      </c>
      <c r="C20" s="14">
        <f t="shared" si="5"/>
        <v>385.26163067772518</v>
      </c>
      <c r="D20" s="14">
        <f t="shared" si="8"/>
        <v>1225.203238358692</v>
      </c>
      <c r="E20" s="14">
        <f t="shared" si="9"/>
        <v>1610.4648690364172</v>
      </c>
      <c r="F20" s="14">
        <f t="shared" si="6"/>
        <v>293663.51557540835</v>
      </c>
    </row>
    <row r="21" spans="1:6" x14ac:dyDescent="0.2">
      <c r="A21" s="13"/>
      <c r="B21" s="14">
        <f t="shared" si="7"/>
        <v>293663.51557540835</v>
      </c>
      <c r="C21" s="14">
        <f t="shared" si="5"/>
        <v>386.86688747221569</v>
      </c>
      <c r="D21" s="14">
        <f t="shared" si="8"/>
        <v>1223.5979815642015</v>
      </c>
      <c r="E21" s="14">
        <f t="shared" si="9"/>
        <v>1610.4648690364172</v>
      </c>
      <c r="F21" s="14">
        <f t="shared" si="6"/>
        <v>293276.64868793613</v>
      </c>
    </row>
    <row r="22" spans="1:6" x14ac:dyDescent="0.2">
      <c r="A22" s="13"/>
      <c r="B22" s="14">
        <f t="shared" si="7"/>
        <v>293276.64868793613</v>
      </c>
      <c r="C22" s="14">
        <f t="shared" si="5"/>
        <v>388.4788328366833</v>
      </c>
      <c r="D22" s="14">
        <f t="shared" si="8"/>
        <v>1221.9860361997339</v>
      </c>
      <c r="E22" s="14">
        <f t="shared" si="9"/>
        <v>1610.4648690364172</v>
      </c>
      <c r="F22" s="14">
        <f t="shared" si="6"/>
        <v>292888.16985509946</v>
      </c>
    </row>
    <row r="23" spans="1:6" x14ac:dyDescent="0.2">
      <c r="A23" s="13"/>
      <c r="B23" s="14">
        <f t="shared" si="7"/>
        <v>292888.16985509946</v>
      </c>
      <c r="C23" s="14">
        <f t="shared" si="5"/>
        <v>390.09749464016954</v>
      </c>
      <c r="D23" s="14">
        <f t="shared" si="8"/>
        <v>1220.3673743962477</v>
      </c>
      <c r="E23" s="14">
        <f t="shared" si="9"/>
        <v>1610.4648690364172</v>
      </c>
      <c r="F23" s="14">
        <f t="shared" si="6"/>
        <v>292498.07236045931</v>
      </c>
    </row>
    <row r="24" spans="1:6" x14ac:dyDescent="0.2">
      <c r="A24" s="13"/>
      <c r="B24" s="14">
        <f t="shared" si="7"/>
        <v>292498.07236045931</v>
      </c>
      <c r="C24" s="14">
        <f t="shared" si="5"/>
        <v>391.72290086783687</v>
      </c>
      <c r="D24" s="14">
        <f t="shared" si="8"/>
        <v>1218.7419681685803</v>
      </c>
      <c r="E24" s="14">
        <f t="shared" si="9"/>
        <v>1610.4648690364172</v>
      </c>
      <c r="F24" s="14">
        <f t="shared" si="6"/>
        <v>292106.3494595915</v>
      </c>
    </row>
    <row r="25" spans="1:6" x14ac:dyDescent="0.2">
      <c r="A25" s="13"/>
      <c r="B25" s="14">
        <f t="shared" si="7"/>
        <v>292106.3494595915</v>
      </c>
      <c r="C25" s="14">
        <f t="shared" si="5"/>
        <v>393.35507962145266</v>
      </c>
      <c r="D25" s="14">
        <f t="shared" si="8"/>
        <v>1217.1097894149646</v>
      </c>
      <c r="E25" s="14">
        <f t="shared" si="9"/>
        <v>1610.4648690364172</v>
      </c>
      <c r="F25" s="14">
        <f t="shared" si="6"/>
        <v>291712.99437997007</v>
      </c>
    </row>
    <row r="26" spans="1:6" x14ac:dyDescent="0.2">
      <c r="A26" s="13"/>
      <c r="B26" s="14">
        <f t="shared" si="7"/>
        <v>291712.99437997007</v>
      </c>
      <c r="C26" s="14">
        <f t="shared" si="5"/>
        <v>394.99405911987537</v>
      </c>
      <c r="D26" s="14">
        <f t="shared" si="8"/>
        <v>1215.4708099165418</v>
      </c>
      <c r="E26" s="14">
        <f t="shared" si="9"/>
        <v>1610.4648690364172</v>
      </c>
      <c r="F26" s="14">
        <f t="shared" si="6"/>
        <v>291318.00032085017</v>
      </c>
    </row>
    <row r="27" spans="1:6" x14ac:dyDescent="0.2">
      <c r="A27" s="13" t="s">
        <v>70</v>
      </c>
      <c r="B27" s="14">
        <f t="shared" si="7"/>
        <v>291318.00032085017</v>
      </c>
      <c r="C27" s="14">
        <f t="shared" si="5"/>
        <v>396.63986769954158</v>
      </c>
      <c r="D27" s="14">
        <f t="shared" si="8"/>
        <v>1213.8250013368756</v>
      </c>
      <c r="E27" s="14">
        <f t="shared" si="9"/>
        <v>1610.4648690364172</v>
      </c>
      <c r="F27" s="15">
        <f t="shared" si="6"/>
        <v>290921.36045315064</v>
      </c>
    </row>
    <row r="28" spans="1:6" x14ac:dyDescent="0.2">
      <c r="A28" s="16" t="s">
        <v>26</v>
      </c>
      <c r="B28" s="16"/>
      <c r="C28" s="15"/>
      <c r="D28" s="15">
        <f>SUM(D16:D27)</f>
        <v>14673.034918290052</v>
      </c>
      <c r="E28" s="14"/>
      <c r="F28" s="14"/>
    </row>
    <row r="29" spans="1:6" x14ac:dyDescent="0.2">
      <c r="A29" s="13"/>
      <c r="B29" s="13"/>
      <c r="C29" s="14"/>
      <c r="D29" s="14"/>
      <c r="E29" s="14"/>
      <c r="F29" s="14"/>
    </row>
    <row r="30" spans="1:6" x14ac:dyDescent="0.2">
      <c r="A30" s="13" t="s">
        <v>71</v>
      </c>
      <c r="B30" s="14">
        <f>F27</f>
        <v>290921.36045315064</v>
      </c>
      <c r="C30" s="14">
        <f t="shared" ref="C30:C41" si="10">+E30-D30</f>
        <v>398.29253381495619</v>
      </c>
      <c r="D30" s="14">
        <f>+B30*$J$3</f>
        <v>1212.172335221461</v>
      </c>
      <c r="E30" s="14">
        <f>$J$6</f>
        <v>1610.4648690364172</v>
      </c>
      <c r="F30" s="14">
        <f t="shared" ref="F30:F41" si="11">+B30-C30</f>
        <v>290523.06791933568</v>
      </c>
    </row>
    <row r="31" spans="1:6" x14ac:dyDescent="0.2">
      <c r="A31" s="13"/>
      <c r="B31" s="14">
        <f t="shared" ref="B31:B41" si="12">+F30</f>
        <v>290523.06791933568</v>
      </c>
      <c r="C31" s="14">
        <f t="shared" si="10"/>
        <v>399.95208603918513</v>
      </c>
      <c r="D31" s="14">
        <f>+B31*$J$3</f>
        <v>1210.5127829972321</v>
      </c>
      <c r="E31" s="14">
        <f>$J$6</f>
        <v>1610.4648690364172</v>
      </c>
      <c r="F31" s="14">
        <f t="shared" si="11"/>
        <v>290123.1158332965</v>
      </c>
    </row>
    <row r="32" spans="1:6" x14ac:dyDescent="0.2">
      <c r="A32" s="13"/>
      <c r="B32" s="14">
        <f t="shared" si="12"/>
        <v>290123.1158332965</v>
      </c>
      <c r="C32" s="14">
        <f t="shared" si="10"/>
        <v>401.61855306434859</v>
      </c>
      <c r="D32" s="14">
        <f t="shared" ref="D32:D41" si="13">+B32*$J$3</f>
        <v>1208.8463159720686</v>
      </c>
      <c r="E32" s="14">
        <f t="shared" ref="E32:E41" si="14">$J$6</f>
        <v>1610.4648690364172</v>
      </c>
      <c r="F32" s="14">
        <f t="shared" si="11"/>
        <v>289721.49728023214</v>
      </c>
    </row>
    <row r="33" spans="1:6" x14ac:dyDescent="0.2">
      <c r="A33" s="13"/>
      <c r="B33" s="14">
        <f t="shared" si="12"/>
        <v>289721.49728023214</v>
      </c>
      <c r="C33" s="14">
        <f t="shared" si="10"/>
        <v>403.29196370211662</v>
      </c>
      <c r="D33" s="14">
        <f t="shared" si="13"/>
        <v>1207.1729053343006</v>
      </c>
      <c r="E33" s="14">
        <f t="shared" si="14"/>
        <v>1610.4648690364172</v>
      </c>
      <c r="F33" s="14">
        <f t="shared" si="11"/>
        <v>289318.20531653002</v>
      </c>
    </row>
    <row r="34" spans="1:6" x14ac:dyDescent="0.2">
      <c r="A34" s="13"/>
      <c r="B34" s="14">
        <f t="shared" si="12"/>
        <v>289318.20531653002</v>
      </c>
      <c r="C34" s="14">
        <f t="shared" si="10"/>
        <v>404.97234688420872</v>
      </c>
      <c r="D34" s="14">
        <f t="shared" si="13"/>
        <v>1205.4925221522085</v>
      </c>
      <c r="E34" s="14">
        <f t="shared" si="14"/>
        <v>1610.4648690364172</v>
      </c>
      <c r="F34" s="14">
        <f t="shared" si="11"/>
        <v>288913.23296964582</v>
      </c>
    </row>
    <row r="35" spans="1:6" x14ac:dyDescent="0.2">
      <c r="A35" s="13"/>
      <c r="B35" s="14">
        <f t="shared" si="12"/>
        <v>288913.23296964582</v>
      </c>
      <c r="C35" s="14">
        <f t="shared" si="10"/>
        <v>406.65973166289291</v>
      </c>
      <c r="D35" s="14">
        <f t="shared" si="13"/>
        <v>1203.8051373735243</v>
      </c>
      <c r="E35" s="14">
        <f t="shared" si="14"/>
        <v>1610.4648690364172</v>
      </c>
      <c r="F35" s="14">
        <f t="shared" si="11"/>
        <v>288506.57323798293</v>
      </c>
    </row>
    <row r="36" spans="1:6" x14ac:dyDescent="0.2">
      <c r="A36" s="13"/>
      <c r="B36" s="14">
        <f t="shared" si="12"/>
        <v>288506.57323798293</v>
      </c>
      <c r="C36" s="14">
        <f t="shared" si="10"/>
        <v>408.35414721148845</v>
      </c>
      <c r="D36" s="14">
        <f t="shared" si="13"/>
        <v>1202.1107218249288</v>
      </c>
      <c r="E36" s="14">
        <f t="shared" si="14"/>
        <v>1610.4648690364172</v>
      </c>
      <c r="F36" s="14">
        <f t="shared" si="11"/>
        <v>288098.21909077145</v>
      </c>
    </row>
    <row r="37" spans="1:6" x14ac:dyDescent="0.2">
      <c r="A37" s="13"/>
      <c r="B37" s="14">
        <f t="shared" si="12"/>
        <v>288098.21909077145</v>
      </c>
      <c r="C37" s="14">
        <f t="shared" si="10"/>
        <v>410.05562282486949</v>
      </c>
      <c r="D37" s="14">
        <f t="shared" si="13"/>
        <v>1200.4092462115477</v>
      </c>
      <c r="E37" s="14">
        <f t="shared" si="14"/>
        <v>1610.4648690364172</v>
      </c>
      <c r="F37" s="14">
        <f t="shared" si="11"/>
        <v>287688.16346794658</v>
      </c>
    </row>
    <row r="38" spans="1:6" x14ac:dyDescent="0.2">
      <c r="A38" s="13"/>
      <c r="B38" s="14">
        <f t="shared" si="12"/>
        <v>287688.16346794658</v>
      </c>
      <c r="C38" s="14">
        <f t="shared" si="10"/>
        <v>411.76418791997321</v>
      </c>
      <c r="D38" s="14">
        <f t="shared" si="13"/>
        <v>1198.700681116444</v>
      </c>
      <c r="E38" s="14">
        <f t="shared" si="14"/>
        <v>1610.4648690364172</v>
      </c>
      <c r="F38" s="14">
        <f t="shared" si="11"/>
        <v>287276.39928002661</v>
      </c>
    </row>
    <row r="39" spans="1:6" x14ac:dyDescent="0.2">
      <c r="A39" s="13"/>
      <c r="B39" s="14">
        <f t="shared" si="12"/>
        <v>287276.39928002661</v>
      </c>
      <c r="C39" s="14">
        <f t="shared" si="10"/>
        <v>413.47987203630623</v>
      </c>
      <c r="D39" s="14">
        <f t="shared" si="13"/>
        <v>1196.984997000111</v>
      </c>
      <c r="E39" s="14">
        <f t="shared" si="14"/>
        <v>1610.4648690364172</v>
      </c>
      <c r="F39" s="14">
        <f t="shared" si="11"/>
        <v>286862.9194079903</v>
      </c>
    </row>
    <row r="40" spans="1:6" x14ac:dyDescent="0.2">
      <c r="A40" s="13"/>
      <c r="B40" s="14">
        <f t="shared" si="12"/>
        <v>286862.9194079903</v>
      </c>
      <c r="C40" s="14">
        <f t="shared" si="10"/>
        <v>415.20270483645777</v>
      </c>
      <c r="D40" s="14">
        <f t="shared" si="13"/>
        <v>1195.2621641999594</v>
      </c>
      <c r="E40" s="14">
        <f t="shared" si="14"/>
        <v>1610.4648690364172</v>
      </c>
      <c r="F40" s="14">
        <f t="shared" si="11"/>
        <v>286447.71670315386</v>
      </c>
    </row>
    <row r="41" spans="1:6" x14ac:dyDescent="0.2">
      <c r="A41" s="13" t="s">
        <v>72</v>
      </c>
      <c r="B41" s="14">
        <f t="shared" si="12"/>
        <v>286447.71670315386</v>
      </c>
      <c r="C41" s="14">
        <f t="shared" si="10"/>
        <v>416.9327161066094</v>
      </c>
      <c r="D41" s="14">
        <f t="shared" si="13"/>
        <v>1193.5321529298078</v>
      </c>
      <c r="E41" s="14">
        <f t="shared" si="14"/>
        <v>1610.4648690364172</v>
      </c>
      <c r="F41" s="15">
        <f t="shared" si="11"/>
        <v>286030.78398704727</v>
      </c>
    </row>
    <row r="42" spans="1:6" x14ac:dyDescent="0.2">
      <c r="A42" s="16" t="s">
        <v>26</v>
      </c>
      <c r="B42" s="16"/>
      <c r="C42" s="15"/>
      <c r="D42" s="15">
        <f>SUM(D30:D41)</f>
        <v>14435.001962333592</v>
      </c>
      <c r="E42" s="14"/>
      <c r="F42" s="14"/>
    </row>
    <row r="43" spans="1:6" x14ac:dyDescent="0.2">
      <c r="A43" s="13"/>
      <c r="B43" s="13"/>
      <c r="C43" s="14"/>
      <c r="D43" s="14"/>
      <c r="E43" s="14"/>
      <c r="F43" s="14"/>
    </row>
    <row r="44" spans="1:6" x14ac:dyDescent="0.2">
      <c r="A44" s="13" t="s">
        <v>73</v>
      </c>
      <c r="B44" s="14">
        <f>F41</f>
        <v>286030.78398704727</v>
      </c>
      <c r="C44" s="14">
        <f t="shared" ref="C44:C55" si="15">+E44-D44</f>
        <v>418.66993575705351</v>
      </c>
      <c r="D44" s="14">
        <f>+B44*$J$3</f>
        <v>1191.7949332793637</v>
      </c>
      <c r="E44" s="14">
        <f>$J$6</f>
        <v>1610.4648690364172</v>
      </c>
      <c r="F44" s="14">
        <f t="shared" ref="F44:F55" si="16">+B44-C44</f>
        <v>285612.11405129021</v>
      </c>
    </row>
    <row r="45" spans="1:6" x14ac:dyDescent="0.2">
      <c r="A45" s="13"/>
      <c r="B45" s="14">
        <f t="shared" ref="B45:B55" si="17">+F44</f>
        <v>285612.11405129021</v>
      </c>
      <c r="C45" s="14">
        <f t="shared" si="15"/>
        <v>420.41439382270801</v>
      </c>
      <c r="D45" s="14">
        <f>+B45*$J$3</f>
        <v>1190.0504752137092</v>
      </c>
      <c r="E45" s="14">
        <f>$J$6</f>
        <v>1610.4648690364172</v>
      </c>
      <c r="F45" s="14">
        <f t="shared" si="16"/>
        <v>285191.69965746748</v>
      </c>
    </row>
    <row r="46" spans="1:6" x14ac:dyDescent="0.2">
      <c r="A46" s="13"/>
      <c r="B46" s="14">
        <f t="shared" si="17"/>
        <v>285191.69965746748</v>
      </c>
      <c r="C46" s="14">
        <f t="shared" si="15"/>
        <v>422.16612046363593</v>
      </c>
      <c r="D46" s="14">
        <f t="shared" ref="D46:D55" si="18">+B46*$J$3</f>
        <v>1188.2987485727813</v>
      </c>
      <c r="E46" s="14">
        <f t="shared" ref="E46:E55" si="19">$J$6</f>
        <v>1610.4648690364172</v>
      </c>
      <c r="F46" s="14">
        <f t="shared" si="16"/>
        <v>284769.53353700385</v>
      </c>
    </row>
    <row r="47" spans="1:6" x14ac:dyDescent="0.2">
      <c r="A47" s="13"/>
      <c r="B47" s="14">
        <f t="shared" si="17"/>
        <v>284769.53353700385</v>
      </c>
      <c r="C47" s="14">
        <f t="shared" si="15"/>
        <v>423.92514596556794</v>
      </c>
      <c r="D47" s="14">
        <f t="shared" si="18"/>
        <v>1186.5397230708493</v>
      </c>
      <c r="E47" s="14">
        <f t="shared" si="19"/>
        <v>1610.4648690364172</v>
      </c>
      <c r="F47" s="14">
        <f t="shared" si="16"/>
        <v>284345.60839103826</v>
      </c>
    </row>
    <row r="48" spans="1:6" x14ac:dyDescent="0.2">
      <c r="A48" s="13"/>
      <c r="B48" s="14">
        <f t="shared" si="17"/>
        <v>284345.60839103826</v>
      </c>
      <c r="C48" s="14">
        <f t="shared" si="15"/>
        <v>425.69150074042454</v>
      </c>
      <c r="D48" s="14">
        <f t="shared" si="18"/>
        <v>1184.7733682959927</v>
      </c>
      <c r="E48" s="14">
        <f t="shared" si="19"/>
        <v>1610.4648690364172</v>
      </c>
      <c r="F48" s="14">
        <f t="shared" si="16"/>
        <v>283919.91689029784</v>
      </c>
    </row>
    <row r="49" spans="1:7" x14ac:dyDescent="0.2">
      <c r="A49" s="13"/>
      <c r="B49" s="14">
        <f t="shared" si="17"/>
        <v>283919.91689029784</v>
      </c>
      <c r="C49" s="14">
        <f t="shared" si="15"/>
        <v>427.46521532684278</v>
      </c>
      <c r="D49" s="14">
        <f t="shared" si="18"/>
        <v>1182.9996537095744</v>
      </c>
      <c r="E49" s="14">
        <f t="shared" si="19"/>
        <v>1610.4648690364172</v>
      </c>
      <c r="F49" s="14">
        <f t="shared" si="16"/>
        <v>283492.45167497097</v>
      </c>
    </row>
    <row r="50" spans="1:7" x14ac:dyDescent="0.2">
      <c r="A50" s="13"/>
      <c r="B50" s="14">
        <f t="shared" si="17"/>
        <v>283492.45167497097</v>
      </c>
      <c r="C50" s="14">
        <f t="shared" si="15"/>
        <v>429.2463203907048</v>
      </c>
      <c r="D50" s="14">
        <f t="shared" si="18"/>
        <v>1181.2185486457124</v>
      </c>
      <c r="E50" s="14">
        <f t="shared" si="19"/>
        <v>1610.4648690364172</v>
      </c>
      <c r="F50" s="14">
        <f t="shared" si="16"/>
        <v>283063.20535458025</v>
      </c>
    </row>
    <row r="51" spans="1:7" x14ac:dyDescent="0.2">
      <c r="A51" s="13"/>
      <c r="B51" s="14">
        <f t="shared" si="17"/>
        <v>283063.20535458025</v>
      </c>
      <c r="C51" s="14">
        <f t="shared" si="15"/>
        <v>431.03484672566628</v>
      </c>
      <c r="D51" s="14">
        <f t="shared" si="18"/>
        <v>1179.4300223107509</v>
      </c>
      <c r="E51" s="14">
        <f t="shared" si="19"/>
        <v>1610.4648690364172</v>
      </c>
      <c r="F51" s="14">
        <f t="shared" si="16"/>
        <v>282632.17050785461</v>
      </c>
    </row>
    <row r="52" spans="1:7" x14ac:dyDescent="0.2">
      <c r="A52" s="13"/>
      <c r="B52" s="14">
        <f t="shared" si="17"/>
        <v>282632.17050785461</v>
      </c>
      <c r="C52" s="14">
        <f t="shared" si="15"/>
        <v>432.83082525368968</v>
      </c>
      <c r="D52" s="14">
        <f t="shared" si="18"/>
        <v>1177.6340437827275</v>
      </c>
      <c r="E52" s="14">
        <f t="shared" si="19"/>
        <v>1610.4648690364172</v>
      </c>
      <c r="F52" s="14">
        <f t="shared" si="16"/>
        <v>282199.33968260093</v>
      </c>
    </row>
    <row r="53" spans="1:7" x14ac:dyDescent="0.2">
      <c r="A53" s="13"/>
      <c r="B53" s="14">
        <f t="shared" si="17"/>
        <v>282199.33968260093</v>
      </c>
      <c r="C53" s="14">
        <f t="shared" si="15"/>
        <v>434.63428702558008</v>
      </c>
      <c r="D53" s="14">
        <f t="shared" si="18"/>
        <v>1175.8305820108371</v>
      </c>
      <c r="E53" s="14">
        <f t="shared" si="19"/>
        <v>1610.4648690364172</v>
      </c>
      <c r="F53" s="14">
        <f t="shared" si="16"/>
        <v>281764.70539557532</v>
      </c>
    </row>
    <row r="54" spans="1:7" x14ac:dyDescent="0.2">
      <c r="A54" s="13"/>
      <c r="B54" s="14">
        <f t="shared" si="17"/>
        <v>281764.70539557532</v>
      </c>
      <c r="C54" s="14">
        <f t="shared" si="15"/>
        <v>436.44526322152001</v>
      </c>
      <c r="D54" s="14">
        <f t="shared" si="18"/>
        <v>1174.0196058148972</v>
      </c>
      <c r="E54" s="14">
        <f t="shared" si="19"/>
        <v>1610.4648690364172</v>
      </c>
      <c r="F54" s="14">
        <f t="shared" si="16"/>
        <v>281328.26013235381</v>
      </c>
    </row>
    <row r="55" spans="1:7" x14ac:dyDescent="0.2">
      <c r="A55" s="13" t="s">
        <v>74</v>
      </c>
      <c r="B55" s="14">
        <f t="shared" si="17"/>
        <v>281328.26013235381</v>
      </c>
      <c r="C55" s="14">
        <f t="shared" si="15"/>
        <v>438.26378515160968</v>
      </c>
      <c r="D55" s="14">
        <f t="shared" si="18"/>
        <v>1172.2010838848075</v>
      </c>
      <c r="E55" s="14">
        <f t="shared" si="19"/>
        <v>1610.4648690364172</v>
      </c>
      <c r="F55" s="15">
        <f t="shared" si="16"/>
        <v>280889.99634720222</v>
      </c>
      <c r="G55" s="14"/>
    </row>
    <row r="56" spans="1:7" x14ac:dyDescent="0.2">
      <c r="A56" s="16" t="s">
        <v>26</v>
      </c>
      <c r="B56" s="7"/>
      <c r="C56" s="15"/>
      <c r="D56" s="15">
        <f>SUM(D44:D55)</f>
        <v>14184.790788592003</v>
      </c>
    </row>
    <row r="58" spans="1:7" x14ac:dyDescent="0.2">
      <c r="A58" s="13" t="s">
        <v>118</v>
      </c>
      <c r="B58" s="14">
        <f>F55</f>
        <v>280889.99634720222</v>
      </c>
      <c r="C58" s="14">
        <f t="shared" ref="C58:C69" si="20">+E58-D58</f>
        <v>440.08988425640791</v>
      </c>
      <c r="D58" s="14">
        <f>+B58*$J$3</f>
        <v>1170.3749847800093</v>
      </c>
      <c r="E58" s="14">
        <f>$J$6</f>
        <v>1610.4648690364172</v>
      </c>
      <c r="F58" s="14">
        <f t="shared" ref="F58:F69" si="21">+B58-C58</f>
        <v>280449.9064629458</v>
      </c>
    </row>
    <row r="59" spans="1:7" x14ac:dyDescent="0.2">
      <c r="A59" s="13"/>
      <c r="B59" s="14">
        <f t="shared" ref="B59:B69" si="22">+F58</f>
        <v>280449.9064629458</v>
      </c>
      <c r="C59" s="14">
        <f t="shared" si="20"/>
        <v>441.92359210747645</v>
      </c>
      <c r="D59" s="14">
        <f>+B59*$J$3</f>
        <v>1168.5412769289408</v>
      </c>
      <c r="E59" s="14">
        <f>$J$6</f>
        <v>1610.4648690364172</v>
      </c>
      <c r="F59" s="14">
        <f t="shared" si="21"/>
        <v>280007.98287083831</v>
      </c>
    </row>
    <row r="60" spans="1:7" x14ac:dyDescent="0.2">
      <c r="A60" s="13"/>
      <c r="B60" s="14">
        <f t="shared" si="22"/>
        <v>280007.98287083831</v>
      </c>
      <c r="C60" s="14">
        <f t="shared" si="20"/>
        <v>443.76494040792431</v>
      </c>
      <c r="D60" s="14">
        <f t="shared" ref="D60:D69" si="23">+B60*$J$3</f>
        <v>1166.6999286284929</v>
      </c>
      <c r="E60" s="14">
        <f t="shared" ref="E60:E69" si="24">$J$6</f>
        <v>1610.4648690364172</v>
      </c>
      <c r="F60" s="14">
        <f t="shared" si="21"/>
        <v>279564.21793043037</v>
      </c>
    </row>
    <row r="61" spans="1:7" x14ac:dyDescent="0.2">
      <c r="A61" s="13"/>
      <c r="B61" s="14">
        <f t="shared" si="22"/>
        <v>279564.21793043037</v>
      </c>
      <c r="C61" s="14">
        <f t="shared" si="20"/>
        <v>445.61396099295735</v>
      </c>
      <c r="D61" s="14">
        <f t="shared" si="23"/>
        <v>1164.8509080434599</v>
      </c>
      <c r="E61" s="14">
        <f t="shared" si="24"/>
        <v>1610.4648690364172</v>
      </c>
      <c r="F61" s="14">
        <f t="shared" si="21"/>
        <v>279118.60396943742</v>
      </c>
    </row>
    <row r="62" spans="1:7" x14ac:dyDescent="0.2">
      <c r="A62" s="13"/>
      <c r="B62" s="14">
        <f t="shared" si="22"/>
        <v>279118.60396943742</v>
      </c>
      <c r="C62" s="14">
        <f t="shared" si="20"/>
        <v>447.47068583042801</v>
      </c>
      <c r="D62" s="14">
        <f t="shared" si="23"/>
        <v>1162.9941832059892</v>
      </c>
      <c r="E62" s="14">
        <f t="shared" si="24"/>
        <v>1610.4648690364172</v>
      </c>
      <c r="F62" s="14">
        <f t="shared" si="21"/>
        <v>278671.13328360696</v>
      </c>
    </row>
    <row r="63" spans="1:7" x14ac:dyDescent="0.2">
      <c r="A63" s="13"/>
      <c r="B63" s="14">
        <f t="shared" si="22"/>
        <v>278671.13328360696</v>
      </c>
      <c r="C63" s="14">
        <f t="shared" si="20"/>
        <v>449.33514702138814</v>
      </c>
      <c r="D63" s="14">
        <f t="shared" si="23"/>
        <v>1161.1297220150291</v>
      </c>
      <c r="E63" s="14">
        <f t="shared" si="24"/>
        <v>1610.4648690364172</v>
      </c>
      <c r="F63" s="14">
        <f t="shared" si="21"/>
        <v>278221.79813658557</v>
      </c>
    </row>
    <row r="64" spans="1:7" x14ac:dyDescent="0.2">
      <c r="A64" s="13"/>
      <c r="B64" s="14">
        <f t="shared" si="22"/>
        <v>278221.79813658557</v>
      </c>
      <c r="C64" s="14">
        <f t="shared" si="20"/>
        <v>451.20737680064394</v>
      </c>
      <c r="D64" s="14">
        <f t="shared" si="23"/>
        <v>1159.2574922357733</v>
      </c>
      <c r="E64" s="14">
        <f t="shared" si="24"/>
        <v>1610.4648690364172</v>
      </c>
      <c r="F64" s="14">
        <f t="shared" si="21"/>
        <v>277770.59075978491</v>
      </c>
    </row>
    <row r="65" spans="1:6" x14ac:dyDescent="0.2">
      <c r="A65" s="13"/>
      <c r="B65" s="14">
        <f t="shared" si="22"/>
        <v>277770.59075978491</v>
      </c>
      <c r="C65" s="14">
        <f t="shared" si="20"/>
        <v>453.08740753731331</v>
      </c>
      <c r="D65" s="14">
        <f t="shared" si="23"/>
        <v>1157.3774614991039</v>
      </c>
      <c r="E65" s="14">
        <f t="shared" si="24"/>
        <v>1610.4648690364172</v>
      </c>
      <c r="F65" s="14">
        <f t="shared" si="21"/>
        <v>277317.50335224759</v>
      </c>
    </row>
    <row r="66" spans="1:6" x14ac:dyDescent="0.2">
      <c r="A66" s="13"/>
      <c r="B66" s="14">
        <f t="shared" si="22"/>
        <v>277317.50335224759</v>
      </c>
      <c r="C66" s="14">
        <f t="shared" si="20"/>
        <v>454.9752717353856</v>
      </c>
      <c r="D66" s="14">
        <f t="shared" si="23"/>
        <v>1155.4895973010316</v>
      </c>
      <c r="E66" s="14">
        <f t="shared" si="24"/>
        <v>1610.4648690364172</v>
      </c>
      <c r="F66" s="14">
        <f t="shared" si="21"/>
        <v>276862.52808051219</v>
      </c>
    </row>
    <row r="67" spans="1:6" x14ac:dyDescent="0.2">
      <c r="A67" s="13"/>
      <c r="B67" s="14">
        <f t="shared" si="22"/>
        <v>276862.52808051219</v>
      </c>
      <c r="C67" s="14">
        <f t="shared" si="20"/>
        <v>456.87100203428304</v>
      </c>
      <c r="D67" s="14">
        <f t="shared" si="23"/>
        <v>1153.5938670021342</v>
      </c>
      <c r="E67" s="14">
        <f t="shared" si="24"/>
        <v>1610.4648690364172</v>
      </c>
      <c r="F67" s="14">
        <f t="shared" si="21"/>
        <v>276405.6570784779</v>
      </c>
    </row>
    <row r="68" spans="1:6" x14ac:dyDescent="0.2">
      <c r="A68" s="13"/>
      <c r="B68" s="14">
        <f t="shared" si="22"/>
        <v>276405.6570784779</v>
      </c>
      <c r="C68" s="14">
        <f t="shared" si="20"/>
        <v>458.77463120942593</v>
      </c>
      <c r="D68" s="14">
        <f t="shared" si="23"/>
        <v>1151.6902378269913</v>
      </c>
      <c r="E68" s="14">
        <f t="shared" si="24"/>
        <v>1610.4648690364172</v>
      </c>
      <c r="F68" s="14">
        <f t="shared" si="21"/>
        <v>275946.88244726846</v>
      </c>
    </row>
    <row r="69" spans="1:6" x14ac:dyDescent="0.2">
      <c r="A69" s="13" t="s">
        <v>119</v>
      </c>
      <c r="B69" s="14">
        <f t="shared" si="22"/>
        <v>275946.88244726846</v>
      </c>
      <c r="C69" s="14">
        <f t="shared" si="20"/>
        <v>460.68619217279866</v>
      </c>
      <c r="D69" s="14">
        <f t="shared" si="23"/>
        <v>1149.7786768636186</v>
      </c>
      <c r="E69" s="14">
        <f t="shared" si="24"/>
        <v>1610.4648690364172</v>
      </c>
      <c r="F69" s="15">
        <f t="shared" si="21"/>
        <v>275486.19625509565</v>
      </c>
    </row>
    <row r="70" spans="1:6" x14ac:dyDescent="0.2">
      <c r="A70" s="16" t="s">
        <v>26</v>
      </c>
      <c r="B70" s="7"/>
      <c r="C70" s="15"/>
      <c r="D70" s="15">
        <f>SUM(D58:D69)</f>
        <v>13921.778336330575</v>
      </c>
    </row>
    <row r="72" spans="1:6" x14ac:dyDescent="0.2">
      <c r="A72" s="13" t="s">
        <v>120</v>
      </c>
      <c r="B72" s="14">
        <f>F69</f>
        <v>275486.19625509565</v>
      </c>
      <c r="C72" s="14">
        <f t="shared" ref="C72:C83" si="25">+E72-D72</f>
        <v>462.60571797351872</v>
      </c>
      <c r="D72" s="14">
        <f>+B72*$J$3</f>
        <v>1147.8591510628985</v>
      </c>
      <c r="E72" s="14">
        <f>$J$6</f>
        <v>1610.4648690364172</v>
      </c>
      <c r="F72" s="14">
        <f t="shared" ref="F72:F83" si="26">+B72-C72</f>
        <v>275023.59053712216</v>
      </c>
    </row>
    <row r="73" spans="1:6" x14ac:dyDescent="0.2">
      <c r="A73" s="13"/>
      <c r="B73" s="14">
        <f t="shared" ref="B73:B83" si="27">+F72</f>
        <v>275023.59053712216</v>
      </c>
      <c r="C73" s="14">
        <f t="shared" si="25"/>
        <v>464.5332417984082</v>
      </c>
      <c r="D73" s="14">
        <f>+B73*$J$3</f>
        <v>1145.931627238009</v>
      </c>
      <c r="E73" s="14">
        <f>$J$6</f>
        <v>1610.4648690364172</v>
      </c>
      <c r="F73" s="14">
        <f t="shared" si="26"/>
        <v>274559.05729532376</v>
      </c>
    </row>
    <row r="74" spans="1:6" x14ac:dyDescent="0.2">
      <c r="A74" s="13"/>
      <c r="B74" s="14">
        <f t="shared" si="27"/>
        <v>274559.05729532376</v>
      </c>
      <c r="C74" s="14">
        <f t="shared" si="25"/>
        <v>466.46879697256827</v>
      </c>
      <c r="D74" s="14">
        <f t="shared" ref="D74:D83" si="28">+B74*$J$3</f>
        <v>1143.9960720638489</v>
      </c>
      <c r="E74" s="14">
        <f t="shared" ref="E74:E83" si="29">$J$6</f>
        <v>1610.4648690364172</v>
      </c>
      <c r="F74" s="14">
        <f t="shared" si="26"/>
        <v>274092.58849835116</v>
      </c>
    </row>
    <row r="75" spans="1:6" x14ac:dyDescent="0.2">
      <c r="A75" s="13"/>
      <c r="B75" s="14">
        <f t="shared" si="27"/>
        <v>274092.58849835116</v>
      </c>
      <c r="C75" s="14">
        <f t="shared" si="25"/>
        <v>468.41241695995404</v>
      </c>
      <c r="D75" s="14">
        <f t="shared" si="28"/>
        <v>1142.0524520764632</v>
      </c>
      <c r="E75" s="14">
        <f t="shared" si="29"/>
        <v>1610.4648690364172</v>
      </c>
      <c r="F75" s="14">
        <f t="shared" si="26"/>
        <v>273624.17608139123</v>
      </c>
    </row>
    <row r="76" spans="1:6" x14ac:dyDescent="0.2">
      <c r="A76" s="13"/>
      <c r="B76" s="14">
        <f t="shared" si="27"/>
        <v>273624.17608139123</v>
      </c>
      <c r="C76" s="14">
        <f t="shared" si="25"/>
        <v>470.36413536395389</v>
      </c>
      <c r="D76" s="14">
        <f t="shared" si="28"/>
        <v>1140.1007336724633</v>
      </c>
      <c r="E76" s="14">
        <f t="shared" si="29"/>
        <v>1610.4648690364172</v>
      </c>
      <c r="F76" s="14">
        <f t="shared" si="26"/>
        <v>273153.81194602727</v>
      </c>
    </row>
    <row r="77" spans="1:6" x14ac:dyDescent="0.2">
      <c r="A77" s="13"/>
      <c r="B77" s="14">
        <f t="shared" si="27"/>
        <v>273153.81194602727</v>
      </c>
      <c r="C77" s="14">
        <f t="shared" si="25"/>
        <v>472.32398592797017</v>
      </c>
      <c r="D77" s="14">
        <f t="shared" si="28"/>
        <v>1138.140883108447</v>
      </c>
      <c r="E77" s="14">
        <f t="shared" si="29"/>
        <v>1610.4648690364172</v>
      </c>
      <c r="F77" s="14">
        <f t="shared" si="26"/>
        <v>272681.4879600993</v>
      </c>
    </row>
    <row r="78" spans="1:6" x14ac:dyDescent="0.2">
      <c r="A78" s="13"/>
      <c r="B78" s="14">
        <f t="shared" si="27"/>
        <v>272681.4879600993</v>
      </c>
      <c r="C78" s="14">
        <f t="shared" si="25"/>
        <v>474.29200253600357</v>
      </c>
      <c r="D78" s="14">
        <f t="shared" si="28"/>
        <v>1136.1728665004136</v>
      </c>
      <c r="E78" s="14">
        <f t="shared" si="29"/>
        <v>1610.4648690364172</v>
      </c>
      <c r="F78" s="14">
        <f t="shared" si="26"/>
        <v>272207.19595756329</v>
      </c>
    </row>
    <row r="79" spans="1:6" x14ac:dyDescent="0.2">
      <c r="A79" s="13"/>
      <c r="B79" s="14">
        <f t="shared" si="27"/>
        <v>272207.19595756329</v>
      </c>
      <c r="C79" s="14">
        <f t="shared" si="25"/>
        <v>476.26821921323676</v>
      </c>
      <c r="D79" s="14">
        <f t="shared" si="28"/>
        <v>1134.1966498231805</v>
      </c>
      <c r="E79" s="14">
        <f t="shared" si="29"/>
        <v>1610.4648690364172</v>
      </c>
      <c r="F79" s="14">
        <f t="shared" si="26"/>
        <v>271730.92773835006</v>
      </c>
    </row>
    <row r="80" spans="1:6" x14ac:dyDescent="0.2">
      <c r="A80" s="13"/>
      <c r="B80" s="14">
        <f t="shared" si="27"/>
        <v>271730.92773835006</v>
      </c>
      <c r="C80" s="14">
        <f t="shared" si="25"/>
        <v>478.25267012662539</v>
      </c>
      <c r="D80" s="14">
        <f t="shared" si="28"/>
        <v>1132.2121989097918</v>
      </c>
      <c r="E80" s="14">
        <f t="shared" si="29"/>
        <v>1610.4648690364172</v>
      </c>
      <c r="F80" s="14">
        <f t="shared" si="26"/>
        <v>271252.67506822344</v>
      </c>
    </row>
    <row r="81" spans="1:6" x14ac:dyDescent="0.2">
      <c r="A81" s="13"/>
      <c r="B81" s="14">
        <f t="shared" si="27"/>
        <v>271252.67506822344</v>
      </c>
      <c r="C81" s="14">
        <f t="shared" si="25"/>
        <v>480.24538958548624</v>
      </c>
      <c r="D81" s="14">
        <f t="shared" si="28"/>
        <v>1130.219479450931</v>
      </c>
      <c r="E81" s="14">
        <f t="shared" si="29"/>
        <v>1610.4648690364172</v>
      </c>
      <c r="F81" s="14">
        <f t="shared" si="26"/>
        <v>270772.42967863794</v>
      </c>
    </row>
    <row r="82" spans="1:6" x14ac:dyDescent="0.2">
      <c r="A82" s="13"/>
      <c r="B82" s="14">
        <f t="shared" si="27"/>
        <v>270772.42967863794</v>
      </c>
      <c r="C82" s="14">
        <f t="shared" si="25"/>
        <v>482.24641204209252</v>
      </c>
      <c r="D82" s="14">
        <f t="shared" si="28"/>
        <v>1128.2184569943247</v>
      </c>
      <c r="E82" s="14">
        <f t="shared" si="29"/>
        <v>1610.4648690364172</v>
      </c>
      <c r="F82" s="14">
        <f t="shared" si="26"/>
        <v>270290.18326659582</v>
      </c>
    </row>
    <row r="83" spans="1:6" x14ac:dyDescent="0.2">
      <c r="A83" s="13" t="s">
        <v>121</v>
      </c>
      <c r="B83" s="14">
        <f t="shared" si="27"/>
        <v>270290.18326659582</v>
      </c>
      <c r="C83" s="14">
        <f t="shared" si="25"/>
        <v>484.25577209226799</v>
      </c>
      <c r="D83" s="14">
        <f t="shared" si="28"/>
        <v>1126.2090969441492</v>
      </c>
      <c r="E83" s="14">
        <f t="shared" si="29"/>
        <v>1610.4648690364172</v>
      </c>
      <c r="F83" s="15">
        <f t="shared" si="26"/>
        <v>269805.92749450356</v>
      </c>
    </row>
    <row r="84" spans="1:6" x14ac:dyDescent="0.2">
      <c r="A84" s="16" t="s">
        <v>26</v>
      </c>
      <c r="B84" s="7"/>
      <c r="C84" s="15"/>
      <c r="D84" s="15">
        <f>SUM(D72:D83)</f>
        <v>13645.309667844922</v>
      </c>
    </row>
    <row r="86" spans="1:6" x14ac:dyDescent="0.2">
      <c r="A86" s="13" t="s">
        <v>122</v>
      </c>
      <c r="B86" s="14">
        <f>F83</f>
        <v>269805.92749450356</v>
      </c>
      <c r="C86" s="14">
        <f t="shared" ref="C86:C97" si="30">+E86-D86</f>
        <v>486.27350447598565</v>
      </c>
      <c r="D86" s="14">
        <f>+B86*$J$3</f>
        <v>1124.1913645604316</v>
      </c>
      <c r="E86" s="14">
        <f>$J$6</f>
        <v>1610.4648690364172</v>
      </c>
      <c r="F86" s="14">
        <f t="shared" ref="F86:F97" si="31">+B86-C86</f>
        <v>269319.65399002755</v>
      </c>
    </row>
    <row r="87" spans="1:6" x14ac:dyDescent="0.2">
      <c r="A87" s="13"/>
      <c r="B87" s="14">
        <f t="shared" ref="B87:B97" si="32">+F86</f>
        <v>269319.65399002755</v>
      </c>
      <c r="C87" s="14">
        <f t="shared" si="30"/>
        <v>488.29964407796911</v>
      </c>
      <c r="D87" s="14">
        <f>+B87*$J$3</f>
        <v>1122.1652249584481</v>
      </c>
      <c r="E87" s="14">
        <f>$J$6</f>
        <v>1610.4648690364172</v>
      </c>
      <c r="F87" s="14">
        <f t="shared" si="31"/>
        <v>268831.3543459496</v>
      </c>
    </row>
    <row r="88" spans="1:6" x14ac:dyDescent="0.2">
      <c r="A88" s="13"/>
      <c r="B88" s="14">
        <f t="shared" si="32"/>
        <v>268831.3543459496</v>
      </c>
      <c r="C88" s="14">
        <f t="shared" si="30"/>
        <v>490.33422592829379</v>
      </c>
      <c r="D88" s="14">
        <f t="shared" ref="D88:D97" si="33">+B88*$J$3</f>
        <v>1120.1306431081234</v>
      </c>
      <c r="E88" s="14">
        <f t="shared" ref="E88:E97" si="34">$J$6</f>
        <v>1610.4648690364172</v>
      </c>
      <c r="F88" s="14">
        <f t="shared" si="31"/>
        <v>268341.02012002131</v>
      </c>
    </row>
    <row r="89" spans="1:6" x14ac:dyDescent="0.2">
      <c r="A89" s="13"/>
      <c r="B89" s="14">
        <f t="shared" si="32"/>
        <v>268341.02012002131</v>
      </c>
      <c r="C89" s="14">
        <f t="shared" si="30"/>
        <v>492.37728520299515</v>
      </c>
      <c r="D89" s="14">
        <f t="shared" si="33"/>
        <v>1118.0875838334221</v>
      </c>
      <c r="E89" s="14">
        <f t="shared" si="34"/>
        <v>1610.4648690364172</v>
      </c>
      <c r="F89" s="14">
        <f t="shared" si="31"/>
        <v>267848.64283481828</v>
      </c>
    </row>
    <row r="90" spans="1:6" x14ac:dyDescent="0.2">
      <c r="A90" s="13"/>
      <c r="B90" s="14">
        <f t="shared" si="32"/>
        <v>267848.64283481828</v>
      </c>
      <c r="C90" s="14">
        <f t="shared" si="30"/>
        <v>494.4288572246744</v>
      </c>
      <c r="D90" s="14">
        <f t="shared" si="33"/>
        <v>1116.0360118117428</v>
      </c>
      <c r="E90" s="14">
        <f t="shared" si="34"/>
        <v>1610.4648690364172</v>
      </c>
      <c r="F90" s="14">
        <f t="shared" si="31"/>
        <v>267354.21397759358</v>
      </c>
    </row>
    <row r="91" spans="1:6" x14ac:dyDescent="0.2">
      <c r="A91" s="13"/>
      <c r="B91" s="14">
        <f t="shared" si="32"/>
        <v>267354.21397759358</v>
      </c>
      <c r="C91" s="14">
        <f t="shared" si="30"/>
        <v>496.48897746311059</v>
      </c>
      <c r="D91" s="14">
        <f t="shared" si="33"/>
        <v>1113.9758915733066</v>
      </c>
      <c r="E91" s="14">
        <f t="shared" si="34"/>
        <v>1610.4648690364172</v>
      </c>
      <c r="F91" s="14">
        <f t="shared" si="31"/>
        <v>266857.72500013048</v>
      </c>
    </row>
    <row r="92" spans="1:6" x14ac:dyDescent="0.2">
      <c r="A92" s="13"/>
      <c r="B92" s="14">
        <f t="shared" si="32"/>
        <v>266857.72500013048</v>
      </c>
      <c r="C92" s="14">
        <f t="shared" si="30"/>
        <v>498.5576815358736</v>
      </c>
      <c r="D92" s="14">
        <f t="shared" si="33"/>
        <v>1111.9071875005436</v>
      </c>
      <c r="E92" s="14">
        <f t="shared" si="34"/>
        <v>1610.4648690364172</v>
      </c>
      <c r="F92" s="14">
        <f t="shared" si="31"/>
        <v>266359.16731859458</v>
      </c>
    </row>
    <row r="93" spans="1:6" x14ac:dyDescent="0.2">
      <c r="A93" s="13"/>
      <c r="B93" s="14">
        <f t="shared" si="32"/>
        <v>266359.16731859458</v>
      </c>
      <c r="C93" s="14">
        <f t="shared" si="30"/>
        <v>500.6350052089399</v>
      </c>
      <c r="D93" s="14">
        <f t="shared" si="33"/>
        <v>1109.8298638274773</v>
      </c>
      <c r="E93" s="14">
        <f t="shared" si="34"/>
        <v>1610.4648690364172</v>
      </c>
      <c r="F93" s="14">
        <f t="shared" si="31"/>
        <v>265858.53231338563</v>
      </c>
    </row>
    <row r="94" spans="1:6" x14ac:dyDescent="0.2">
      <c r="A94" s="13"/>
      <c r="B94" s="14">
        <f t="shared" si="32"/>
        <v>265858.53231338563</v>
      </c>
      <c r="C94" s="14">
        <f t="shared" si="30"/>
        <v>502.72098439731053</v>
      </c>
      <c r="D94" s="14">
        <f t="shared" si="33"/>
        <v>1107.7438846391067</v>
      </c>
      <c r="E94" s="14">
        <f t="shared" si="34"/>
        <v>1610.4648690364172</v>
      </c>
      <c r="F94" s="14">
        <f t="shared" si="31"/>
        <v>265355.81132898829</v>
      </c>
    </row>
    <row r="95" spans="1:6" x14ac:dyDescent="0.2">
      <c r="A95" s="13"/>
      <c r="B95" s="14">
        <f t="shared" si="32"/>
        <v>265355.81132898829</v>
      </c>
      <c r="C95" s="14">
        <f t="shared" si="30"/>
        <v>504.81565516563273</v>
      </c>
      <c r="D95" s="14">
        <f t="shared" si="33"/>
        <v>1105.6492138707845</v>
      </c>
      <c r="E95" s="14">
        <f t="shared" si="34"/>
        <v>1610.4648690364172</v>
      </c>
      <c r="F95" s="14">
        <f t="shared" si="31"/>
        <v>264850.99567382265</v>
      </c>
    </row>
    <row r="96" spans="1:6" x14ac:dyDescent="0.2">
      <c r="A96" s="13"/>
      <c r="B96" s="14">
        <f t="shared" si="32"/>
        <v>264850.99567382265</v>
      </c>
      <c r="C96" s="14">
        <f t="shared" si="30"/>
        <v>506.91905372882297</v>
      </c>
      <c r="D96" s="14">
        <f t="shared" si="33"/>
        <v>1103.5458153075942</v>
      </c>
      <c r="E96" s="14">
        <f t="shared" si="34"/>
        <v>1610.4648690364172</v>
      </c>
      <c r="F96" s="14">
        <f t="shared" si="31"/>
        <v>264344.07662009384</v>
      </c>
    </row>
    <row r="97" spans="1:6" x14ac:dyDescent="0.2">
      <c r="A97" s="13" t="s">
        <v>123</v>
      </c>
      <c r="B97" s="14">
        <f t="shared" si="32"/>
        <v>264344.07662009384</v>
      </c>
      <c r="C97" s="14">
        <f t="shared" si="30"/>
        <v>509.03121645269289</v>
      </c>
      <c r="D97" s="14">
        <f t="shared" si="33"/>
        <v>1101.4336525837243</v>
      </c>
      <c r="E97" s="14">
        <f t="shared" si="34"/>
        <v>1610.4648690364172</v>
      </c>
      <c r="F97" s="15">
        <f t="shared" si="31"/>
        <v>263835.04540364112</v>
      </c>
    </row>
    <row r="98" spans="1:6" x14ac:dyDescent="0.2">
      <c r="A98" s="16" t="s">
        <v>26</v>
      </c>
      <c r="B98" s="7"/>
      <c r="C98" s="15"/>
      <c r="D98" s="15">
        <f>SUM(D86:D97)</f>
        <v>13354.696337574705</v>
      </c>
    </row>
    <row r="100" spans="1:6" x14ac:dyDescent="0.2">
      <c r="A100" s="13" t="s">
        <v>124</v>
      </c>
      <c r="B100" s="14">
        <f>F97</f>
        <v>263835.04540364112</v>
      </c>
      <c r="C100" s="14">
        <f t="shared" ref="C100:C111" si="35">+E100-D100</f>
        <v>511.15217985457912</v>
      </c>
      <c r="D100" s="14">
        <f>+B100*$J$3</f>
        <v>1099.3126891818381</v>
      </c>
      <c r="E100" s="14">
        <f>$J$6</f>
        <v>1610.4648690364172</v>
      </c>
      <c r="F100" s="14">
        <f t="shared" ref="F100:F111" si="36">+B100-C100</f>
        <v>263323.89322378655</v>
      </c>
    </row>
    <row r="101" spans="1:6" x14ac:dyDescent="0.2">
      <c r="A101" s="13"/>
      <c r="B101" s="14">
        <f t="shared" ref="B101:B111" si="37">+F100</f>
        <v>263323.89322378655</v>
      </c>
      <c r="C101" s="14">
        <f t="shared" si="35"/>
        <v>513.28198060397335</v>
      </c>
      <c r="D101" s="14">
        <f>+B101*$J$3</f>
        <v>1097.1828884324439</v>
      </c>
      <c r="E101" s="14">
        <f>$J$6</f>
        <v>1610.4648690364172</v>
      </c>
      <c r="F101" s="14">
        <f t="shared" si="36"/>
        <v>262810.61124318256</v>
      </c>
    </row>
    <row r="102" spans="1:6" x14ac:dyDescent="0.2">
      <c r="A102" s="13"/>
      <c r="B102" s="14">
        <f t="shared" si="37"/>
        <v>262810.61124318256</v>
      </c>
      <c r="C102" s="14">
        <f t="shared" si="35"/>
        <v>515.42065552315648</v>
      </c>
      <c r="D102" s="14">
        <f t="shared" ref="D102:D111" si="38">+B102*$J$3</f>
        <v>1095.0442135132607</v>
      </c>
      <c r="E102" s="14">
        <f t="shared" ref="E102:E111" si="39">$J$6</f>
        <v>1610.4648690364172</v>
      </c>
      <c r="F102" s="14">
        <f t="shared" si="36"/>
        <v>262295.19058765942</v>
      </c>
    </row>
    <row r="103" spans="1:6" x14ac:dyDescent="0.2">
      <c r="A103" s="13"/>
      <c r="B103" s="14">
        <f t="shared" si="37"/>
        <v>262295.19058765942</v>
      </c>
      <c r="C103" s="14">
        <f t="shared" si="35"/>
        <v>517.56824158783638</v>
      </c>
      <c r="D103" s="14">
        <f t="shared" si="38"/>
        <v>1092.8966274485808</v>
      </c>
      <c r="E103" s="14">
        <f t="shared" si="39"/>
        <v>1610.4648690364172</v>
      </c>
      <c r="F103" s="14">
        <f t="shared" si="36"/>
        <v>261777.62234607158</v>
      </c>
    </row>
    <row r="104" spans="1:6" x14ac:dyDescent="0.2">
      <c r="A104" s="13"/>
      <c r="B104" s="14">
        <f t="shared" si="37"/>
        <v>261777.62234607158</v>
      </c>
      <c r="C104" s="14">
        <f t="shared" si="35"/>
        <v>519.72477592778569</v>
      </c>
      <c r="D104" s="14">
        <f t="shared" si="38"/>
        <v>1090.7400931086315</v>
      </c>
      <c r="E104" s="14">
        <f t="shared" si="39"/>
        <v>1610.4648690364172</v>
      </c>
      <c r="F104" s="14">
        <f t="shared" si="36"/>
        <v>261257.8975701438</v>
      </c>
    </row>
    <row r="105" spans="1:6" x14ac:dyDescent="0.2">
      <c r="A105" s="13"/>
      <c r="B105" s="14">
        <f t="shared" si="37"/>
        <v>261257.8975701438</v>
      </c>
      <c r="C105" s="14">
        <f t="shared" si="35"/>
        <v>521.89029582748481</v>
      </c>
      <c r="D105" s="14">
        <f t="shared" si="38"/>
        <v>1088.5745732089324</v>
      </c>
      <c r="E105" s="14">
        <f t="shared" si="39"/>
        <v>1610.4648690364172</v>
      </c>
      <c r="F105" s="14">
        <f t="shared" si="36"/>
        <v>260736.00727431633</v>
      </c>
    </row>
    <row r="106" spans="1:6" x14ac:dyDescent="0.2">
      <c r="A106" s="13"/>
      <c r="B106" s="14">
        <f t="shared" si="37"/>
        <v>260736.00727431633</v>
      </c>
      <c r="C106" s="14">
        <f t="shared" si="35"/>
        <v>524.06483872676586</v>
      </c>
      <c r="D106" s="14">
        <f t="shared" si="38"/>
        <v>1086.4000303096514</v>
      </c>
      <c r="E106" s="14">
        <f t="shared" si="39"/>
        <v>1610.4648690364172</v>
      </c>
      <c r="F106" s="14">
        <f t="shared" si="36"/>
        <v>260211.94243558956</v>
      </c>
    </row>
    <row r="107" spans="1:6" x14ac:dyDescent="0.2">
      <c r="A107" s="13"/>
      <c r="B107" s="14">
        <f t="shared" si="37"/>
        <v>260211.94243558956</v>
      </c>
      <c r="C107" s="14">
        <f t="shared" si="35"/>
        <v>526.24844222146066</v>
      </c>
      <c r="D107" s="14">
        <f t="shared" si="38"/>
        <v>1084.2164268149565</v>
      </c>
      <c r="E107" s="14">
        <f t="shared" si="39"/>
        <v>1610.4648690364172</v>
      </c>
      <c r="F107" s="14">
        <f t="shared" si="36"/>
        <v>259685.6939933681</v>
      </c>
    </row>
    <row r="108" spans="1:6" x14ac:dyDescent="0.2">
      <c r="A108" s="13"/>
      <c r="B108" s="14">
        <f t="shared" si="37"/>
        <v>259685.6939933681</v>
      </c>
      <c r="C108" s="14">
        <f t="shared" si="35"/>
        <v>528.44114406405015</v>
      </c>
      <c r="D108" s="14">
        <f t="shared" si="38"/>
        <v>1082.0237249723671</v>
      </c>
      <c r="E108" s="14">
        <f t="shared" si="39"/>
        <v>1610.4648690364172</v>
      </c>
      <c r="F108" s="14">
        <f t="shared" si="36"/>
        <v>259157.25284930406</v>
      </c>
    </row>
    <row r="109" spans="1:6" x14ac:dyDescent="0.2">
      <c r="A109" s="13"/>
      <c r="B109" s="14">
        <f t="shared" si="37"/>
        <v>259157.25284930406</v>
      </c>
      <c r="C109" s="14">
        <f t="shared" si="35"/>
        <v>530.64298216431689</v>
      </c>
      <c r="D109" s="14">
        <f t="shared" si="38"/>
        <v>1079.8218868721003</v>
      </c>
      <c r="E109" s="14">
        <f t="shared" si="39"/>
        <v>1610.4648690364172</v>
      </c>
      <c r="F109" s="14">
        <f t="shared" si="36"/>
        <v>258626.60986713975</v>
      </c>
    </row>
    <row r="110" spans="1:6" x14ac:dyDescent="0.2">
      <c r="A110" s="13"/>
      <c r="B110" s="14">
        <f t="shared" si="37"/>
        <v>258626.60986713975</v>
      </c>
      <c r="C110" s="14">
        <f t="shared" si="35"/>
        <v>532.85399459000155</v>
      </c>
      <c r="D110" s="14">
        <f t="shared" si="38"/>
        <v>1077.6108744464157</v>
      </c>
      <c r="E110" s="14">
        <f t="shared" si="39"/>
        <v>1610.4648690364172</v>
      </c>
      <c r="F110" s="14">
        <f t="shared" si="36"/>
        <v>258093.75587254975</v>
      </c>
    </row>
    <row r="111" spans="1:6" x14ac:dyDescent="0.2">
      <c r="A111" s="13" t="s">
        <v>125</v>
      </c>
      <c r="B111" s="14">
        <f t="shared" si="37"/>
        <v>258093.75587254975</v>
      </c>
      <c r="C111" s="14">
        <f t="shared" si="35"/>
        <v>535.07421956745998</v>
      </c>
      <c r="D111" s="14">
        <f t="shared" si="38"/>
        <v>1075.3906494689572</v>
      </c>
      <c r="E111" s="14">
        <f t="shared" si="39"/>
        <v>1610.4648690364172</v>
      </c>
      <c r="F111" s="15">
        <f t="shared" si="36"/>
        <v>257558.68165298228</v>
      </c>
    </row>
    <row r="112" spans="1:6" x14ac:dyDescent="0.2">
      <c r="A112" s="16" t="s">
        <v>26</v>
      </c>
      <c r="B112" s="7"/>
      <c r="C112" s="15"/>
      <c r="D112" s="15">
        <f>SUM(D100:D111)</f>
        <v>13049.214677778135</v>
      </c>
    </row>
    <row r="114" spans="1:6" x14ac:dyDescent="0.2">
      <c r="A114" s="13" t="s">
        <v>126</v>
      </c>
      <c r="B114" s="14">
        <f>F111</f>
        <v>257558.68165298228</v>
      </c>
      <c r="C114" s="14">
        <f t="shared" ref="C114:C125" si="40">+E114-D114</f>
        <v>537.30369548232443</v>
      </c>
      <c r="D114" s="14">
        <f>+B114*$J$3</f>
        <v>1073.1611735540928</v>
      </c>
      <c r="E114" s="14">
        <f>$J$6</f>
        <v>1610.4648690364172</v>
      </c>
      <c r="F114" s="14">
        <f t="shared" ref="F114:F125" si="41">+B114-C114</f>
        <v>257021.37795749996</v>
      </c>
    </row>
    <row r="115" spans="1:6" x14ac:dyDescent="0.2">
      <c r="A115" s="13"/>
      <c r="B115" s="14">
        <f t="shared" ref="B115:B125" si="42">+F114</f>
        <v>257021.37795749996</v>
      </c>
      <c r="C115" s="14">
        <f t="shared" si="40"/>
        <v>539.54246088016748</v>
      </c>
      <c r="D115" s="14">
        <f>+B115*$J$3</f>
        <v>1070.9224081562497</v>
      </c>
      <c r="E115" s="14">
        <f>$J$6</f>
        <v>1610.4648690364172</v>
      </c>
      <c r="F115" s="14">
        <f t="shared" si="41"/>
        <v>256481.83549661981</v>
      </c>
    </row>
    <row r="116" spans="1:6" x14ac:dyDescent="0.2">
      <c r="A116" s="13"/>
      <c r="B116" s="14">
        <f t="shared" si="42"/>
        <v>256481.83549661981</v>
      </c>
      <c r="C116" s="14">
        <f t="shared" si="40"/>
        <v>541.79055446716802</v>
      </c>
      <c r="D116" s="14">
        <f t="shared" ref="D116:D125" si="43">+B116*$J$3</f>
        <v>1068.6743145692492</v>
      </c>
      <c r="E116" s="14">
        <f t="shared" ref="E116:E125" si="44">$J$6</f>
        <v>1610.4648690364172</v>
      </c>
      <c r="F116" s="14">
        <f t="shared" si="41"/>
        <v>255940.04494215263</v>
      </c>
    </row>
    <row r="117" spans="1:6" x14ac:dyDescent="0.2">
      <c r="A117" s="13"/>
      <c r="B117" s="14">
        <f t="shared" si="42"/>
        <v>255940.04494215263</v>
      </c>
      <c r="C117" s="14">
        <f t="shared" si="40"/>
        <v>544.04801511078131</v>
      </c>
      <c r="D117" s="14">
        <f t="shared" si="43"/>
        <v>1066.4168539256359</v>
      </c>
      <c r="E117" s="14">
        <f t="shared" si="44"/>
        <v>1610.4648690364172</v>
      </c>
      <c r="F117" s="14">
        <f t="shared" si="41"/>
        <v>255395.99692704185</v>
      </c>
    </row>
    <row r="118" spans="1:6" x14ac:dyDescent="0.2">
      <c r="A118" s="13"/>
      <c r="B118" s="14">
        <f t="shared" si="42"/>
        <v>255395.99692704185</v>
      </c>
      <c r="C118" s="14">
        <f t="shared" si="40"/>
        <v>546.3148818404095</v>
      </c>
      <c r="D118" s="14">
        <f t="shared" si="43"/>
        <v>1064.1499871960077</v>
      </c>
      <c r="E118" s="14">
        <f t="shared" si="44"/>
        <v>1610.4648690364172</v>
      </c>
      <c r="F118" s="14">
        <f t="shared" si="41"/>
        <v>254849.68204520145</v>
      </c>
    </row>
    <row r="119" spans="1:6" x14ac:dyDescent="0.2">
      <c r="A119" s="13"/>
      <c r="B119" s="14">
        <f t="shared" si="42"/>
        <v>254849.68204520145</v>
      </c>
      <c r="C119" s="14">
        <f t="shared" si="40"/>
        <v>548.59119384807786</v>
      </c>
      <c r="D119" s="14">
        <f t="shared" si="43"/>
        <v>1061.8736751883393</v>
      </c>
      <c r="E119" s="14">
        <f t="shared" si="44"/>
        <v>1610.4648690364172</v>
      </c>
      <c r="F119" s="14">
        <f t="shared" si="41"/>
        <v>254301.09085135336</v>
      </c>
    </row>
    <row r="120" spans="1:6" x14ac:dyDescent="0.2">
      <c r="A120" s="13"/>
      <c r="B120" s="14">
        <f t="shared" si="42"/>
        <v>254301.09085135336</v>
      </c>
      <c r="C120" s="14">
        <f t="shared" si="40"/>
        <v>550.87699048911145</v>
      </c>
      <c r="D120" s="14">
        <f t="shared" si="43"/>
        <v>1059.5878785473058</v>
      </c>
      <c r="E120" s="14">
        <f t="shared" si="44"/>
        <v>1610.4648690364172</v>
      </c>
      <c r="F120" s="14">
        <f t="shared" si="41"/>
        <v>253750.21386086426</v>
      </c>
    </row>
    <row r="121" spans="1:6" x14ac:dyDescent="0.2">
      <c r="A121" s="13"/>
      <c r="B121" s="14">
        <f t="shared" si="42"/>
        <v>253750.21386086426</v>
      </c>
      <c r="C121" s="14">
        <f t="shared" si="40"/>
        <v>553.17231128281605</v>
      </c>
      <c r="D121" s="14">
        <f t="shared" si="43"/>
        <v>1057.2925577536012</v>
      </c>
      <c r="E121" s="14">
        <f t="shared" si="44"/>
        <v>1610.4648690364172</v>
      </c>
      <c r="F121" s="14">
        <f t="shared" si="41"/>
        <v>253197.04154958145</v>
      </c>
    </row>
    <row r="122" spans="1:6" x14ac:dyDescent="0.2">
      <c r="A122" s="13"/>
      <c r="B122" s="14">
        <f t="shared" si="42"/>
        <v>253197.04154958145</v>
      </c>
      <c r="C122" s="14">
        <f t="shared" si="40"/>
        <v>555.47719591316127</v>
      </c>
      <c r="D122" s="14">
        <f t="shared" si="43"/>
        <v>1054.9876731232559</v>
      </c>
      <c r="E122" s="14">
        <f t="shared" si="44"/>
        <v>1610.4648690364172</v>
      </c>
      <c r="F122" s="14">
        <f t="shared" si="41"/>
        <v>252641.56435366831</v>
      </c>
    </row>
    <row r="123" spans="1:6" x14ac:dyDescent="0.2">
      <c r="A123" s="13"/>
      <c r="B123" s="14">
        <f t="shared" si="42"/>
        <v>252641.56435366831</v>
      </c>
      <c r="C123" s="14">
        <f t="shared" si="40"/>
        <v>557.791684229466</v>
      </c>
      <c r="D123" s="14">
        <f t="shared" si="43"/>
        <v>1052.6731848069512</v>
      </c>
      <c r="E123" s="14">
        <f t="shared" si="44"/>
        <v>1610.4648690364172</v>
      </c>
      <c r="F123" s="14">
        <f t="shared" si="41"/>
        <v>252083.77266943883</v>
      </c>
    </row>
    <row r="124" spans="1:6" x14ac:dyDescent="0.2">
      <c r="A124" s="13"/>
      <c r="B124" s="14">
        <f t="shared" si="42"/>
        <v>252083.77266943883</v>
      </c>
      <c r="C124" s="14">
        <f t="shared" si="40"/>
        <v>560.11581624708879</v>
      </c>
      <c r="D124" s="14">
        <f t="shared" si="43"/>
        <v>1050.3490527893284</v>
      </c>
      <c r="E124" s="14">
        <f t="shared" si="44"/>
        <v>1610.4648690364172</v>
      </c>
      <c r="F124" s="14">
        <f t="shared" si="41"/>
        <v>251523.65685319173</v>
      </c>
    </row>
    <row r="125" spans="1:6" x14ac:dyDescent="0.2">
      <c r="A125" s="13" t="s">
        <v>127</v>
      </c>
      <c r="B125" s="14">
        <f t="shared" si="42"/>
        <v>251523.65685319173</v>
      </c>
      <c r="C125" s="14">
        <f t="shared" si="40"/>
        <v>562.44963214811833</v>
      </c>
      <c r="D125" s="14">
        <f t="shared" si="43"/>
        <v>1048.0152368882989</v>
      </c>
      <c r="E125" s="14">
        <f t="shared" si="44"/>
        <v>1610.4648690364172</v>
      </c>
      <c r="F125" s="15">
        <f t="shared" si="41"/>
        <v>250961.20722104362</v>
      </c>
    </row>
    <row r="126" spans="1:6" x14ac:dyDescent="0.2">
      <c r="A126" s="16" t="s">
        <v>26</v>
      </c>
      <c r="B126" s="7"/>
      <c r="C126" s="15"/>
      <c r="D126" s="15">
        <f>SUM(D114:D125)</f>
        <v>12728.103996498316</v>
      </c>
    </row>
    <row r="128" spans="1:6" x14ac:dyDescent="0.2">
      <c r="A128" s="13" t="s">
        <v>128</v>
      </c>
      <c r="B128" s="14">
        <f>F125</f>
        <v>250961.20722104362</v>
      </c>
      <c r="C128" s="14">
        <f t="shared" ref="C128:C139" si="45">+E128-D128</f>
        <v>564.79317228206878</v>
      </c>
      <c r="D128" s="14">
        <f>+B128*$J$3</f>
        <v>1045.6716967543484</v>
      </c>
      <c r="E128" s="14">
        <f>$J$6</f>
        <v>1610.4648690364172</v>
      </c>
      <c r="F128" s="14">
        <f t="shared" ref="F128:F139" si="46">+B128-C128</f>
        <v>250396.41404876154</v>
      </c>
    </row>
    <row r="129" spans="1:6" x14ac:dyDescent="0.2">
      <c r="A129" s="13"/>
      <c r="B129" s="14">
        <f t="shared" ref="B129:B139" si="47">+F128</f>
        <v>250396.41404876154</v>
      </c>
      <c r="C129" s="14">
        <f t="shared" si="45"/>
        <v>567.1464771665776</v>
      </c>
      <c r="D129" s="14">
        <f>+B129*$J$3</f>
        <v>1043.3183918698396</v>
      </c>
      <c r="E129" s="14">
        <f>$J$6</f>
        <v>1610.4648690364172</v>
      </c>
      <c r="F129" s="14">
        <f t="shared" si="46"/>
        <v>249829.26757159497</v>
      </c>
    </row>
    <row r="130" spans="1:6" x14ac:dyDescent="0.2">
      <c r="A130" s="13"/>
      <c r="B130" s="14">
        <f t="shared" si="47"/>
        <v>249829.26757159497</v>
      </c>
      <c r="C130" s="14">
        <f t="shared" si="45"/>
        <v>569.5095874881049</v>
      </c>
      <c r="D130" s="14">
        <f t="shared" ref="D130:D139" si="48">+B130*$J$3</f>
        <v>1040.9552815483123</v>
      </c>
      <c r="E130" s="14">
        <f t="shared" ref="E130:E139" si="49">$J$6</f>
        <v>1610.4648690364172</v>
      </c>
      <c r="F130" s="14">
        <f t="shared" si="46"/>
        <v>249259.75798410687</v>
      </c>
    </row>
    <row r="131" spans="1:6" x14ac:dyDescent="0.2">
      <c r="A131" s="13"/>
      <c r="B131" s="14">
        <f t="shared" si="47"/>
        <v>249259.75798410687</v>
      </c>
      <c r="C131" s="14">
        <f t="shared" si="45"/>
        <v>571.88254410263858</v>
      </c>
      <c r="D131" s="14">
        <f t="shared" si="48"/>
        <v>1038.5823249337786</v>
      </c>
      <c r="E131" s="14">
        <f t="shared" si="49"/>
        <v>1610.4648690364172</v>
      </c>
      <c r="F131" s="14">
        <f t="shared" si="46"/>
        <v>248687.87544000422</v>
      </c>
    </row>
    <row r="132" spans="1:6" x14ac:dyDescent="0.2">
      <c r="A132" s="13"/>
      <c r="B132" s="14">
        <f t="shared" si="47"/>
        <v>248687.87544000422</v>
      </c>
      <c r="C132" s="14">
        <f t="shared" si="45"/>
        <v>574.2653880363996</v>
      </c>
      <c r="D132" s="14">
        <f t="shared" si="48"/>
        <v>1036.1994810000176</v>
      </c>
      <c r="E132" s="14">
        <f t="shared" si="49"/>
        <v>1610.4648690364172</v>
      </c>
      <c r="F132" s="14">
        <f t="shared" si="46"/>
        <v>248113.61005196781</v>
      </c>
    </row>
    <row r="133" spans="1:6" x14ac:dyDescent="0.2">
      <c r="A133" s="13"/>
      <c r="B133" s="14">
        <f t="shared" si="47"/>
        <v>248113.61005196781</v>
      </c>
      <c r="C133" s="14">
        <f t="shared" si="45"/>
        <v>576.65816048655142</v>
      </c>
      <c r="D133" s="14">
        <f t="shared" si="48"/>
        <v>1033.8067085498658</v>
      </c>
      <c r="E133" s="14">
        <f t="shared" si="49"/>
        <v>1610.4648690364172</v>
      </c>
      <c r="F133" s="14">
        <f t="shared" si="46"/>
        <v>247536.95189148127</v>
      </c>
    </row>
    <row r="134" spans="1:6" x14ac:dyDescent="0.2">
      <c r="A134" s="13"/>
      <c r="B134" s="14">
        <f t="shared" si="47"/>
        <v>247536.95189148127</v>
      </c>
      <c r="C134" s="14">
        <f t="shared" si="45"/>
        <v>579.0609028219119</v>
      </c>
      <c r="D134" s="14">
        <f t="shared" si="48"/>
        <v>1031.4039662145053</v>
      </c>
      <c r="E134" s="14">
        <f t="shared" si="49"/>
        <v>1610.4648690364172</v>
      </c>
      <c r="F134" s="14">
        <f t="shared" si="46"/>
        <v>246957.89098865935</v>
      </c>
    </row>
    <row r="135" spans="1:6" x14ac:dyDescent="0.2">
      <c r="A135" s="13"/>
      <c r="B135" s="14">
        <f t="shared" si="47"/>
        <v>246957.89098865935</v>
      </c>
      <c r="C135" s="14">
        <f t="shared" si="45"/>
        <v>581.47365658366994</v>
      </c>
      <c r="D135" s="14">
        <f t="shared" si="48"/>
        <v>1028.9912124527473</v>
      </c>
      <c r="E135" s="14">
        <f t="shared" si="49"/>
        <v>1610.4648690364172</v>
      </c>
      <c r="F135" s="14">
        <f t="shared" si="46"/>
        <v>246376.41733207568</v>
      </c>
    </row>
    <row r="136" spans="1:6" x14ac:dyDescent="0.2">
      <c r="A136" s="13"/>
      <c r="B136" s="14">
        <f t="shared" si="47"/>
        <v>246376.41733207568</v>
      </c>
      <c r="C136" s="14">
        <f t="shared" si="45"/>
        <v>583.89646348610199</v>
      </c>
      <c r="D136" s="14">
        <f t="shared" si="48"/>
        <v>1026.5684055503152</v>
      </c>
      <c r="E136" s="14">
        <f t="shared" si="49"/>
        <v>1610.4648690364172</v>
      </c>
      <c r="F136" s="14">
        <f t="shared" si="46"/>
        <v>245792.52086858958</v>
      </c>
    </row>
    <row r="137" spans="1:6" x14ac:dyDescent="0.2">
      <c r="A137" s="13"/>
      <c r="B137" s="14">
        <f t="shared" si="47"/>
        <v>245792.52086858958</v>
      </c>
      <c r="C137" s="14">
        <f t="shared" si="45"/>
        <v>586.32936541729396</v>
      </c>
      <c r="D137" s="14">
        <f t="shared" si="48"/>
        <v>1024.1355036191233</v>
      </c>
      <c r="E137" s="14">
        <f t="shared" si="49"/>
        <v>1610.4648690364172</v>
      </c>
      <c r="F137" s="14">
        <f t="shared" si="46"/>
        <v>245206.19150317227</v>
      </c>
    </row>
    <row r="138" spans="1:6" x14ac:dyDescent="0.2">
      <c r="A138" s="13"/>
      <c r="B138" s="14">
        <f t="shared" si="47"/>
        <v>245206.19150317227</v>
      </c>
      <c r="C138" s="14">
        <f t="shared" si="45"/>
        <v>588.77240443986614</v>
      </c>
      <c r="D138" s="14">
        <f t="shared" si="48"/>
        <v>1021.6924645965511</v>
      </c>
      <c r="E138" s="14">
        <f t="shared" si="49"/>
        <v>1610.4648690364172</v>
      </c>
      <c r="F138" s="14">
        <f t="shared" si="46"/>
        <v>244617.41909873241</v>
      </c>
    </row>
    <row r="139" spans="1:6" x14ac:dyDescent="0.2">
      <c r="A139" s="13" t="s">
        <v>129</v>
      </c>
      <c r="B139" s="14">
        <f t="shared" si="47"/>
        <v>244617.41909873241</v>
      </c>
      <c r="C139" s="14">
        <f t="shared" si="45"/>
        <v>591.22562279169881</v>
      </c>
      <c r="D139" s="14">
        <f t="shared" si="48"/>
        <v>1019.2392462447184</v>
      </c>
      <c r="E139" s="14">
        <f t="shared" si="49"/>
        <v>1610.4648690364172</v>
      </c>
      <c r="F139" s="15">
        <f t="shared" si="46"/>
        <v>244026.1934759407</v>
      </c>
    </row>
    <row r="140" spans="1:6" x14ac:dyDescent="0.2">
      <c r="A140" s="16" t="s">
        <v>26</v>
      </c>
      <c r="B140" s="7"/>
      <c r="C140" s="15"/>
      <c r="D140" s="15">
        <f>SUM(D128:D139)</f>
        <v>12390.564683334125</v>
      </c>
    </row>
    <row r="142" spans="1:6" x14ac:dyDescent="0.2">
      <c r="A142" s="13" t="s">
        <v>130</v>
      </c>
      <c r="B142" s="14">
        <f>F139</f>
        <v>244026.1934759407</v>
      </c>
      <c r="C142" s="14">
        <f t="shared" ref="C142:C153" si="50">+E142-D142</f>
        <v>593.68906288666426</v>
      </c>
      <c r="D142" s="14">
        <f>+B142*$J$3</f>
        <v>1016.775806149753</v>
      </c>
      <c r="E142" s="14">
        <f>$J$6</f>
        <v>1610.4648690364172</v>
      </c>
      <c r="F142" s="14">
        <f t="shared" ref="F142:F153" si="51">+B142-C142</f>
        <v>243432.50441305403</v>
      </c>
    </row>
    <row r="143" spans="1:6" x14ac:dyDescent="0.2">
      <c r="A143" s="13"/>
      <c r="B143" s="14">
        <f t="shared" ref="B143:B153" si="52">+F142</f>
        <v>243432.50441305403</v>
      </c>
      <c r="C143" s="14">
        <f t="shared" si="50"/>
        <v>596.16276731535879</v>
      </c>
      <c r="D143" s="14">
        <f>+B143*$J$3</f>
        <v>1014.3021017210584</v>
      </c>
      <c r="E143" s="14">
        <f>$J$6</f>
        <v>1610.4648690364172</v>
      </c>
      <c r="F143" s="14">
        <f t="shared" si="51"/>
        <v>242836.34164573866</v>
      </c>
    </row>
    <row r="144" spans="1:6" x14ac:dyDescent="0.2">
      <c r="A144" s="13"/>
      <c r="B144" s="14">
        <f t="shared" si="52"/>
        <v>242836.34164573866</v>
      </c>
      <c r="C144" s="14">
        <f t="shared" si="50"/>
        <v>598.64677884583944</v>
      </c>
      <c r="D144" s="14">
        <f t="shared" ref="D144:D153" si="53">+B144*$J$3</f>
        <v>1011.8180901905778</v>
      </c>
      <c r="E144" s="14">
        <f t="shared" ref="E144:E153" si="54">$J$6</f>
        <v>1610.4648690364172</v>
      </c>
      <c r="F144" s="14">
        <f t="shared" si="51"/>
        <v>242237.69486689282</v>
      </c>
    </row>
    <row r="145" spans="1:6" x14ac:dyDescent="0.2">
      <c r="A145" s="13"/>
      <c r="B145" s="14">
        <f t="shared" si="52"/>
        <v>242237.69486689282</v>
      </c>
      <c r="C145" s="14">
        <f t="shared" si="50"/>
        <v>601.14114042436381</v>
      </c>
      <c r="D145" s="14">
        <f t="shared" si="53"/>
        <v>1009.3237286120534</v>
      </c>
      <c r="E145" s="14">
        <f t="shared" si="54"/>
        <v>1610.4648690364172</v>
      </c>
      <c r="F145" s="14">
        <f t="shared" si="51"/>
        <v>241636.55372646847</v>
      </c>
    </row>
    <row r="146" spans="1:6" x14ac:dyDescent="0.2">
      <c r="A146" s="13"/>
      <c r="B146" s="14">
        <f t="shared" si="52"/>
        <v>241636.55372646847</v>
      </c>
      <c r="C146" s="14">
        <f t="shared" si="50"/>
        <v>603.64589517613194</v>
      </c>
      <c r="D146" s="14">
        <f t="shared" si="53"/>
        <v>1006.8189738602853</v>
      </c>
      <c r="E146" s="14">
        <f t="shared" si="54"/>
        <v>1610.4648690364172</v>
      </c>
      <c r="F146" s="14">
        <f t="shared" si="51"/>
        <v>241032.90783129234</v>
      </c>
    </row>
    <row r="147" spans="1:6" x14ac:dyDescent="0.2">
      <c r="A147" s="13"/>
      <c r="B147" s="14">
        <f t="shared" si="52"/>
        <v>241032.90783129234</v>
      </c>
      <c r="C147" s="14">
        <f t="shared" si="50"/>
        <v>606.1610864060325</v>
      </c>
      <c r="D147" s="14">
        <f t="shared" si="53"/>
        <v>1004.3037826303847</v>
      </c>
      <c r="E147" s="14">
        <f t="shared" si="54"/>
        <v>1610.4648690364172</v>
      </c>
      <c r="F147" s="14">
        <f t="shared" si="51"/>
        <v>240426.7467448863</v>
      </c>
    </row>
    <row r="148" spans="1:6" x14ac:dyDescent="0.2">
      <c r="A148" s="13"/>
      <c r="B148" s="14">
        <f t="shared" si="52"/>
        <v>240426.7467448863</v>
      </c>
      <c r="C148" s="14">
        <f t="shared" si="50"/>
        <v>608.68675759939094</v>
      </c>
      <c r="D148" s="14">
        <f t="shared" si="53"/>
        <v>1001.7781114370263</v>
      </c>
      <c r="E148" s="14">
        <f t="shared" si="54"/>
        <v>1610.4648690364172</v>
      </c>
      <c r="F148" s="14">
        <f t="shared" si="51"/>
        <v>239818.05998728692</v>
      </c>
    </row>
    <row r="149" spans="1:6" x14ac:dyDescent="0.2">
      <c r="A149" s="13"/>
      <c r="B149" s="14">
        <f t="shared" si="52"/>
        <v>239818.05998728692</v>
      </c>
      <c r="C149" s="14">
        <f t="shared" si="50"/>
        <v>611.22295242272173</v>
      </c>
      <c r="D149" s="14">
        <f t="shared" si="53"/>
        <v>999.24191661369548</v>
      </c>
      <c r="E149" s="14">
        <f t="shared" si="54"/>
        <v>1610.4648690364172</v>
      </c>
      <c r="F149" s="14">
        <f t="shared" si="51"/>
        <v>239206.83703486421</v>
      </c>
    </row>
    <row r="150" spans="1:6" x14ac:dyDescent="0.2">
      <c r="A150" s="13"/>
      <c r="B150" s="14">
        <f t="shared" si="52"/>
        <v>239206.83703486421</v>
      </c>
      <c r="C150" s="14">
        <f t="shared" si="50"/>
        <v>613.76971472448304</v>
      </c>
      <c r="D150" s="14">
        <f t="shared" si="53"/>
        <v>996.69515431193417</v>
      </c>
      <c r="E150" s="14">
        <f t="shared" si="54"/>
        <v>1610.4648690364172</v>
      </c>
      <c r="F150" s="14">
        <f t="shared" si="51"/>
        <v>238593.06732013973</v>
      </c>
    </row>
    <row r="151" spans="1:6" x14ac:dyDescent="0.2">
      <c r="A151" s="13"/>
      <c r="B151" s="14">
        <f t="shared" si="52"/>
        <v>238593.06732013973</v>
      </c>
      <c r="C151" s="14">
        <f t="shared" si="50"/>
        <v>616.32708853583506</v>
      </c>
      <c r="D151" s="14">
        <f t="shared" si="53"/>
        <v>994.13778050058215</v>
      </c>
      <c r="E151" s="14">
        <f t="shared" si="54"/>
        <v>1610.4648690364172</v>
      </c>
      <c r="F151" s="14">
        <f t="shared" si="51"/>
        <v>237976.74023160391</v>
      </c>
    </row>
    <row r="152" spans="1:6" x14ac:dyDescent="0.2">
      <c r="A152" s="13"/>
      <c r="B152" s="14">
        <f t="shared" si="52"/>
        <v>237976.74023160391</v>
      </c>
      <c r="C152" s="14">
        <f t="shared" si="50"/>
        <v>618.89511807140093</v>
      </c>
      <c r="D152" s="14">
        <f t="shared" si="53"/>
        <v>991.56975096501628</v>
      </c>
      <c r="E152" s="14">
        <f t="shared" si="54"/>
        <v>1610.4648690364172</v>
      </c>
      <c r="F152" s="14">
        <f t="shared" si="51"/>
        <v>237357.8451135325</v>
      </c>
    </row>
    <row r="153" spans="1:6" x14ac:dyDescent="0.2">
      <c r="A153" s="13" t="s">
        <v>131</v>
      </c>
      <c r="B153" s="14">
        <f t="shared" si="52"/>
        <v>237357.8451135325</v>
      </c>
      <c r="C153" s="14">
        <f t="shared" si="50"/>
        <v>621.47384773003182</v>
      </c>
      <c r="D153" s="14">
        <f t="shared" si="53"/>
        <v>988.99102130638539</v>
      </c>
      <c r="E153" s="14">
        <f t="shared" si="54"/>
        <v>1610.4648690364172</v>
      </c>
      <c r="F153" s="15">
        <f t="shared" si="51"/>
        <v>236736.37126580247</v>
      </c>
    </row>
    <row r="154" spans="1:6" x14ac:dyDescent="0.2">
      <c r="A154" s="16" t="s">
        <v>26</v>
      </c>
      <c r="B154" s="7"/>
      <c r="C154" s="15"/>
      <c r="D154" s="15">
        <f>SUM(D142:D153)</f>
        <v>12035.756218298751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Realistic Model (1)</vt:lpstr>
      <vt:lpstr>Optimistic Model (2)</vt:lpstr>
      <vt:lpstr>Bankrupcy Forcast (3)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2013-12-20T15:44:21Z</dcterms:created>
  <dcterms:modified xsi:type="dcterms:W3CDTF">2019-07-31T21:36:47Z</dcterms:modified>
</cp:coreProperties>
</file>