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15600" windowHeight="9240" tabRatio="500"/>
  </bookViews>
  <sheets>
    <sheet name="Group Case" sheetId="1" r:id="rId1"/>
    <sheet name="Mortgage" sheetId="2" r:id="rId2"/>
    <sheet name="Bad Option" sheetId="4" r:id="rId3"/>
    <sheet name="Good Option" sheetId="5" r:id="rId4"/>
    <sheet name="Failure" sheetId="6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I2" i="2"/>
  <c r="I4" i="2"/>
  <c r="I8" i="2"/>
  <c r="E2" i="2"/>
  <c r="D2" i="2"/>
  <c r="C2" i="2"/>
  <c r="F2" i="2"/>
  <c r="E3" i="2"/>
  <c r="B3" i="2"/>
  <c r="D3" i="2"/>
  <c r="C3" i="2"/>
  <c r="F3" i="2"/>
  <c r="E4" i="2"/>
  <c r="B4" i="2"/>
  <c r="D4" i="2"/>
  <c r="C4" i="2"/>
  <c r="F4" i="2"/>
  <c r="E5" i="2"/>
  <c r="B5" i="2"/>
  <c r="D5" i="2"/>
  <c r="C5" i="2"/>
  <c r="F5" i="2"/>
  <c r="E6" i="2"/>
  <c r="B6" i="2"/>
  <c r="D6" i="2"/>
  <c r="C6" i="2"/>
  <c r="F6" i="2"/>
  <c r="E7" i="2"/>
  <c r="B7" i="2"/>
  <c r="D7" i="2"/>
  <c r="C7" i="2"/>
  <c r="F7" i="2"/>
  <c r="E8" i="2"/>
  <c r="B8" i="2"/>
  <c r="D8" i="2"/>
  <c r="C8" i="2"/>
  <c r="F8" i="2"/>
  <c r="E9" i="2"/>
  <c r="B9" i="2"/>
  <c r="D9" i="2"/>
  <c r="C9" i="2"/>
  <c r="F9" i="2"/>
  <c r="E10" i="2"/>
  <c r="B10" i="2"/>
  <c r="D10" i="2"/>
  <c r="C10" i="2"/>
  <c r="F10" i="2"/>
  <c r="E11" i="2"/>
  <c r="B11" i="2"/>
  <c r="D11" i="2"/>
  <c r="C11" i="2"/>
  <c r="F11" i="2"/>
  <c r="E12" i="2"/>
  <c r="B12" i="2"/>
  <c r="D12" i="2"/>
  <c r="C12" i="2"/>
  <c r="F12" i="2"/>
  <c r="E13" i="2"/>
  <c r="B13" i="2"/>
  <c r="D13" i="2"/>
  <c r="C13" i="2"/>
  <c r="F13" i="2"/>
  <c r="D63" i="1"/>
  <c r="E16" i="2"/>
  <c r="B16" i="2"/>
  <c r="D16" i="2"/>
  <c r="C16" i="2"/>
  <c r="F16" i="2"/>
  <c r="E17" i="2"/>
  <c r="B17" i="2"/>
  <c r="D17" i="2"/>
  <c r="C17" i="2"/>
  <c r="F17" i="2"/>
  <c r="E18" i="2"/>
  <c r="B18" i="2"/>
  <c r="D18" i="2"/>
  <c r="C18" i="2"/>
  <c r="F18" i="2"/>
  <c r="E19" i="2"/>
  <c r="B19" i="2"/>
  <c r="D19" i="2"/>
  <c r="C19" i="2"/>
  <c r="F19" i="2"/>
  <c r="E20" i="2"/>
  <c r="B20" i="2"/>
  <c r="D20" i="2"/>
  <c r="C20" i="2"/>
  <c r="F20" i="2"/>
  <c r="E21" i="2"/>
  <c r="B21" i="2"/>
  <c r="D21" i="2"/>
  <c r="C21" i="2"/>
  <c r="F21" i="2"/>
  <c r="E22" i="2"/>
  <c r="B22" i="2"/>
  <c r="D22" i="2"/>
  <c r="C22" i="2"/>
  <c r="F22" i="2"/>
  <c r="E23" i="2"/>
  <c r="B23" i="2"/>
  <c r="D23" i="2"/>
  <c r="C23" i="2"/>
  <c r="F23" i="2"/>
  <c r="E24" i="2"/>
  <c r="B24" i="2"/>
  <c r="D24" i="2"/>
  <c r="C24" i="2"/>
  <c r="F24" i="2"/>
  <c r="E25" i="2"/>
  <c r="B25" i="2"/>
  <c r="D25" i="2"/>
  <c r="C25" i="2"/>
  <c r="F25" i="2"/>
  <c r="E26" i="2"/>
  <c r="B26" i="2"/>
  <c r="D26" i="2"/>
  <c r="C26" i="2"/>
  <c r="F26" i="2"/>
  <c r="E27" i="2"/>
  <c r="B27" i="2"/>
  <c r="D27" i="2"/>
  <c r="C27" i="2"/>
  <c r="F27" i="2"/>
  <c r="E63" i="1"/>
  <c r="E30" i="2"/>
  <c r="B30" i="2"/>
  <c r="D30" i="2"/>
  <c r="C30" i="2"/>
  <c r="F30" i="2"/>
  <c r="E31" i="2"/>
  <c r="B31" i="2"/>
  <c r="D31" i="2"/>
  <c r="C31" i="2"/>
  <c r="F31" i="2"/>
  <c r="E32" i="2"/>
  <c r="B32" i="2"/>
  <c r="D32" i="2"/>
  <c r="C32" i="2"/>
  <c r="F32" i="2"/>
  <c r="E33" i="2"/>
  <c r="B33" i="2"/>
  <c r="D33" i="2"/>
  <c r="C33" i="2"/>
  <c r="F33" i="2"/>
  <c r="E34" i="2"/>
  <c r="B34" i="2"/>
  <c r="D34" i="2"/>
  <c r="C34" i="2"/>
  <c r="F34" i="2"/>
  <c r="E35" i="2"/>
  <c r="B35" i="2"/>
  <c r="D35" i="2"/>
  <c r="C35" i="2"/>
  <c r="F35" i="2"/>
  <c r="E36" i="2"/>
  <c r="B36" i="2"/>
  <c r="D36" i="2"/>
  <c r="C36" i="2"/>
  <c r="F36" i="2"/>
  <c r="E37" i="2"/>
  <c r="B37" i="2"/>
  <c r="D37" i="2"/>
  <c r="C37" i="2"/>
  <c r="F37" i="2"/>
  <c r="E38" i="2"/>
  <c r="B38" i="2"/>
  <c r="D38" i="2"/>
  <c r="C38" i="2"/>
  <c r="F38" i="2"/>
  <c r="E39" i="2"/>
  <c r="B39" i="2"/>
  <c r="D39" i="2"/>
  <c r="C39" i="2"/>
  <c r="F39" i="2"/>
  <c r="E40" i="2"/>
  <c r="B40" i="2"/>
  <c r="D40" i="2"/>
  <c r="C40" i="2"/>
  <c r="F40" i="2"/>
  <c r="E41" i="2"/>
  <c r="B41" i="2"/>
  <c r="D41" i="2"/>
  <c r="C41" i="2"/>
  <c r="F41" i="2"/>
  <c r="F63" i="1"/>
  <c r="E44" i="2"/>
  <c r="B44" i="2"/>
  <c r="D44" i="2"/>
  <c r="C44" i="2"/>
  <c r="F44" i="2"/>
  <c r="E45" i="2"/>
  <c r="B45" i="2"/>
  <c r="D45" i="2"/>
  <c r="C45" i="2"/>
  <c r="F45" i="2"/>
  <c r="E46" i="2"/>
  <c r="B46" i="2"/>
  <c r="D46" i="2"/>
  <c r="C46" i="2"/>
  <c r="F46" i="2"/>
  <c r="E47" i="2"/>
  <c r="B47" i="2"/>
  <c r="D47" i="2"/>
  <c r="C47" i="2"/>
  <c r="F47" i="2"/>
  <c r="E48" i="2"/>
  <c r="B48" i="2"/>
  <c r="D48" i="2"/>
  <c r="C48" i="2"/>
  <c r="F48" i="2"/>
  <c r="E49" i="2"/>
  <c r="B49" i="2"/>
  <c r="D49" i="2"/>
  <c r="C49" i="2"/>
  <c r="F49" i="2"/>
  <c r="E50" i="2"/>
  <c r="B50" i="2"/>
  <c r="D50" i="2"/>
  <c r="C50" i="2"/>
  <c r="F50" i="2"/>
  <c r="E51" i="2"/>
  <c r="B51" i="2"/>
  <c r="D51" i="2"/>
  <c r="C51" i="2"/>
  <c r="F51" i="2"/>
  <c r="E52" i="2"/>
  <c r="B52" i="2"/>
  <c r="D52" i="2"/>
  <c r="C52" i="2"/>
  <c r="F52" i="2"/>
  <c r="E53" i="2"/>
  <c r="B53" i="2"/>
  <c r="D53" i="2"/>
  <c r="C53" i="2"/>
  <c r="F53" i="2"/>
  <c r="E54" i="2"/>
  <c r="B54" i="2"/>
  <c r="D54" i="2"/>
  <c r="C54" i="2"/>
  <c r="F54" i="2"/>
  <c r="E55" i="2"/>
  <c r="B55" i="2"/>
  <c r="D55" i="2"/>
  <c r="C55" i="2"/>
  <c r="F55" i="2"/>
  <c r="G63" i="1"/>
  <c r="E58" i="2"/>
  <c r="B58" i="2"/>
  <c r="D58" i="2"/>
  <c r="C58" i="2"/>
  <c r="F58" i="2"/>
  <c r="E59" i="2"/>
  <c r="B59" i="2"/>
  <c r="D59" i="2"/>
  <c r="C59" i="2"/>
  <c r="F59" i="2"/>
  <c r="E60" i="2"/>
  <c r="B60" i="2"/>
  <c r="D60" i="2"/>
  <c r="C60" i="2"/>
  <c r="F60" i="2"/>
  <c r="E61" i="2"/>
  <c r="B61" i="2"/>
  <c r="D61" i="2"/>
  <c r="C61" i="2"/>
  <c r="F61" i="2"/>
  <c r="E62" i="2"/>
  <c r="B62" i="2"/>
  <c r="D62" i="2"/>
  <c r="C62" i="2"/>
  <c r="F62" i="2"/>
  <c r="E63" i="2"/>
  <c r="B63" i="2"/>
  <c r="D63" i="2"/>
  <c r="C63" i="2"/>
  <c r="F63" i="2"/>
  <c r="E64" i="2"/>
  <c r="B64" i="2"/>
  <c r="D64" i="2"/>
  <c r="C64" i="2"/>
  <c r="F64" i="2"/>
  <c r="E65" i="2"/>
  <c r="B65" i="2"/>
  <c r="D65" i="2"/>
  <c r="C65" i="2"/>
  <c r="F65" i="2"/>
  <c r="E66" i="2"/>
  <c r="B66" i="2"/>
  <c r="D66" i="2"/>
  <c r="C66" i="2"/>
  <c r="F66" i="2"/>
  <c r="E67" i="2"/>
  <c r="B67" i="2"/>
  <c r="D67" i="2"/>
  <c r="C67" i="2"/>
  <c r="F67" i="2"/>
  <c r="E68" i="2"/>
  <c r="B68" i="2"/>
  <c r="D68" i="2"/>
  <c r="C68" i="2"/>
  <c r="F68" i="2"/>
  <c r="E69" i="2"/>
  <c r="B69" i="2"/>
  <c r="D69" i="2"/>
  <c r="C69" i="2"/>
  <c r="F69" i="2"/>
  <c r="H63" i="1"/>
  <c r="E72" i="2"/>
  <c r="B72" i="2"/>
  <c r="D72" i="2"/>
  <c r="C72" i="2"/>
  <c r="F72" i="2"/>
  <c r="E73" i="2"/>
  <c r="B73" i="2"/>
  <c r="D73" i="2"/>
  <c r="C73" i="2"/>
  <c r="F73" i="2"/>
  <c r="E74" i="2"/>
  <c r="B74" i="2"/>
  <c r="D74" i="2"/>
  <c r="C74" i="2"/>
  <c r="F74" i="2"/>
  <c r="E75" i="2"/>
  <c r="B75" i="2"/>
  <c r="D75" i="2"/>
  <c r="C75" i="2"/>
  <c r="F75" i="2"/>
  <c r="E76" i="2"/>
  <c r="B76" i="2"/>
  <c r="D76" i="2"/>
  <c r="C76" i="2"/>
  <c r="F76" i="2"/>
  <c r="E77" i="2"/>
  <c r="B77" i="2"/>
  <c r="D77" i="2"/>
  <c r="C77" i="2"/>
  <c r="F77" i="2"/>
  <c r="E78" i="2"/>
  <c r="B78" i="2"/>
  <c r="D78" i="2"/>
  <c r="C78" i="2"/>
  <c r="F78" i="2"/>
  <c r="E79" i="2"/>
  <c r="B79" i="2"/>
  <c r="D79" i="2"/>
  <c r="C79" i="2"/>
  <c r="F79" i="2"/>
  <c r="E80" i="2"/>
  <c r="B80" i="2"/>
  <c r="D80" i="2"/>
  <c r="C80" i="2"/>
  <c r="F80" i="2"/>
  <c r="E81" i="2"/>
  <c r="B81" i="2"/>
  <c r="D81" i="2"/>
  <c r="C81" i="2"/>
  <c r="F81" i="2"/>
  <c r="E82" i="2"/>
  <c r="B82" i="2"/>
  <c r="D82" i="2"/>
  <c r="C82" i="2"/>
  <c r="F82" i="2"/>
  <c r="E83" i="2"/>
  <c r="B83" i="2"/>
  <c r="D83" i="2"/>
  <c r="C83" i="2"/>
  <c r="F83" i="2"/>
  <c r="I63" i="1"/>
  <c r="E86" i="2"/>
  <c r="B86" i="2"/>
  <c r="D86" i="2"/>
  <c r="C86" i="2"/>
  <c r="F86" i="2"/>
  <c r="E87" i="2"/>
  <c r="B87" i="2"/>
  <c r="D87" i="2"/>
  <c r="C87" i="2"/>
  <c r="F87" i="2"/>
  <c r="E88" i="2"/>
  <c r="B88" i="2"/>
  <c r="D88" i="2"/>
  <c r="C88" i="2"/>
  <c r="F88" i="2"/>
  <c r="E89" i="2"/>
  <c r="B89" i="2"/>
  <c r="D89" i="2"/>
  <c r="C89" i="2"/>
  <c r="F89" i="2"/>
  <c r="E90" i="2"/>
  <c r="B90" i="2"/>
  <c r="D90" i="2"/>
  <c r="C90" i="2"/>
  <c r="F90" i="2"/>
  <c r="E91" i="2"/>
  <c r="B91" i="2"/>
  <c r="D91" i="2"/>
  <c r="C91" i="2"/>
  <c r="F91" i="2"/>
  <c r="E92" i="2"/>
  <c r="B92" i="2"/>
  <c r="D92" i="2"/>
  <c r="C92" i="2"/>
  <c r="F92" i="2"/>
  <c r="E93" i="2"/>
  <c r="B93" i="2"/>
  <c r="D93" i="2"/>
  <c r="C93" i="2"/>
  <c r="F93" i="2"/>
  <c r="E94" i="2"/>
  <c r="B94" i="2"/>
  <c r="D94" i="2"/>
  <c r="C94" i="2"/>
  <c r="F94" i="2"/>
  <c r="E95" i="2"/>
  <c r="B95" i="2"/>
  <c r="D95" i="2"/>
  <c r="C95" i="2"/>
  <c r="F95" i="2"/>
  <c r="E96" i="2"/>
  <c r="B96" i="2"/>
  <c r="D96" i="2"/>
  <c r="C96" i="2"/>
  <c r="F96" i="2"/>
  <c r="E97" i="2"/>
  <c r="B97" i="2"/>
  <c r="D97" i="2"/>
  <c r="C97" i="2"/>
  <c r="F97" i="2"/>
  <c r="J63" i="1"/>
  <c r="E100" i="2"/>
  <c r="B100" i="2"/>
  <c r="D100" i="2"/>
  <c r="C100" i="2"/>
  <c r="F100" i="2"/>
  <c r="E101" i="2"/>
  <c r="B101" i="2"/>
  <c r="D101" i="2"/>
  <c r="C101" i="2"/>
  <c r="F101" i="2"/>
  <c r="E102" i="2"/>
  <c r="B102" i="2"/>
  <c r="D102" i="2"/>
  <c r="C102" i="2"/>
  <c r="F102" i="2"/>
  <c r="E103" i="2"/>
  <c r="B103" i="2"/>
  <c r="D103" i="2"/>
  <c r="C103" i="2"/>
  <c r="F103" i="2"/>
  <c r="E104" i="2"/>
  <c r="B104" i="2"/>
  <c r="D104" i="2"/>
  <c r="C104" i="2"/>
  <c r="F104" i="2"/>
  <c r="E105" i="2"/>
  <c r="B105" i="2"/>
  <c r="D105" i="2"/>
  <c r="C105" i="2"/>
  <c r="F105" i="2"/>
  <c r="E106" i="2"/>
  <c r="B106" i="2"/>
  <c r="D106" i="2"/>
  <c r="C106" i="2"/>
  <c r="F106" i="2"/>
  <c r="E107" i="2"/>
  <c r="B107" i="2"/>
  <c r="D107" i="2"/>
  <c r="C107" i="2"/>
  <c r="F107" i="2"/>
  <c r="E108" i="2"/>
  <c r="B108" i="2"/>
  <c r="D108" i="2"/>
  <c r="C108" i="2"/>
  <c r="F108" i="2"/>
  <c r="E109" i="2"/>
  <c r="B109" i="2"/>
  <c r="D109" i="2"/>
  <c r="C109" i="2"/>
  <c r="F109" i="2"/>
  <c r="E110" i="2"/>
  <c r="B110" i="2"/>
  <c r="D110" i="2"/>
  <c r="C110" i="2"/>
  <c r="F110" i="2"/>
  <c r="E111" i="2"/>
  <c r="B111" i="2"/>
  <c r="D111" i="2"/>
  <c r="C111" i="2"/>
  <c r="F111" i="2"/>
  <c r="K63" i="1"/>
  <c r="E114" i="2"/>
  <c r="B114" i="2"/>
  <c r="D114" i="2"/>
  <c r="C114" i="2"/>
  <c r="F114" i="2"/>
  <c r="E115" i="2"/>
  <c r="B115" i="2"/>
  <c r="D115" i="2"/>
  <c r="C115" i="2"/>
  <c r="F115" i="2"/>
  <c r="E116" i="2"/>
  <c r="B116" i="2"/>
  <c r="D116" i="2"/>
  <c r="C116" i="2"/>
  <c r="F116" i="2"/>
  <c r="E117" i="2"/>
  <c r="B117" i="2"/>
  <c r="D117" i="2"/>
  <c r="C117" i="2"/>
  <c r="F117" i="2"/>
  <c r="E118" i="2"/>
  <c r="B118" i="2"/>
  <c r="D118" i="2"/>
  <c r="C118" i="2"/>
  <c r="F118" i="2"/>
  <c r="E119" i="2"/>
  <c r="B119" i="2"/>
  <c r="D119" i="2"/>
  <c r="C119" i="2"/>
  <c r="F119" i="2"/>
  <c r="E120" i="2"/>
  <c r="B120" i="2"/>
  <c r="D120" i="2"/>
  <c r="C120" i="2"/>
  <c r="F120" i="2"/>
  <c r="E121" i="2"/>
  <c r="B121" i="2"/>
  <c r="D121" i="2"/>
  <c r="C121" i="2"/>
  <c r="F121" i="2"/>
  <c r="E122" i="2"/>
  <c r="B122" i="2"/>
  <c r="D122" i="2"/>
  <c r="C122" i="2"/>
  <c r="F122" i="2"/>
  <c r="E123" i="2"/>
  <c r="B123" i="2"/>
  <c r="D123" i="2"/>
  <c r="C123" i="2"/>
  <c r="F123" i="2"/>
  <c r="E124" i="2"/>
  <c r="B124" i="2"/>
  <c r="D124" i="2"/>
  <c r="C124" i="2"/>
  <c r="F124" i="2"/>
  <c r="E125" i="2"/>
  <c r="B125" i="2"/>
  <c r="D125" i="2"/>
  <c r="C125" i="2"/>
  <c r="F125" i="2"/>
  <c r="L63" i="1"/>
  <c r="E128" i="2"/>
  <c r="B128" i="2"/>
  <c r="D128" i="2"/>
  <c r="C128" i="2"/>
  <c r="F128" i="2"/>
  <c r="E129" i="2"/>
  <c r="B129" i="2"/>
  <c r="D129" i="2"/>
  <c r="C129" i="2"/>
  <c r="F129" i="2"/>
  <c r="E130" i="2"/>
  <c r="B130" i="2"/>
  <c r="D130" i="2"/>
  <c r="C130" i="2"/>
  <c r="F130" i="2"/>
  <c r="E131" i="2"/>
  <c r="B131" i="2"/>
  <c r="D131" i="2"/>
  <c r="C131" i="2"/>
  <c r="F131" i="2"/>
  <c r="E132" i="2"/>
  <c r="B132" i="2"/>
  <c r="D132" i="2"/>
  <c r="C132" i="2"/>
  <c r="F132" i="2"/>
  <c r="E133" i="2"/>
  <c r="B133" i="2"/>
  <c r="D133" i="2"/>
  <c r="C133" i="2"/>
  <c r="F133" i="2"/>
  <c r="E134" i="2"/>
  <c r="B134" i="2"/>
  <c r="D134" i="2"/>
  <c r="C134" i="2"/>
  <c r="F134" i="2"/>
  <c r="E135" i="2"/>
  <c r="B135" i="2"/>
  <c r="D135" i="2"/>
  <c r="C135" i="2"/>
  <c r="F135" i="2"/>
  <c r="E136" i="2"/>
  <c r="B136" i="2"/>
  <c r="D136" i="2"/>
  <c r="C136" i="2"/>
  <c r="F136" i="2"/>
  <c r="E137" i="2"/>
  <c r="B137" i="2"/>
  <c r="D137" i="2"/>
  <c r="C137" i="2"/>
  <c r="F137" i="2"/>
  <c r="E138" i="2"/>
  <c r="B138" i="2"/>
  <c r="D138" i="2"/>
  <c r="C138" i="2"/>
  <c r="F138" i="2"/>
  <c r="E139" i="2"/>
  <c r="B139" i="2"/>
  <c r="D139" i="2"/>
  <c r="C139" i="2"/>
  <c r="F139" i="2"/>
  <c r="M63" i="1"/>
  <c r="O63" i="1"/>
  <c r="O64" i="1"/>
  <c r="O67" i="1"/>
  <c r="D11" i="1"/>
  <c r="D23" i="1"/>
  <c r="D10" i="1"/>
  <c r="D22" i="1"/>
  <c r="D24" i="1"/>
  <c r="D28" i="1"/>
  <c r="D30" i="1"/>
  <c r="D51" i="1"/>
  <c r="D33" i="1"/>
  <c r="D34" i="1"/>
  <c r="D14" i="2"/>
  <c r="D36" i="1"/>
  <c r="D37" i="1"/>
  <c r="C18" i="1"/>
  <c r="D29" i="1"/>
  <c r="D39" i="1"/>
  <c r="D40" i="1"/>
  <c r="D41" i="1"/>
  <c r="D68" i="1"/>
  <c r="E11" i="1"/>
  <c r="E8" i="1"/>
  <c r="E23" i="1"/>
  <c r="E10" i="1"/>
  <c r="E9" i="1"/>
  <c r="E22" i="1"/>
  <c r="E24" i="1"/>
  <c r="E27" i="1"/>
  <c r="E7" i="1"/>
  <c r="E28" i="1"/>
  <c r="E12" i="1"/>
  <c r="E30" i="1"/>
  <c r="E51" i="1"/>
  <c r="E33" i="1"/>
  <c r="E34" i="1"/>
  <c r="D28" i="2"/>
  <c r="E36" i="1"/>
  <c r="E37" i="1"/>
  <c r="E29" i="1"/>
  <c r="E39" i="1"/>
  <c r="E40" i="1"/>
  <c r="E41" i="1"/>
  <c r="E68" i="1"/>
  <c r="F11" i="1"/>
  <c r="F8" i="1"/>
  <c r="F23" i="1"/>
  <c r="F10" i="1"/>
  <c r="F9" i="1"/>
  <c r="F22" i="1"/>
  <c r="F24" i="1"/>
  <c r="F27" i="1"/>
  <c r="F7" i="1"/>
  <c r="F28" i="1"/>
  <c r="F12" i="1"/>
  <c r="F30" i="1"/>
  <c r="F51" i="1"/>
  <c r="F33" i="1"/>
  <c r="F34" i="1"/>
  <c r="D42" i="2"/>
  <c r="F36" i="1"/>
  <c r="F37" i="1"/>
  <c r="F29" i="1"/>
  <c r="F39" i="1"/>
  <c r="F40" i="1"/>
  <c r="F41" i="1"/>
  <c r="F68" i="1"/>
  <c r="G11" i="1"/>
  <c r="G8" i="1"/>
  <c r="G23" i="1"/>
  <c r="G10" i="1"/>
  <c r="G9" i="1"/>
  <c r="G22" i="1"/>
  <c r="G24" i="1"/>
  <c r="G27" i="1"/>
  <c r="G7" i="1"/>
  <c r="G28" i="1"/>
  <c r="G12" i="1"/>
  <c r="G30" i="1"/>
  <c r="G51" i="1"/>
  <c r="G33" i="1"/>
  <c r="G34" i="1"/>
  <c r="D56" i="2"/>
  <c r="G36" i="1"/>
  <c r="G37" i="1"/>
  <c r="G29" i="1"/>
  <c r="G39" i="1"/>
  <c r="G40" i="1"/>
  <c r="G41" i="1"/>
  <c r="G68" i="1"/>
  <c r="H11" i="1"/>
  <c r="H8" i="1"/>
  <c r="H23" i="1"/>
  <c r="H10" i="1"/>
  <c r="H9" i="1"/>
  <c r="H22" i="1"/>
  <c r="H24" i="1"/>
  <c r="H27" i="1"/>
  <c r="H7" i="1"/>
  <c r="H28" i="1"/>
  <c r="H12" i="1"/>
  <c r="H30" i="1"/>
  <c r="H51" i="1"/>
  <c r="H33" i="1"/>
  <c r="H34" i="1"/>
  <c r="D70" i="2"/>
  <c r="H36" i="1"/>
  <c r="H37" i="1"/>
  <c r="H29" i="1"/>
  <c r="H39" i="1"/>
  <c r="H40" i="1"/>
  <c r="H41" i="1"/>
  <c r="H68" i="1"/>
  <c r="I11" i="1"/>
  <c r="I8" i="1"/>
  <c r="I23" i="1"/>
  <c r="I10" i="1"/>
  <c r="I9" i="1"/>
  <c r="I22" i="1"/>
  <c r="I24" i="1"/>
  <c r="I27" i="1"/>
  <c r="I7" i="1"/>
  <c r="I28" i="1"/>
  <c r="I12" i="1"/>
  <c r="I30" i="1"/>
  <c r="I51" i="1"/>
  <c r="I33" i="1"/>
  <c r="I34" i="1"/>
  <c r="D84" i="2"/>
  <c r="I36" i="1"/>
  <c r="I37" i="1"/>
  <c r="I29" i="1"/>
  <c r="I39" i="1"/>
  <c r="I40" i="1"/>
  <c r="I41" i="1"/>
  <c r="I68" i="1"/>
  <c r="J11" i="1"/>
  <c r="J8" i="1"/>
  <c r="J23" i="1"/>
  <c r="J10" i="1"/>
  <c r="J9" i="1"/>
  <c r="J22" i="1"/>
  <c r="J24" i="1"/>
  <c r="J27" i="1"/>
  <c r="J7" i="1"/>
  <c r="J28" i="1"/>
  <c r="J12" i="1"/>
  <c r="J30" i="1"/>
  <c r="J51" i="1"/>
  <c r="J33" i="1"/>
  <c r="J34" i="1"/>
  <c r="D98" i="2"/>
  <c r="J36" i="1"/>
  <c r="J37" i="1"/>
  <c r="J29" i="1"/>
  <c r="J39" i="1"/>
  <c r="J40" i="1"/>
  <c r="J41" i="1"/>
  <c r="J68" i="1"/>
  <c r="K11" i="1"/>
  <c r="K8" i="1"/>
  <c r="K23" i="1"/>
  <c r="K10" i="1"/>
  <c r="K9" i="1"/>
  <c r="K22" i="1"/>
  <c r="K24" i="1"/>
  <c r="K27" i="1"/>
  <c r="K7" i="1"/>
  <c r="K28" i="1"/>
  <c r="K12" i="1"/>
  <c r="K30" i="1"/>
  <c r="K51" i="1"/>
  <c r="K33" i="1"/>
  <c r="K34" i="1"/>
  <c r="D112" i="2"/>
  <c r="K36" i="1"/>
  <c r="K37" i="1"/>
  <c r="K29" i="1"/>
  <c r="K39" i="1"/>
  <c r="K40" i="1"/>
  <c r="K41" i="1"/>
  <c r="K68" i="1"/>
  <c r="L11" i="1"/>
  <c r="L8" i="1"/>
  <c r="L23" i="1"/>
  <c r="L10" i="1"/>
  <c r="L9" i="1"/>
  <c r="L22" i="1"/>
  <c r="L24" i="1"/>
  <c r="L27" i="1"/>
  <c r="L7" i="1"/>
  <c r="L28" i="1"/>
  <c r="L12" i="1"/>
  <c r="L30" i="1"/>
  <c r="L51" i="1"/>
  <c r="L33" i="1"/>
  <c r="L34" i="1"/>
  <c r="D126" i="2"/>
  <c r="L36" i="1"/>
  <c r="L37" i="1"/>
  <c r="L29" i="1"/>
  <c r="L39" i="1"/>
  <c r="L40" i="1"/>
  <c r="L41" i="1"/>
  <c r="L68" i="1"/>
  <c r="M11" i="1"/>
  <c r="M8" i="1"/>
  <c r="M23" i="1"/>
  <c r="M10" i="1"/>
  <c r="M9" i="1"/>
  <c r="M22" i="1"/>
  <c r="M24" i="1"/>
  <c r="M27" i="1"/>
  <c r="M7" i="1"/>
  <c r="M28" i="1"/>
  <c r="M12" i="1"/>
  <c r="M30" i="1"/>
  <c r="M51" i="1"/>
  <c r="M33" i="1"/>
  <c r="M34" i="1"/>
  <c r="D140" i="2"/>
  <c r="M36" i="1"/>
  <c r="M37" i="1"/>
  <c r="M29" i="1"/>
  <c r="M39" i="1"/>
  <c r="M40" i="1"/>
  <c r="M41" i="1"/>
  <c r="M68" i="1"/>
  <c r="O68" i="1"/>
  <c r="O70" i="1"/>
  <c r="P63" i="1"/>
  <c r="P64" i="1"/>
  <c r="P67" i="1"/>
  <c r="P68" i="1"/>
  <c r="R56" i="1"/>
  <c r="E77" i="1"/>
  <c r="E78" i="1"/>
  <c r="E79" i="1"/>
  <c r="E80" i="1"/>
  <c r="D77" i="1"/>
  <c r="D78" i="1"/>
  <c r="D79" i="1"/>
  <c r="D80" i="1"/>
  <c r="E98" i="1"/>
  <c r="F77" i="1"/>
  <c r="F78" i="1"/>
  <c r="F79" i="1"/>
  <c r="F80" i="1"/>
  <c r="F98" i="1"/>
  <c r="G77" i="1"/>
  <c r="G78" i="1"/>
  <c r="G79" i="1"/>
  <c r="G80" i="1"/>
  <c r="G98" i="1"/>
  <c r="H77" i="1"/>
  <c r="H78" i="1"/>
  <c r="H79" i="1"/>
  <c r="H80" i="1"/>
  <c r="H98" i="1"/>
  <c r="I77" i="1"/>
  <c r="I78" i="1"/>
  <c r="I79" i="1"/>
  <c r="I80" i="1"/>
  <c r="I98" i="1"/>
  <c r="J77" i="1"/>
  <c r="J78" i="1"/>
  <c r="J79" i="1"/>
  <c r="J80" i="1"/>
  <c r="J98" i="1"/>
  <c r="K77" i="1"/>
  <c r="K78" i="1"/>
  <c r="K79" i="1"/>
  <c r="K80" i="1"/>
  <c r="K98" i="1"/>
  <c r="L77" i="1"/>
  <c r="L78" i="1"/>
  <c r="L79" i="1"/>
  <c r="L80" i="1"/>
  <c r="L98" i="1"/>
  <c r="M77" i="1"/>
  <c r="M78" i="1"/>
  <c r="M79" i="1"/>
  <c r="M80" i="1"/>
  <c r="M98" i="1"/>
  <c r="E60" i="1"/>
  <c r="D60" i="1"/>
  <c r="E97" i="1"/>
  <c r="F60" i="1"/>
  <c r="F97" i="1"/>
  <c r="G60" i="1"/>
  <c r="G97" i="1"/>
  <c r="H60" i="1"/>
  <c r="H97" i="1"/>
  <c r="I60" i="1"/>
  <c r="I97" i="1"/>
  <c r="J60" i="1"/>
  <c r="J97" i="1"/>
  <c r="K60" i="1"/>
  <c r="K97" i="1"/>
  <c r="L60" i="1"/>
  <c r="L97" i="1"/>
  <c r="M60" i="1"/>
  <c r="M97" i="1"/>
  <c r="E48" i="1"/>
  <c r="D48" i="1"/>
  <c r="E96" i="1"/>
  <c r="F48" i="1"/>
  <c r="F96" i="1"/>
  <c r="G48" i="1"/>
  <c r="G96" i="1"/>
  <c r="H48" i="1"/>
  <c r="H96" i="1"/>
  <c r="I48" i="1"/>
  <c r="I96" i="1"/>
  <c r="J48" i="1"/>
  <c r="J96" i="1"/>
  <c r="K48" i="1"/>
  <c r="K96" i="1"/>
  <c r="L48" i="1"/>
  <c r="L96" i="1"/>
  <c r="M48" i="1"/>
  <c r="M96" i="1"/>
  <c r="E47" i="1"/>
  <c r="D47" i="1"/>
  <c r="E95" i="1"/>
  <c r="F47" i="1"/>
  <c r="F95" i="1"/>
  <c r="G47" i="1"/>
  <c r="G95" i="1"/>
  <c r="H47" i="1"/>
  <c r="H95" i="1"/>
  <c r="I47" i="1"/>
  <c r="I95" i="1"/>
  <c r="J47" i="1"/>
  <c r="J95" i="1"/>
  <c r="K47" i="1"/>
  <c r="K95" i="1"/>
  <c r="L47" i="1"/>
  <c r="L95" i="1"/>
  <c r="M47" i="1"/>
  <c r="M95" i="1"/>
  <c r="D53" i="1"/>
  <c r="E53" i="1"/>
  <c r="D54" i="1"/>
  <c r="E54" i="1"/>
  <c r="E56" i="1"/>
  <c r="F53" i="1"/>
  <c r="F54" i="1"/>
  <c r="F56" i="1"/>
  <c r="G53" i="1"/>
  <c r="G54" i="1"/>
  <c r="G56" i="1"/>
  <c r="H53" i="1"/>
  <c r="H54" i="1"/>
  <c r="H56" i="1"/>
  <c r="I53" i="1"/>
  <c r="I54" i="1"/>
  <c r="I56" i="1"/>
  <c r="J53" i="1"/>
  <c r="J54" i="1"/>
  <c r="J56" i="1"/>
  <c r="K53" i="1"/>
  <c r="K54" i="1"/>
  <c r="K56" i="1"/>
  <c r="L53" i="1"/>
  <c r="L54" i="1"/>
  <c r="L56" i="1"/>
  <c r="M53" i="1"/>
  <c r="M54" i="1"/>
  <c r="M56" i="1"/>
  <c r="D56" i="1"/>
  <c r="D88" i="6"/>
  <c r="I37" i="6"/>
  <c r="I87" i="6"/>
  <c r="H37" i="6"/>
  <c r="H87" i="6"/>
  <c r="G37" i="6"/>
  <c r="G87" i="6"/>
  <c r="F37" i="6"/>
  <c r="F87" i="6"/>
  <c r="E37" i="6"/>
  <c r="E87" i="6"/>
  <c r="D37" i="6"/>
  <c r="D87" i="6"/>
  <c r="D36" i="6"/>
  <c r="D80" i="6"/>
  <c r="D33" i="6"/>
  <c r="E67" i="6"/>
  <c r="F67" i="6"/>
  <c r="G67" i="6"/>
  <c r="H67" i="6"/>
  <c r="I67" i="6"/>
  <c r="J67" i="6"/>
  <c r="K67" i="6"/>
  <c r="K68" i="6"/>
  <c r="L67" i="6"/>
  <c r="L68" i="6"/>
  <c r="L45" i="6"/>
  <c r="I11" i="6"/>
  <c r="E8" i="6"/>
  <c r="F8" i="6"/>
  <c r="G8" i="6"/>
  <c r="H8" i="6"/>
  <c r="I8" i="6"/>
  <c r="I23" i="6"/>
  <c r="I10" i="6"/>
  <c r="E9" i="6"/>
  <c r="F9" i="6"/>
  <c r="G9" i="6"/>
  <c r="H9" i="6"/>
  <c r="I9" i="6"/>
  <c r="I22" i="6"/>
  <c r="I47" i="6"/>
  <c r="L47" i="6"/>
  <c r="I24" i="6"/>
  <c r="I48" i="6"/>
  <c r="L48" i="6"/>
  <c r="I60" i="6"/>
  <c r="L60" i="6"/>
  <c r="L62" i="6"/>
  <c r="K50" i="6"/>
  <c r="I51" i="6"/>
  <c r="K51" i="6"/>
  <c r="K62" i="6"/>
  <c r="L63" i="6"/>
  <c r="M68" i="6"/>
  <c r="N68" i="6"/>
  <c r="I89" i="6"/>
  <c r="I90" i="6"/>
  <c r="E88" i="6"/>
  <c r="F88" i="6"/>
  <c r="G88" i="6"/>
  <c r="H88" i="6"/>
  <c r="C86" i="6"/>
  <c r="C79" i="6"/>
  <c r="C83" i="6"/>
  <c r="D81" i="6"/>
  <c r="D83" i="6"/>
  <c r="E36" i="6"/>
  <c r="E80" i="6"/>
  <c r="E81" i="6"/>
  <c r="E83" i="6"/>
  <c r="F36" i="6"/>
  <c r="F80" i="6"/>
  <c r="F81" i="6"/>
  <c r="F83" i="6"/>
  <c r="G36" i="6"/>
  <c r="G80" i="6"/>
  <c r="G81" i="6"/>
  <c r="G83" i="6"/>
  <c r="H36" i="6"/>
  <c r="H80" i="6"/>
  <c r="H81" i="6"/>
  <c r="H83" i="6"/>
  <c r="C84" i="6"/>
  <c r="I36" i="6"/>
  <c r="I80" i="6"/>
  <c r="M67" i="6"/>
  <c r="N67" i="6"/>
  <c r="I82" i="6"/>
  <c r="I83" i="6"/>
  <c r="R67" i="6"/>
  <c r="O68" i="6"/>
  <c r="O67" i="6"/>
  <c r="D53" i="6"/>
  <c r="E53" i="6"/>
  <c r="F53" i="6"/>
  <c r="G53" i="6"/>
  <c r="H53" i="6"/>
  <c r="I53" i="6"/>
  <c r="I56" i="6"/>
  <c r="C90" i="6"/>
  <c r="D90" i="6"/>
  <c r="E90" i="6"/>
  <c r="F90" i="6"/>
  <c r="G90" i="6"/>
  <c r="H90" i="6"/>
  <c r="C91" i="6"/>
  <c r="K69" i="6"/>
  <c r="H11" i="6"/>
  <c r="H23" i="6"/>
  <c r="H10" i="6"/>
  <c r="H22" i="6"/>
  <c r="H47" i="6"/>
  <c r="H24" i="6"/>
  <c r="H48" i="6"/>
  <c r="G11" i="6"/>
  <c r="G23" i="6"/>
  <c r="G10" i="6"/>
  <c r="G22" i="6"/>
  <c r="G47" i="6"/>
  <c r="G24" i="6"/>
  <c r="G48" i="6"/>
  <c r="G51" i="6"/>
  <c r="G56" i="6"/>
  <c r="G60" i="6"/>
  <c r="E27" i="6"/>
  <c r="F27" i="6"/>
  <c r="G27" i="6"/>
  <c r="E7" i="6"/>
  <c r="F7" i="6"/>
  <c r="G7" i="6"/>
  <c r="G28" i="6"/>
  <c r="E12" i="6"/>
  <c r="F12" i="6"/>
  <c r="G12" i="6"/>
  <c r="G30" i="6"/>
  <c r="G33" i="6"/>
  <c r="C18" i="6"/>
  <c r="G29" i="6"/>
  <c r="G34" i="6"/>
  <c r="G39" i="6"/>
  <c r="G40" i="6"/>
  <c r="G61" i="6"/>
  <c r="D11" i="6"/>
  <c r="D10" i="6"/>
  <c r="D22" i="6"/>
  <c r="D24" i="6"/>
  <c r="D23" i="6"/>
  <c r="D28" i="6"/>
  <c r="D30" i="6"/>
  <c r="D34" i="6"/>
  <c r="D29" i="6"/>
  <c r="D39" i="6"/>
  <c r="D40" i="6"/>
  <c r="D41" i="6"/>
  <c r="D72" i="6"/>
  <c r="E11" i="6"/>
  <c r="E23" i="6"/>
  <c r="E10" i="6"/>
  <c r="E22" i="6"/>
  <c r="E24" i="6"/>
  <c r="E28" i="6"/>
  <c r="E30" i="6"/>
  <c r="E29" i="6"/>
  <c r="E51" i="6"/>
  <c r="E33" i="6"/>
  <c r="E34" i="6"/>
  <c r="E39" i="6"/>
  <c r="E40" i="6"/>
  <c r="E41" i="6"/>
  <c r="E72" i="6"/>
  <c r="F11" i="6"/>
  <c r="F23" i="6"/>
  <c r="F10" i="6"/>
  <c r="F22" i="6"/>
  <c r="F24" i="6"/>
  <c r="F28" i="6"/>
  <c r="F30" i="6"/>
  <c r="F51" i="6"/>
  <c r="F33" i="6"/>
  <c r="F29" i="6"/>
  <c r="F34" i="6"/>
  <c r="F39" i="6"/>
  <c r="F40" i="6"/>
  <c r="F41" i="6"/>
  <c r="F72" i="6"/>
  <c r="G41" i="6"/>
  <c r="G72" i="6"/>
  <c r="G74" i="6"/>
  <c r="G76" i="6"/>
  <c r="D47" i="6"/>
  <c r="C15" i="4"/>
  <c r="C12" i="4"/>
  <c r="C16" i="4"/>
  <c r="D12" i="4"/>
  <c r="D16" i="4"/>
  <c r="E12" i="4"/>
  <c r="E16" i="4"/>
  <c r="F12" i="4"/>
  <c r="F16" i="4"/>
  <c r="G12" i="4"/>
  <c r="G16" i="4"/>
  <c r="H12" i="4"/>
  <c r="H16" i="4"/>
  <c r="I12" i="4"/>
  <c r="I16" i="4"/>
  <c r="J12" i="4"/>
  <c r="J16" i="4"/>
  <c r="K12" i="4"/>
  <c r="K16" i="4"/>
  <c r="L12" i="4"/>
  <c r="L16" i="4"/>
  <c r="M12" i="4"/>
  <c r="M16" i="4"/>
  <c r="C17" i="4"/>
  <c r="C15" i="5"/>
  <c r="C12" i="5"/>
  <c r="C16" i="5"/>
  <c r="D12" i="5"/>
  <c r="D16" i="5"/>
  <c r="E12" i="5"/>
  <c r="E16" i="5"/>
  <c r="F12" i="5"/>
  <c r="F16" i="5"/>
  <c r="G12" i="5"/>
  <c r="G16" i="5"/>
  <c r="H12" i="5"/>
  <c r="H16" i="5"/>
  <c r="I12" i="5"/>
  <c r="I16" i="5"/>
  <c r="J12" i="5"/>
  <c r="J16" i="5"/>
  <c r="K12" i="5"/>
  <c r="K16" i="5"/>
  <c r="L12" i="5"/>
  <c r="L16" i="5"/>
  <c r="M12" i="5"/>
  <c r="M16" i="5"/>
  <c r="C17" i="5"/>
  <c r="B24" i="4"/>
  <c r="D48" i="6"/>
  <c r="D60" i="6"/>
  <c r="E47" i="6"/>
  <c r="E60" i="6"/>
  <c r="F47" i="6"/>
  <c r="F60" i="6"/>
  <c r="H7" i="6"/>
  <c r="H28" i="6"/>
  <c r="H27" i="6"/>
  <c r="H29" i="6"/>
  <c r="H12" i="6"/>
  <c r="H30" i="6"/>
  <c r="H60" i="6"/>
  <c r="I7" i="6"/>
  <c r="I28" i="6"/>
  <c r="I27" i="6"/>
  <c r="I29" i="6"/>
  <c r="I12" i="6"/>
  <c r="I30" i="6"/>
  <c r="I33" i="6"/>
  <c r="I34" i="6"/>
  <c r="I39" i="6"/>
  <c r="I40" i="6"/>
  <c r="I61" i="6"/>
  <c r="D54" i="6"/>
  <c r="E54" i="6"/>
  <c r="F54" i="6"/>
  <c r="G54" i="6"/>
  <c r="H54" i="6"/>
  <c r="I54" i="6"/>
  <c r="H51" i="6"/>
  <c r="H33" i="6"/>
  <c r="H34" i="6"/>
  <c r="H39" i="6"/>
  <c r="H40" i="6"/>
  <c r="H41" i="6"/>
  <c r="H72" i="6"/>
  <c r="I41" i="6"/>
  <c r="I72" i="6"/>
  <c r="I74" i="6"/>
  <c r="I76" i="6"/>
  <c r="H56" i="6"/>
  <c r="H61" i="6"/>
  <c r="H74" i="6"/>
  <c r="H76" i="6"/>
  <c r="F48" i="6"/>
  <c r="F56" i="6"/>
  <c r="F61" i="6"/>
  <c r="F74" i="6"/>
  <c r="F76" i="6"/>
  <c r="E48" i="6"/>
  <c r="E56" i="6"/>
  <c r="E61" i="6"/>
  <c r="E74" i="6"/>
  <c r="E76" i="6"/>
  <c r="D56" i="6"/>
  <c r="D61" i="6"/>
  <c r="D74" i="6"/>
  <c r="D76" i="6"/>
  <c r="U67" i="6"/>
  <c r="R68" i="6"/>
  <c r="R71" i="6"/>
  <c r="R72" i="6"/>
  <c r="R74" i="6"/>
  <c r="S67" i="6"/>
  <c r="V67" i="6"/>
  <c r="U68" i="6"/>
  <c r="S68" i="6"/>
  <c r="V68" i="6"/>
  <c r="S71" i="6"/>
  <c r="S72" i="6"/>
  <c r="U56" i="6"/>
  <c r="U60" i="6"/>
  <c r="T71" i="6"/>
  <c r="U71" i="6"/>
  <c r="V71" i="6"/>
  <c r="V74" i="6"/>
  <c r="S74" i="6"/>
  <c r="C86" i="1"/>
  <c r="C88" i="1"/>
  <c r="C90" i="1"/>
  <c r="C106" i="1"/>
  <c r="C110" i="1"/>
  <c r="C13" i="5"/>
  <c r="C13" i="4"/>
  <c r="R63" i="1"/>
  <c r="H61" i="1"/>
  <c r="H70" i="1"/>
  <c r="H72" i="1"/>
  <c r="P70" i="1"/>
  <c r="R60" i="1"/>
  <c r="Q67" i="1"/>
  <c r="R67" i="1"/>
  <c r="S67" i="1"/>
  <c r="S63" i="1"/>
  <c r="R64" i="1"/>
  <c r="S64" i="1"/>
  <c r="S70" i="1"/>
  <c r="P89" i="1"/>
  <c r="M89" i="1"/>
  <c r="P90" i="1"/>
  <c r="P87" i="1"/>
  <c r="M87" i="1"/>
  <c r="P88" i="1"/>
  <c r="H90" i="1"/>
  <c r="M91" i="1"/>
  <c r="P91" i="1"/>
  <c r="P92" i="1"/>
  <c r="M92" i="1"/>
  <c r="D81" i="1"/>
  <c r="D82" i="1"/>
  <c r="D83" i="1"/>
  <c r="D98" i="1"/>
  <c r="D95" i="1"/>
  <c r="D96" i="1"/>
  <c r="D97" i="1"/>
  <c r="D106" i="1"/>
  <c r="D110" i="1"/>
  <c r="E81" i="1"/>
  <c r="E82" i="1"/>
  <c r="E83" i="1"/>
  <c r="E106" i="1"/>
  <c r="E110" i="1"/>
  <c r="F81" i="1"/>
  <c r="F82" i="1"/>
  <c r="F83" i="1"/>
  <c r="F106" i="1"/>
  <c r="F110" i="1"/>
  <c r="G81" i="1"/>
  <c r="G82" i="1"/>
  <c r="G83" i="1"/>
  <c r="G106" i="1"/>
  <c r="G110" i="1"/>
  <c r="H81" i="1"/>
  <c r="H82" i="1"/>
  <c r="H83" i="1"/>
  <c r="H106" i="1"/>
  <c r="H110" i="1"/>
  <c r="I81" i="1"/>
  <c r="I82" i="1"/>
  <c r="I83" i="1"/>
  <c r="I106" i="1"/>
  <c r="I110" i="1"/>
  <c r="J81" i="1"/>
  <c r="J82" i="1"/>
  <c r="J83" i="1"/>
  <c r="J106" i="1"/>
  <c r="J110" i="1"/>
  <c r="K81" i="1"/>
  <c r="K82" i="1"/>
  <c r="K83" i="1"/>
  <c r="K106" i="1"/>
  <c r="K110" i="1"/>
  <c r="L81" i="1"/>
  <c r="L82" i="1"/>
  <c r="L83" i="1"/>
  <c r="L106" i="1"/>
  <c r="L110" i="1"/>
  <c r="M81" i="1"/>
  <c r="M82" i="1"/>
  <c r="M83" i="1"/>
  <c r="M104" i="1"/>
  <c r="M101" i="1"/>
  <c r="M102" i="1"/>
  <c r="M103" i="1"/>
  <c r="M106" i="1"/>
  <c r="M110" i="1"/>
  <c r="C111" i="1"/>
  <c r="C107" i="1"/>
  <c r="D61" i="1"/>
  <c r="C14" i="2"/>
  <c r="C28" i="2"/>
  <c r="D70" i="1"/>
  <c r="D72" i="1"/>
  <c r="E61" i="1"/>
  <c r="E70" i="1"/>
  <c r="E72" i="1"/>
  <c r="F61" i="1"/>
  <c r="C42" i="2"/>
  <c r="F70" i="1"/>
  <c r="F72" i="1"/>
  <c r="G61" i="1"/>
  <c r="C56" i="2"/>
  <c r="G70" i="1"/>
  <c r="G72" i="1"/>
  <c r="C70" i="2"/>
  <c r="I61" i="1"/>
  <c r="C84" i="2"/>
  <c r="I70" i="1"/>
  <c r="I72" i="1"/>
  <c r="J61" i="1"/>
  <c r="C98" i="2"/>
  <c r="J70" i="1"/>
  <c r="J72" i="1"/>
  <c r="K61" i="1"/>
  <c r="C112" i="2"/>
  <c r="K70" i="1"/>
  <c r="K72" i="1"/>
  <c r="L61" i="1"/>
  <c r="C126" i="2"/>
  <c r="L70" i="1"/>
  <c r="L72" i="1"/>
  <c r="M61" i="1"/>
  <c r="C140" i="2"/>
  <c r="M70" i="1"/>
  <c r="M72" i="1"/>
</calcChain>
</file>

<file path=xl/sharedStrings.xml><?xml version="1.0" encoding="utf-8"?>
<sst xmlns="http://schemas.openxmlformats.org/spreadsheetml/2006/main" count="264" uniqueCount="136">
  <si>
    <t>Inventory Days - All Sales</t>
  </si>
  <si>
    <t>Average Payables Period - COGS</t>
  </si>
  <si>
    <t>INCOME STATEMENT</t>
  </si>
  <si>
    <t>Cost of Goods Sold</t>
  </si>
  <si>
    <t>Operating Expenses</t>
  </si>
  <si>
    <t>Marketing</t>
  </si>
  <si>
    <t>Store Building Maintenance Exp</t>
  </si>
  <si>
    <t>Mortgage Debt Interest Expense</t>
  </si>
  <si>
    <t>Extra Loan Interest Expense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</si>
  <si>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</si>
  <si>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</si>
  <si>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</si>
  <si>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</si>
  <si>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</si>
  <si>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</si>
  <si>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</t>
  </si>
  <si>
    <t>Accounts Receivable</t>
  </si>
  <si>
    <t>Inventory</t>
  </si>
  <si>
    <t>Buildings</t>
  </si>
  <si>
    <t>Total Assets</t>
  </si>
  <si>
    <t>Liabilities and Equity</t>
  </si>
  <si>
    <t>Accounts Payable</t>
  </si>
  <si>
    <t>Income Tax Payable</t>
  </si>
  <si>
    <t>Mortgage Debt</t>
  </si>
  <si>
    <t xml:space="preserve">Extra Bank Loan </t>
  </si>
  <si>
    <t>Equity</t>
  </si>
  <si>
    <t>Common Stock</t>
  </si>
  <si>
    <t xml:space="preserve"> Retained Earnings </t>
  </si>
  <si>
    <t>Total Funds</t>
  </si>
  <si>
    <t>DFN</t>
  </si>
  <si>
    <t>Massage Envy</t>
  </si>
  <si>
    <t xml:space="preserve">Sales Revenue </t>
  </si>
  <si>
    <t>Yr life</t>
  </si>
  <si>
    <t>State Tax</t>
  </si>
  <si>
    <t>Federal Tax</t>
  </si>
  <si>
    <t>% of sales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</si>
  <si>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</si>
  <si>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</si>
  <si>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</si>
  <si>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</si>
  <si>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</si>
  <si>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</si>
  <si>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</si>
  <si>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</si>
  <si>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</si>
  <si>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</si>
  <si>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</si>
  <si>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INPUTS</t>
  </si>
  <si>
    <t>Service Revenue</t>
  </si>
  <si>
    <t>Massages per day per employee</t>
  </si>
  <si>
    <t>Price per massage</t>
  </si>
  <si>
    <t>Inflation</t>
  </si>
  <si>
    <t>% of customers who buy product</t>
  </si>
  <si>
    <t>average product price</t>
  </si>
  <si>
    <t>Forecasted Sales Revenue (units)</t>
  </si>
  <si>
    <t>Forecasted Service Revenue (units)</t>
  </si>
  <si>
    <t>Average Massage Therapist Salary</t>
  </si>
  <si>
    <t>Salary Expense</t>
  </si>
  <si>
    <t># of Massage Therapists</t>
  </si>
  <si>
    <t># of other employees</t>
  </si>
  <si>
    <t>Wages Expense</t>
  </si>
  <si>
    <t>Hourly Wage</t>
  </si>
  <si>
    <t>sq. ft. of building</t>
  </si>
  <si>
    <t># of hours worked per week (other employees)</t>
  </si>
  <si>
    <t>FREE CASH FLOWS</t>
  </si>
  <si>
    <t>Cash from Operations</t>
  </si>
  <si>
    <t>Operating Income</t>
  </si>
  <si>
    <t>Less: Depreciation</t>
  </si>
  <si>
    <t>Taxable Operating Income</t>
  </si>
  <si>
    <t>Tax on Operations ONLY (= Payable)</t>
  </si>
  <si>
    <t>After tax Operating Income</t>
  </si>
  <si>
    <t>Add: Deprecation</t>
  </si>
  <si>
    <t>Cash From Operations</t>
  </si>
  <si>
    <t>Cash in/out from Captial Expenditures</t>
  </si>
  <si>
    <t>Buy Land</t>
  </si>
  <si>
    <t>Sell Land</t>
  </si>
  <si>
    <t>Book</t>
  </si>
  <si>
    <t>Buy Buildings</t>
  </si>
  <si>
    <t>Gain</t>
  </si>
  <si>
    <t>TAX IT!</t>
  </si>
  <si>
    <t>Sell Buildings</t>
  </si>
  <si>
    <t>Tax on Sales</t>
  </si>
  <si>
    <t>Cash in/out from Changes in Working Capital</t>
  </si>
  <si>
    <t>-</t>
  </si>
  <si>
    <t>+</t>
  </si>
  <si>
    <t>Income Tax Payable (OPERATIONS ONLY)</t>
  </si>
  <si>
    <t>Cash in/out from Liquidation of Working Capital</t>
  </si>
  <si>
    <t>Total Free Cash Flows</t>
  </si>
  <si>
    <t>IRR</t>
  </si>
  <si>
    <t>Cost of Capital</t>
  </si>
  <si>
    <t>PV of Free Cash Flows</t>
  </si>
  <si>
    <t>NPV of Free Cash Flows</t>
  </si>
  <si>
    <t>Interest</t>
  </si>
  <si>
    <t>Maintenance &amp; Utilities expense per sq. ft</t>
  </si>
  <si>
    <t>Land</t>
  </si>
  <si>
    <t>Fixtures</t>
  </si>
  <si>
    <t>Buy Fixtures</t>
  </si>
  <si>
    <t>Sell Fixtures</t>
  </si>
  <si>
    <t>Average Collection Period - Insurance</t>
  </si>
  <si>
    <t>Percent Insurance</t>
  </si>
  <si>
    <t>Liabilities</t>
  </si>
  <si>
    <t>CAPM for the return equity holders wants</t>
  </si>
  <si>
    <t>T Bill</t>
  </si>
  <si>
    <t>S&amp;P 500</t>
  </si>
  <si>
    <t>Return Equity Wants</t>
  </si>
  <si>
    <t>Average</t>
  </si>
  <si>
    <t>Proportion</t>
  </si>
  <si>
    <t>After Tax Rate</t>
  </si>
  <si>
    <t>Weighted</t>
  </si>
  <si>
    <t>Depreciation - Land</t>
  </si>
  <si>
    <t>Depreciation - Fixtures</t>
  </si>
  <si>
    <t>Less:  Accumulated Depreciation - Fixtures</t>
  </si>
  <si>
    <t>WACC</t>
  </si>
  <si>
    <t>Relevered BETA</t>
  </si>
  <si>
    <t>Unlevered BETA</t>
  </si>
  <si>
    <t>Less:  Accumulated Depreciation - Building</t>
  </si>
  <si>
    <t>Bad Option</t>
  </si>
  <si>
    <t>Good Option</t>
  </si>
  <si>
    <t>Probability</t>
  </si>
  <si>
    <t>Expected Total FCF</t>
  </si>
  <si>
    <t>Sell For</t>
  </si>
  <si>
    <t>Secured</t>
  </si>
  <si>
    <t>Unsecured</t>
  </si>
  <si>
    <t>Total</t>
  </si>
  <si>
    <t>Left</t>
  </si>
  <si>
    <t>PAID</t>
  </si>
  <si>
    <t>TOTAL PAID</t>
  </si>
  <si>
    <t>% On the Dollar</t>
  </si>
  <si>
    <t>Debt Return in Bankruptcy</t>
  </si>
  <si>
    <t>Mortgage</t>
  </si>
  <si>
    <t>Initial Loan</t>
  </si>
  <si>
    <t>Interest Paid</t>
  </si>
  <si>
    <t>Principal Paid</t>
  </si>
  <si>
    <t>Final Pay Off</t>
  </si>
  <si>
    <t>TOTAL</t>
  </si>
  <si>
    <t>Extra Bank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</si>
</sst>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_(\$* \(#,##0\);_(\$* \-??_);_(@_)"/>
    <numFmt numFmtId="165" formatCode="_(&quot;$&quot;* #,##0_);_(&quot;$&quot;* \(#,##0\);_(&quot;$&quot;* &quot;-&quot;??_);_(@_)"/>
    <numFmt numFmtId="166" formatCode="0.0%"/>
    <numFmt numFmtId="167" formatCode="[$$-409]#,##0.00;[Red]\-[$$-409]#,##0.00"/>
    <numFmt numFmtId="168" formatCode="[$$-409]#,##0.00;[Red][$$-409]#,##0.00"/>
    <numFmt numFmtId="169" formatCode="_(* #,##0_);_(* \(#,##0\);_(* &quot;-&quot;??_);_(@_)"/>
    <numFmt numFmtId="170" formatCode="&quot;$&quot;#,##0.0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2"/>
      <color theme="8" tint="-0.499984740745262"/>
      <name val="Calibri"/>
      <scheme val="minor"/>
    </font>
    <font>
      <sz val="12"/>
      <color theme="8" tint="-0.499984740745262"/>
      <name val="Calibri"/>
      <scheme val="minor"/>
    </font>
    <font>
      <b/>
      <u/>
      <sz val="12"/>
      <color indexed="8"/>
      <name val="Calibri"/>
      <scheme val="minor"/>
    </font>
    <font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3" fillId="0" borderId="0" xfId="0" applyFont="1"/>
    <xf numFmtId="44" fontId="5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1" fontId="0" fillId="0" borderId="0" xfId="0" applyNumberFormat="1"/>
    <xf numFmtId="9" fontId="0" fillId="0" borderId="0" xfId="1" applyFont="1"/>
    <xf numFmtId="166" fontId="0" fillId="0" borderId="0" xfId="1" applyNumberFormat="1" applyFont="1"/>
    <xf numFmtId="9" fontId="0" fillId="0" borderId="0" xfId="0" applyNumberFormat="1"/>
    <xf numFmtId="0" fontId="0" fillId="0" borderId="0" xfId="0" applyFont="1" applyAlignment="1">
      <alignment wrapText="1"/>
    </xf>
    <xf numFmtId="167" fontId="0" fillId="0" borderId="0" xfId="0" applyNumberFormat="1" applyFont="1" applyAlignment="1">
      <alignment wrapText="1"/>
    </xf>
    <xf numFmtId="8" fontId="0" fillId="0" borderId="0" xfId="0" applyNumberFormat="1"/>
    <xf numFmtId="10" fontId="0" fillId="0" borderId="0" xfId="1" applyNumberFormat="1" applyFont="1"/>
    <xf numFmtId="168" fontId="0" fillId="0" borderId="0" xfId="0" applyNumberFormat="1"/>
    <xf numFmtId="169" fontId="0" fillId="0" borderId="0" xfId="6" applyNumberFormat="1" applyFont="1"/>
    <xf numFmtId="167" fontId="8" fillId="0" borderId="0" xfId="0" applyNumberFormat="1" applyFont="1" applyAlignment="1">
      <alignment wrapText="1"/>
    </xf>
    <xf numFmtId="168" fontId="8" fillId="0" borderId="0" xfId="0" applyNumberFormat="1" applyFont="1"/>
    <xf numFmtId="167" fontId="8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/>
    <xf numFmtId="167" fontId="9" fillId="0" borderId="0" xfId="0" applyNumberFormat="1" applyFont="1" applyAlignment="1">
      <alignment wrapText="1"/>
    </xf>
    <xf numFmtId="0" fontId="0" fillId="0" borderId="0" xfId="0" applyFont="1"/>
    <xf numFmtId="0" fontId="8" fillId="0" borderId="0" xfId="0" applyFont="1"/>
    <xf numFmtId="44" fontId="0" fillId="0" borderId="0" xfId="7" applyFont="1"/>
    <xf numFmtId="0" fontId="1" fillId="0" borderId="0" xfId="0" applyFont="1"/>
    <xf numFmtId="165" fontId="0" fillId="0" borderId="0" xfId="7" applyNumberFormat="1" applyFont="1"/>
    <xf numFmtId="165" fontId="1" fillId="0" borderId="0" xfId="7" applyNumberFormat="1" applyFont="1"/>
    <xf numFmtId="44" fontId="0" fillId="0" borderId="0" xfId="0" applyNumberFormat="1"/>
    <xf numFmtId="0" fontId="10" fillId="0" borderId="0" xfId="8"/>
    <xf numFmtId="0" fontId="11" fillId="0" borderId="0" xfId="8" applyFont="1"/>
    <xf numFmtId="164" fontId="10" fillId="0" borderId="0" xfId="8" applyNumberFormat="1"/>
    <xf numFmtId="164" fontId="10" fillId="0" borderId="0" xfId="7" applyNumberFormat="1" applyFont="1" applyFill="1" applyBorder="1" applyAlignment="1" applyProtection="1"/>
    <xf numFmtId="9" fontId="10" fillId="0" borderId="0" xfId="8" applyNumberFormat="1"/>
    <xf numFmtId="164" fontId="2" fillId="0" borderId="0" xfId="7" applyNumberFormat="1"/>
    <xf numFmtId="0" fontId="10" fillId="0" borderId="0" xfId="8" quotePrefix="1"/>
    <xf numFmtId="10" fontId="10" fillId="0" borderId="0" xfId="8" applyNumberFormat="1"/>
    <xf numFmtId="164" fontId="0" fillId="0" borderId="0" xfId="0" applyNumberFormat="1"/>
    <xf numFmtId="2" fontId="0" fillId="0" borderId="0" xfId="0" applyNumberFormat="1"/>
    <xf numFmtId="10" fontId="0" fillId="0" borderId="0" xfId="0" applyNumberFormat="1"/>
    <xf numFmtId="165" fontId="10" fillId="0" borderId="0" xfId="8" applyNumberFormat="1"/>
    <xf numFmtId="9" fontId="0" fillId="0" borderId="0" xfId="1" applyNumberFormat="1" applyFont="1"/>
    <xf numFmtId="170" fontId="0" fillId="0" borderId="0" xfId="0" applyNumberFormat="1"/>
    <xf numFmtId="0" fontId="3" fillId="0" borderId="2" xfId="0" applyFont="1" applyBorder="1"/>
    <xf numFmtId="9" fontId="13" fillId="2" borderId="2" xfId="1" applyFont="1" applyFill="1" applyBorder="1"/>
    <xf numFmtId="170" fontId="14" fillId="2" borderId="2" xfId="0" applyNumberFormat="1" applyFont="1" applyFill="1" applyBorder="1"/>
    <xf numFmtId="0" fontId="0" fillId="0" borderId="1" xfId="0" applyBorder="1"/>
    <xf numFmtId="44" fontId="0" fillId="0" borderId="1" xfId="7" applyFont="1" applyBorder="1"/>
    <xf numFmtId="44" fontId="0" fillId="0" borderId="0" xfId="7" applyFont="1" applyBorder="1"/>
    <xf numFmtId="0" fontId="15" fillId="0" borderId="0" xfId="8" applyFont="1" applyFill="1" applyAlignment="1">
      <alignment horizontal="center"/>
    </xf>
    <xf numFmtId="0" fontId="16" fillId="0" borderId="0" xfId="8" applyFont="1"/>
    <xf numFmtId="9" fontId="2" fillId="0" borderId="0" xfId="1"/>
    <xf numFmtId="164" fontId="16" fillId="0" borderId="0" xfId="8" applyNumberFormat="1" applyFont="1" applyFill="1"/>
    <xf numFmtId="164" fontId="16" fillId="0" borderId="0" xfId="7" applyNumberFormat="1" applyFont="1" applyFill="1" applyBorder="1" applyAlignment="1" applyProtection="1"/>
    <xf numFmtId="0" fontId="17" fillId="0" borderId="0" xfId="8" applyFont="1" applyFill="1"/>
    <xf numFmtId="0" fontId="16" fillId="0" borderId="0" xfId="8" applyFont="1" applyFill="1"/>
    <xf numFmtId="0" fontId="17" fillId="0" borderId="0" xfId="8" applyFont="1"/>
    <xf numFmtId="9" fontId="16" fillId="0" borderId="0" xfId="8" applyNumberFormat="1" applyFont="1" applyFill="1"/>
    <xf numFmtId="166" fontId="16" fillId="0" borderId="0" xfId="8" applyNumberFormat="1" applyFont="1" applyFill="1"/>
    <xf numFmtId="2" fontId="16" fillId="0" borderId="0" xfId="8" applyNumberFormat="1" applyFont="1" applyFill="1"/>
    <xf numFmtId="164" fontId="16" fillId="0" borderId="0" xfId="8" applyNumberFormat="1" applyFont="1"/>
    <xf numFmtId="2" fontId="16" fillId="0" borderId="0" xfId="8" applyNumberFormat="1" applyFont="1"/>
    <xf numFmtId="169" fontId="2" fillId="0" borderId="0" xfId="7" applyNumberFormat="1"/>
    <xf numFmtId="164" fontId="17" fillId="0" borderId="0" xfId="8" applyNumberFormat="1" applyFont="1" applyFill="1"/>
    <xf numFmtId="43" fontId="16" fillId="0" borderId="0" xfId="8" applyNumberFormat="1" applyFont="1" applyFill="1"/>
    <xf numFmtId="43" fontId="17" fillId="0" borderId="0" xfId="8" applyNumberFormat="1" applyFont="1" applyFill="1" applyAlignment="1">
      <alignment horizontal="center"/>
    </xf>
    <xf numFmtId="0" fontId="17" fillId="0" borderId="0" xfId="8" applyFont="1" applyAlignment="1">
      <alignment horizontal="center"/>
    </xf>
    <xf numFmtId="164" fontId="18" fillId="0" borderId="0" xfId="8" applyNumberFormat="1" applyFont="1"/>
    <xf numFmtId="166" fontId="2" fillId="0" borderId="0" xfId="1" applyNumberFormat="1"/>
    <xf numFmtId="44" fontId="2" fillId="0" borderId="0" xfId="7"/>
    <xf numFmtId="164" fontId="10" fillId="0" borderId="1" xfId="8" applyNumberFormat="1" applyBorder="1"/>
    <xf numFmtId="166" fontId="16" fillId="0" borderId="0" xfId="1" applyNumberFormat="1" applyFont="1"/>
    <xf numFmtId="0" fontId="0" fillId="0" borderId="0" xfId="7" applyNumberFormat="1" applyFont="1"/>
  </cellXfs>
  <cellStyles count="83">
    <cellStyle name="Comma" xfId="6" builtinId="3"/>
    <cellStyle name="Currency" xfId="7" builtinId="4"/>
    <cellStyle name="Excel Built-in Normal" xfId="8"/>
    <cellStyle name="Followed Hyperlink" xfId="3" builtinId="9" hidden="1"/>
    <cellStyle name="Followed Hyperlink" xfId="5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2" builtinId="8" hidden="1"/>
    <cellStyle name="Hyperlink" xfId="4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>
      <selection activeCell="R54" sqref="R54"/>
    </sheetView>
  </sheetViews>
  <sheetFormatPr defaultColWidth="11" defaultRowHeight="15.75" x14ac:dyDescent="0.25"/>
  <cols>
    <col min="1" max="1" width="3.5" customWidth="1"/>
    <col min="2" max="2" width="36.5" bestFit="1" customWidth="1"/>
    <col min="3" max="4" width="13.125" bestFit="1" customWidth="1"/>
    <col min="5" max="13" width="12.625" customWidth="1"/>
    <col min="16" max="16" width="18" customWidth="1"/>
    <col min="18" max="18" width="13.125" customWidth="1"/>
  </cols>
  <sheetData>
    <row r="1" spans="1:13" x14ac:dyDescent="0.25">
      <c r="A1" s="6" t="s">
        <v>30</v>
      </c>
    </row>
    <row r="2" spans="1:13" x14ac:dyDescent="0.25">
      <c r="A2" s="27" t="s">
        <v>47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  <c r="M2">
        <v>2023</v>
      </c>
    </row>
    <row r="3" spans="1:13" x14ac:dyDescent="0.25">
      <c r="B3" s="29" t="s">
        <v>49</v>
      </c>
      <c r="D3">
        <v>4</v>
      </c>
      <c r="E3">
        <v>4</v>
      </c>
      <c r="F3">
        <v>4</v>
      </c>
      <c r="G3">
        <v>5</v>
      </c>
      <c r="H3">
        <v>5</v>
      </c>
      <c r="I3">
        <v>5</v>
      </c>
      <c r="J3">
        <v>5</v>
      </c>
      <c r="K3">
        <v>6</v>
      </c>
      <c r="L3">
        <v>6</v>
      </c>
      <c r="M3">
        <v>7</v>
      </c>
    </row>
    <row r="4" spans="1:13" x14ac:dyDescent="0.25">
      <c r="B4" s="29" t="s">
        <v>58</v>
      </c>
      <c r="D4">
        <v>7</v>
      </c>
      <c r="E4">
        <v>7</v>
      </c>
      <c r="F4">
        <v>7</v>
      </c>
      <c r="G4">
        <v>7</v>
      </c>
      <c r="H4">
        <v>7</v>
      </c>
      <c r="I4">
        <v>7</v>
      </c>
      <c r="J4">
        <v>7</v>
      </c>
      <c r="K4">
        <v>7</v>
      </c>
      <c r="L4">
        <v>7</v>
      </c>
      <c r="M4">
        <v>7</v>
      </c>
    </row>
    <row r="5" spans="1:13" x14ac:dyDescent="0.25">
      <c r="B5" s="29" t="s">
        <v>59</v>
      </c>
      <c r="D5">
        <v>3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</row>
    <row r="6" spans="1:13" x14ac:dyDescent="0.25">
      <c r="B6" s="29" t="s">
        <v>61</v>
      </c>
      <c r="D6" s="28">
        <v>10</v>
      </c>
      <c r="E6" s="28">
        <v>10</v>
      </c>
      <c r="F6" s="28">
        <v>10</v>
      </c>
      <c r="G6" s="28">
        <v>10</v>
      </c>
      <c r="H6" s="28">
        <v>10.5</v>
      </c>
      <c r="I6" s="28">
        <v>10.5</v>
      </c>
      <c r="J6" s="28">
        <v>10.5</v>
      </c>
      <c r="K6" s="28">
        <v>10.5</v>
      </c>
      <c r="L6" s="28">
        <v>10.5</v>
      </c>
      <c r="M6" s="28">
        <v>10.5</v>
      </c>
    </row>
    <row r="7" spans="1:13" x14ac:dyDescent="0.25">
      <c r="B7" s="29" t="s">
        <v>56</v>
      </c>
      <c r="D7" s="31">
        <v>38000</v>
      </c>
      <c r="E7" s="31">
        <f>D7*C20+D7</f>
        <v>39140</v>
      </c>
      <c r="F7" s="31">
        <f t="shared" ref="F7:M7" si="0">E7*D19+E7</f>
        <v>39140</v>
      </c>
      <c r="G7" s="31">
        <f t="shared" si="0"/>
        <v>39140</v>
      </c>
      <c r="H7" s="31">
        <f t="shared" si="0"/>
        <v>39140</v>
      </c>
      <c r="I7" s="31">
        <f t="shared" si="0"/>
        <v>39140</v>
      </c>
      <c r="J7" s="31">
        <f t="shared" si="0"/>
        <v>39140</v>
      </c>
      <c r="K7" s="31">
        <f t="shared" si="0"/>
        <v>39140</v>
      </c>
      <c r="L7" s="31">
        <f t="shared" si="0"/>
        <v>39140</v>
      </c>
      <c r="M7" s="31">
        <f t="shared" si="0"/>
        <v>39140</v>
      </c>
    </row>
    <row r="8" spans="1:13" x14ac:dyDescent="0.25">
      <c r="B8" s="29" t="s">
        <v>50</v>
      </c>
      <c r="D8" s="28">
        <v>40</v>
      </c>
      <c r="E8" s="28">
        <f t="shared" ref="E8:M8" si="1">D8*$C$20+D8</f>
        <v>41.2</v>
      </c>
      <c r="F8" s="28">
        <f t="shared" si="1"/>
        <v>42.436</v>
      </c>
      <c r="G8" s="28">
        <f t="shared" si="1"/>
        <v>43.70908</v>
      </c>
      <c r="H8" s="28">
        <f t="shared" si="1"/>
        <v>45.0203524</v>
      </c>
      <c r="I8" s="28">
        <f t="shared" si="1"/>
        <v>46.370962972000001</v>
      </c>
      <c r="J8" s="28">
        <f t="shared" si="1"/>
        <v>47.762091861160002</v>
      </c>
      <c r="K8" s="28">
        <f t="shared" si="1"/>
        <v>49.194954616994799</v>
      </c>
      <c r="L8" s="28">
        <f t="shared" si="1"/>
        <v>50.670803255504644</v>
      </c>
      <c r="M8" s="28">
        <f t="shared" si="1"/>
        <v>52.190927353169783</v>
      </c>
    </row>
    <row r="9" spans="1:13" x14ac:dyDescent="0.25">
      <c r="B9" s="29" t="s">
        <v>53</v>
      </c>
      <c r="D9" s="28">
        <v>12</v>
      </c>
      <c r="E9" s="28">
        <f t="shared" ref="E9:M9" si="2">D9*$C$20+D9</f>
        <v>12.36</v>
      </c>
      <c r="F9" s="28">
        <f t="shared" si="2"/>
        <v>12.730799999999999</v>
      </c>
      <c r="G9" s="28">
        <f t="shared" si="2"/>
        <v>13.112723999999998</v>
      </c>
      <c r="H9" s="28">
        <f t="shared" si="2"/>
        <v>13.506105719999999</v>
      </c>
      <c r="I9" s="28">
        <f t="shared" si="2"/>
        <v>13.911288891599998</v>
      </c>
      <c r="J9" s="28">
        <f t="shared" si="2"/>
        <v>14.328627558347998</v>
      </c>
      <c r="K9" s="28">
        <f t="shared" si="2"/>
        <v>14.758486385098438</v>
      </c>
      <c r="L9" s="28">
        <f t="shared" si="2"/>
        <v>15.201240976651391</v>
      </c>
      <c r="M9" s="28">
        <f t="shared" si="2"/>
        <v>15.657278205950933</v>
      </c>
    </row>
    <row r="10" spans="1:13" x14ac:dyDescent="0.25">
      <c r="B10" s="2" t="s">
        <v>54</v>
      </c>
      <c r="C10" s="7"/>
      <c r="D10" s="9">
        <f t="shared" ref="D10:M10" si="3">D11*$C$19</f>
        <v>2555</v>
      </c>
      <c r="E10" s="9">
        <f t="shared" si="3"/>
        <v>2555</v>
      </c>
      <c r="F10" s="9">
        <f t="shared" si="3"/>
        <v>2555</v>
      </c>
      <c r="G10" s="9">
        <f t="shared" si="3"/>
        <v>3193.75</v>
      </c>
      <c r="H10" s="9">
        <f t="shared" si="3"/>
        <v>3193.75</v>
      </c>
      <c r="I10" s="9">
        <f t="shared" si="3"/>
        <v>3193.75</v>
      </c>
      <c r="J10" s="9">
        <f t="shared" si="3"/>
        <v>3193.75</v>
      </c>
      <c r="K10" s="9">
        <f t="shared" si="3"/>
        <v>3832.5</v>
      </c>
      <c r="L10" s="9">
        <f t="shared" si="3"/>
        <v>3832.5</v>
      </c>
      <c r="M10" s="9">
        <f t="shared" si="3"/>
        <v>4471.25</v>
      </c>
    </row>
    <row r="11" spans="1:13" x14ac:dyDescent="0.25">
      <c r="B11" s="29" t="s">
        <v>55</v>
      </c>
      <c r="D11" s="8">
        <f>D3*D4*365</f>
        <v>10220</v>
      </c>
      <c r="E11" s="8">
        <f t="shared" ref="E11:M11" si="4">E3*E4*365</f>
        <v>10220</v>
      </c>
      <c r="F11" s="8">
        <f t="shared" si="4"/>
        <v>10220</v>
      </c>
      <c r="G11" s="8">
        <f t="shared" si="4"/>
        <v>12775</v>
      </c>
      <c r="H11" s="8">
        <f t="shared" si="4"/>
        <v>12775</v>
      </c>
      <c r="I11" s="8">
        <f t="shared" si="4"/>
        <v>12775</v>
      </c>
      <c r="J11" s="8">
        <f t="shared" si="4"/>
        <v>12775</v>
      </c>
      <c r="K11" s="8">
        <f t="shared" si="4"/>
        <v>15330</v>
      </c>
      <c r="L11" s="8">
        <f t="shared" si="4"/>
        <v>15330</v>
      </c>
      <c r="M11" s="8">
        <f t="shared" si="4"/>
        <v>17885</v>
      </c>
    </row>
    <row r="12" spans="1:13" x14ac:dyDescent="0.25">
      <c r="A12" s="1"/>
      <c r="B12" s="29" t="s">
        <v>93</v>
      </c>
      <c r="D12" s="28">
        <v>10</v>
      </c>
      <c r="E12" s="32">
        <f>D12*$C$20+D12</f>
        <v>10.3</v>
      </c>
      <c r="F12" s="32">
        <f t="shared" ref="F12:M12" si="5">E12*$C$20+E12</f>
        <v>10.609</v>
      </c>
      <c r="G12" s="32">
        <f t="shared" si="5"/>
        <v>10.92727</v>
      </c>
      <c r="H12" s="32">
        <f t="shared" si="5"/>
        <v>11.2550881</v>
      </c>
      <c r="I12" s="32">
        <f t="shared" si="5"/>
        <v>11.592740743</v>
      </c>
      <c r="J12" s="32">
        <f t="shared" si="5"/>
        <v>11.94052296529</v>
      </c>
      <c r="K12" s="32">
        <f t="shared" si="5"/>
        <v>12.2987386542487</v>
      </c>
      <c r="L12" s="32">
        <f t="shared" si="5"/>
        <v>12.667700813876161</v>
      </c>
      <c r="M12" s="32">
        <f t="shared" si="5"/>
        <v>13.047731838292446</v>
      </c>
    </row>
    <row r="13" spans="1:13" x14ac:dyDescent="0.25">
      <c r="B13" s="29" t="s">
        <v>62</v>
      </c>
      <c r="C13" s="19">
        <v>4500</v>
      </c>
    </row>
    <row r="14" spans="1:13" x14ac:dyDescent="0.25">
      <c r="B14" s="2" t="s">
        <v>98</v>
      </c>
      <c r="C14" s="10">
        <v>20</v>
      </c>
    </row>
    <row r="15" spans="1:13" x14ac:dyDescent="0.25">
      <c r="B15" s="2" t="s">
        <v>99</v>
      </c>
      <c r="C15" s="11">
        <v>0.5</v>
      </c>
    </row>
    <row r="16" spans="1:13" x14ac:dyDescent="0.25">
      <c r="B16" s="2" t="s">
        <v>0</v>
      </c>
      <c r="C16" s="10">
        <v>90</v>
      </c>
    </row>
    <row r="17" spans="1:15" x14ac:dyDescent="0.25">
      <c r="B17" s="2" t="s">
        <v>1</v>
      </c>
      <c r="C17" s="10">
        <v>15</v>
      </c>
    </row>
    <row r="18" spans="1:15" x14ac:dyDescent="0.25">
      <c r="B18" s="2" t="s">
        <v>63</v>
      </c>
      <c r="C18" s="10">
        <f>D5*40</f>
        <v>120</v>
      </c>
    </row>
    <row r="19" spans="1:15" x14ac:dyDescent="0.25">
      <c r="B19" s="29" t="s">
        <v>52</v>
      </c>
      <c r="C19" s="13">
        <v>0.25</v>
      </c>
    </row>
    <row r="20" spans="1:15" x14ac:dyDescent="0.25">
      <c r="A20" s="1"/>
      <c r="B20" s="29" t="s">
        <v>51</v>
      </c>
      <c r="C20" s="13">
        <v>0.03</v>
      </c>
    </row>
    <row r="21" spans="1:15" x14ac:dyDescent="0.25">
      <c r="A21" s="1" t="s">
        <v>2</v>
      </c>
      <c r="B21" s="1"/>
      <c r="C21" s="2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5" x14ac:dyDescent="0.25">
      <c r="A22" s="2" t="s">
        <v>31</v>
      </c>
      <c r="B22" s="2"/>
      <c r="C22" s="2"/>
      <c r="D22" s="30">
        <f>D10*D9</f>
        <v>30660</v>
      </c>
      <c r="E22" s="30">
        <f t="shared" ref="E22:M22" si="6">E10*E9</f>
        <v>31579.8</v>
      </c>
      <c r="F22" s="30">
        <f t="shared" si="6"/>
        <v>32527.193999999996</v>
      </c>
      <c r="G22" s="30">
        <f t="shared" si="6"/>
        <v>41878.762274999994</v>
      </c>
      <c r="H22" s="30">
        <f t="shared" si="6"/>
        <v>43135.125143249999</v>
      </c>
      <c r="I22" s="30">
        <f t="shared" si="6"/>
        <v>44429.178897547492</v>
      </c>
      <c r="J22" s="30">
        <f t="shared" si="6"/>
        <v>45762.054264473918</v>
      </c>
      <c r="K22" s="30">
        <f t="shared" si="6"/>
        <v>56561.899070889762</v>
      </c>
      <c r="L22" s="30">
        <f t="shared" si="6"/>
        <v>58258.756043016459</v>
      </c>
      <c r="M22" s="30">
        <f t="shared" si="6"/>
        <v>70007.605178358106</v>
      </c>
    </row>
    <row r="23" spans="1:15" x14ac:dyDescent="0.25">
      <c r="A23" s="2" t="s">
        <v>48</v>
      </c>
      <c r="D23" s="9">
        <f>D11*D8</f>
        <v>408800</v>
      </c>
      <c r="E23" s="9">
        <f t="shared" ref="E23:M23" si="7">E11*E8</f>
        <v>421064</v>
      </c>
      <c r="F23" s="9">
        <f t="shared" si="7"/>
        <v>433695.92</v>
      </c>
      <c r="G23" s="9">
        <f t="shared" si="7"/>
        <v>558383.49699999997</v>
      </c>
      <c r="H23" s="9">
        <f t="shared" si="7"/>
        <v>575135.00190999999</v>
      </c>
      <c r="I23" s="9">
        <f t="shared" si="7"/>
        <v>592389.05196730001</v>
      </c>
      <c r="J23" s="9">
        <f t="shared" si="7"/>
        <v>610160.72352631902</v>
      </c>
      <c r="K23" s="9">
        <f t="shared" si="7"/>
        <v>754158.65427853027</v>
      </c>
      <c r="L23" s="9">
        <f t="shared" si="7"/>
        <v>776783.41390688624</v>
      </c>
      <c r="M23" s="9">
        <f t="shared" si="7"/>
        <v>933434.73571144161</v>
      </c>
    </row>
    <row r="24" spans="1:15" x14ac:dyDescent="0.25">
      <c r="A24" s="2"/>
      <c r="B24" s="2" t="s">
        <v>3</v>
      </c>
      <c r="C24" s="2"/>
      <c r="D24" s="9">
        <f>D22*$N$24</f>
        <v>22995</v>
      </c>
      <c r="E24" s="9">
        <f t="shared" ref="E24:M24" si="8">E22*$N$24</f>
        <v>23684.85</v>
      </c>
      <c r="F24" s="9">
        <f t="shared" si="8"/>
        <v>24395.395499999999</v>
      </c>
      <c r="G24" s="9">
        <f t="shared" si="8"/>
        <v>31409.071706249997</v>
      </c>
      <c r="H24" s="9">
        <f t="shared" si="8"/>
        <v>32351.3438574375</v>
      </c>
      <c r="I24" s="9">
        <f t="shared" si="8"/>
        <v>33321.884173160623</v>
      </c>
      <c r="J24" s="9">
        <f t="shared" si="8"/>
        <v>34321.540698355442</v>
      </c>
      <c r="K24" s="9">
        <f t="shared" si="8"/>
        <v>42421.424303167325</v>
      </c>
      <c r="L24" s="9">
        <f t="shared" si="8"/>
        <v>43694.067032262348</v>
      </c>
      <c r="M24" s="9">
        <f t="shared" si="8"/>
        <v>52505.703883768583</v>
      </c>
      <c r="N24" s="11">
        <v>0.75</v>
      </c>
      <c r="O24" t="s">
        <v>35</v>
      </c>
    </row>
    <row r="25" spans="1:15" x14ac:dyDescent="0.25">
      <c r="A25" s="2"/>
      <c r="B25" s="2"/>
      <c r="C25" s="2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5" x14ac:dyDescent="0.25">
      <c r="A26" s="2" t="s">
        <v>4</v>
      </c>
      <c r="B26" s="2"/>
      <c r="C26" s="2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5" x14ac:dyDescent="0.25">
      <c r="A27" s="2"/>
      <c r="B27" s="2" t="s">
        <v>5</v>
      </c>
      <c r="C27" s="2"/>
      <c r="D27" s="9">
        <v>20000</v>
      </c>
      <c r="E27" s="9">
        <f>D27*$C$20+D27</f>
        <v>20600</v>
      </c>
      <c r="F27" s="9">
        <f t="shared" ref="F27:M27" si="9">E27*$C$20+E27</f>
        <v>21218</v>
      </c>
      <c r="G27" s="9">
        <f t="shared" si="9"/>
        <v>21854.54</v>
      </c>
      <c r="H27" s="9">
        <f t="shared" si="9"/>
        <v>22510.176200000002</v>
      </c>
      <c r="I27" s="9">
        <f t="shared" si="9"/>
        <v>23185.481486000001</v>
      </c>
      <c r="J27" s="9">
        <f t="shared" si="9"/>
        <v>23881.04593058</v>
      </c>
      <c r="K27" s="9">
        <f t="shared" si="9"/>
        <v>24597.4773084974</v>
      </c>
      <c r="L27" s="9">
        <f t="shared" si="9"/>
        <v>25335.401627752322</v>
      </c>
      <c r="M27" s="9">
        <f t="shared" si="9"/>
        <v>26095.463676584892</v>
      </c>
    </row>
    <row r="28" spans="1:15" x14ac:dyDescent="0.25">
      <c r="A28" s="2"/>
      <c r="B28" s="2" t="s">
        <v>57</v>
      </c>
      <c r="C28" s="2"/>
      <c r="D28" s="9">
        <f>D7*D4</f>
        <v>266000</v>
      </c>
      <c r="E28" s="9">
        <f t="shared" ref="E28:M28" si="10">E7*E4</f>
        <v>273980</v>
      </c>
      <c r="F28" s="9">
        <f t="shared" si="10"/>
        <v>273980</v>
      </c>
      <c r="G28" s="9">
        <f t="shared" si="10"/>
        <v>273980</v>
      </c>
      <c r="H28" s="9">
        <f t="shared" si="10"/>
        <v>273980</v>
      </c>
      <c r="I28" s="9">
        <f t="shared" si="10"/>
        <v>273980</v>
      </c>
      <c r="J28" s="9">
        <f t="shared" si="10"/>
        <v>273980</v>
      </c>
      <c r="K28" s="9">
        <f t="shared" si="10"/>
        <v>273980</v>
      </c>
      <c r="L28" s="9">
        <f t="shared" si="10"/>
        <v>273980</v>
      </c>
      <c r="M28" s="9">
        <f t="shared" si="10"/>
        <v>273980</v>
      </c>
    </row>
    <row r="29" spans="1:15" x14ac:dyDescent="0.25">
      <c r="A29" s="2"/>
      <c r="B29" s="2" t="s">
        <v>60</v>
      </c>
      <c r="D29" s="30">
        <f>D6*$C$18*52</f>
        <v>62400</v>
      </c>
      <c r="E29" s="30">
        <f t="shared" ref="E29:M29" si="11">E6*$C$18*52</f>
        <v>62400</v>
      </c>
      <c r="F29" s="30">
        <f t="shared" si="11"/>
        <v>62400</v>
      </c>
      <c r="G29" s="30">
        <f t="shared" si="11"/>
        <v>62400</v>
      </c>
      <c r="H29" s="30">
        <f t="shared" si="11"/>
        <v>65520</v>
      </c>
      <c r="I29" s="30">
        <f t="shared" si="11"/>
        <v>65520</v>
      </c>
      <c r="J29" s="30">
        <f t="shared" si="11"/>
        <v>65520</v>
      </c>
      <c r="K29" s="30">
        <f t="shared" si="11"/>
        <v>65520</v>
      </c>
      <c r="L29" s="30">
        <f t="shared" si="11"/>
        <v>65520</v>
      </c>
      <c r="M29" s="30">
        <f t="shared" si="11"/>
        <v>65520</v>
      </c>
    </row>
    <row r="30" spans="1:15" x14ac:dyDescent="0.25">
      <c r="A30" s="2"/>
      <c r="B30" s="2" t="s">
        <v>6</v>
      </c>
      <c r="C30" s="2"/>
      <c r="D30" s="9">
        <f>D12*$C$13</f>
        <v>45000</v>
      </c>
      <c r="E30" s="9">
        <f t="shared" ref="E30:M30" si="12">E12*$C$13</f>
        <v>46350</v>
      </c>
      <c r="F30" s="9">
        <f t="shared" si="12"/>
        <v>47740.5</v>
      </c>
      <c r="G30" s="9">
        <f t="shared" si="12"/>
        <v>49172.715000000004</v>
      </c>
      <c r="H30" s="9">
        <f t="shared" si="12"/>
        <v>50647.89645</v>
      </c>
      <c r="I30" s="9">
        <f t="shared" si="12"/>
        <v>52167.333343500002</v>
      </c>
      <c r="J30" s="9">
        <f t="shared" si="12"/>
        <v>53732.353343805</v>
      </c>
      <c r="K30" s="9">
        <f t="shared" si="12"/>
        <v>55344.323944119147</v>
      </c>
      <c r="L30" s="9">
        <f t="shared" si="12"/>
        <v>57004.653662442724</v>
      </c>
      <c r="M30" s="9">
        <f t="shared" si="12"/>
        <v>58714.793272316005</v>
      </c>
    </row>
    <row r="31" spans="1:15" x14ac:dyDescent="0.25">
      <c r="A31" s="2"/>
      <c r="B31" s="2"/>
      <c r="C31" s="2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5" x14ac:dyDescent="0.25">
      <c r="A32" s="2"/>
      <c r="B32" s="2"/>
      <c r="C32" s="2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5" x14ac:dyDescent="0.25">
      <c r="A33" s="2" t="s">
        <v>109</v>
      </c>
      <c r="B33" s="2"/>
      <c r="C33" s="2"/>
      <c r="D33" s="9">
        <f>(D51/$N$51)</f>
        <v>30000</v>
      </c>
      <c r="E33" s="9">
        <f t="shared" ref="E33:M33" si="13">(E51/$N$51)</f>
        <v>30000</v>
      </c>
      <c r="F33" s="9">
        <f t="shared" si="13"/>
        <v>30000</v>
      </c>
      <c r="G33" s="9">
        <f t="shared" si="13"/>
        <v>30000</v>
      </c>
      <c r="H33" s="9">
        <f t="shared" si="13"/>
        <v>30000</v>
      </c>
      <c r="I33" s="9">
        <f t="shared" si="13"/>
        <v>30000</v>
      </c>
      <c r="J33" s="9">
        <f t="shared" si="13"/>
        <v>30000</v>
      </c>
      <c r="K33" s="9">
        <f t="shared" si="13"/>
        <v>30000</v>
      </c>
      <c r="L33" s="9">
        <f t="shared" si="13"/>
        <v>30000</v>
      </c>
      <c r="M33" s="9">
        <f t="shared" si="13"/>
        <v>30000</v>
      </c>
    </row>
    <row r="34" spans="1:15" x14ac:dyDescent="0.25">
      <c r="A34" s="2" t="s">
        <v>110</v>
      </c>
      <c r="B34" s="2"/>
      <c r="C34" s="2"/>
      <c r="D34" s="9">
        <f>(D52/$N$52)</f>
        <v>3000</v>
      </c>
      <c r="E34" s="9">
        <f t="shared" ref="E34:G34" si="14">(E52/$N$52)</f>
        <v>3000</v>
      </c>
      <c r="F34" s="9">
        <f t="shared" si="14"/>
        <v>3000</v>
      </c>
      <c r="G34" s="9">
        <f t="shared" si="14"/>
        <v>3000</v>
      </c>
      <c r="H34" s="9">
        <f>($H$52/$N$52)</f>
        <v>3000</v>
      </c>
      <c r="I34" s="9">
        <f t="shared" ref="I34:M34" si="15">($H$52/$N$52)</f>
        <v>3000</v>
      </c>
      <c r="J34" s="9">
        <f t="shared" si="15"/>
        <v>3000</v>
      </c>
      <c r="K34" s="9">
        <f t="shared" si="15"/>
        <v>3000</v>
      </c>
      <c r="L34" s="9">
        <f t="shared" si="15"/>
        <v>3000</v>
      </c>
      <c r="M34" s="9">
        <f t="shared" si="15"/>
        <v>3000</v>
      </c>
    </row>
    <row r="35" spans="1:15" x14ac:dyDescent="0.25">
      <c r="A35" s="2"/>
      <c r="B35" s="2"/>
      <c r="C35" s="2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5" x14ac:dyDescent="0.25">
      <c r="A36" s="2" t="s">
        <v>7</v>
      </c>
      <c r="B36" s="2"/>
      <c r="C36" s="2"/>
      <c r="D36" s="9">
        <f>Mortgage!D14</f>
        <v>32798.271317713632</v>
      </c>
      <c r="E36" s="9">
        <f>Mortgage!D28</f>
        <v>32342.352711507581</v>
      </c>
      <c r="F36" s="9">
        <f>Mortgage!D42</f>
        <v>31860.716712215504</v>
      </c>
      <c r="G36" s="9">
        <f>Mortgage!D56</f>
        <v>31351.91265671869</v>
      </c>
      <c r="H36" s="9">
        <f>Mortgage!D70</f>
        <v>30814.408053095827</v>
      </c>
      <c r="I36" s="9">
        <f>Mortgage!D84</f>
        <v>30246.583964835223</v>
      </c>
      <c r="J36" s="9">
        <f>Mortgage!D98</f>
        <v>29646.730134680463</v>
      </c>
      <c r="K36" s="9">
        <f>Mortgage!D112</f>
        <v>29013.039833422601</v>
      </c>
      <c r="L36" s="9">
        <f>Mortgage!D126</f>
        <v>28343.60441812373</v>
      </c>
      <c r="M36" s="9">
        <f>Mortgage!D140</f>
        <v>27636.407583381551</v>
      </c>
    </row>
    <row r="37" spans="1:15" x14ac:dyDescent="0.25">
      <c r="A37" s="2" t="s">
        <v>8</v>
      </c>
      <c r="B37" s="2"/>
      <c r="C37" s="2"/>
      <c r="D37" s="32">
        <f>D64*$N$37</f>
        <v>29403.672017114881</v>
      </c>
      <c r="E37" s="32">
        <f>E64*$N$37</f>
        <v>37436.556743132343</v>
      </c>
      <c r="F37" s="32">
        <f>F64*$N$37</f>
        <v>44975.066303152918</v>
      </c>
      <c r="G37" s="32">
        <f>G64*$N$37</f>
        <v>33186.075516412413</v>
      </c>
      <c r="H37" s="32">
        <f t="shared" ref="H37:M37" si="16">H64*$N$37</f>
        <v>18979.7166714058</v>
      </c>
      <c r="I37" s="32">
        <f t="shared" si="16"/>
        <v>3489.2339600430569</v>
      </c>
      <c r="J37" s="32">
        <f t="shared" si="16"/>
        <v>0</v>
      </c>
      <c r="K37" s="32">
        <f t="shared" si="16"/>
        <v>0</v>
      </c>
      <c r="L37" s="32">
        <f t="shared" si="16"/>
        <v>0</v>
      </c>
      <c r="M37" s="32">
        <f t="shared" si="16"/>
        <v>0</v>
      </c>
      <c r="N37" s="11">
        <v>0.15</v>
      </c>
      <c r="O37" t="s">
        <v>92</v>
      </c>
    </row>
    <row r="38" spans="1:15" x14ac:dyDescent="0.25">
      <c r="A38" s="2"/>
      <c r="B38" s="2"/>
      <c r="C38" s="2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5" x14ac:dyDescent="0.25">
      <c r="A39" s="2" t="s">
        <v>9</v>
      </c>
      <c r="B39" s="2"/>
      <c r="C39" s="2"/>
      <c r="D39" s="9">
        <f>D23+D22-D24-D27-D28-D30-D33-D34-D36-D37-D29</f>
        <v>-72136.943334828509</v>
      </c>
      <c r="E39" s="9">
        <f t="shared" ref="E39:M39" si="17">E23+E22-E24-E27-E28-E30-E33-E34-E36-E37-E29</f>
        <v>-77149.959454639917</v>
      </c>
      <c r="F39" s="9">
        <f t="shared" si="17"/>
        <v>-73346.564515368402</v>
      </c>
      <c r="G39" s="9">
        <f t="shared" si="17"/>
        <v>63907.944395618862</v>
      </c>
      <c r="H39" s="9">
        <f t="shared" si="17"/>
        <v>90466.585821310873</v>
      </c>
      <c r="I39" s="9">
        <f t="shared" si="17"/>
        <v>121907.71393730861</v>
      </c>
      <c r="J39" s="9">
        <f t="shared" si="17"/>
        <v>141841.1076833721</v>
      </c>
      <c r="K39" s="9">
        <f t="shared" si="17"/>
        <v>286844.28796021355</v>
      </c>
      <c r="L39" s="9">
        <f t="shared" si="17"/>
        <v>308164.44320932159</v>
      </c>
      <c r="M39" s="9">
        <f t="shared" si="17"/>
        <v>465989.97247374873</v>
      </c>
      <c r="N39" s="12">
        <v>7.3999999999999996E-2</v>
      </c>
      <c r="O39" s="9" t="s">
        <v>33</v>
      </c>
    </row>
    <row r="40" spans="1:15" x14ac:dyDescent="0.25">
      <c r="A40" s="2" t="s">
        <v>10</v>
      </c>
      <c r="B40" s="2"/>
      <c r="C40" s="2"/>
      <c r="D40" s="9">
        <f>IF(D39&lt;0,0,D39*($N$40+$N$39))</f>
        <v>0</v>
      </c>
      <c r="E40" s="9">
        <f t="shared" ref="E40:F40" si="18">IF(E39&lt;0,0,E39*($N$40+$N$39))</f>
        <v>0</v>
      </c>
      <c r="F40" s="9">
        <f t="shared" si="18"/>
        <v>0</v>
      </c>
      <c r="G40" s="9">
        <f t="shared" ref="G40:M40" si="19">G39*($N$40+$N$39)</f>
        <v>17510.776764399568</v>
      </c>
      <c r="H40" s="9">
        <f t="shared" si="19"/>
        <v>24787.844515039182</v>
      </c>
      <c r="I40" s="9">
        <f t="shared" si="19"/>
        <v>33402.713618822563</v>
      </c>
      <c r="J40" s="9">
        <f t="shared" si="19"/>
        <v>38864.463505243955</v>
      </c>
      <c r="K40" s="9">
        <f t="shared" si="19"/>
        <v>78595.334901098526</v>
      </c>
      <c r="L40" s="9">
        <f t="shared" si="19"/>
        <v>84437.057439354117</v>
      </c>
      <c r="M40" s="9">
        <f t="shared" si="19"/>
        <v>127681.25245780716</v>
      </c>
      <c r="N40" s="11">
        <v>0.2</v>
      </c>
      <c r="O40" s="9" t="s">
        <v>34</v>
      </c>
    </row>
    <row r="41" spans="1:15" x14ac:dyDescent="0.25">
      <c r="A41" s="2" t="s">
        <v>11</v>
      </c>
      <c r="B41" s="2"/>
      <c r="C41" s="2"/>
      <c r="D41" s="9">
        <f>D39-D40</f>
        <v>-72136.943334828509</v>
      </c>
      <c r="E41" s="9">
        <f t="shared" ref="E41:M41" si="20">E39-E40</f>
        <v>-77149.959454639917</v>
      </c>
      <c r="F41" s="9">
        <f t="shared" si="20"/>
        <v>-73346.564515368402</v>
      </c>
      <c r="G41" s="9">
        <f t="shared" si="20"/>
        <v>46397.167631219294</v>
      </c>
      <c r="H41" s="9">
        <f t="shared" si="20"/>
        <v>65678.741306271695</v>
      </c>
      <c r="I41" s="9">
        <f t="shared" si="20"/>
        <v>88505.00031848604</v>
      </c>
      <c r="J41" s="9">
        <f t="shared" si="20"/>
        <v>102976.64417812815</v>
      </c>
      <c r="K41" s="9">
        <f t="shared" si="20"/>
        <v>208248.95305911504</v>
      </c>
      <c r="L41" s="9">
        <f t="shared" si="20"/>
        <v>223727.38576996746</v>
      </c>
      <c r="M41" s="9">
        <f t="shared" si="20"/>
        <v>338308.72001594154</v>
      </c>
    </row>
    <row r="42" spans="1:15" x14ac:dyDescent="0.25">
      <c r="A42" s="2"/>
      <c r="B42" s="2"/>
      <c r="C42" s="2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5" x14ac:dyDescent="0.25">
      <c r="A43" s="1" t="s">
        <v>12</v>
      </c>
      <c r="B43" s="1"/>
      <c r="C43" s="2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5" x14ac:dyDescent="0.25">
      <c r="A44" s="1" t="s">
        <v>13</v>
      </c>
      <c r="B44" s="1"/>
      <c r="C44" s="2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5" x14ac:dyDescent="0.25">
      <c r="A45" s="2"/>
      <c r="B45" s="2" t="s">
        <v>14</v>
      </c>
      <c r="C45" s="2"/>
      <c r="D45" s="9">
        <v>5000</v>
      </c>
      <c r="E45" s="9">
        <v>5000</v>
      </c>
      <c r="F45" s="9">
        <v>5000</v>
      </c>
      <c r="G45" s="9">
        <v>5000</v>
      </c>
      <c r="H45" s="9">
        <v>5000</v>
      </c>
      <c r="I45" s="9">
        <v>5000</v>
      </c>
      <c r="J45" s="9">
        <v>5000</v>
      </c>
      <c r="K45" s="9">
        <v>5000</v>
      </c>
      <c r="L45" s="9">
        <v>5000</v>
      </c>
      <c r="M45" s="9">
        <v>5000</v>
      </c>
    </row>
    <row r="46" spans="1:15" x14ac:dyDescent="0.25">
      <c r="A46" s="2"/>
      <c r="B46" s="2" t="s">
        <v>15</v>
      </c>
      <c r="C46" s="2"/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105690.52300449202</v>
      </c>
      <c r="K46" s="9">
        <v>364656.1496574523</v>
      </c>
      <c r="L46" s="9">
        <v>613093.86103560426</v>
      </c>
      <c r="M46" s="9">
        <v>1003364.3586175992</v>
      </c>
    </row>
    <row r="47" spans="1:15" x14ac:dyDescent="0.25">
      <c r="A47" s="2"/>
      <c r="B47" s="2" t="s">
        <v>16</v>
      </c>
      <c r="C47" s="2"/>
      <c r="D47" s="9">
        <f>$C$14/365*(D23+D22)</f>
        <v>24080</v>
      </c>
      <c r="E47" s="9">
        <f t="shared" ref="E47:M47" si="21">$C$14/365*(E23+E22)</f>
        <v>24802.399999999998</v>
      </c>
      <c r="F47" s="9">
        <f t="shared" si="21"/>
        <v>25546.471999999998</v>
      </c>
      <c r="G47" s="9">
        <f t="shared" si="21"/>
        <v>32891.082699999999</v>
      </c>
      <c r="H47" s="9">
        <f t="shared" si="21"/>
        <v>33877.815180999998</v>
      </c>
      <c r="I47" s="9">
        <f t="shared" si="21"/>
        <v>34894.149636430004</v>
      </c>
      <c r="J47" s="9">
        <f t="shared" si="21"/>
        <v>35940.974125522902</v>
      </c>
      <c r="K47" s="9">
        <f t="shared" si="21"/>
        <v>44423.044019146306</v>
      </c>
      <c r="L47" s="9">
        <f t="shared" si="21"/>
        <v>45755.73533972069</v>
      </c>
      <c r="M47" s="9">
        <f t="shared" si="21"/>
        <v>54983.14196656437</v>
      </c>
    </row>
    <row r="48" spans="1:15" x14ac:dyDescent="0.25">
      <c r="A48" s="2"/>
      <c r="B48" s="2" t="s">
        <v>17</v>
      </c>
      <c r="C48" s="2"/>
      <c r="D48" s="9">
        <f>D24/365*$C$16</f>
        <v>5670</v>
      </c>
      <c r="E48" s="9">
        <f t="shared" ref="E48:M48" si="22">E24/365*$C$16</f>
        <v>5840.1</v>
      </c>
      <c r="F48" s="9">
        <f t="shared" si="22"/>
        <v>6015.302999999999</v>
      </c>
      <c r="G48" s="9">
        <f t="shared" si="22"/>
        <v>7744.7026125000002</v>
      </c>
      <c r="H48" s="9">
        <f t="shared" si="22"/>
        <v>7977.0436908750007</v>
      </c>
      <c r="I48" s="9">
        <f t="shared" si="22"/>
        <v>8216.3550016012505</v>
      </c>
      <c r="J48" s="9">
        <f t="shared" si="22"/>
        <v>8462.8456516492879</v>
      </c>
      <c r="K48" s="9">
        <f t="shared" si="22"/>
        <v>10460.077225438517</v>
      </c>
      <c r="L48" s="9">
        <f t="shared" si="22"/>
        <v>10773.879542201674</v>
      </c>
      <c r="M48" s="9">
        <f t="shared" si="22"/>
        <v>12946.611916545678</v>
      </c>
    </row>
    <row r="49" spans="1:19" x14ac:dyDescent="0.25">
      <c r="A49" s="2"/>
      <c r="B49" s="2"/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9" x14ac:dyDescent="0.25">
      <c r="A50" s="2"/>
      <c r="B50" s="2" t="s">
        <v>94</v>
      </c>
      <c r="C50" s="2"/>
      <c r="D50" s="9">
        <v>150000</v>
      </c>
      <c r="E50" s="9">
        <v>150000</v>
      </c>
      <c r="F50" s="9">
        <v>150000</v>
      </c>
      <c r="G50" s="9">
        <v>150000</v>
      </c>
      <c r="H50" s="9">
        <v>150000</v>
      </c>
      <c r="I50" s="9">
        <v>150000</v>
      </c>
      <c r="J50" s="9">
        <v>150000</v>
      </c>
      <c r="K50" s="9">
        <v>150000</v>
      </c>
      <c r="L50" s="9">
        <v>150000</v>
      </c>
      <c r="M50" s="9">
        <v>150000</v>
      </c>
    </row>
    <row r="51" spans="1:19" x14ac:dyDescent="0.25">
      <c r="A51" s="2"/>
      <c r="B51" s="2" t="s">
        <v>18</v>
      </c>
      <c r="C51" s="2"/>
      <c r="D51" s="9">
        <f>Mortgage!I6</f>
        <v>600000</v>
      </c>
      <c r="E51" s="9">
        <f>$D$51</f>
        <v>600000</v>
      </c>
      <c r="F51" s="9">
        <f t="shared" ref="F51:M51" si="23">$D$51</f>
        <v>600000</v>
      </c>
      <c r="G51" s="9">
        <f t="shared" si="23"/>
        <v>600000</v>
      </c>
      <c r="H51" s="9">
        <f t="shared" si="23"/>
        <v>600000</v>
      </c>
      <c r="I51" s="9">
        <f t="shared" si="23"/>
        <v>600000</v>
      </c>
      <c r="J51" s="9">
        <f t="shared" si="23"/>
        <v>600000</v>
      </c>
      <c r="K51" s="9">
        <f t="shared" si="23"/>
        <v>600000</v>
      </c>
      <c r="L51" s="9">
        <f t="shared" si="23"/>
        <v>600000</v>
      </c>
      <c r="M51" s="9">
        <f t="shared" si="23"/>
        <v>600000</v>
      </c>
      <c r="N51" s="10">
        <v>20</v>
      </c>
      <c r="O51" s="9" t="s">
        <v>32</v>
      </c>
    </row>
    <row r="52" spans="1:19" x14ac:dyDescent="0.25">
      <c r="A52" s="2"/>
      <c r="B52" s="2" t="s">
        <v>95</v>
      </c>
      <c r="C52" s="2"/>
      <c r="D52" s="9">
        <v>15000</v>
      </c>
      <c r="E52" s="9">
        <v>15000</v>
      </c>
      <c r="F52" s="9">
        <v>15000</v>
      </c>
      <c r="G52" s="9">
        <v>15000</v>
      </c>
      <c r="H52" s="9">
        <v>15000</v>
      </c>
      <c r="I52" s="9">
        <v>30000</v>
      </c>
      <c r="J52" s="9">
        <v>30000</v>
      </c>
      <c r="K52" s="9">
        <v>30000</v>
      </c>
      <c r="L52" s="9">
        <v>30000</v>
      </c>
      <c r="M52" s="9">
        <v>30000</v>
      </c>
      <c r="N52" s="10">
        <v>5</v>
      </c>
      <c r="O52" t="s">
        <v>32</v>
      </c>
      <c r="P52" s="9"/>
    </row>
    <row r="53" spans="1:19" x14ac:dyDescent="0.25">
      <c r="A53" s="2"/>
      <c r="B53" s="2" t="s">
        <v>115</v>
      </c>
      <c r="C53" s="2"/>
      <c r="D53" s="9">
        <f>C53+$D$33</f>
        <v>30000</v>
      </c>
      <c r="E53" s="9">
        <f t="shared" ref="E53:M53" si="24">D53+$D$33</f>
        <v>60000</v>
      </c>
      <c r="F53" s="9">
        <f t="shared" si="24"/>
        <v>90000</v>
      </c>
      <c r="G53" s="9">
        <f t="shared" si="24"/>
        <v>120000</v>
      </c>
      <c r="H53" s="9">
        <f t="shared" si="24"/>
        <v>150000</v>
      </c>
      <c r="I53" s="9">
        <f t="shared" si="24"/>
        <v>180000</v>
      </c>
      <c r="J53" s="9">
        <f>I53+$D$33</f>
        <v>210000</v>
      </c>
      <c r="K53" s="9">
        <f t="shared" si="24"/>
        <v>240000</v>
      </c>
      <c r="L53" s="9">
        <f t="shared" si="24"/>
        <v>270000</v>
      </c>
      <c r="M53" s="9">
        <f t="shared" si="24"/>
        <v>300000</v>
      </c>
      <c r="P53" t="s">
        <v>114</v>
      </c>
      <c r="R53">
        <v>4</v>
      </c>
    </row>
    <row r="54" spans="1:19" x14ac:dyDescent="0.25">
      <c r="A54" s="2"/>
      <c r="B54" s="2" t="s">
        <v>111</v>
      </c>
      <c r="C54" s="2"/>
      <c r="D54" s="9">
        <f>$D$34+C54</f>
        <v>3000</v>
      </c>
      <c r="E54" s="9">
        <f t="shared" ref="E54:H54" si="25">$D$34+D54</f>
        <v>6000</v>
      </c>
      <c r="F54" s="9">
        <f t="shared" si="25"/>
        <v>9000</v>
      </c>
      <c r="G54" s="9">
        <f t="shared" si="25"/>
        <v>12000</v>
      </c>
      <c r="H54" s="9">
        <f t="shared" si="25"/>
        <v>15000</v>
      </c>
      <c r="I54" s="9">
        <f>$I$34+H54</f>
        <v>18000</v>
      </c>
      <c r="J54" s="9">
        <f t="shared" ref="J54:M54" si="26">$I$34+I54</f>
        <v>21000</v>
      </c>
      <c r="K54" s="9">
        <f t="shared" si="26"/>
        <v>24000</v>
      </c>
      <c r="L54" s="9">
        <f t="shared" si="26"/>
        <v>27000</v>
      </c>
      <c r="M54" s="9">
        <f t="shared" si="26"/>
        <v>30000</v>
      </c>
    </row>
    <row r="55" spans="1:19" x14ac:dyDescent="0.25">
      <c r="A55" s="2"/>
      <c r="B55" s="2"/>
      <c r="C55" s="2"/>
      <c r="D55" s="9"/>
      <c r="E55" s="9"/>
      <c r="F55" s="9"/>
      <c r="G55" s="9"/>
      <c r="H55" s="9"/>
      <c r="I55" s="9"/>
      <c r="J55" s="9"/>
      <c r="K55" s="9"/>
      <c r="L55" s="9"/>
      <c r="M55" s="9"/>
      <c r="O55" t="s">
        <v>101</v>
      </c>
    </row>
    <row r="56" spans="1:19" x14ac:dyDescent="0.25">
      <c r="A56" s="1" t="s">
        <v>19</v>
      </c>
      <c r="B56" s="1"/>
      <c r="C56" s="2"/>
      <c r="D56" s="9">
        <f>SUM(D45:D52)-D53-D54</f>
        <v>766750</v>
      </c>
      <c r="E56" s="9">
        <f t="shared" ref="E56:M56" si="27">SUM(E45:E52)-E53-E54</f>
        <v>734642.5</v>
      </c>
      <c r="F56" s="9">
        <f t="shared" si="27"/>
        <v>702561.77500000002</v>
      </c>
      <c r="G56" s="9">
        <f t="shared" si="27"/>
        <v>678635.78531249997</v>
      </c>
      <c r="H56" s="9">
        <f t="shared" si="27"/>
        <v>646854.85887187498</v>
      </c>
      <c r="I56" s="9">
        <f t="shared" si="27"/>
        <v>630110.50463803124</v>
      </c>
      <c r="J56" s="9">
        <f t="shared" si="27"/>
        <v>704094.34278166422</v>
      </c>
      <c r="K56" s="9">
        <f t="shared" si="27"/>
        <v>940539.27090203715</v>
      </c>
      <c r="L56" s="9">
        <f t="shared" si="27"/>
        <v>1157623.4759175265</v>
      </c>
      <c r="M56" s="9">
        <f t="shared" si="27"/>
        <v>1526294.1125007095</v>
      </c>
      <c r="P56" t="s">
        <v>113</v>
      </c>
      <c r="R56" s="42">
        <f>R53*(1+(1-$N$40+$N$39)*((P63+P64)/(P67+P68)))</f>
        <v>19.547070989156612</v>
      </c>
    </row>
    <row r="57" spans="1:19" x14ac:dyDescent="0.25">
      <c r="A57" s="1"/>
      <c r="B57" s="2"/>
      <c r="C57" s="2"/>
      <c r="D57" s="9"/>
      <c r="E57" s="9"/>
      <c r="F57" s="9"/>
      <c r="G57" s="9"/>
      <c r="H57" s="9"/>
      <c r="I57" s="9"/>
      <c r="J57" s="9"/>
      <c r="K57" s="9"/>
      <c r="L57" s="9"/>
      <c r="M57" s="9"/>
      <c r="P57" t="s">
        <v>102</v>
      </c>
      <c r="R57" s="17">
        <v>0.05</v>
      </c>
    </row>
    <row r="58" spans="1:19" x14ac:dyDescent="0.25">
      <c r="A58" s="1" t="s">
        <v>20</v>
      </c>
      <c r="B58" s="1"/>
      <c r="C58" s="2"/>
      <c r="D58" s="9"/>
      <c r="E58" s="9"/>
      <c r="F58" s="9"/>
      <c r="G58" s="9"/>
      <c r="H58" s="9"/>
      <c r="I58" s="9"/>
      <c r="J58" s="9"/>
      <c r="K58" s="9"/>
      <c r="L58" s="9"/>
      <c r="M58" s="9"/>
      <c r="P58" t="s">
        <v>103</v>
      </c>
      <c r="R58" s="45">
        <v>0.12</v>
      </c>
    </row>
    <row r="59" spans="1:19" x14ac:dyDescent="0.25">
      <c r="A59" s="2" t="s">
        <v>100</v>
      </c>
      <c r="B59" s="2"/>
      <c r="C59" s="2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9" x14ac:dyDescent="0.25">
      <c r="A60" s="2"/>
      <c r="B60" s="2" t="s">
        <v>21</v>
      </c>
      <c r="C60" s="2"/>
      <c r="D60" s="9">
        <f>D24/365*$C$17</f>
        <v>945</v>
      </c>
      <c r="E60" s="9">
        <f t="shared" ref="E60:M60" si="28">E24/365*$C$17</f>
        <v>973.35</v>
      </c>
      <c r="F60" s="9">
        <f t="shared" si="28"/>
        <v>1002.5504999999999</v>
      </c>
      <c r="G60" s="9">
        <f t="shared" si="28"/>
        <v>1290.78376875</v>
      </c>
      <c r="H60" s="9">
        <f t="shared" si="28"/>
        <v>1329.5072818125</v>
      </c>
      <c r="I60" s="9">
        <f t="shared" si="28"/>
        <v>1369.392500266875</v>
      </c>
      <c r="J60" s="9">
        <f t="shared" si="28"/>
        <v>1410.4742752748812</v>
      </c>
      <c r="K60" s="9">
        <f t="shared" si="28"/>
        <v>1743.346204239753</v>
      </c>
      <c r="L60" s="9">
        <f t="shared" si="28"/>
        <v>1795.6465903669457</v>
      </c>
      <c r="M60" s="9">
        <f t="shared" si="28"/>
        <v>2157.7686527576129</v>
      </c>
      <c r="P60" t="s">
        <v>104</v>
      </c>
      <c r="R60" s="17">
        <f>R56*(R58-R57)+R57</f>
        <v>1.4182949692409628</v>
      </c>
    </row>
    <row r="61" spans="1:19" x14ac:dyDescent="0.25">
      <c r="A61" s="2"/>
      <c r="B61" s="2" t="s">
        <v>22</v>
      </c>
      <c r="C61" s="2"/>
      <c r="D61" s="9">
        <f>D40</f>
        <v>0</v>
      </c>
      <c r="E61" s="9">
        <f t="shared" ref="E61:L61" si="29">E40</f>
        <v>0</v>
      </c>
      <c r="F61" s="9">
        <f t="shared" si="29"/>
        <v>0</v>
      </c>
      <c r="G61" s="9">
        <f t="shared" si="29"/>
        <v>17510.776764399568</v>
      </c>
      <c r="H61" s="9">
        <f t="shared" si="29"/>
        <v>24787.844515039182</v>
      </c>
      <c r="I61" s="9">
        <f t="shared" si="29"/>
        <v>33402.713618822563</v>
      </c>
      <c r="J61" s="9">
        <f t="shared" si="29"/>
        <v>38864.463505243955</v>
      </c>
      <c r="K61" s="9">
        <f t="shared" si="29"/>
        <v>78595.334901098526</v>
      </c>
      <c r="L61" s="9">
        <f t="shared" si="29"/>
        <v>84437.057439354117</v>
      </c>
      <c r="M61" s="9">
        <f>M40</f>
        <v>127681.25245780716</v>
      </c>
    </row>
    <row r="62" spans="1:19" x14ac:dyDescent="0.25">
      <c r="A62" s="2"/>
      <c r="B62" s="2"/>
      <c r="C62" s="2"/>
      <c r="D62" s="9"/>
      <c r="E62" s="9"/>
      <c r="F62" s="9"/>
      <c r="G62" s="9"/>
      <c r="H62" s="9"/>
      <c r="I62" s="9"/>
      <c r="J62" s="9"/>
      <c r="K62" s="9"/>
      <c r="L62" s="9"/>
      <c r="M62" s="9"/>
      <c r="O62" t="s">
        <v>105</v>
      </c>
      <c r="P62" t="s">
        <v>106</v>
      </c>
      <c r="Q62" t="s">
        <v>41</v>
      </c>
      <c r="R62" t="s">
        <v>107</v>
      </c>
      <c r="S62" t="s">
        <v>108</v>
      </c>
    </row>
    <row r="63" spans="1:19" x14ac:dyDescent="0.25">
      <c r="A63" s="2"/>
      <c r="B63" s="2" t="s">
        <v>23</v>
      </c>
      <c r="C63" s="2"/>
      <c r="D63" s="9">
        <f>Mortgage!F13</f>
        <v>591917.46322072938</v>
      </c>
      <c r="E63" s="9">
        <f>Mortgage!F27</f>
        <v>583379.00783525291</v>
      </c>
      <c r="F63" s="9">
        <f>Mortgage!F41</f>
        <v>574358.91645048419</v>
      </c>
      <c r="G63" s="9">
        <f>Mortgage!F55</f>
        <v>564830.02101021854</v>
      </c>
      <c r="H63" s="9">
        <f>Mortgage!F69</f>
        <v>554763.62096633029</v>
      </c>
      <c r="I63" s="9">
        <f>Mortgage!F83</f>
        <v>544129.39683418104</v>
      </c>
      <c r="J63" s="9">
        <f>Mortgage!F97</f>
        <v>532895.31887187704</v>
      </c>
      <c r="K63" s="9">
        <f>Mortgage!F111</f>
        <v>521027.55060831539</v>
      </c>
      <c r="L63" s="9">
        <f>Mortgage!F125</f>
        <v>508490.34692945494</v>
      </c>
      <c r="M63" s="9">
        <f>Mortgage!F139</f>
        <v>495245.94641585235</v>
      </c>
      <c r="O63" s="9">
        <f>AVERAGE(D63:M63)</f>
        <v>547103.75891426974</v>
      </c>
      <c r="P63" s="17">
        <f>O63/$O$70</f>
        <v>0.67804769490093131</v>
      </c>
      <c r="Q63" s="11">
        <v>0.06</v>
      </c>
      <c r="R63" s="17">
        <f>Q63*(1-$N$39*$N$40)</f>
        <v>5.9111999999999998E-2</v>
      </c>
      <c r="S63" s="17">
        <f>R63*P63</f>
        <v>4.0080755340983848E-2</v>
      </c>
    </row>
    <row r="64" spans="1:19" x14ac:dyDescent="0.25">
      <c r="A64" s="2"/>
      <c r="B64" s="2" t="s">
        <v>24</v>
      </c>
      <c r="C64" s="2"/>
      <c r="D64" s="9">
        <v>196024.48011409922</v>
      </c>
      <c r="E64" s="9">
        <v>249577.04495421564</v>
      </c>
      <c r="F64" s="9">
        <v>299833.77535435278</v>
      </c>
      <c r="G64" s="9">
        <v>221240.50344274944</v>
      </c>
      <c r="H64" s="9">
        <v>126531.44447603867</v>
      </c>
      <c r="I64" s="9">
        <v>23261.559733620379</v>
      </c>
      <c r="J64" s="9">
        <v>0</v>
      </c>
      <c r="K64" s="9">
        <v>0</v>
      </c>
      <c r="L64" s="9">
        <v>0</v>
      </c>
      <c r="M64" s="9">
        <v>0</v>
      </c>
      <c r="O64" s="9">
        <f>AVERAGE(D64:M64)</f>
        <v>111646.88080750762</v>
      </c>
      <c r="P64" s="17">
        <f t="shared" ref="P64:P68" si="30">O64/$O$70</f>
        <v>0.13836847022334559</v>
      </c>
      <c r="Q64" s="11">
        <v>0.15</v>
      </c>
      <c r="R64" s="17">
        <f>Q64*(1-$N$39*$N$40)</f>
        <v>0.14777999999999999</v>
      </c>
      <c r="S64" s="17">
        <f>R64*P64</f>
        <v>2.0448092529606009E-2</v>
      </c>
    </row>
    <row r="65" spans="1:19" x14ac:dyDescent="0.25">
      <c r="A65" s="2"/>
      <c r="B65" s="2"/>
      <c r="C65" s="2"/>
      <c r="D65" s="9"/>
      <c r="E65" s="9"/>
      <c r="F65" s="9"/>
      <c r="G65" s="9"/>
      <c r="H65" s="9"/>
      <c r="I65" s="9"/>
      <c r="J65" s="9"/>
      <c r="K65" s="9"/>
      <c r="L65" s="9"/>
      <c r="M65" s="9"/>
      <c r="P65" s="17"/>
    </row>
    <row r="66" spans="1:19" x14ac:dyDescent="0.25">
      <c r="A66" s="2" t="s">
        <v>25</v>
      </c>
      <c r="B66" s="2"/>
      <c r="C66" s="2"/>
      <c r="D66" s="9"/>
      <c r="E66" s="9"/>
      <c r="F66" s="9"/>
      <c r="G66" s="9"/>
      <c r="H66" s="9"/>
      <c r="I66" s="9"/>
      <c r="J66" s="9"/>
      <c r="K66" s="9"/>
      <c r="L66" s="9"/>
      <c r="M66" s="9"/>
      <c r="P66" s="17"/>
    </row>
    <row r="67" spans="1:19" x14ac:dyDescent="0.25">
      <c r="A67" s="2"/>
      <c r="B67" s="2" t="s">
        <v>26</v>
      </c>
      <c r="C67" s="2"/>
      <c r="D67" s="9">
        <v>50000</v>
      </c>
      <c r="E67" s="9">
        <v>50000</v>
      </c>
      <c r="F67" s="9">
        <v>50000</v>
      </c>
      <c r="G67" s="9">
        <v>50000</v>
      </c>
      <c r="H67" s="9">
        <v>50000</v>
      </c>
      <c r="I67" s="9">
        <v>50000</v>
      </c>
      <c r="J67" s="9">
        <v>50000</v>
      </c>
      <c r="K67" s="9">
        <v>50000</v>
      </c>
      <c r="L67" s="9">
        <v>50000</v>
      </c>
      <c r="M67" s="9">
        <v>50000</v>
      </c>
      <c r="O67" s="9">
        <f>AVERAGE(D67:M67)</f>
        <v>50000</v>
      </c>
      <c r="P67" s="17">
        <f t="shared" si="30"/>
        <v>6.196701117960883E-2</v>
      </c>
      <c r="Q67" s="17">
        <f>R60</f>
        <v>1.4182949692409628</v>
      </c>
      <c r="R67" s="17">
        <f>Q67*(1-$N$39*$N$40)</f>
        <v>1.3973042036961965</v>
      </c>
      <c r="S67" s="17">
        <f>R67*P67</f>
        <v>8.6586765211756622E-2</v>
      </c>
    </row>
    <row r="68" spans="1:19" x14ac:dyDescent="0.25">
      <c r="A68" s="2"/>
      <c r="B68" s="3" t="s">
        <v>27</v>
      </c>
      <c r="C68" s="3"/>
      <c r="D68" s="9">
        <f>C68+D41</f>
        <v>-72136.943334828509</v>
      </c>
      <c r="E68" s="9">
        <f>D68+E41</f>
        <v>-149286.90278946841</v>
      </c>
      <c r="F68" s="9">
        <f t="shared" ref="F68:M68" si="31">E68+F41</f>
        <v>-222633.46730483681</v>
      </c>
      <c r="G68" s="9">
        <f t="shared" si="31"/>
        <v>-176236.29967361753</v>
      </c>
      <c r="H68" s="9">
        <f t="shared" si="31"/>
        <v>-110557.55836734583</v>
      </c>
      <c r="I68" s="9">
        <f t="shared" si="31"/>
        <v>-22052.558048859792</v>
      </c>
      <c r="J68" s="9">
        <f t="shared" si="31"/>
        <v>80924.086129268355</v>
      </c>
      <c r="K68" s="9">
        <f t="shared" si="31"/>
        <v>289173.03918838338</v>
      </c>
      <c r="L68" s="9">
        <f t="shared" si="31"/>
        <v>512900.42495835084</v>
      </c>
      <c r="M68" s="9">
        <f t="shared" si="31"/>
        <v>851209.14497429237</v>
      </c>
      <c r="O68" s="9">
        <f>AVERAGE(D68:M68)</f>
        <v>98130.296573133804</v>
      </c>
      <c r="P68" s="17">
        <f t="shared" si="30"/>
        <v>0.12161682369611425</v>
      </c>
    </row>
    <row r="69" spans="1:19" x14ac:dyDescent="0.25">
      <c r="A69" s="2"/>
      <c r="B69" s="2"/>
      <c r="C69" s="2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9" x14ac:dyDescent="0.25">
      <c r="A70" s="1" t="s">
        <v>28</v>
      </c>
      <c r="B70" s="1"/>
      <c r="C70" s="2"/>
      <c r="D70" s="9">
        <f>SUM(D60:D68)</f>
        <v>766750.00000000012</v>
      </c>
      <c r="E70" s="9">
        <f t="shared" ref="E70:M70" si="32">SUM(E60:E68)</f>
        <v>734642.50000000012</v>
      </c>
      <c r="F70" s="9">
        <f t="shared" si="32"/>
        <v>702561.77500000014</v>
      </c>
      <c r="G70" s="9">
        <f t="shared" si="32"/>
        <v>678635.78531249985</v>
      </c>
      <c r="H70" s="9">
        <f t="shared" si="32"/>
        <v>646854.85887187487</v>
      </c>
      <c r="I70" s="9">
        <f t="shared" si="32"/>
        <v>630110.50463803101</v>
      </c>
      <c r="J70" s="9">
        <f t="shared" si="32"/>
        <v>704094.34278166422</v>
      </c>
      <c r="K70" s="9">
        <f t="shared" si="32"/>
        <v>940539.27090203704</v>
      </c>
      <c r="L70" s="9">
        <f t="shared" si="32"/>
        <v>1157623.475917527</v>
      </c>
      <c r="M70" s="9">
        <f t="shared" si="32"/>
        <v>1526294.1125007095</v>
      </c>
      <c r="O70" s="9">
        <f>SUM(O63:O68)</f>
        <v>806880.9362949112</v>
      </c>
      <c r="P70" s="43">
        <f>SUM(P63:P69)</f>
        <v>1</v>
      </c>
      <c r="R70" s="6" t="s">
        <v>112</v>
      </c>
      <c r="S70" s="43">
        <f>SUM(S63:S67)</f>
        <v>0.1471156130823465</v>
      </c>
    </row>
    <row r="71" spans="1:19" x14ac:dyDescent="0.25">
      <c r="A71" s="2"/>
      <c r="B71" s="2"/>
      <c r="C71" s="2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9" x14ac:dyDescent="0.25">
      <c r="A72" s="1" t="s">
        <v>29</v>
      </c>
      <c r="B72" s="2"/>
      <c r="C72" s="2"/>
      <c r="D72" s="9">
        <f>D56-D70</f>
        <v>0</v>
      </c>
      <c r="E72" s="9">
        <f t="shared" ref="E72:M72" si="33">E56-E70</f>
        <v>0</v>
      </c>
      <c r="F72" s="9">
        <f t="shared" si="33"/>
        <v>0</v>
      </c>
      <c r="G72" s="9">
        <f t="shared" si="33"/>
        <v>0</v>
      </c>
      <c r="H72" s="9">
        <f t="shared" si="33"/>
        <v>0</v>
      </c>
      <c r="I72" s="9">
        <f t="shared" si="33"/>
        <v>0</v>
      </c>
      <c r="J72" s="9">
        <f t="shared" si="33"/>
        <v>0</v>
      </c>
      <c r="K72" s="9">
        <f t="shared" si="33"/>
        <v>0</v>
      </c>
      <c r="L72" s="9">
        <f t="shared" si="33"/>
        <v>0</v>
      </c>
      <c r="M72" s="9">
        <f t="shared" si="33"/>
        <v>0</v>
      </c>
    </row>
    <row r="73" spans="1:19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9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9" x14ac:dyDescent="0.25">
      <c r="A75" s="34" t="s">
        <v>64</v>
      </c>
      <c r="B75" s="33"/>
      <c r="C75" s="33">
        <v>0</v>
      </c>
      <c r="D75" s="33">
        <v>1</v>
      </c>
      <c r="E75" s="33">
        <v>2</v>
      </c>
      <c r="F75" s="33">
        <v>3</v>
      </c>
      <c r="G75" s="33">
        <v>4</v>
      </c>
      <c r="H75" s="33">
        <v>5</v>
      </c>
      <c r="I75" s="33">
        <v>6</v>
      </c>
      <c r="J75" s="33">
        <v>7</v>
      </c>
      <c r="K75" s="33">
        <v>8</v>
      </c>
      <c r="L75" s="33">
        <v>9</v>
      </c>
      <c r="M75" s="33">
        <v>10</v>
      </c>
    </row>
    <row r="76" spans="1:19" x14ac:dyDescent="0.25">
      <c r="A76" s="33" t="s">
        <v>65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1:19" x14ac:dyDescent="0.25">
      <c r="A77" s="33"/>
      <c r="B77" s="33" t="s">
        <v>66</v>
      </c>
      <c r="C77" s="33"/>
      <c r="D77" s="35">
        <f>D22+D23-D24-D27-D28-D29-D30</f>
        <v>23065</v>
      </c>
      <c r="E77" s="35">
        <f t="shared" ref="E77:M77" si="34">E22+E23-E24-E27-E28-E29-E30</f>
        <v>25628.950000000012</v>
      </c>
      <c r="F77" s="35">
        <f t="shared" si="34"/>
        <v>36489.218500000017</v>
      </c>
      <c r="G77" s="35">
        <f t="shared" si="34"/>
        <v>161445.93256874997</v>
      </c>
      <c r="H77" s="35">
        <f t="shared" si="34"/>
        <v>173260.7105458125</v>
      </c>
      <c r="I77" s="35">
        <f t="shared" si="34"/>
        <v>188643.53186218688</v>
      </c>
      <c r="J77" s="35">
        <f t="shared" si="34"/>
        <v>204487.83781805256</v>
      </c>
      <c r="K77" s="35">
        <f t="shared" si="34"/>
        <v>348857.32779363613</v>
      </c>
      <c r="L77" s="35">
        <f t="shared" si="34"/>
        <v>369508.04762744531</v>
      </c>
      <c r="M77" s="35">
        <f t="shared" si="34"/>
        <v>526626.38005713024</v>
      </c>
    </row>
    <row r="78" spans="1:19" x14ac:dyDescent="0.25">
      <c r="A78" s="33"/>
      <c r="B78" s="33" t="s">
        <v>67</v>
      </c>
      <c r="C78" s="33"/>
      <c r="D78" s="35">
        <f>$D$33</f>
        <v>30000</v>
      </c>
      <c r="E78" s="35">
        <f t="shared" ref="E78:M78" si="35">$D$33</f>
        <v>30000</v>
      </c>
      <c r="F78" s="35">
        <f t="shared" si="35"/>
        <v>30000</v>
      </c>
      <c r="G78" s="35">
        <f t="shared" si="35"/>
        <v>30000</v>
      </c>
      <c r="H78" s="35">
        <f t="shared" si="35"/>
        <v>30000</v>
      </c>
      <c r="I78" s="35">
        <f t="shared" si="35"/>
        <v>30000</v>
      </c>
      <c r="J78" s="35">
        <f t="shared" si="35"/>
        <v>30000</v>
      </c>
      <c r="K78" s="35">
        <f t="shared" si="35"/>
        <v>30000</v>
      </c>
      <c r="L78" s="35">
        <f t="shared" si="35"/>
        <v>30000</v>
      </c>
      <c r="M78" s="35">
        <f t="shared" si="35"/>
        <v>30000</v>
      </c>
    </row>
    <row r="79" spans="1:19" x14ac:dyDescent="0.25">
      <c r="A79" s="33"/>
      <c r="B79" s="33" t="s">
        <v>68</v>
      </c>
      <c r="C79" s="33"/>
      <c r="D79" s="35">
        <f>D77-D78</f>
        <v>-6935</v>
      </c>
      <c r="E79" s="35">
        <f>E77-E78</f>
        <v>-4371.0499999999884</v>
      </c>
      <c r="F79" s="35">
        <f>F77-F78</f>
        <v>6489.2185000000172</v>
      </c>
      <c r="G79" s="35">
        <f>G77-G78</f>
        <v>131445.93256874997</v>
      </c>
      <c r="H79" s="35">
        <f t="shared" ref="H79:M79" si="36">H77-H78</f>
        <v>143260.7105458125</v>
      </c>
      <c r="I79" s="35">
        <f t="shared" si="36"/>
        <v>158643.53186218688</v>
      </c>
      <c r="J79" s="35">
        <f t="shared" si="36"/>
        <v>174487.83781805256</v>
      </c>
      <c r="K79" s="35">
        <f t="shared" si="36"/>
        <v>318857.32779363613</v>
      </c>
      <c r="L79" s="35">
        <f t="shared" si="36"/>
        <v>339508.04762744531</v>
      </c>
      <c r="M79" s="35">
        <f t="shared" si="36"/>
        <v>496626.38005713024</v>
      </c>
    </row>
    <row r="80" spans="1:19" x14ac:dyDescent="0.25">
      <c r="A80" s="33"/>
      <c r="B80" s="33" t="s">
        <v>69</v>
      </c>
      <c r="C80" s="33"/>
      <c r="D80" s="36">
        <f>IF(D79&lt;0,0,D79*0.25)</f>
        <v>0</v>
      </c>
      <c r="E80" s="36">
        <f>IF(E79&lt;0,0,E79*0.25)</f>
        <v>0</v>
      </c>
      <c r="F80" s="36">
        <f>IF(F79&lt;0,0,F79*0.25)</f>
        <v>1622.3046250000043</v>
      </c>
      <c r="G80" s="36">
        <f>IF(G79&lt;0,0,G79*0.25)</f>
        <v>32861.483142187491</v>
      </c>
      <c r="H80" s="36">
        <f t="shared" ref="H80:M80" si="37">IF(H79&lt;0,0,H79*0.25)</f>
        <v>35815.177636453125</v>
      </c>
      <c r="I80" s="36">
        <f t="shared" si="37"/>
        <v>39660.88296554672</v>
      </c>
      <c r="J80" s="36">
        <f t="shared" si="37"/>
        <v>43621.95945451314</v>
      </c>
      <c r="K80" s="36">
        <f t="shared" si="37"/>
        <v>79714.331948409032</v>
      </c>
      <c r="L80" s="36">
        <f t="shared" si="37"/>
        <v>84877.011906861328</v>
      </c>
      <c r="M80" s="36">
        <f t="shared" si="37"/>
        <v>124156.59501428256</v>
      </c>
    </row>
    <row r="81" spans="1:17" x14ac:dyDescent="0.25">
      <c r="A81" s="33"/>
      <c r="B81" s="33" t="s">
        <v>70</v>
      </c>
      <c r="C81" s="33"/>
      <c r="D81" s="35">
        <f>D79-D80</f>
        <v>-6935</v>
      </c>
      <c r="E81" s="35">
        <f>E79-E80</f>
        <v>-4371.0499999999884</v>
      </c>
      <c r="F81" s="35">
        <f>F79-F80</f>
        <v>4866.9138750000129</v>
      </c>
      <c r="G81" s="35">
        <f>G79-G80</f>
        <v>98584.449426562467</v>
      </c>
      <c r="H81" s="35">
        <f t="shared" ref="H81:M81" si="38">H79-H80</f>
        <v>107445.53290935938</v>
      </c>
      <c r="I81" s="35">
        <f t="shared" si="38"/>
        <v>118982.64889664017</v>
      </c>
      <c r="J81" s="35">
        <f t="shared" si="38"/>
        <v>130865.87836353942</v>
      </c>
      <c r="K81" s="35">
        <f t="shared" si="38"/>
        <v>239142.99584522709</v>
      </c>
      <c r="L81" s="35">
        <f t="shared" si="38"/>
        <v>254631.03572058398</v>
      </c>
      <c r="M81" s="35">
        <f t="shared" si="38"/>
        <v>372469.78504284768</v>
      </c>
    </row>
    <row r="82" spans="1:17" x14ac:dyDescent="0.25">
      <c r="A82" s="33"/>
      <c r="B82" s="33" t="s">
        <v>71</v>
      </c>
      <c r="C82" s="33"/>
      <c r="D82" s="35">
        <f>$D$78</f>
        <v>30000</v>
      </c>
      <c r="E82" s="35">
        <f>E78</f>
        <v>30000</v>
      </c>
      <c r="F82" s="35">
        <f>F78</f>
        <v>30000</v>
      </c>
      <c r="G82" s="35">
        <f>G78</f>
        <v>30000</v>
      </c>
      <c r="H82" s="35">
        <f t="shared" ref="H82:L82" si="39">H78</f>
        <v>30000</v>
      </c>
      <c r="I82" s="35">
        <f t="shared" si="39"/>
        <v>30000</v>
      </c>
      <c r="J82" s="35">
        <f t="shared" si="39"/>
        <v>30000</v>
      </c>
      <c r="K82" s="35">
        <f t="shared" si="39"/>
        <v>30000</v>
      </c>
      <c r="L82" s="35">
        <f t="shared" si="39"/>
        <v>30000</v>
      </c>
      <c r="M82" s="35">
        <f>M78</f>
        <v>30000</v>
      </c>
    </row>
    <row r="83" spans="1:17" x14ac:dyDescent="0.25">
      <c r="A83" s="33"/>
      <c r="B83" s="33" t="s">
        <v>72</v>
      </c>
      <c r="C83" s="33"/>
      <c r="D83" s="35">
        <f>D81+D82</f>
        <v>23065</v>
      </c>
      <c r="E83" s="35">
        <f>E81+E82</f>
        <v>25628.950000000012</v>
      </c>
      <c r="F83" s="35">
        <f>F81+F82</f>
        <v>34866.913875000013</v>
      </c>
      <c r="G83" s="35">
        <f>G81+G82</f>
        <v>128584.44942656247</v>
      </c>
      <c r="H83" s="35">
        <f t="shared" ref="H83:M83" si="40">H81+H82</f>
        <v>137445.53290935938</v>
      </c>
      <c r="I83" s="35">
        <f t="shared" si="40"/>
        <v>148982.64889664017</v>
      </c>
      <c r="J83" s="35">
        <f t="shared" si="40"/>
        <v>160865.87836353941</v>
      </c>
      <c r="K83" s="35">
        <f t="shared" si="40"/>
        <v>269142.99584522709</v>
      </c>
      <c r="L83" s="35">
        <f t="shared" si="40"/>
        <v>284631.03572058398</v>
      </c>
      <c r="M83" s="35">
        <f t="shared" si="40"/>
        <v>402469.78504284768</v>
      </c>
    </row>
    <row r="84" spans="1:17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1:17" x14ac:dyDescent="0.25">
      <c r="A85" s="34" t="s">
        <v>73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7" x14ac:dyDescent="0.25">
      <c r="A86" s="33"/>
      <c r="B86" s="33" t="s">
        <v>74</v>
      </c>
      <c r="C86" s="35">
        <f>-D50</f>
        <v>-150000</v>
      </c>
      <c r="D86" s="33"/>
      <c r="E86" s="33"/>
      <c r="F86" s="33"/>
      <c r="G86" s="33"/>
      <c r="H86" s="33"/>
      <c r="I86" s="33"/>
      <c r="J86" s="33"/>
      <c r="K86" s="33"/>
    </row>
    <row r="87" spans="1:17" x14ac:dyDescent="0.25">
      <c r="A87" s="33"/>
      <c r="B87" s="33" t="s">
        <v>75</v>
      </c>
      <c r="C87" s="33"/>
      <c r="D87" s="33"/>
      <c r="E87" s="33"/>
      <c r="F87" s="33"/>
      <c r="M87" s="35">
        <f>N87*P87</f>
        <v>270000</v>
      </c>
      <c r="N87" s="37">
        <v>1.8</v>
      </c>
      <c r="O87" s="33" t="s">
        <v>76</v>
      </c>
      <c r="P87" s="35">
        <f>M50</f>
        <v>150000</v>
      </c>
      <c r="Q87" s="33"/>
    </row>
    <row r="88" spans="1:17" x14ac:dyDescent="0.25">
      <c r="A88" s="33"/>
      <c r="B88" s="33" t="s">
        <v>77</v>
      </c>
      <c r="C88" s="35">
        <f>-D51</f>
        <v>-600000</v>
      </c>
      <c r="D88" s="33"/>
      <c r="E88" s="33"/>
      <c r="F88" s="33"/>
      <c r="M88" s="33"/>
      <c r="N88" s="33"/>
      <c r="O88" s="33" t="s">
        <v>78</v>
      </c>
      <c r="P88" s="35">
        <f>M87-P87</f>
        <v>120000</v>
      </c>
      <c r="Q88" s="33" t="s">
        <v>79</v>
      </c>
    </row>
    <row r="89" spans="1:17" x14ac:dyDescent="0.25">
      <c r="A89" s="33"/>
      <c r="B89" s="33" t="s">
        <v>80</v>
      </c>
      <c r="C89" s="33"/>
      <c r="D89" s="33"/>
      <c r="E89" s="33"/>
      <c r="F89" s="33"/>
      <c r="M89" s="35">
        <f>N89*P89</f>
        <v>450000</v>
      </c>
      <c r="N89" s="37">
        <v>1.5</v>
      </c>
      <c r="O89" s="33" t="s">
        <v>76</v>
      </c>
      <c r="P89" s="35">
        <f>M51-M53</f>
        <v>300000</v>
      </c>
      <c r="Q89" s="33"/>
    </row>
    <row r="90" spans="1:17" x14ac:dyDescent="0.25">
      <c r="A90" s="33"/>
      <c r="B90" s="33" t="s">
        <v>96</v>
      </c>
      <c r="C90" s="44">
        <f>-D52</f>
        <v>-15000</v>
      </c>
      <c r="D90" s="33"/>
      <c r="E90" s="33"/>
      <c r="F90" s="33"/>
      <c r="H90" s="9">
        <f>C90</f>
        <v>-15000</v>
      </c>
      <c r="M90" s="35"/>
      <c r="N90" s="37"/>
      <c r="O90" s="33" t="s">
        <v>78</v>
      </c>
      <c r="P90" s="35">
        <f>M89-P89</f>
        <v>150000</v>
      </c>
      <c r="Q90" s="33" t="s">
        <v>79</v>
      </c>
    </row>
    <row r="91" spans="1:17" x14ac:dyDescent="0.25">
      <c r="A91" s="33"/>
      <c r="B91" s="33" t="s">
        <v>97</v>
      </c>
      <c r="C91" s="33"/>
      <c r="D91" s="33"/>
      <c r="E91" s="33"/>
      <c r="F91" s="33"/>
      <c r="M91" s="35">
        <f>-(C90+H90)*N91</f>
        <v>15000</v>
      </c>
      <c r="N91" s="37">
        <v>0.5</v>
      </c>
      <c r="O91" s="33" t="s">
        <v>76</v>
      </c>
      <c r="P91" s="35">
        <f>M52-M54</f>
        <v>0</v>
      </c>
      <c r="Q91" s="33"/>
    </row>
    <row r="92" spans="1:17" x14ac:dyDescent="0.25">
      <c r="A92" s="33"/>
      <c r="B92" s="33" t="s">
        <v>81</v>
      </c>
      <c r="C92" s="33"/>
      <c r="D92" s="33"/>
      <c r="E92" s="33"/>
      <c r="F92" s="33"/>
      <c r="M92" s="38">
        <f>-P88*0.25-P90*0.25-P92*0.25</f>
        <v>-71250</v>
      </c>
      <c r="N92" s="33"/>
      <c r="O92" s="33" t="s">
        <v>78</v>
      </c>
      <c r="P92" s="35">
        <f>M91-P91</f>
        <v>15000</v>
      </c>
      <c r="Q92" s="33" t="s">
        <v>79</v>
      </c>
    </row>
    <row r="93" spans="1:17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1:17" x14ac:dyDescent="0.25">
      <c r="A94" s="34" t="s">
        <v>82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7" x14ac:dyDescent="0.25">
      <c r="A95" s="39" t="s">
        <v>83</v>
      </c>
      <c r="B95" s="33" t="s">
        <v>16</v>
      </c>
      <c r="C95" s="33"/>
      <c r="D95" s="35">
        <f>-(D47-C47)</f>
        <v>-24080</v>
      </c>
      <c r="E95" s="35">
        <f t="shared" ref="E95:M95" si="41">-(E47-D47)</f>
        <v>-722.39999999999782</v>
      </c>
      <c r="F95" s="35">
        <f t="shared" si="41"/>
        <v>-744.07200000000012</v>
      </c>
      <c r="G95" s="35">
        <f t="shared" si="41"/>
        <v>-7344.6107000000011</v>
      </c>
      <c r="H95" s="35">
        <f t="shared" si="41"/>
        <v>-986.7324809999991</v>
      </c>
      <c r="I95" s="35">
        <f t="shared" si="41"/>
        <v>-1016.3344554300056</v>
      </c>
      <c r="J95" s="35">
        <f t="shared" si="41"/>
        <v>-1046.8244890928981</v>
      </c>
      <c r="K95" s="35">
        <f t="shared" si="41"/>
        <v>-8482.0698936234039</v>
      </c>
      <c r="L95" s="35">
        <f t="shared" si="41"/>
        <v>-1332.691320574384</v>
      </c>
      <c r="M95" s="35">
        <f t="shared" si="41"/>
        <v>-9227.40662684368</v>
      </c>
    </row>
    <row r="96" spans="1:17" x14ac:dyDescent="0.25">
      <c r="A96" s="39" t="s">
        <v>83</v>
      </c>
      <c r="B96" s="33" t="s">
        <v>17</v>
      </c>
      <c r="C96" s="33"/>
      <c r="D96" s="35">
        <f>-(D48-C48)</f>
        <v>-5670</v>
      </c>
      <c r="E96" s="35">
        <f t="shared" ref="E96:M96" si="42">-(E48-D48)</f>
        <v>-170.10000000000036</v>
      </c>
      <c r="F96" s="35">
        <f t="shared" si="42"/>
        <v>-175.20299999999861</v>
      </c>
      <c r="G96" s="35">
        <f t="shared" si="42"/>
        <v>-1729.3996125000012</v>
      </c>
      <c r="H96" s="35">
        <f t="shared" si="42"/>
        <v>-232.34107837500051</v>
      </c>
      <c r="I96" s="35">
        <f t="shared" si="42"/>
        <v>-239.31131072624976</v>
      </c>
      <c r="J96" s="35">
        <f t="shared" si="42"/>
        <v>-246.49065004803742</v>
      </c>
      <c r="K96" s="35">
        <f t="shared" si="42"/>
        <v>-1997.2315737892295</v>
      </c>
      <c r="L96" s="35">
        <f t="shared" si="42"/>
        <v>-313.80231676315634</v>
      </c>
      <c r="M96" s="35">
        <f t="shared" si="42"/>
        <v>-2172.7323743440047</v>
      </c>
    </row>
    <row r="97" spans="1:13" x14ac:dyDescent="0.25">
      <c r="A97" s="39" t="s">
        <v>84</v>
      </c>
      <c r="B97" s="33" t="s">
        <v>21</v>
      </c>
      <c r="C97" s="33"/>
      <c r="D97" s="35">
        <f>(D60-C60)</f>
        <v>945</v>
      </c>
      <c r="E97" s="35">
        <f t="shared" ref="E97:M97" si="43">(E60-D60)</f>
        <v>28.350000000000023</v>
      </c>
      <c r="F97" s="35">
        <f t="shared" si="43"/>
        <v>29.20049999999992</v>
      </c>
      <c r="G97" s="35">
        <f t="shared" si="43"/>
        <v>288.23326875000009</v>
      </c>
      <c r="H97" s="35">
        <f t="shared" si="43"/>
        <v>38.723513062499933</v>
      </c>
      <c r="I97" s="35">
        <f t="shared" si="43"/>
        <v>39.885218454375035</v>
      </c>
      <c r="J97" s="35">
        <f t="shared" si="43"/>
        <v>41.081775008006161</v>
      </c>
      <c r="K97" s="35">
        <f t="shared" si="43"/>
        <v>332.87192896487181</v>
      </c>
      <c r="L97" s="35">
        <f t="shared" si="43"/>
        <v>52.300386127192724</v>
      </c>
      <c r="M97" s="35">
        <f t="shared" si="43"/>
        <v>362.12206239066722</v>
      </c>
    </row>
    <row r="98" spans="1:13" x14ac:dyDescent="0.25">
      <c r="A98" s="39" t="s">
        <v>84</v>
      </c>
      <c r="B98" s="33" t="s">
        <v>85</v>
      </c>
      <c r="C98" s="33"/>
      <c r="D98" s="35">
        <f>(D80-C80)</f>
        <v>0</v>
      </c>
      <c r="E98" s="35">
        <f t="shared" ref="E98:M98" si="44">(E80-D80)</f>
        <v>0</v>
      </c>
      <c r="F98" s="35">
        <f t="shared" si="44"/>
        <v>1622.3046250000043</v>
      </c>
      <c r="G98" s="35">
        <f t="shared" si="44"/>
        <v>31239.178517187487</v>
      </c>
      <c r="H98" s="35">
        <f t="shared" si="44"/>
        <v>2953.6944942656337</v>
      </c>
      <c r="I98" s="35">
        <f t="shared" si="44"/>
        <v>3845.7053290935946</v>
      </c>
      <c r="J98" s="35">
        <f t="shared" si="44"/>
        <v>3961.0764889664206</v>
      </c>
      <c r="K98" s="35">
        <f t="shared" si="44"/>
        <v>36092.372493895891</v>
      </c>
      <c r="L98" s="35">
        <f t="shared" si="44"/>
        <v>5162.679958452296</v>
      </c>
      <c r="M98" s="35">
        <f t="shared" si="44"/>
        <v>39279.583107421233</v>
      </c>
    </row>
    <row r="99" spans="1:13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1:13" x14ac:dyDescent="0.25">
      <c r="A100" s="34" t="s">
        <v>86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3" x14ac:dyDescent="0.25">
      <c r="A101" s="39" t="s">
        <v>84</v>
      </c>
      <c r="B101" s="33" t="s">
        <v>16</v>
      </c>
      <c r="C101" s="33"/>
      <c r="D101" s="33"/>
      <c r="E101" s="33"/>
      <c r="F101" s="33"/>
      <c r="G101" s="35"/>
      <c r="H101" s="33"/>
      <c r="I101" s="33"/>
      <c r="J101" s="33"/>
      <c r="K101" s="33"/>
      <c r="M101" s="9">
        <f>M47</f>
        <v>54983.14196656437</v>
      </c>
    </row>
    <row r="102" spans="1:13" x14ac:dyDescent="0.25">
      <c r="A102" s="39" t="s">
        <v>84</v>
      </c>
      <c r="B102" s="33" t="s">
        <v>17</v>
      </c>
      <c r="C102" s="33"/>
      <c r="D102" s="33"/>
      <c r="E102" s="33"/>
      <c r="F102" s="33"/>
      <c r="G102" s="35"/>
      <c r="H102" s="33"/>
      <c r="I102" s="33"/>
      <c r="J102" s="33"/>
      <c r="K102" s="33"/>
      <c r="M102" s="9">
        <f>M48</f>
        <v>12946.611916545678</v>
      </c>
    </row>
    <row r="103" spans="1:13" x14ac:dyDescent="0.25">
      <c r="A103" s="39" t="s">
        <v>83</v>
      </c>
      <c r="B103" s="33" t="s">
        <v>21</v>
      </c>
      <c r="C103" s="33"/>
      <c r="D103" s="33"/>
      <c r="E103" s="33"/>
      <c r="F103" s="33"/>
      <c r="G103" s="35"/>
      <c r="H103" s="33"/>
      <c r="I103" s="33"/>
      <c r="J103" s="33"/>
      <c r="K103" s="33"/>
      <c r="M103" s="9">
        <f>-M60</f>
        <v>-2157.7686527576129</v>
      </c>
    </row>
    <row r="104" spans="1:13" x14ac:dyDescent="0.25">
      <c r="A104" s="39" t="s">
        <v>83</v>
      </c>
      <c r="B104" s="33" t="s">
        <v>22</v>
      </c>
      <c r="C104" s="33"/>
      <c r="D104" s="33"/>
      <c r="E104" s="33"/>
      <c r="F104" s="33"/>
      <c r="G104" s="35"/>
      <c r="H104" s="33"/>
      <c r="I104" s="33"/>
      <c r="J104" s="33"/>
      <c r="K104" s="33"/>
      <c r="M104" s="41">
        <f>-M80</f>
        <v>-124156.59501428256</v>
      </c>
    </row>
    <row r="105" spans="1:13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3" x14ac:dyDescent="0.25">
      <c r="A106" s="34" t="s">
        <v>87</v>
      </c>
      <c r="B106" s="33"/>
      <c r="C106" s="38">
        <f>SUM(C83:C104)</f>
        <v>-765000</v>
      </c>
      <c r="D106" s="38">
        <f>SUM(D83:D104)</f>
        <v>-5740</v>
      </c>
      <c r="E106" s="38">
        <f>SUM(E83:E104)</f>
        <v>24764.80000000001</v>
      </c>
      <c r="F106" s="38">
        <f>SUM(F83:F104)</f>
        <v>35599.144000000015</v>
      </c>
      <c r="G106" s="38">
        <f>SUM(G83:G104)</f>
        <v>151037.85089999996</v>
      </c>
      <c r="H106" s="38">
        <f t="shared" ref="H106:M106" si="45">SUM(H83:H104)</f>
        <v>124218.87735731251</v>
      </c>
      <c r="I106" s="38">
        <f t="shared" si="45"/>
        <v>151612.59367803187</v>
      </c>
      <c r="J106" s="38">
        <f t="shared" si="45"/>
        <v>163574.72148837289</v>
      </c>
      <c r="K106" s="38">
        <f t="shared" si="45"/>
        <v>295088.93880067521</v>
      </c>
      <c r="L106" s="38">
        <f t="shared" si="45"/>
        <v>288199.52242782596</v>
      </c>
      <c r="M106" s="38">
        <f t="shared" si="45"/>
        <v>1036076.7414275419</v>
      </c>
    </row>
    <row r="107" spans="1:13" x14ac:dyDescent="0.25">
      <c r="A107" s="34" t="s">
        <v>88</v>
      </c>
      <c r="B107" s="33"/>
      <c r="C107" s="40">
        <f>IRR(C106:M106)</f>
        <v>0.14634831164775486</v>
      </c>
      <c r="D107" s="33"/>
      <c r="E107" s="33"/>
      <c r="F107" s="33"/>
      <c r="G107" s="33"/>
      <c r="H107" s="33"/>
      <c r="I107" s="33"/>
      <c r="J107" s="33"/>
      <c r="K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1:13" x14ac:dyDescent="0.25">
      <c r="A109" s="33" t="s">
        <v>89</v>
      </c>
      <c r="B109" s="33"/>
      <c r="C109" s="40">
        <v>7.0000000000000007E-2</v>
      </c>
      <c r="D109" s="33"/>
      <c r="E109" s="33"/>
      <c r="F109" s="33"/>
      <c r="G109" s="33"/>
      <c r="H109" s="33"/>
      <c r="I109" s="33"/>
      <c r="J109" s="33"/>
      <c r="K109" s="33"/>
    </row>
    <row r="110" spans="1:13" x14ac:dyDescent="0.25">
      <c r="A110" s="33" t="s">
        <v>90</v>
      </c>
      <c r="B110" s="33"/>
      <c r="C110" s="38">
        <f>-PV($C$109,C75,,C106)</f>
        <v>-765000</v>
      </c>
      <c r="D110" s="38">
        <f t="shared" ref="D110:M110" si="46">-PV($C$109,D75,,D106)</f>
        <v>-5364.4859813084113</v>
      </c>
      <c r="E110" s="38">
        <f t="shared" si="46"/>
        <v>21630.535417940438</v>
      </c>
      <c r="F110" s="38">
        <f t="shared" si="46"/>
        <v>29059.505666331723</v>
      </c>
      <c r="G110" s="38">
        <f t="shared" si="46"/>
        <v>115226.05328955797</v>
      </c>
      <c r="H110" s="38">
        <f t="shared" si="46"/>
        <v>88566.342786740599</v>
      </c>
      <c r="I110" s="38">
        <f t="shared" si="46"/>
        <v>101025.87283000909</v>
      </c>
      <c r="J110" s="38">
        <f t="shared" si="46"/>
        <v>101866.1155857281</v>
      </c>
      <c r="K110" s="38">
        <f t="shared" si="46"/>
        <v>171744.4490384284</v>
      </c>
      <c r="L110" s="38">
        <f t="shared" si="46"/>
        <v>156761.44484513148</v>
      </c>
      <c r="M110" s="38">
        <f t="shared" si="46"/>
        <v>526688.87810193596</v>
      </c>
    </row>
    <row r="111" spans="1:13" x14ac:dyDescent="0.25">
      <c r="A111" s="34" t="s">
        <v>91</v>
      </c>
      <c r="B111" s="33"/>
      <c r="C111" s="35">
        <f>SUM(C110:M110)</f>
        <v>542204.71158049535</v>
      </c>
      <c r="D111" s="33"/>
      <c r="E111" s="33"/>
      <c r="F111" s="33"/>
      <c r="G111" s="33"/>
      <c r="H111" s="33"/>
      <c r="I111" s="33"/>
      <c r="J111" s="33"/>
      <c r="K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1:1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</sheetData>
  <phoneticPr fontId="12" type="noConversion"/>
  <pageMargins left="0.75" right="0.75" top="1" bottom="1" header="0.5" footer="0.5"/>
  <pageSetup scale="37" orientation="portrait" horizontalDpi="4294967292" verticalDpi="4294967292"/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selection activeCell="I6" sqref="I6"/>
    </sheetView>
  </sheetViews>
  <sheetFormatPr defaultColWidth="11" defaultRowHeight="15.75" x14ac:dyDescent="0.25"/>
  <sheetData>
    <row r="1" spans="1:9" x14ac:dyDescent="0.25">
      <c r="B1" t="s">
        <v>36</v>
      </c>
      <c r="C1" t="s">
        <v>37</v>
      </c>
      <c r="D1" t="s">
        <v>38</v>
      </c>
      <c r="E1" t="s">
        <v>39</v>
      </c>
      <c r="F1" t="s">
        <v>40</v>
      </c>
      <c r="H1" t="s">
        <v>41</v>
      </c>
      <c r="I1" s="13">
        <v>5.5E-2</v>
      </c>
    </row>
    <row r="2" spans="1:9" x14ac:dyDescent="0.25">
      <c r="A2" s="14">
        <v>1</v>
      </c>
      <c r="B2" s="15">
        <f>I6</f>
        <v>600000</v>
      </c>
      <c r="C2" s="15">
        <f>E2-D2</f>
        <v>656.73400808201723</v>
      </c>
      <c r="D2" s="15">
        <f>B2*I2</f>
        <v>2750</v>
      </c>
      <c r="E2" s="16">
        <f>-I8</f>
        <v>3406.7340080820172</v>
      </c>
      <c r="F2" s="15">
        <f>B2-C2</f>
        <v>599343.26599191793</v>
      </c>
      <c r="H2" t="s">
        <v>42</v>
      </c>
      <c r="I2" s="17">
        <f>I1/12</f>
        <v>4.5833333333333334E-3</v>
      </c>
    </row>
    <row r="3" spans="1:9" x14ac:dyDescent="0.25">
      <c r="A3" s="14">
        <v>2</v>
      </c>
      <c r="B3" s="15">
        <f>$F2</f>
        <v>599343.26599191793</v>
      </c>
      <c r="C3" s="18">
        <f>$E3-$D3</f>
        <v>659.74403895239357</v>
      </c>
      <c r="D3" s="15">
        <f>$B3*$I$2</f>
        <v>2746.9899691296237</v>
      </c>
      <c r="E3" s="15">
        <f>-$I$8</f>
        <v>3406.7340080820172</v>
      </c>
      <c r="F3" s="15">
        <f>$F2-$C3</f>
        <v>598683.52195296553</v>
      </c>
      <c r="H3" t="s">
        <v>43</v>
      </c>
      <c r="I3">
        <v>0</v>
      </c>
    </row>
    <row r="4" spans="1:9" x14ac:dyDescent="0.25">
      <c r="A4" s="14">
        <v>3</v>
      </c>
      <c r="B4" s="15">
        <f t="shared" ref="B4:B13" si="0">$F3</f>
        <v>598683.52195296553</v>
      </c>
      <c r="C4" s="18">
        <f t="shared" ref="C4:C55" si="1">$E4-$D4</f>
        <v>662.76786579759209</v>
      </c>
      <c r="D4" s="15">
        <f t="shared" ref="D4:D55" si="2">$B4*$I$2</f>
        <v>2743.9661422844251</v>
      </c>
      <c r="E4" s="15">
        <f t="shared" ref="E4:E69" si="3">-$I$8</f>
        <v>3406.7340080820172</v>
      </c>
      <c r="F4" s="15">
        <f t="shared" ref="F4:F13" si="4">$F3-$C4</f>
        <v>598020.75408716791</v>
      </c>
      <c r="H4" t="s">
        <v>44</v>
      </c>
      <c r="I4">
        <f>12*30</f>
        <v>360</v>
      </c>
    </row>
    <row r="5" spans="1:9" x14ac:dyDescent="0.25">
      <c r="A5" s="14">
        <v>4</v>
      </c>
      <c r="B5" s="15">
        <f t="shared" si="0"/>
        <v>598020.75408716791</v>
      </c>
      <c r="C5" s="18">
        <f t="shared" si="1"/>
        <v>665.8055518491642</v>
      </c>
      <c r="D5" s="15">
        <f t="shared" si="2"/>
        <v>2740.928456232853</v>
      </c>
      <c r="E5" s="15">
        <f t="shared" si="3"/>
        <v>3406.7340080820172</v>
      </c>
      <c r="F5" s="15">
        <f t="shared" si="4"/>
        <v>597354.94853531872</v>
      </c>
      <c r="H5" t="s">
        <v>45</v>
      </c>
      <c r="I5">
        <v>0</v>
      </c>
    </row>
    <row r="6" spans="1:9" x14ac:dyDescent="0.25">
      <c r="A6" s="14">
        <v>5</v>
      </c>
      <c r="B6" s="15">
        <f t="shared" si="0"/>
        <v>597354.94853531872</v>
      </c>
      <c r="C6" s="18">
        <f t="shared" si="1"/>
        <v>668.85716062847314</v>
      </c>
      <c r="D6" s="15">
        <f t="shared" si="2"/>
        <v>2737.8768474535441</v>
      </c>
      <c r="E6" s="15">
        <f t="shared" si="3"/>
        <v>3406.7340080820172</v>
      </c>
      <c r="F6" s="15">
        <f t="shared" si="4"/>
        <v>596686.0913746903</v>
      </c>
      <c r="H6" t="s">
        <v>46</v>
      </c>
      <c r="I6" s="19">
        <v>600000</v>
      </c>
    </row>
    <row r="7" spans="1:9" x14ac:dyDescent="0.25">
      <c r="A7" s="14">
        <v>6</v>
      </c>
      <c r="B7" s="15">
        <f t="shared" si="0"/>
        <v>596686.0913746903</v>
      </c>
      <c r="C7" s="18">
        <f t="shared" si="1"/>
        <v>671.92275594802004</v>
      </c>
      <c r="D7" s="15">
        <f t="shared" si="2"/>
        <v>2734.8112521339972</v>
      </c>
      <c r="E7" s="15">
        <f t="shared" si="3"/>
        <v>3406.7340080820172</v>
      </c>
      <c r="F7" s="15">
        <f t="shared" si="4"/>
        <v>596014.16861874226</v>
      </c>
    </row>
    <row r="8" spans="1:9" x14ac:dyDescent="0.25">
      <c r="A8" s="14">
        <v>7</v>
      </c>
      <c r="B8" s="15">
        <f t="shared" si="0"/>
        <v>596014.16861874226</v>
      </c>
      <c r="C8" s="18">
        <f t="shared" si="1"/>
        <v>675.00240191278181</v>
      </c>
      <c r="D8" s="15">
        <f t="shared" si="2"/>
        <v>2731.7316061692354</v>
      </c>
      <c r="E8" s="15">
        <f t="shared" si="3"/>
        <v>3406.7340080820172</v>
      </c>
      <c r="F8" s="15">
        <f t="shared" si="4"/>
        <v>595339.16621682944</v>
      </c>
      <c r="H8" t="s">
        <v>39</v>
      </c>
      <c r="I8" s="16">
        <f>PMT(I2,I4,I6,I3,I5)</f>
        <v>-3406.7340080820172</v>
      </c>
    </row>
    <row r="9" spans="1:9" x14ac:dyDescent="0.25">
      <c r="A9" s="14">
        <v>8</v>
      </c>
      <c r="B9" s="15">
        <f t="shared" si="0"/>
        <v>595339.16621682944</v>
      </c>
      <c r="C9" s="18">
        <f t="shared" si="1"/>
        <v>678.09616292154897</v>
      </c>
      <c r="D9" s="15">
        <f t="shared" si="2"/>
        <v>2728.6378451604683</v>
      </c>
      <c r="E9" s="15">
        <f t="shared" si="3"/>
        <v>3406.7340080820172</v>
      </c>
      <c r="F9" s="15">
        <f t="shared" si="4"/>
        <v>594661.07005390793</v>
      </c>
    </row>
    <row r="10" spans="1:9" x14ac:dyDescent="0.25">
      <c r="A10" s="14">
        <v>9</v>
      </c>
      <c r="B10" s="15">
        <f t="shared" si="0"/>
        <v>594661.07005390793</v>
      </c>
      <c r="C10" s="18">
        <f t="shared" si="1"/>
        <v>681.20410366827264</v>
      </c>
      <c r="D10" s="15">
        <f t="shared" si="2"/>
        <v>2725.5299044137446</v>
      </c>
      <c r="E10" s="15">
        <f t="shared" si="3"/>
        <v>3406.7340080820172</v>
      </c>
      <c r="F10" s="15">
        <f t="shared" si="4"/>
        <v>593979.86595023971</v>
      </c>
    </row>
    <row r="11" spans="1:9" x14ac:dyDescent="0.25">
      <c r="A11" s="14">
        <v>10</v>
      </c>
      <c r="B11" s="15">
        <f t="shared" si="0"/>
        <v>593979.86595023971</v>
      </c>
      <c r="C11" s="18">
        <f t="shared" si="1"/>
        <v>684.32628914341876</v>
      </c>
      <c r="D11" s="15">
        <f t="shared" si="2"/>
        <v>2722.4077189385985</v>
      </c>
      <c r="E11" s="15">
        <f t="shared" si="3"/>
        <v>3406.7340080820172</v>
      </c>
      <c r="F11" s="15">
        <f t="shared" si="4"/>
        <v>593295.53966109629</v>
      </c>
    </row>
    <row r="12" spans="1:9" x14ac:dyDescent="0.25">
      <c r="A12" s="14">
        <v>11</v>
      </c>
      <c r="B12" s="15">
        <f t="shared" si="0"/>
        <v>593295.53966109629</v>
      </c>
      <c r="C12" s="18">
        <f t="shared" si="1"/>
        <v>687.46278463532599</v>
      </c>
      <c r="D12" s="15">
        <f t="shared" si="2"/>
        <v>2719.2712234466912</v>
      </c>
      <c r="E12" s="15">
        <f t="shared" si="3"/>
        <v>3406.7340080820172</v>
      </c>
      <c r="F12" s="15">
        <f t="shared" si="4"/>
        <v>592608.07687646092</v>
      </c>
    </row>
    <row r="13" spans="1:9" x14ac:dyDescent="0.25">
      <c r="A13" s="14">
        <v>12</v>
      </c>
      <c r="B13" s="15">
        <f t="shared" si="0"/>
        <v>592608.07687646092</v>
      </c>
      <c r="C13" s="18">
        <f t="shared" si="1"/>
        <v>690.61365573157127</v>
      </c>
      <c r="D13" s="15">
        <f t="shared" si="2"/>
        <v>2716.120352350446</v>
      </c>
      <c r="E13" s="15">
        <f t="shared" si="3"/>
        <v>3406.7340080820172</v>
      </c>
      <c r="F13" s="20">
        <f t="shared" si="4"/>
        <v>591917.46322072938</v>
      </c>
    </row>
    <row r="14" spans="1:9" x14ac:dyDescent="0.25">
      <c r="A14" s="14"/>
      <c r="B14" s="15"/>
      <c r="C14" s="21">
        <f>SUM(C2:C13)</f>
        <v>8082.5367792705792</v>
      </c>
      <c r="D14" s="20">
        <f>SUM(D2:D13)</f>
        <v>32798.271317713632</v>
      </c>
      <c r="E14" s="15"/>
      <c r="F14" s="15"/>
    </row>
    <row r="15" spans="1:9" x14ac:dyDescent="0.25">
      <c r="A15" s="14"/>
      <c r="B15" s="15"/>
      <c r="C15" s="18"/>
      <c r="D15" s="15"/>
      <c r="E15" s="15"/>
      <c r="F15" s="15"/>
    </row>
    <row r="16" spans="1:9" x14ac:dyDescent="0.25">
      <c r="A16" s="14">
        <v>1</v>
      </c>
      <c r="B16" s="15">
        <f>$F13</f>
        <v>591917.46322072938</v>
      </c>
      <c r="C16" s="18">
        <f t="shared" si="1"/>
        <v>693.77896832034094</v>
      </c>
      <c r="D16" s="15">
        <f t="shared" si="2"/>
        <v>2712.9550397616763</v>
      </c>
      <c r="E16" s="15">
        <f t="shared" si="3"/>
        <v>3406.7340080820172</v>
      </c>
      <c r="F16" s="15">
        <f>$F13-$C16</f>
        <v>591223.68425240903</v>
      </c>
    </row>
    <row r="17" spans="1:6" x14ac:dyDescent="0.25">
      <c r="A17" s="14">
        <v>2</v>
      </c>
      <c r="B17" s="15">
        <f t="shared" ref="B17:B55" si="5">$F16</f>
        <v>591223.68425240903</v>
      </c>
      <c r="C17" s="18">
        <f t="shared" si="1"/>
        <v>696.95878859180903</v>
      </c>
      <c r="D17" s="15">
        <f t="shared" si="2"/>
        <v>2709.7752194902082</v>
      </c>
      <c r="E17" s="15">
        <f t="shared" si="3"/>
        <v>3406.7340080820172</v>
      </c>
      <c r="F17" s="15">
        <f t="shared" ref="F17:F55" si="6">$F16-$C17</f>
        <v>590526.72546381725</v>
      </c>
    </row>
    <row r="18" spans="1:6" x14ac:dyDescent="0.25">
      <c r="A18" s="14">
        <v>3</v>
      </c>
      <c r="B18" s="15">
        <f t="shared" si="5"/>
        <v>590526.72546381725</v>
      </c>
      <c r="C18" s="18">
        <f t="shared" si="1"/>
        <v>700.15318303952154</v>
      </c>
      <c r="D18" s="15">
        <f t="shared" si="2"/>
        <v>2706.5808250424957</v>
      </c>
      <c r="E18" s="15">
        <f t="shared" si="3"/>
        <v>3406.7340080820172</v>
      </c>
      <c r="F18" s="15">
        <f t="shared" si="6"/>
        <v>589826.57228077773</v>
      </c>
    </row>
    <row r="19" spans="1:6" x14ac:dyDescent="0.25">
      <c r="A19" s="14">
        <v>4</v>
      </c>
      <c r="B19" s="15">
        <f t="shared" si="5"/>
        <v>589826.57228077773</v>
      </c>
      <c r="C19" s="18">
        <f t="shared" si="1"/>
        <v>703.36221846178614</v>
      </c>
      <c r="D19" s="15">
        <f t="shared" si="2"/>
        <v>2703.3717896202311</v>
      </c>
      <c r="E19" s="15">
        <f t="shared" si="3"/>
        <v>3406.7340080820172</v>
      </c>
      <c r="F19" s="15">
        <f t="shared" si="6"/>
        <v>589123.21006231592</v>
      </c>
    </row>
    <row r="20" spans="1:6" x14ac:dyDescent="0.25">
      <c r="A20" s="14">
        <v>5</v>
      </c>
      <c r="B20" s="15">
        <f t="shared" si="5"/>
        <v>589123.21006231592</v>
      </c>
      <c r="C20" s="18">
        <f t="shared" si="1"/>
        <v>706.58596196306917</v>
      </c>
      <c r="D20" s="15">
        <f t="shared" si="2"/>
        <v>2700.1480461189481</v>
      </c>
      <c r="E20" s="15">
        <f t="shared" si="3"/>
        <v>3406.7340080820172</v>
      </c>
      <c r="F20" s="15">
        <f t="shared" si="6"/>
        <v>588416.62410035287</v>
      </c>
    </row>
    <row r="21" spans="1:6" x14ac:dyDescent="0.25">
      <c r="A21" s="14">
        <v>6</v>
      </c>
      <c r="B21" s="15">
        <f t="shared" si="5"/>
        <v>588416.62410035287</v>
      </c>
      <c r="C21" s="18">
        <f t="shared" si="1"/>
        <v>709.82448095539985</v>
      </c>
      <c r="D21" s="15">
        <f t="shared" si="2"/>
        <v>2696.9095271266174</v>
      </c>
      <c r="E21" s="15">
        <f t="shared" si="3"/>
        <v>3406.7340080820172</v>
      </c>
      <c r="F21" s="15">
        <f t="shared" si="6"/>
        <v>587706.7996193975</v>
      </c>
    </row>
    <row r="22" spans="1:6" x14ac:dyDescent="0.25">
      <c r="A22" s="14">
        <v>7</v>
      </c>
      <c r="B22" s="15">
        <f t="shared" si="5"/>
        <v>587706.7996193975</v>
      </c>
      <c r="C22" s="18">
        <f t="shared" si="1"/>
        <v>713.07784315977869</v>
      </c>
      <c r="D22" s="15">
        <f t="shared" si="2"/>
        <v>2693.6561649222385</v>
      </c>
      <c r="E22" s="15">
        <f t="shared" si="3"/>
        <v>3406.7340080820172</v>
      </c>
      <c r="F22" s="15">
        <f t="shared" si="6"/>
        <v>586993.72177623771</v>
      </c>
    </row>
    <row r="23" spans="1:6" x14ac:dyDescent="0.25">
      <c r="A23" s="14">
        <v>8</v>
      </c>
      <c r="B23" s="15">
        <f t="shared" si="5"/>
        <v>586993.72177623771</v>
      </c>
      <c r="C23" s="18">
        <f t="shared" si="1"/>
        <v>716.34611660759447</v>
      </c>
      <c r="D23" s="15">
        <f t="shared" si="2"/>
        <v>2690.3878914744228</v>
      </c>
      <c r="E23" s="15">
        <f t="shared" si="3"/>
        <v>3406.7340080820172</v>
      </c>
      <c r="F23" s="15">
        <f t="shared" si="6"/>
        <v>586277.37565963017</v>
      </c>
    </row>
    <row r="24" spans="1:6" x14ac:dyDescent="0.25">
      <c r="A24" s="14">
        <v>9</v>
      </c>
      <c r="B24" s="15">
        <f t="shared" si="5"/>
        <v>586277.37565963017</v>
      </c>
      <c r="C24" s="18">
        <f t="shared" si="1"/>
        <v>719.62936964204573</v>
      </c>
      <c r="D24" s="15">
        <f t="shared" si="2"/>
        <v>2687.1046384399715</v>
      </c>
      <c r="E24" s="15">
        <f t="shared" si="3"/>
        <v>3406.7340080820172</v>
      </c>
      <c r="F24" s="15">
        <f t="shared" si="6"/>
        <v>585557.74628998816</v>
      </c>
    </row>
    <row r="25" spans="1:6" x14ac:dyDescent="0.25">
      <c r="A25" s="14">
        <v>10</v>
      </c>
      <c r="B25" s="15">
        <f t="shared" si="5"/>
        <v>585557.74628998816</v>
      </c>
      <c r="C25" s="18">
        <f t="shared" si="1"/>
        <v>722.92767091957148</v>
      </c>
      <c r="D25" s="15">
        <f t="shared" si="2"/>
        <v>2683.8063371624457</v>
      </c>
      <c r="E25" s="15">
        <f t="shared" si="3"/>
        <v>3406.7340080820172</v>
      </c>
      <c r="F25" s="15">
        <f t="shared" si="6"/>
        <v>584834.8186190686</v>
      </c>
    </row>
    <row r="26" spans="1:6" x14ac:dyDescent="0.25">
      <c r="A26" s="14">
        <v>11</v>
      </c>
      <c r="B26" s="15">
        <f t="shared" si="5"/>
        <v>584834.8186190686</v>
      </c>
      <c r="C26" s="18">
        <f t="shared" si="1"/>
        <v>726.24108941128634</v>
      </c>
      <c r="D26" s="15">
        <f t="shared" si="2"/>
        <v>2680.4929186707309</v>
      </c>
      <c r="E26" s="15">
        <f t="shared" si="3"/>
        <v>3406.7340080820172</v>
      </c>
      <c r="F26" s="15">
        <f t="shared" si="6"/>
        <v>584108.57752965728</v>
      </c>
    </row>
    <row r="27" spans="1:6" x14ac:dyDescent="0.25">
      <c r="A27" s="14">
        <v>12</v>
      </c>
      <c r="B27" s="15">
        <f t="shared" si="5"/>
        <v>584108.57752965728</v>
      </c>
      <c r="C27" s="18">
        <f t="shared" si="1"/>
        <v>729.56969440442117</v>
      </c>
      <c r="D27" s="15">
        <f t="shared" si="2"/>
        <v>2677.1643136775961</v>
      </c>
      <c r="E27" s="15">
        <f t="shared" si="3"/>
        <v>3406.7340080820172</v>
      </c>
      <c r="F27" s="20">
        <f t="shared" si="6"/>
        <v>583379.00783525291</v>
      </c>
    </row>
    <row r="28" spans="1:6" x14ac:dyDescent="0.25">
      <c r="A28" s="14"/>
      <c r="B28" s="15"/>
      <c r="C28" s="21">
        <f>SUM(C16:C27)</f>
        <v>8538.4553854766236</v>
      </c>
      <c r="D28" s="20">
        <f>SUM(D16:D27)</f>
        <v>32342.352711507581</v>
      </c>
      <c r="E28" s="15"/>
      <c r="F28" s="15"/>
    </row>
    <row r="29" spans="1:6" x14ac:dyDescent="0.25">
      <c r="A29" s="14"/>
      <c r="B29" s="15"/>
      <c r="C29" s="18"/>
      <c r="D29" s="15"/>
      <c r="E29" s="15"/>
      <c r="F29" s="15"/>
    </row>
    <row r="30" spans="1:6" x14ac:dyDescent="0.25">
      <c r="A30" s="14">
        <v>1</v>
      </c>
      <c r="B30" s="15">
        <f>$F27</f>
        <v>583379.00783525291</v>
      </c>
      <c r="C30" s="18">
        <f t="shared" si="1"/>
        <v>732.91355550377466</v>
      </c>
      <c r="D30" s="15">
        <f t="shared" si="2"/>
        <v>2673.8204525782426</v>
      </c>
      <c r="E30" s="15">
        <f t="shared" si="3"/>
        <v>3406.7340080820172</v>
      </c>
      <c r="F30" s="15">
        <f>$F27-$C30</f>
        <v>582646.09427974909</v>
      </c>
    </row>
    <row r="31" spans="1:6" x14ac:dyDescent="0.25">
      <c r="A31" s="14">
        <v>2</v>
      </c>
      <c r="B31" s="15">
        <f t="shared" si="5"/>
        <v>582646.09427974909</v>
      </c>
      <c r="C31" s="18">
        <f t="shared" si="1"/>
        <v>736.27274263316713</v>
      </c>
      <c r="D31" s="15">
        <f t="shared" si="2"/>
        <v>2670.4612654488501</v>
      </c>
      <c r="E31" s="15">
        <f t="shared" si="3"/>
        <v>3406.7340080820172</v>
      </c>
      <c r="F31" s="15">
        <f t="shared" si="6"/>
        <v>581909.82153711596</v>
      </c>
    </row>
    <row r="32" spans="1:6" x14ac:dyDescent="0.25">
      <c r="A32" s="14">
        <v>3</v>
      </c>
      <c r="B32" s="15">
        <f t="shared" si="5"/>
        <v>581909.82153711596</v>
      </c>
      <c r="C32" s="18">
        <f t="shared" si="1"/>
        <v>739.64732603690254</v>
      </c>
      <c r="D32" s="15">
        <f t="shared" si="2"/>
        <v>2667.0866820451147</v>
      </c>
      <c r="E32" s="15">
        <f t="shared" si="3"/>
        <v>3406.7340080820172</v>
      </c>
      <c r="F32" s="15">
        <f t="shared" si="6"/>
        <v>581170.17421107902</v>
      </c>
    </row>
    <row r="33" spans="1:6" x14ac:dyDescent="0.25">
      <c r="A33" s="14">
        <v>4</v>
      </c>
      <c r="B33" s="15">
        <f t="shared" si="5"/>
        <v>581170.17421107902</v>
      </c>
      <c r="C33" s="18">
        <f t="shared" si="1"/>
        <v>743.03737628123827</v>
      </c>
      <c r="D33" s="15">
        <f t="shared" si="2"/>
        <v>2663.696631800779</v>
      </c>
      <c r="E33" s="15">
        <f t="shared" si="3"/>
        <v>3406.7340080820172</v>
      </c>
      <c r="F33" s="15">
        <f t="shared" si="6"/>
        <v>580427.1368347978</v>
      </c>
    </row>
    <row r="34" spans="1:6" x14ac:dyDescent="0.25">
      <c r="A34" s="14">
        <v>5</v>
      </c>
      <c r="B34" s="15">
        <f t="shared" si="5"/>
        <v>580427.1368347978</v>
      </c>
      <c r="C34" s="18">
        <f t="shared" si="1"/>
        <v>746.44296425586072</v>
      </c>
      <c r="D34" s="15">
        <f t="shared" si="2"/>
        <v>2660.2910438261565</v>
      </c>
      <c r="E34" s="15">
        <f t="shared" si="3"/>
        <v>3406.7340080820172</v>
      </c>
      <c r="F34" s="15">
        <f t="shared" si="6"/>
        <v>579680.69387054199</v>
      </c>
    </row>
    <row r="35" spans="1:6" x14ac:dyDescent="0.25">
      <c r="A35" s="14">
        <v>6</v>
      </c>
      <c r="B35" s="15">
        <f t="shared" si="5"/>
        <v>579680.69387054199</v>
      </c>
      <c r="C35" s="18">
        <f t="shared" si="1"/>
        <v>749.86416117536646</v>
      </c>
      <c r="D35" s="15">
        <f t="shared" si="2"/>
        <v>2656.8698469066508</v>
      </c>
      <c r="E35" s="15">
        <f t="shared" si="3"/>
        <v>3406.7340080820172</v>
      </c>
      <c r="F35" s="15">
        <f t="shared" si="6"/>
        <v>578930.82970936666</v>
      </c>
    </row>
    <row r="36" spans="1:6" x14ac:dyDescent="0.25">
      <c r="A36" s="14">
        <v>7</v>
      </c>
      <c r="B36" s="15">
        <f t="shared" si="5"/>
        <v>578930.82970936666</v>
      </c>
      <c r="C36" s="18">
        <f t="shared" si="1"/>
        <v>753.30103858075336</v>
      </c>
      <c r="D36" s="15">
        <f t="shared" si="2"/>
        <v>2653.4329695012639</v>
      </c>
      <c r="E36" s="15">
        <f t="shared" si="3"/>
        <v>3406.7340080820172</v>
      </c>
      <c r="F36" s="15">
        <f t="shared" si="6"/>
        <v>578177.52867078595</v>
      </c>
    </row>
    <row r="37" spans="1:6" x14ac:dyDescent="0.25">
      <c r="A37" s="14">
        <v>8</v>
      </c>
      <c r="B37" s="15">
        <f t="shared" si="5"/>
        <v>578177.52867078595</v>
      </c>
      <c r="C37" s="18">
        <f t="shared" si="1"/>
        <v>756.75366834091483</v>
      </c>
      <c r="D37" s="15">
        <f t="shared" si="2"/>
        <v>2649.9803397411024</v>
      </c>
      <c r="E37" s="15">
        <f t="shared" si="3"/>
        <v>3406.7340080820172</v>
      </c>
      <c r="F37" s="15">
        <f t="shared" si="6"/>
        <v>577420.77500244498</v>
      </c>
    </row>
    <row r="38" spans="1:6" x14ac:dyDescent="0.25">
      <c r="A38" s="14">
        <v>9</v>
      </c>
      <c r="B38" s="15">
        <f t="shared" si="5"/>
        <v>577420.77500244498</v>
      </c>
      <c r="C38" s="18">
        <f t="shared" si="1"/>
        <v>760.22212265414419</v>
      </c>
      <c r="D38" s="15">
        <f t="shared" si="2"/>
        <v>2646.511885427873</v>
      </c>
      <c r="E38" s="15">
        <f t="shared" si="3"/>
        <v>3406.7340080820172</v>
      </c>
      <c r="F38" s="15">
        <f t="shared" si="6"/>
        <v>576660.55287979078</v>
      </c>
    </row>
    <row r="39" spans="1:6" x14ac:dyDescent="0.25">
      <c r="A39" s="14">
        <v>10</v>
      </c>
      <c r="B39" s="15">
        <f t="shared" si="5"/>
        <v>576660.55287979078</v>
      </c>
      <c r="C39" s="18">
        <f t="shared" si="1"/>
        <v>763.70647404964302</v>
      </c>
      <c r="D39" s="15">
        <f t="shared" si="2"/>
        <v>2643.0275340323742</v>
      </c>
      <c r="E39" s="15">
        <f t="shared" si="3"/>
        <v>3406.7340080820172</v>
      </c>
      <c r="F39" s="15">
        <f t="shared" si="6"/>
        <v>575896.84640574118</v>
      </c>
    </row>
    <row r="40" spans="1:6" x14ac:dyDescent="0.25">
      <c r="A40" s="14">
        <v>11</v>
      </c>
      <c r="B40" s="15">
        <f t="shared" si="5"/>
        <v>575896.84640574118</v>
      </c>
      <c r="C40" s="18">
        <f t="shared" si="1"/>
        <v>767.20679538903687</v>
      </c>
      <c r="D40" s="15">
        <f t="shared" si="2"/>
        <v>2639.5272126929804</v>
      </c>
      <c r="E40" s="15">
        <f t="shared" si="3"/>
        <v>3406.7340080820172</v>
      </c>
      <c r="F40" s="15">
        <f t="shared" si="6"/>
        <v>575129.63961035211</v>
      </c>
    </row>
    <row r="41" spans="1:6" x14ac:dyDescent="0.25">
      <c r="A41" s="14">
        <v>12</v>
      </c>
      <c r="B41" s="15">
        <f t="shared" si="5"/>
        <v>575129.63961035211</v>
      </c>
      <c r="C41" s="18">
        <f t="shared" si="1"/>
        <v>770.72315986790318</v>
      </c>
      <c r="D41" s="15">
        <f t="shared" si="2"/>
        <v>2636.010848214114</v>
      </c>
      <c r="E41" s="15">
        <f t="shared" si="3"/>
        <v>3406.7340080820172</v>
      </c>
      <c r="F41" s="20">
        <f t="shared" si="6"/>
        <v>574358.91645048419</v>
      </c>
    </row>
    <row r="42" spans="1:6" x14ac:dyDescent="0.25">
      <c r="A42" s="14"/>
      <c r="B42" s="15"/>
      <c r="C42" s="21">
        <f>SUM(C30:C41)</f>
        <v>9020.0913847687043</v>
      </c>
      <c r="D42" s="20">
        <f>SUM(D30:D41)</f>
        <v>31860.716712215504</v>
      </c>
      <c r="E42" s="15"/>
      <c r="F42" s="15"/>
    </row>
    <row r="43" spans="1:6" x14ac:dyDescent="0.25">
      <c r="A43" s="14"/>
      <c r="B43" s="15"/>
      <c r="C43" s="18"/>
      <c r="D43" s="15"/>
      <c r="E43" s="15"/>
      <c r="F43" s="15"/>
    </row>
    <row r="44" spans="1:6" x14ac:dyDescent="0.25">
      <c r="A44" s="14">
        <v>1</v>
      </c>
      <c r="B44" s="15">
        <f>$F41</f>
        <v>574358.91645048419</v>
      </c>
      <c r="C44" s="18">
        <f t="shared" si="1"/>
        <v>774.25564101729788</v>
      </c>
      <c r="D44" s="15">
        <f t="shared" si="2"/>
        <v>2632.4783670647194</v>
      </c>
      <c r="E44" s="15">
        <f t="shared" si="3"/>
        <v>3406.7340080820172</v>
      </c>
      <c r="F44" s="15">
        <f>$F41-$C44</f>
        <v>573584.66080946685</v>
      </c>
    </row>
    <row r="45" spans="1:6" x14ac:dyDescent="0.25">
      <c r="A45" s="14">
        <v>2</v>
      </c>
      <c r="B45" s="15">
        <f t="shared" si="5"/>
        <v>573584.66080946685</v>
      </c>
      <c r="C45" s="18">
        <f t="shared" si="1"/>
        <v>777.80431270529425</v>
      </c>
      <c r="D45" s="15">
        <f t="shared" si="2"/>
        <v>2628.929695376723</v>
      </c>
      <c r="E45" s="15">
        <f t="shared" si="3"/>
        <v>3406.7340080820172</v>
      </c>
      <c r="F45" s="15">
        <f t="shared" si="6"/>
        <v>572806.85649676155</v>
      </c>
    </row>
    <row r="46" spans="1:6" x14ac:dyDescent="0.25">
      <c r="A46" s="14">
        <v>3</v>
      </c>
      <c r="B46" s="15">
        <f t="shared" si="5"/>
        <v>572806.85649676155</v>
      </c>
      <c r="C46" s="18">
        <f t="shared" si="1"/>
        <v>781.36924913852681</v>
      </c>
      <c r="D46" s="15">
        <f t="shared" si="2"/>
        <v>2625.3647589434904</v>
      </c>
      <c r="E46" s="15">
        <f t="shared" si="3"/>
        <v>3406.7340080820172</v>
      </c>
      <c r="F46" s="15">
        <f t="shared" si="6"/>
        <v>572025.48724762304</v>
      </c>
    </row>
    <row r="47" spans="1:6" x14ac:dyDescent="0.25">
      <c r="A47" s="14">
        <v>4</v>
      </c>
      <c r="B47" s="15">
        <f t="shared" si="5"/>
        <v>572025.48724762304</v>
      </c>
      <c r="C47" s="18">
        <f t="shared" si="1"/>
        <v>784.95052486374516</v>
      </c>
      <c r="D47" s="15">
        <f t="shared" si="2"/>
        <v>2621.7834832182721</v>
      </c>
      <c r="E47" s="15">
        <f t="shared" si="3"/>
        <v>3406.7340080820172</v>
      </c>
      <c r="F47" s="15">
        <f t="shared" si="6"/>
        <v>571240.53672275925</v>
      </c>
    </row>
    <row r="48" spans="1:6" x14ac:dyDescent="0.25">
      <c r="A48" s="14">
        <v>5</v>
      </c>
      <c r="B48" s="15">
        <f t="shared" si="5"/>
        <v>571240.53672275925</v>
      </c>
      <c r="C48" s="18">
        <f t="shared" si="1"/>
        <v>788.54821476937059</v>
      </c>
      <c r="D48" s="15">
        <f t="shared" si="2"/>
        <v>2618.1857933126466</v>
      </c>
      <c r="E48" s="15">
        <f t="shared" si="3"/>
        <v>3406.7340080820172</v>
      </c>
      <c r="F48" s="15">
        <f t="shared" si="6"/>
        <v>570451.98850798991</v>
      </c>
    </row>
    <row r="49" spans="1:13" x14ac:dyDescent="0.25">
      <c r="A49" s="14">
        <v>6</v>
      </c>
      <c r="B49" s="15">
        <f t="shared" si="5"/>
        <v>570451.98850798991</v>
      </c>
      <c r="C49" s="18">
        <f t="shared" si="1"/>
        <v>792.1623940870636</v>
      </c>
      <c r="D49" s="15">
        <f t="shared" si="2"/>
        <v>2614.5716139949536</v>
      </c>
      <c r="E49" s="15">
        <f t="shared" si="3"/>
        <v>3406.7340080820172</v>
      </c>
      <c r="F49" s="15">
        <f t="shared" si="6"/>
        <v>569659.82611390285</v>
      </c>
    </row>
    <row r="50" spans="1:13" x14ac:dyDescent="0.25">
      <c r="A50" s="14">
        <v>7</v>
      </c>
      <c r="B50" s="15">
        <f t="shared" si="5"/>
        <v>569659.82611390285</v>
      </c>
      <c r="C50" s="18">
        <f t="shared" si="1"/>
        <v>795.79313839329598</v>
      </c>
      <c r="D50" s="15">
        <f t="shared" si="2"/>
        <v>2610.9408696887212</v>
      </c>
      <c r="E50" s="15">
        <f t="shared" si="3"/>
        <v>3406.7340080820172</v>
      </c>
      <c r="F50" s="15">
        <f t="shared" si="6"/>
        <v>568864.03297550953</v>
      </c>
    </row>
    <row r="51" spans="1:13" x14ac:dyDescent="0.25">
      <c r="A51" s="14">
        <v>8</v>
      </c>
      <c r="B51" s="15">
        <f t="shared" si="5"/>
        <v>568864.03297550953</v>
      </c>
      <c r="C51" s="18">
        <f t="shared" si="1"/>
        <v>799.4405236109319</v>
      </c>
      <c r="D51" s="15">
        <f t="shared" si="2"/>
        <v>2607.2934844710853</v>
      </c>
      <c r="E51" s="15">
        <f t="shared" si="3"/>
        <v>3406.7340080820172</v>
      </c>
      <c r="F51" s="15">
        <f t="shared" si="6"/>
        <v>568064.59245189861</v>
      </c>
    </row>
    <row r="52" spans="1:13" x14ac:dyDescent="0.25">
      <c r="A52" s="14">
        <v>9</v>
      </c>
      <c r="B52" s="15">
        <f t="shared" si="5"/>
        <v>568064.59245189861</v>
      </c>
      <c r="C52" s="18">
        <f t="shared" si="1"/>
        <v>803.10462601081508</v>
      </c>
      <c r="D52" s="15">
        <f t="shared" si="2"/>
        <v>2603.6293820712021</v>
      </c>
      <c r="E52" s="15">
        <f t="shared" si="3"/>
        <v>3406.7340080820172</v>
      </c>
      <c r="F52" s="15">
        <f t="shared" si="6"/>
        <v>567261.48782588774</v>
      </c>
    </row>
    <row r="53" spans="1:13" x14ac:dyDescent="0.25">
      <c r="A53" s="14">
        <v>10</v>
      </c>
      <c r="B53" s="15">
        <f t="shared" si="5"/>
        <v>567261.48782588774</v>
      </c>
      <c r="C53" s="18">
        <f t="shared" si="1"/>
        <v>806.78552221336486</v>
      </c>
      <c r="D53" s="15">
        <f t="shared" si="2"/>
        <v>2599.9484858686524</v>
      </c>
      <c r="E53" s="15">
        <f t="shared" si="3"/>
        <v>3406.7340080820172</v>
      </c>
      <c r="F53" s="15">
        <f t="shared" si="6"/>
        <v>566454.70230367442</v>
      </c>
    </row>
    <row r="54" spans="1:13" x14ac:dyDescent="0.25">
      <c r="A54" s="14">
        <v>11</v>
      </c>
      <c r="B54" s="15">
        <f t="shared" si="5"/>
        <v>566454.70230367442</v>
      </c>
      <c r="C54" s="18">
        <f t="shared" si="1"/>
        <v>810.48328919017604</v>
      </c>
      <c r="D54" s="15">
        <f t="shared" si="2"/>
        <v>2596.2507188918412</v>
      </c>
      <c r="E54" s="15">
        <f t="shared" si="3"/>
        <v>3406.7340080820172</v>
      </c>
      <c r="F54" s="15">
        <f t="shared" si="6"/>
        <v>565644.2190144842</v>
      </c>
    </row>
    <row r="55" spans="1:13" x14ac:dyDescent="0.25">
      <c r="A55" s="14">
        <v>12</v>
      </c>
      <c r="B55" s="15">
        <f t="shared" si="5"/>
        <v>565644.2190144842</v>
      </c>
      <c r="C55" s="18">
        <f t="shared" si="1"/>
        <v>814.19800426563143</v>
      </c>
      <c r="D55" s="15">
        <f t="shared" si="2"/>
        <v>2592.5360038163858</v>
      </c>
      <c r="E55" s="15">
        <f t="shared" si="3"/>
        <v>3406.7340080820172</v>
      </c>
      <c r="F55" s="20">
        <f t="shared" si="6"/>
        <v>564830.02101021854</v>
      </c>
    </row>
    <row r="56" spans="1:13" x14ac:dyDescent="0.25">
      <c r="A56" s="14"/>
      <c r="C56" s="21">
        <f>SUM(C44:C55)</f>
        <v>9528.8954402655145</v>
      </c>
      <c r="D56" s="22">
        <f>SUM(D44:D55)</f>
        <v>31351.91265671869</v>
      </c>
      <c r="J56" s="23"/>
      <c r="K56" s="24"/>
      <c r="L56" s="25"/>
      <c r="M56" s="25"/>
    </row>
    <row r="57" spans="1:13" x14ac:dyDescent="0.25">
      <c r="A57" s="14"/>
      <c r="F57" s="26"/>
    </row>
    <row r="58" spans="1:13" x14ac:dyDescent="0.25">
      <c r="A58" s="14">
        <v>1</v>
      </c>
      <c r="B58" s="15">
        <f>$F55</f>
        <v>564830.02101021854</v>
      </c>
      <c r="C58" s="18">
        <f t="shared" ref="C58:C69" si="7">$E58-$D58</f>
        <v>817.92974511851571</v>
      </c>
      <c r="D58" s="15">
        <f t="shared" ref="D58:D69" si="8">$B58*$I$2</f>
        <v>2588.8042629635015</v>
      </c>
      <c r="E58" s="15">
        <f t="shared" si="3"/>
        <v>3406.7340080820172</v>
      </c>
      <c r="F58" s="15">
        <f>$F55-$C58</f>
        <v>564012.09126510005</v>
      </c>
    </row>
    <row r="59" spans="1:13" x14ac:dyDescent="0.25">
      <c r="A59" s="14">
        <v>2</v>
      </c>
      <c r="B59" s="15">
        <f t="shared" ref="B59:B69" si="9">$F58</f>
        <v>564012.09126510005</v>
      </c>
      <c r="C59" s="18">
        <f t="shared" si="7"/>
        <v>821.67858978364211</v>
      </c>
      <c r="D59" s="15">
        <f t="shared" si="8"/>
        <v>2585.0554182983751</v>
      </c>
      <c r="E59" s="15">
        <f t="shared" si="3"/>
        <v>3406.7340080820172</v>
      </c>
      <c r="F59" s="15">
        <f t="shared" ref="F59:F69" si="10">$F58-$C59</f>
        <v>563190.41267531645</v>
      </c>
    </row>
    <row r="60" spans="1:13" x14ac:dyDescent="0.25">
      <c r="A60" s="14">
        <v>3</v>
      </c>
      <c r="B60" s="15">
        <f t="shared" si="9"/>
        <v>563190.41267531645</v>
      </c>
      <c r="C60" s="18">
        <f t="shared" si="7"/>
        <v>825.44461665348354</v>
      </c>
      <c r="D60" s="15">
        <f t="shared" si="8"/>
        <v>2581.2893914285337</v>
      </c>
      <c r="E60" s="15">
        <f t="shared" si="3"/>
        <v>3406.7340080820172</v>
      </c>
      <c r="F60" s="15">
        <f t="shared" si="10"/>
        <v>562364.96805866295</v>
      </c>
    </row>
    <row r="61" spans="1:13" x14ac:dyDescent="0.25">
      <c r="A61" s="14">
        <v>4</v>
      </c>
      <c r="B61" s="15">
        <f t="shared" si="9"/>
        <v>562364.96805866295</v>
      </c>
      <c r="C61" s="18">
        <f t="shared" si="7"/>
        <v>829.22790447981197</v>
      </c>
      <c r="D61" s="15">
        <f t="shared" si="8"/>
        <v>2577.5061036022053</v>
      </c>
      <c r="E61" s="15">
        <f t="shared" si="3"/>
        <v>3406.7340080820172</v>
      </c>
      <c r="F61" s="15">
        <f t="shared" si="10"/>
        <v>561535.74015418312</v>
      </c>
    </row>
    <row r="62" spans="1:13" x14ac:dyDescent="0.25">
      <c r="A62" s="14">
        <v>5</v>
      </c>
      <c r="B62" s="15">
        <f t="shared" si="9"/>
        <v>561535.74015418312</v>
      </c>
      <c r="C62" s="18">
        <f t="shared" si="7"/>
        <v>833.02853237534464</v>
      </c>
      <c r="D62" s="15">
        <f t="shared" si="8"/>
        <v>2573.7054757066726</v>
      </c>
      <c r="E62" s="15">
        <f t="shared" si="3"/>
        <v>3406.7340080820172</v>
      </c>
      <c r="F62" s="15">
        <f t="shared" si="10"/>
        <v>560702.71162180777</v>
      </c>
    </row>
    <row r="63" spans="1:13" x14ac:dyDescent="0.25">
      <c r="A63" s="14">
        <v>6</v>
      </c>
      <c r="B63" s="15">
        <f t="shared" si="9"/>
        <v>560702.71162180777</v>
      </c>
      <c r="C63" s="18">
        <f t="shared" si="7"/>
        <v>836.8465798153984</v>
      </c>
      <c r="D63" s="15">
        <f t="shared" si="8"/>
        <v>2569.8874282666188</v>
      </c>
      <c r="E63" s="15">
        <f t="shared" si="3"/>
        <v>3406.7340080820172</v>
      </c>
      <c r="F63" s="15">
        <f t="shared" si="10"/>
        <v>559865.86504199239</v>
      </c>
    </row>
    <row r="64" spans="1:13" x14ac:dyDescent="0.25">
      <c r="A64" s="14">
        <v>7</v>
      </c>
      <c r="B64" s="15">
        <f t="shared" si="9"/>
        <v>559865.86504199239</v>
      </c>
      <c r="C64" s="18">
        <f t="shared" si="7"/>
        <v>840.68212663955228</v>
      </c>
      <c r="D64" s="15">
        <f t="shared" si="8"/>
        <v>2566.0518814424649</v>
      </c>
      <c r="E64" s="15">
        <f t="shared" si="3"/>
        <v>3406.7340080820172</v>
      </c>
      <c r="F64" s="15">
        <f t="shared" si="10"/>
        <v>559025.18291535287</v>
      </c>
    </row>
    <row r="65" spans="1:6" x14ac:dyDescent="0.25">
      <c r="A65" s="14">
        <v>8</v>
      </c>
      <c r="B65" s="15">
        <f t="shared" si="9"/>
        <v>559025.18291535287</v>
      </c>
      <c r="C65" s="18">
        <f t="shared" si="7"/>
        <v>844.53525305331641</v>
      </c>
      <c r="D65" s="15">
        <f t="shared" si="8"/>
        <v>2562.1987550287008</v>
      </c>
      <c r="E65" s="15">
        <f t="shared" si="3"/>
        <v>3406.7340080820172</v>
      </c>
      <c r="F65" s="15">
        <f t="shared" si="10"/>
        <v>558180.64766229957</v>
      </c>
    </row>
    <row r="66" spans="1:6" x14ac:dyDescent="0.25">
      <c r="A66" s="14">
        <v>9</v>
      </c>
      <c r="B66" s="15">
        <f t="shared" si="9"/>
        <v>558180.64766229957</v>
      </c>
      <c r="C66" s="18">
        <f t="shared" si="7"/>
        <v>848.40603962981095</v>
      </c>
      <c r="D66" s="15">
        <f t="shared" si="8"/>
        <v>2558.3279684522063</v>
      </c>
      <c r="E66" s="15">
        <f t="shared" si="3"/>
        <v>3406.7340080820172</v>
      </c>
      <c r="F66" s="15">
        <f t="shared" si="10"/>
        <v>557332.24162266974</v>
      </c>
    </row>
    <row r="67" spans="1:6" x14ac:dyDescent="0.25">
      <c r="A67" s="14">
        <v>10</v>
      </c>
      <c r="B67" s="15">
        <f t="shared" si="9"/>
        <v>557332.24162266974</v>
      </c>
      <c r="C67" s="18">
        <f t="shared" si="7"/>
        <v>852.29456731144774</v>
      </c>
      <c r="D67" s="15">
        <f t="shared" si="8"/>
        <v>2554.4394407705695</v>
      </c>
      <c r="E67" s="15">
        <f t="shared" si="3"/>
        <v>3406.7340080820172</v>
      </c>
      <c r="F67" s="15">
        <f t="shared" si="10"/>
        <v>556479.94705535832</v>
      </c>
    </row>
    <row r="68" spans="1:6" x14ac:dyDescent="0.25">
      <c r="A68" s="14">
        <v>11</v>
      </c>
      <c r="B68" s="15">
        <f t="shared" si="9"/>
        <v>556479.94705535832</v>
      </c>
      <c r="C68" s="18">
        <f t="shared" si="7"/>
        <v>856.20091741162469</v>
      </c>
      <c r="D68" s="15">
        <f t="shared" si="8"/>
        <v>2550.5330906703925</v>
      </c>
      <c r="E68" s="15">
        <f t="shared" si="3"/>
        <v>3406.7340080820172</v>
      </c>
      <c r="F68" s="15">
        <f t="shared" si="10"/>
        <v>555623.74613794673</v>
      </c>
    </row>
    <row r="69" spans="1:6" x14ac:dyDescent="0.25">
      <c r="A69" s="14">
        <v>12</v>
      </c>
      <c r="B69" s="15">
        <f t="shared" si="9"/>
        <v>555623.74613794673</v>
      </c>
      <c r="C69" s="18">
        <f t="shared" si="7"/>
        <v>860.12517161642791</v>
      </c>
      <c r="D69" s="15">
        <f t="shared" si="8"/>
        <v>2546.6088364655893</v>
      </c>
      <c r="E69" s="15">
        <f t="shared" si="3"/>
        <v>3406.7340080820172</v>
      </c>
      <c r="F69" s="20">
        <f t="shared" si="10"/>
        <v>554763.62096633029</v>
      </c>
    </row>
    <row r="70" spans="1:6" x14ac:dyDescent="0.25">
      <c r="A70" s="14"/>
      <c r="C70" s="21">
        <f>SUM(C58:C69)</f>
        <v>10066.400043888376</v>
      </c>
      <c r="D70" s="22">
        <f>SUM(D58:D69)</f>
        <v>30814.408053095827</v>
      </c>
    </row>
    <row r="71" spans="1:6" x14ac:dyDescent="0.25">
      <c r="A71" s="14"/>
    </row>
    <row r="72" spans="1:6" x14ac:dyDescent="0.25">
      <c r="A72" s="14">
        <v>1</v>
      </c>
      <c r="B72" s="15">
        <f>$F69</f>
        <v>554763.62096633029</v>
      </c>
      <c r="C72" s="18">
        <f t="shared" ref="C72:C83" si="11">$E72-$D72</f>
        <v>864.06741198633654</v>
      </c>
      <c r="D72" s="15">
        <f t="shared" ref="D72:D83" si="12">$B72*$I$2</f>
        <v>2542.6665960956807</v>
      </c>
      <c r="E72" s="15">
        <f t="shared" ref="E72:E137" si="13">-$I$8</f>
        <v>3406.7340080820172</v>
      </c>
      <c r="F72" s="15">
        <f>$F69-$C72</f>
        <v>553899.55355434399</v>
      </c>
    </row>
    <row r="73" spans="1:6" x14ac:dyDescent="0.25">
      <c r="A73" s="14">
        <v>2</v>
      </c>
      <c r="B73" s="15">
        <f t="shared" ref="B73:B83" si="14">$F72</f>
        <v>553899.55355434399</v>
      </c>
      <c r="C73" s="18">
        <f t="shared" si="11"/>
        <v>868.0277209579408</v>
      </c>
      <c r="D73" s="15">
        <f t="shared" si="12"/>
        <v>2538.7062871240764</v>
      </c>
      <c r="E73" s="15">
        <f t="shared" si="13"/>
        <v>3406.7340080820172</v>
      </c>
      <c r="F73" s="15">
        <f t="shared" ref="F73:F83" si="15">$F72-$C73</f>
        <v>553031.525833386</v>
      </c>
    </row>
    <row r="74" spans="1:6" x14ac:dyDescent="0.25">
      <c r="A74" s="14">
        <v>3</v>
      </c>
      <c r="B74" s="15">
        <f t="shared" si="14"/>
        <v>553031.525833386</v>
      </c>
      <c r="C74" s="18">
        <f t="shared" si="11"/>
        <v>872.00618134566457</v>
      </c>
      <c r="D74" s="15">
        <f t="shared" si="12"/>
        <v>2534.7278267363527</v>
      </c>
      <c r="E74" s="15">
        <f t="shared" si="13"/>
        <v>3406.7340080820172</v>
      </c>
      <c r="F74" s="15">
        <f t="shared" si="15"/>
        <v>552159.51965204033</v>
      </c>
    </row>
    <row r="75" spans="1:6" x14ac:dyDescent="0.25">
      <c r="A75" s="14">
        <v>4</v>
      </c>
      <c r="B75" s="15">
        <f t="shared" si="14"/>
        <v>552159.51965204033</v>
      </c>
      <c r="C75" s="18">
        <f t="shared" si="11"/>
        <v>876.00287634349888</v>
      </c>
      <c r="D75" s="15">
        <f t="shared" si="12"/>
        <v>2530.7311317385183</v>
      </c>
      <c r="E75" s="15">
        <f t="shared" si="13"/>
        <v>3406.7340080820172</v>
      </c>
      <c r="F75" s="15">
        <f t="shared" si="15"/>
        <v>551283.51677569677</v>
      </c>
    </row>
    <row r="76" spans="1:6" x14ac:dyDescent="0.25">
      <c r="A76" s="14">
        <v>5</v>
      </c>
      <c r="B76" s="15">
        <f t="shared" si="14"/>
        <v>551283.51677569677</v>
      </c>
      <c r="C76" s="18">
        <f t="shared" si="11"/>
        <v>880.01788952674042</v>
      </c>
      <c r="D76" s="15">
        <f t="shared" si="12"/>
        <v>2526.7161185552768</v>
      </c>
      <c r="E76" s="15">
        <f t="shared" si="13"/>
        <v>3406.7340080820172</v>
      </c>
      <c r="F76" s="15">
        <f t="shared" si="15"/>
        <v>550403.49888616998</v>
      </c>
    </row>
    <row r="77" spans="1:6" x14ac:dyDescent="0.25">
      <c r="A77" s="14">
        <v>6</v>
      </c>
      <c r="B77" s="15">
        <f t="shared" si="14"/>
        <v>550403.49888616998</v>
      </c>
      <c r="C77" s="18">
        <f t="shared" si="11"/>
        <v>884.0513048537382</v>
      </c>
      <c r="D77" s="15">
        <f t="shared" si="12"/>
        <v>2522.682703228279</v>
      </c>
      <c r="E77" s="15">
        <f t="shared" si="13"/>
        <v>3406.7340080820172</v>
      </c>
      <c r="F77" s="15">
        <f t="shared" si="15"/>
        <v>549519.44758131623</v>
      </c>
    </row>
    <row r="78" spans="1:6" x14ac:dyDescent="0.25">
      <c r="A78" s="14">
        <v>7</v>
      </c>
      <c r="B78" s="15">
        <f t="shared" si="14"/>
        <v>549519.44758131623</v>
      </c>
      <c r="C78" s="18">
        <f t="shared" si="11"/>
        <v>888.10320666765119</v>
      </c>
      <c r="D78" s="15">
        <f t="shared" si="12"/>
        <v>2518.630801414366</v>
      </c>
      <c r="E78" s="15">
        <f t="shared" si="13"/>
        <v>3406.7340080820172</v>
      </c>
      <c r="F78" s="15">
        <f t="shared" si="15"/>
        <v>548631.34437464853</v>
      </c>
    </row>
    <row r="79" spans="1:6" x14ac:dyDescent="0.25">
      <c r="A79" s="14">
        <v>8</v>
      </c>
      <c r="B79" s="15">
        <f t="shared" si="14"/>
        <v>548631.34437464853</v>
      </c>
      <c r="C79" s="18">
        <f t="shared" si="11"/>
        <v>892.17367969821134</v>
      </c>
      <c r="D79" s="15">
        <f t="shared" si="12"/>
        <v>2514.5603283838059</v>
      </c>
      <c r="E79" s="15">
        <f t="shared" si="13"/>
        <v>3406.7340080820172</v>
      </c>
      <c r="F79" s="15">
        <f t="shared" si="15"/>
        <v>547739.17069495027</v>
      </c>
    </row>
    <row r="80" spans="1:6" x14ac:dyDescent="0.25">
      <c r="A80" s="14">
        <v>9</v>
      </c>
      <c r="B80" s="15">
        <f t="shared" si="14"/>
        <v>547739.17069495027</v>
      </c>
      <c r="C80" s="18">
        <f t="shared" si="11"/>
        <v>896.2628090634953</v>
      </c>
      <c r="D80" s="15">
        <f t="shared" si="12"/>
        <v>2510.4711990185219</v>
      </c>
      <c r="E80" s="15">
        <f t="shared" si="13"/>
        <v>3406.7340080820172</v>
      </c>
      <c r="F80" s="15">
        <f t="shared" si="15"/>
        <v>546842.90788588673</v>
      </c>
    </row>
    <row r="81" spans="1:6" x14ac:dyDescent="0.25">
      <c r="A81" s="14">
        <v>10</v>
      </c>
      <c r="B81" s="15">
        <f t="shared" si="14"/>
        <v>546842.90788588673</v>
      </c>
      <c r="C81" s="18">
        <f t="shared" si="11"/>
        <v>900.37068027170289</v>
      </c>
      <c r="D81" s="15">
        <f t="shared" si="12"/>
        <v>2506.3633278103143</v>
      </c>
      <c r="E81" s="15">
        <f t="shared" si="13"/>
        <v>3406.7340080820172</v>
      </c>
      <c r="F81" s="15">
        <f t="shared" si="15"/>
        <v>545942.53720561508</v>
      </c>
    </row>
    <row r="82" spans="1:6" x14ac:dyDescent="0.25">
      <c r="A82" s="14">
        <v>11</v>
      </c>
      <c r="B82" s="15">
        <f t="shared" si="14"/>
        <v>545942.53720561508</v>
      </c>
      <c r="C82" s="18">
        <f t="shared" si="11"/>
        <v>904.49737922294798</v>
      </c>
      <c r="D82" s="15">
        <f t="shared" si="12"/>
        <v>2502.2366288590692</v>
      </c>
      <c r="E82" s="15">
        <f t="shared" si="13"/>
        <v>3406.7340080820172</v>
      </c>
      <c r="F82" s="15">
        <f t="shared" si="15"/>
        <v>545038.03982639208</v>
      </c>
    </row>
    <row r="83" spans="1:6" x14ac:dyDescent="0.25">
      <c r="A83" s="14">
        <v>12</v>
      </c>
      <c r="B83" s="15">
        <f t="shared" si="14"/>
        <v>545038.03982639208</v>
      </c>
      <c r="C83" s="18">
        <f t="shared" si="11"/>
        <v>908.6429922110533</v>
      </c>
      <c r="D83" s="15">
        <f t="shared" si="12"/>
        <v>2498.0910158709639</v>
      </c>
      <c r="E83" s="15">
        <f t="shared" si="13"/>
        <v>3406.7340080820172</v>
      </c>
      <c r="F83" s="20">
        <f t="shared" si="15"/>
        <v>544129.39683418104</v>
      </c>
    </row>
    <row r="84" spans="1:6" x14ac:dyDescent="0.25">
      <c r="A84" s="14"/>
      <c r="C84" s="21">
        <f>SUM(C72:C83)</f>
        <v>10634.22413214898</v>
      </c>
      <c r="D84" s="22">
        <f>SUM(D72:D83)</f>
        <v>30246.583964835223</v>
      </c>
    </row>
    <row r="85" spans="1:6" x14ac:dyDescent="0.25">
      <c r="A85" s="14"/>
      <c r="F85" s="26"/>
    </row>
    <row r="86" spans="1:6" x14ac:dyDescent="0.25">
      <c r="A86" s="14">
        <v>1</v>
      </c>
      <c r="B86" s="15">
        <f>$F83</f>
        <v>544129.39683418104</v>
      </c>
      <c r="C86" s="18">
        <f t="shared" ref="C86:C97" si="16">$E86-$D86</f>
        <v>912.80760592535398</v>
      </c>
      <c r="D86" s="15">
        <f t="shared" ref="D86:D97" si="17">$B86*$I$2</f>
        <v>2493.9264021566632</v>
      </c>
      <c r="E86" s="15">
        <f t="shared" si="13"/>
        <v>3406.7340080820172</v>
      </c>
      <c r="F86" s="15">
        <f>$F83-$C86</f>
        <v>543216.58922825567</v>
      </c>
    </row>
    <row r="87" spans="1:6" x14ac:dyDescent="0.25">
      <c r="A87" s="14">
        <v>2</v>
      </c>
      <c r="B87" s="15">
        <f t="shared" ref="B87:B97" si="18">$F86</f>
        <v>543216.58922825567</v>
      </c>
      <c r="C87" s="18">
        <f t="shared" si="16"/>
        <v>916.99130745251205</v>
      </c>
      <c r="D87" s="15">
        <f t="shared" si="17"/>
        <v>2489.7427006295052</v>
      </c>
      <c r="E87" s="15">
        <f t="shared" si="13"/>
        <v>3406.7340080820172</v>
      </c>
      <c r="F87" s="15">
        <f t="shared" ref="F87:F97" si="19">$F86-$C87</f>
        <v>542299.59792080312</v>
      </c>
    </row>
    <row r="88" spans="1:6" x14ac:dyDescent="0.25">
      <c r="A88" s="14">
        <v>3</v>
      </c>
      <c r="B88" s="15">
        <f t="shared" si="18"/>
        <v>542299.59792080312</v>
      </c>
      <c r="C88" s="18">
        <f t="shared" si="16"/>
        <v>921.19418427833625</v>
      </c>
      <c r="D88" s="15">
        <f t="shared" si="17"/>
        <v>2485.539823803681</v>
      </c>
      <c r="E88" s="15">
        <f t="shared" si="13"/>
        <v>3406.7340080820172</v>
      </c>
      <c r="F88" s="15">
        <f t="shared" si="19"/>
        <v>541378.40373652475</v>
      </c>
    </row>
    <row r="89" spans="1:6" x14ac:dyDescent="0.25">
      <c r="A89" s="14">
        <v>4</v>
      </c>
      <c r="B89" s="15">
        <f t="shared" si="18"/>
        <v>541378.40373652475</v>
      </c>
      <c r="C89" s="18">
        <f t="shared" si="16"/>
        <v>925.41632428961202</v>
      </c>
      <c r="D89" s="15">
        <f t="shared" si="17"/>
        <v>2481.3176837924052</v>
      </c>
      <c r="E89" s="15">
        <f t="shared" si="13"/>
        <v>3406.7340080820172</v>
      </c>
      <c r="F89" s="15">
        <f t="shared" si="19"/>
        <v>540452.98741223512</v>
      </c>
    </row>
    <row r="90" spans="1:6" x14ac:dyDescent="0.25">
      <c r="A90" s="14">
        <v>5</v>
      </c>
      <c r="B90" s="15">
        <f t="shared" si="18"/>
        <v>540452.98741223512</v>
      </c>
      <c r="C90" s="18">
        <f t="shared" si="16"/>
        <v>929.65781577593953</v>
      </c>
      <c r="D90" s="15">
        <f t="shared" si="17"/>
        <v>2477.0761923060777</v>
      </c>
      <c r="E90" s="15">
        <f t="shared" si="13"/>
        <v>3406.7340080820172</v>
      </c>
      <c r="F90" s="15">
        <f t="shared" si="19"/>
        <v>539523.32959645917</v>
      </c>
    </row>
    <row r="91" spans="1:6" x14ac:dyDescent="0.25">
      <c r="A91" s="14">
        <v>6</v>
      </c>
      <c r="B91" s="15">
        <f t="shared" si="18"/>
        <v>539523.32959645917</v>
      </c>
      <c r="C91" s="18">
        <f t="shared" si="16"/>
        <v>933.9187474315795</v>
      </c>
      <c r="D91" s="15">
        <f t="shared" si="17"/>
        <v>2472.8152606504377</v>
      </c>
      <c r="E91" s="15">
        <f t="shared" si="13"/>
        <v>3406.7340080820172</v>
      </c>
      <c r="F91" s="15">
        <f t="shared" si="19"/>
        <v>538589.41084902757</v>
      </c>
    </row>
    <row r="92" spans="1:6" x14ac:dyDescent="0.25">
      <c r="A92" s="14">
        <v>7</v>
      </c>
      <c r="B92" s="15">
        <f t="shared" si="18"/>
        <v>538589.41084902757</v>
      </c>
      <c r="C92" s="18">
        <f t="shared" si="16"/>
        <v>938.19920835730773</v>
      </c>
      <c r="D92" s="15">
        <f t="shared" si="17"/>
        <v>2468.5347997247095</v>
      </c>
      <c r="E92" s="15">
        <f t="shared" si="13"/>
        <v>3406.7340080820172</v>
      </c>
      <c r="F92" s="15">
        <f t="shared" si="19"/>
        <v>537651.21164067031</v>
      </c>
    </row>
    <row r="93" spans="1:6" x14ac:dyDescent="0.25">
      <c r="A93" s="14">
        <v>8</v>
      </c>
      <c r="B93" s="15">
        <f t="shared" si="18"/>
        <v>537651.21164067031</v>
      </c>
      <c r="C93" s="18">
        <f t="shared" si="16"/>
        <v>942.49928806227808</v>
      </c>
      <c r="D93" s="15">
        <f t="shared" si="17"/>
        <v>2464.2347200197391</v>
      </c>
      <c r="E93" s="15">
        <f t="shared" si="13"/>
        <v>3406.7340080820172</v>
      </c>
      <c r="F93" s="15">
        <f t="shared" si="19"/>
        <v>536708.71235260798</v>
      </c>
    </row>
    <row r="94" spans="1:6" x14ac:dyDescent="0.25">
      <c r="A94" s="14">
        <v>9</v>
      </c>
      <c r="B94" s="15">
        <f t="shared" si="18"/>
        <v>536708.71235260798</v>
      </c>
      <c r="C94" s="18">
        <f t="shared" si="16"/>
        <v>946.81907646589752</v>
      </c>
      <c r="D94" s="15">
        <f t="shared" si="17"/>
        <v>2459.9149316161197</v>
      </c>
      <c r="E94" s="15">
        <f t="shared" si="13"/>
        <v>3406.7340080820172</v>
      </c>
      <c r="F94" s="15">
        <f t="shared" si="19"/>
        <v>535761.89327614207</v>
      </c>
    </row>
    <row r="95" spans="1:6" x14ac:dyDescent="0.25">
      <c r="A95" s="14">
        <v>10</v>
      </c>
      <c r="B95" s="15">
        <f t="shared" si="18"/>
        <v>535761.89327614207</v>
      </c>
      <c r="C95" s="18">
        <f t="shared" si="16"/>
        <v>951.1586638996996</v>
      </c>
      <c r="D95" s="15">
        <f t="shared" si="17"/>
        <v>2455.5753441823176</v>
      </c>
      <c r="E95" s="15">
        <f t="shared" si="13"/>
        <v>3406.7340080820172</v>
      </c>
      <c r="F95" s="15">
        <f t="shared" si="19"/>
        <v>534810.73461224232</v>
      </c>
    </row>
    <row r="96" spans="1:6" x14ac:dyDescent="0.25">
      <c r="A96" s="14">
        <v>11</v>
      </c>
      <c r="B96" s="15">
        <f t="shared" si="18"/>
        <v>534810.73461224232</v>
      </c>
      <c r="C96" s="18">
        <f t="shared" si="16"/>
        <v>955.51814110923988</v>
      </c>
      <c r="D96" s="15">
        <f t="shared" si="17"/>
        <v>2451.2158669727773</v>
      </c>
      <c r="E96" s="15">
        <f t="shared" si="13"/>
        <v>3406.7340080820172</v>
      </c>
      <c r="F96" s="15">
        <f t="shared" si="19"/>
        <v>533855.21647113306</v>
      </c>
    </row>
    <row r="97" spans="1:6" x14ac:dyDescent="0.25">
      <c r="A97" s="14">
        <v>12</v>
      </c>
      <c r="B97" s="15">
        <f t="shared" si="18"/>
        <v>533855.21647113306</v>
      </c>
      <c r="C97" s="18">
        <f t="shared" si="16"/>
        <v>959.89759925599083</v>
      </c>
      <c r="D97" s="15">
        <f t="shared" si="17"/>
        <v>2446.8364088260264</v>
      </c>
      <c r="E97" s="15">
        <f t="shared" si="13"/>
        <v>3406.7340080820172</v>
      </c>
      <c r="F97" s="20">
        <f t="shared" si="19"/>
        <v>532895.31887187704</v>
      </c>
    </row>
    <row r="98" spans="1:6" x14ac:dyDescent="0.25">
      <c r="A98" s="14"/>
      <c r="C98" s="21">
        <f>SUM(C86:C97)</f>
        <v>11234.077962303749</v>
      </c>
      <c r="D98" s="22">
        <f>SUM(D86:D97)</f>
        <v>29646.730134680463</v>
      </c>
    </row>
    <row r="99" spans="1:6" x14ac:dyDescent="0.25">
      <c r="A99" s="14"/>
    </row>
    <row r="100" spans="1:6" x14ac:dyDescent="0.25">
      <c r="A100" s="14">
        <v>1</v>
      </c>
      <c r="B100" s="15">
        <f>$F97</f>
        <v>532895.31887187704</v>
      </c>
      <c r="C100" s="18">
        <f t="shared" ref="C100:C111" si="20">$E100-$D100</f>
        <v>964.29712991924725</v>
      </c>
      <c r="D100" s="15">
        <f t="shared" ref="D100:D111" si="21">$B100*$I$2</f>
        <v>2442.43687816277</v>
      </c>
      <c r="E100" s="15">
        <f t="shared" si="13"/>
        <v>3406.7340080820172</v>
      </c>
      <c r="F100" s="15">
        <f>$F97-$C100</f>
        <v>531931.02174195775</v>
      </c>
    </row>
    <row r="101" spans="1:6" x14ac:dyDescent="0.25">
      <c r="A101" s="14">
        <v>2</v>
      </c>
      <c r="B101" s="15">
        <f t="shared" ref="B101:B111" si="22">$F100</f>
        <v>531931.02174195775</v>
      </c>
      <c r="C101" s="18">
        <f t="shared" si="20"/>
        <v>968.71682509804396</v>
      </c>
      <c r="D101" s="15">
        <f t="shared" si="21"/>
        <v>2438.0171829839733</v>
      </c>
      <c r="E101" s="15">
        <f t="shared" si="13"/>
        <v>3406.7340080820172</v>
      </c>
      <c r="F101" s="15">
        <f t="shared" ref="F101:F111" si="23">$F100-$C101</f>
        <v>530962.30491685972</v>
      </c>
    </row>
    <row r="102" spans="1:6" x14ac:dyDescent="0.25">
      <c r="A102" s="14">
        <v>3</v>
      </c>
      <c r="B102" s="15">
        <f t="shared" si="22"/>
        <v>530962.30491685972</v>
      </c>
      <c r="C102" s="18">
        <f t="shared" si="20"/>
        <v>973.15677721307702</v>
      </c>
      <c r="D102" s="15">
        <f t="shared" si="21"/>
        <v>2433.5772308689402</v>
      </c>
      <c r="E102" s="15">
        <f t="shared" si="13"/>
        <v>3406.7340080820172</v>
      </c>
      <c r="F102" s="15">
        <f t="shared" si="23"/>
        <v>529989.14813964663</v>
      </c>
    </row>
    <row r="103" spans="1:6" x14ac:dyDescent="0.25">
      <c r="A103" s="14">
        <v>4</v>
      </c>
      <c r="B103" s="15">
        <f t="shared" si="22"/>
        <v>529989.14813964663</v>
      </c>
      <c r="C103" s="18">
        <f t="shared" si="20"/>
        <v>977.61707910863697</v>
      </c>
      <c r="D103" s="15">
        <f t="shared" si="21"/>
        <v>2429.1169289733803</v>
      </c>
      <c r="E103" s="15">
        <f t="shared" si="13"/>
        <v>3406.7340080820172</v>
      </c>
      <c r="F103" s="15">
        <f t="shared" si="23"/>
        <v>529011.53106053802</v>
      </c>
    </row>
    <row r="104" spans="1:6" x14ac:dyDescent="0.25">
      <c r="A104" s="14">
        <v>5</v>
      </c>
      <c r="B104" s="15">
        <f t="shared" si="22"/>
        <v>529011.53106053802</v>
      </c>
      <c r="C104" s="18">
        <f t="shared" si="20"/>
        <v>982.09782405455144</v>
      </c>
      <c r="D104" s="15">
        <f t="shared" si="21"/>
        <v>2424.6361840274658</v>
      </c>
      <c r="E104" s="15">
        <f t="shared" si="13"/>
        <v>3406.7340080820172</v>
      </c>
      <c r="F104" s="15">
        <f t="shared" si="23"/>
        <v>528029.43323648348</v>
      </c>
    </row>
    <row r="105" spans="1:6" x14ac:dyDescent="0.25">
      <c r="A105" s="14">
        <v>6</v>
      </c>
      <c r="B105" s="15">
        <f t="shared" si="22"/>
        <v>528029.43323648348</v>
      </c>
      <c r="C105" s="18">
        <f t="shared" si="20"/>
        <v>986.59910574813466</v>
      </c>
      <c r="D105" s="15">
        <f t="shared" si="21"/>
        <v>2420.1349023338826</v>
      </c>
      <c r="E105" s="15">
        <f t="shared" si="13"/>
        <v>3406.7340080820172</v>
      </c>
      <c r="F105" s="15">
        <f t="shared" si="23"/>
        <v>527042.83413073537</v>
      </c>
    </row>
    <row r="106" spans="1:6" x14ac:dyDescent="0.25">
      <c r="A106" s="14">
        <v>7</v>
      </c>
      <c r="B106" s="15">
        <f t="shared" si="22"/>
        <v>527042.83413073537</v>
      </c>
      <c r="C106" s="18">
        <f t="shared" si="20"/>
        <v>991.12101831614655</v>
      </c>
      <c r="D106" s="15">
        <f t="shared" si="21"/>
        <v>2415.6129897658707</v>
      </c>
      <c r="E106" s="15">
        <f t="shared" si="13"/>
        <v>3406.7340080820172</v>
      </c>
      <c r="F106" s="15">
        <f t="shared" si="23"/>
        <v>526051.71311241924</v>
      </c>
    </row>
    <row r="107" spans="1:6" x14ac:dyDescent="0.25">
      <c r="A107" s="14">
        <v>8</v>
      </c>
      <c r="B107" s="15">
        <f t="shared" si="22"/>
        <v>526051.71311241924</v>
      </c>
      <c r="C107" s="18">
        <f t="shared" si="20"/>
        <v>995.66365631676217</v>
      </c>
      <c r="D107" s="15">
        <f t="shared" si="21"/>
        <v>2411.0703517652551</v>
      </c>
      <c r="E107" s="15">
        <f t="shared" si="13"/>
        <v>3406.7340080820172</v>
      </c>
      <c r="F107" s="15">
        <f t="shared" si="23"/>
        <v>525056.04945610242</v>
      </c>
    </row>
    <row r="108" spans="1:6" x14ac:dyDescent="0.25">
      <c r="A108" s="14">
        <v>9</v>
      </c>
      <c r="B108" s="15">
        <f t="shared" si="22"/>
        <v>525056.04945610242</v>
      </c>
      <c r="C108" s="18">
        <f t="shared" si="20"/>
        <v>1000.2271147415477</v>
      </c>
      <c r="D108" s="15">
        <f t="shared" si="21"/>
        <v>2406.5068933404696</v>
      </c>
      <c r="E108" s="15">
        <f t="shared" si="13"/>
        <v>3406.7340080820172</v>
      </c>
      <c r="F108" s="15">
        <f t="shared" si="23"/>
        <v>524055.82234136085</v>
      </c>
    </row>
    <row r="109" spans="1:6" x14ac:dyDescent="0.25">
      <c r="A109" s="14">
        <v>10</v>
      </c>
      <c r="B109" s="15">
        <f t="shared" si="22"/>
        <v>524055.82234136085</v>
      </c>
      <c r="C109" s="18">
        <f t="shared" si="20"/>
        <v>1004.8114890174465</v>
      </c>
      <c r="D109" s="15">
        <f t="shared" si="21"/>
        <v>2401.9225190645707</v>
      </c>
      <c r="E109" s="15">
        <f t="shared" si="13"/>
        <v>3406.7340080820172</v>
      </c>
      <c r="F109" s="15">
        <f t="shared" si="23"/>
        <v>523051.0108523434</v>
      </c>
    </row>
    <row r="110" spans="1:6" x14ac:dyDescent="0.25">
      <c r="A110" s="14">
        <v>11</v>
      </c>
      <c r="B110" s="15">
        <f t="shared" si="22"/>
        <v>523051.0108523434</v>
      </c>
      <c r="C110" s="18">
        <f t="shared" si="20"/>
        <v>1009.4168750087765</v>
      </c>
      <c r="D110" s="15">
        <f t="shared" si="21"/>
        <v>2397.3171330732407</v>
      </c>
      <c r="E110" s="15">
        <f t="shared" si="13"/>
        <v>3406.7340080820172</v>
      </c>
      <c r="F110" s="15">
        <f t="shared" si="23"/>
        <v>522041.59397733462</v>
      </c>
    </row>
    <row r="111" spans="1:6" x14ac:dyDescent="0.25">
      <c r="A111" s="14">
        <v>12</v>
      </c>
      <c r="B111" s="15">
        <f t="shared" si="22"/>
        <v>522041.59397733462</v>
      </c>
      <c r="C111" s="18">
        <f t="shared" si="20"/>
        <v>1014.0433690192335</v>
      </c>
      <c r="D111" s="15">
        <f t="shared" si="21"/>
        <v>2392.6906390627837</v>
      </c>
      <c r="E111" s="15">
        <f t="shared" si="13"/>
        <v>3406.7340080820172</v>
      </c>
      <c r="F111" s="20">
        <f t="shared" si="23"/>
        <v>521027.55060831539</v>
      </c>
    </row>
    <row r="112" spans="1:6" x14ac:dyDescent="0.25">
      <c r="A112" s="14"/>
      <c r="C112" s="21">
        <f>SUM(C100:C111)</f>
        <v>11867.768263561607</v>
      </c>
      <c r="D112" s="22">
        <f>SUM(D100:D111)</f>
        <v>29013.039833422601</v>
      </c>
    </row>
    <row r="113" spans="1:6" x14ac:dyDescent="0.25">
      <c r="A113" s="14"/>
      <c r="F113" s="26"/>
    </row>
    <row r="114" spans="1:6" x14ac:dyDescent="0.25">
      <c r="A114" s="14">
        <v>1</v>
      </c>
      <c r="B114" s="15">
        <f>$F111</f>
        <v>521027.55060831539</v>
      </c>
      <c r="C114" s="18">
        <f t="shared" ref="C114:C125" si="24">$E114-$D114</f>
        <v>1018.6910677939049</v>
      </c>
      <c r="D114" s="15">
        <f t="shared" ref="D114:D125" si="25">$B114*$I$2</f>
        <v>2388.0429402881123</v>
      </c>
      <c r="E114" s="15">
        <f t="shared" si="13"/>
        <v>3406.7340080820172</v>
      </c>
      <c r="F114" s="15">
        <f>$F111-$C114</f>
        <v>520008.85954052146</v>
      </c>
    </row>
    <row r="115" spans="1:6" x14ac:dyDescent="0.25">
      <c r="A115" s="14">
        <v>2</v>
      </c>
      <c r="B115" s="15">
        <f>$F114</f>
        <v>520008.85954052146</v>
      </c>
      <c r="C115" s="18">
        <f t="shared" si="24"/>
        <v>1023.3600685212937</v>
      </c>
      <c r="D115" s="15">
        <f t="shared" si="25"/>
        <v>2383.3739395607236</v>
      </c>
      <c r="E115" s="15">
        <f t="shared" si="13"/>
        <v>3406.7340080820172</v>
      </c>
      <c r="F115" s="15">
        <f>$F114-$C115</f>
        <v>518985.49947200017</v>
      </c>
    </row>
    <row r="116" spans="1:6" x14ac:dyDescent="0.25">
      <c r="A116" s="14">
        <v>3</v>
      </c>
      <c r="B116" s="15">
        <f>$F115</f>
        <v>518985.49947200017</v>
      </c>
      <c r="C116" s="18">
        <f t="shared" si="24"/>
        <v>1028.0504688353499</v>
      </c>
      <c r="D116" s="15">
        <f t="shared" si="25"/>
        <v>2378.6835392466674</v>
      </c>
      <c r="E116" s="15">
        <f t="shared" si="13"/>
        <v>3406.7340080820172</v>
      </c>
      <c r="F116" s="15">
        <f>$F115-$C116</f>
        <v>517957.44900316483</v>
      </c>
    </row>
    <row r="117" spans="1:6" x14ac:dyDescent="0.25">
      <c r="A117" s="14">
        <v>4</v>
      </c>
      <c r="B117" s="15">
        <f>$F116</f>
        <v>517957.44900316483</v>
      </c>
      <c r="C117" s="18">
        <f t="shared" si="24"/>
        <v>1032.7623668175115</v>
      </c>
      <c r="D117" s="15">
        <f t="shared" si="25"/>
        <v>2373.9716412645057</v>
      </c>
      <c r="E117" s="15">
        <f t="shared" si="13"/>
        <v>3406.7340080820172</v>
      </c>
      <c r="F117" s="15">
        <f>$F116-$C117</f>
        <v>516924.68663634732</v>
      </c>
    </row>
    <row r="118" spans="1:6" x14ac:dyDescent="0.25">
      <c r="A118" s="14">
        <v>5</v>
      </c>
      <c r="B118" s="15">
        <f>$F117</f>
        <v>516924.68663634732</v>
      </c>
      <c r="C118" s="18">
        <f t="shared" si="24"/>
        <v>1037.4958609987589</v>
      </c>
      <c r="D118" s="15">
        <f t="shared" si="25"/>
        <v>2369.2381470832584</v>
      </c>
      <c r="E118" s="15">
        <f t="shared" si="13"/>
        <v>3406.7340080820172</v>
      </c>
      <c r="F118" s="15">
        <f>$F117-$C118</f>
        <v>515887.19077534857</v>
      </c>
    </row>
    <row r="119" spans="1:6" x14ac:dyDescent="0.25">
      <c r="A119" s="14">
        <v>6</v>
      </c>
      <c r="B119" s="15">
        <f>$F118</f>
        <v>515887.19077534857</v>
      </c>
      <c r="C119" s="18">
        <f t="shared" si="24"/>
        <v>1042.2510503616695</v>
      </c>
      <c r="D119" s="15">
        <f t="shared" si="25"/>
        <v>2364.4829577203477</v>
      </c>
      <c r="E119" s="15">
        <f t="shared" si="13"/>
        <v>3406.7340080820172</v>
      </c>
      <c r="F119" s="15">
        <f>$F118-$C119</f>
        <v>514844.93972498691</v>
      </c>
    </row>
    <row r="120" spans="1:6" x14ac:dyDescent="0.25">
      <c r="A120" s="14">
        <v>7</v>
      </c>
      <c r="B120" s="15">
        <f t="shared" ref="B120:B125" si="26">$F119</f>
        <v>514844.93972498691</v>
      </c>
      <c r="C120" s="18">
        <f t="shared" si="24"/>
        <v>1047.0280343424938</v>
      </c>
      <c r="D120" s="15">
        <f t="shared" si="25"/>
        <v>2359.7059737395234</v>
      </c>
      <c r="E120" s="15">
        <f t="shared" si="13"/>
        <v>3406.7340080820172</v>
      </c>
      <c r="F120" s="15">
        <f t="shared" ref="F120:F125" si="27">$F119-$C120</f>
        <v>513797.9116906444</v>
      </c>
    </row>
    <row r="121" spans="1:6" x14ac:dyDescent="0.25">
      <c r="A121" s="14">
        <v>8</v>
      </c>
      <c r="B121" s="15">
        <f t="shared" si="26"/>
        <v>513797.9116906444</v>
      </c>
      <c r="C121" s="18">
        <f t="shared" si="24"/>
        <v>1051.8269128332304</v>
      </c>
      <c r="D121" s="15">
        <f t="shared" si="25"/>
        <v>2354.9070952487868</v>
      </c>
      <c r="E121" s="15">
        <f t="shared" si="13"/>
        <v>3406.7340080820172</v>
      </c>
      <c r="F121" s="15">
        <f t="shared" si="27"/>
        <v>512746.08477781119</v>
      </c>
    </row>
    <row r="122" spans="1:6" x14ac:dyDescent="0.25">
      <c r="A122" s="14">
        <v>9</v>
      </c>
      <c r="B122" s="15">
        <f t="shared" si="26"/>
        <v>512746.08477781119</v>
      </c>
      <c r="C122" s="18">
        <f t="shared" si="24"/>
        <v>1056.6477861837161</v>
      </c>
      <c r="D122" s="15">
        <f t="shared" si="25"/>
        <v>2350.0862218983011</v>
      </c>
      <c r="E122" s="15">
        <f t="shared" si="13"/>
        <v>3406.7340080820172</v>
      </c>
      <c r="F122" s="15">
        <f t="shared" si="27"/>
        <v>511689.4369916275</v>
      </c>
    </row>
    <row r="123" spans="1:6" x14ac:dyDescent="0.25">
      <c r="A123" s="14">
        <v>10</v>
      </c>
      <c r="B123" s="15">
        <f t="shared" si="26"/>
        <v>511689.4369916275</v>
      </c>
      <c r="C123" s="18">
        <f t="shared" si="24"/>
        <v>1061.4907552037243</v>
      </c>
      <c r="D123" s="15">
        <f t="shared" si="25"/>
        <v>2345.2432528782929</v>
      </c>
      <c r="E123" s="15">
        <f t="shared" si="13"/>
        <v>3406.7340080820172</v>
      </c>
      <c r="F123" s="15">
        <f t="shared" si="27"/>
        <v>510627.9462364238</v>
      </c>
    </row>
    <row r="124" spans="1:6" x14ac:dyDescent="0.25">
      <c r="A124" s="14">
        <v>11</v>
      </c>
      <c r="B124" s="15">
        <f t="shared" si="26"/>
        <v>510627.9462364238</v>
      </c>
      <c r="C124" s="18">
        <f t="shared" si="24"/>
        <v>1066.355921165075</v>
      </c>
      <c r="D124" s="15">
        <f t="shared" si="25"/>
        <v>2340.3780869169423</v>
      </c>
      <c r="E124" s="15">
        <f t="shared" si="13"/>
        <v>3406.7340080820172</v>
      </c>
      <c r="F124" s="15">
        <f t="shared" si="27"/>
        <v>509561.59031525871</v>
      </c>
    </row>
    <row r="125" spans="1:6" x14ac:dyDescent="0.25">
      <c r="A125" s="14">
        <v>12</v>
      </c>
      <c r="B125" s="15">
        <f t="shared" si="26"/>
        <v>509561.59031525871</v>
      </c>
      <c r="C125" s="18">
        <f t="shared" si="24"/>
        <v>1071.243385803748</v>
      </c>
      <c r="D125" s="15">
        <f t="shared" si="25"/>
        <v>2335.4906222782693</v>
      </c>
      <c r="E125" s="15">
        <f t="shared" si="13"/>
        <v>3406.7340080820172</v>
      </c>
      <c r="F125" s="20">
        <f t="shared" si="27"/>
        <v>508490.34692945494</v>
      </c>
    </row>
    <row r="126" spans="1:6" x14ac:dyDescent="0.25">
      <c r="A126" s="14"/>
      <c r="C126" s="21">
        <f>SUM(C114:C125)</f>
        <v>12537.203678860475</v>
      </c>
      <c r="D126" s="22">
        <f>SUM(D114:D125)</f>
        <v>28343.60441812373</v>
      </c>
    </row>
    <row r="127" spans="1:6" x14ac:dyDescent="0.25">
      <c r="A127" s="14"/>
      <c r="F127" s="26"/>
    </row>
    <row r="128" spans="1:6" x14ac:dyDescent="0.25">
      <c r="A128" s="14">
        <v>1</v>
      </c>
      <c r="B128" s="15">
        <f>$F125</f>
        <v>508490.34692945494</v>
      </c>
      <c r="C128" s="18">
        <f t="shared" ref="C128:C139" si="28">$E128-$D128</f>
        <v>1076.1532513220154</v>
      </c>
      <c r="D128" s="15">
        <f t="shared" ref="D128:D139" si="29">$B128*$I$2</f>
        <v>2330.5807567600018</v>
      </c>
      <c r="E128" s="15">
        <f t="shared" si="13"/>
        <v>3406.7340080820172</v>
      </c>
      <c r="F128" s="15">
        <f>$F125-$C128</f>
        <v>507414.19367813296</v>
      </c>
    </row>
    <row r="129" spans="1:6" x14ac:dyDescent="0.25">
      <c r="A129" s="14">
        <v>2</v>
      </c>
      <c r="B129" s="15">
        <f t="shared" ref="B129:B139" si="30">$F128</f>
        <v>507414.19367813296</v>
      </c>
      <c r="C129" s="18">
        <f t="shared" si="28"/>
        <v>1081.0856203905746</v>
      </c>
      <c r="D129" s="15">
        <f t="shared" si="29"/>
        <v>2325.6483876914426</v>
      </c>
      <c r="E129" s="15">
        <f t="shared" si="13"/>
        <v>3406.7340080820172</v>
      </c>
      <c r="F129" s="15">
        <f t="shared" ref="F129:F139" si="31">$F128-$C129</f>
        <v>506333.10805774236</v>
      </c>
    </row>
    <row r="130" spans="1:6" x14ac:dyDescent="0.25">
      <c r="A130" s="14">
        <v>3</v>
      </c>
      <c r="B130" s="15">
        <f t="shared" si="30"/>
        <v>506333.10805774236</v>
      </c>
      <c r="C130" s="18">
        <f t="shared" si="28"/>
        <v>1086.0405961506981</v>
      </c>
      <c r="D130" s="15">
        <f t="shared" si="29"/>
        <v>2320.6934119313191</v>
      </c>
      <c r="E130" s="15">
        <f t="shared" si="13"/>
        <v>3406.7340080820172</v>
      </c>
      <c r="F130" s="15">
        <f t="shared" si="31"/>
        <v>505247.06746159168</v>
      </c>
    </row>
    <row r="131" spans="1:6" x14ac:dyDescent="0.25">
      <c r="A131" s="14">
        <v>4</v>
      </c>
      <c r="B131" s="15">
        <f t="shared" si="30"/>
        <v>505247.06746159168</v>
      </c>
      <c r="C131" s="18">
        <f t="shared" si="28"/>
        <v>1091.0182822163888</v>
      </c>
      <c r="D131" s="15">
        <f t="shared" si="29"/>
        <v>2315.7157258656284</v>
      </c>
      <c r="E131" s="15">
        <f t="shared" si="13"/>
        <v>3406.7340080820172</v>
      </c>
      <c r="F131" s="15">
        <f t="shared" si="31"/>
        <v>504156.04917937529</v>
      </c>
    </row>
    <row r="132" spans="1:6" x14ac:dyDescent="0.25">
      <c r="A132" s="14">
        <v>5</v>
      </c>
      <c r="B132" s="15">
        <f t="shared" si="30"/>
        <v>504156.04917937529</v>
      </c>
      <c r="C132" s="18">
        <f t="shared" si="28"/>
        <v>1096.0187826765473</v>
      </c>
      <c r="D132" s="15">
        <f t="shared" si="29"/>
        <v>2310.7152254054699</v>
      </c>
      <c r="E132" s="15">
        <f t="shared" si="13"/>
        <v>3406.7340080820172</v>
      </c>
      <c r="F132" s="15">
        <f t="shared" si="31"/>
        <v>503060.03039669874</v>
      </c>
    </row>
    <row r="133" spans="1:6" x14ac:dyDescent="0.25">
      <c r="A133" s="14">
        <v>6</v>
      </c>
      <c r="B133" s="15">
        <f t="shared" si="30"/>
        <v>503060.03039669874</v>
      </c>
      <c r="C133" s="18">
        <f t="shared" si="28"/>
        <v>1101.0422020971478</v>
      </c>
      <c r="D133" s="15">
        <f t="shared" si="29"/>
        <v>2305.6918059848695</v>
      </c>
      <c r="E133" s="15">
        <f t="shared" si="13"/>
        <v>3406.7340080820172</v>
      </c>
      <c r="F133" s="15">
        <f t="shared" si="31"/>
        <v>501958.98819460161</v>
      </c>
    </row>
    <row r="134" spans="1:6" x14ac:dyDescent="0.25">
      <c r="A134" s="14">
        <v>7</v>
      </c>
      <c r="B134" s="15">
        <f t="shared" si="30"/>
        <v>501958.98819460161</v>
      </c>
      <c r="C134" s="18">
        <f t="shared" si="28"/>
        <v>1106.0886455234263</v>
      </c>
      <c r="D134" s="15">
        <f t="shared" si="29"/>
        <v>2300.6453625585909</v>
      </c>
      <c r="E134" s="15">
        <f t="shared" si="13"/>
        <v>3406.7340080820172</v>
      </c>
      <c r="F134" s="15">
        <f t="shared" si="31"/>
        <v>500852.8995490782</v>
      </c>
    </row>
    <row r="135" spans="1:6" x14ac:dyDescent="0.25">
      <c r="A135" s="14">
        <v>8</v>
      </c>
      <c r="B135" s="15">
        <f t="shared" si="30"/>
        <v>500852.8995490782</v>
      </c>
      <c r="C135" s="18">
        <f t="shared" si="28"/>
        <v>1111.1582184820754</v>
      </c>
      <c r="D135" s="15">
        <f t="shared" si="29"/>
        <v>2295.5757895999418</v>
      </c>
      <c r="E135" s="15">
        <f t="shared" si="13"/>
        <v>3406.7340080820172</v>
      </c>
      <c r="F135" s="15">
        <f t="shared" si="31"/>
        <v>499741.74133059609</v>
      </c>
    </row>
    <row r="136" spans="1:6" x14ac:dyDescent="0.25">
      <c r="A136" s="14">
        <v>9</v>
      </c>
      <c r="B136" s="15">
        <f t="shared" si="30"/>
        <v>499741.74133059609</v>
      </c>
      <c r="C136" s="18">
        <f t="shared" si="28"/>
        <v>1116.251026983452</v>
      </c>
      <c r="D136" s="15">
        <f t="shared" si="29"/>
        <v>2290.4829810985652</v>
      </c>
      <c r="E136" s="15">
        <f t="shared" si="13"/>
        <v>3406.7340080820172</v>
      </c>
      <c r="F136" s="15">
        <f t="shared" si="31"/>
        <v>498625.49030361266</v>
      </c>
    </row>
    <row r="137" spans="1:6" x14ac:dyDescent="0.25">
      <c r="A137" s="14">
        <v>10</v>
      </c>
      <c r="B137" s="15">
        <f t="shared" si="30"/>
        <v>498625.49030361266</v>
      </c>
      <c r="C137" s="18">
        <f t="shared" si="28"/>
        <v>1121.3671775237926</v>
      </c>
      <c r="D137" s="15">
        <f t="shared" si="29"/>
        <v>2285.3668305582246</v>
      </c>
      <c r="E137" s="15">
        <f t="shared" si="13"/>
        <v>3406.7340080820172</v>
      </c>
      <c r="F137" s="15">
        <f t="shared" si="31"/>
        <v>497504.12312608887</v>
      </c>
    </row>
    <row r="138" spans="1:6" x14ac:dyDescent="0.25">
      <c r="A138" s="14">
        <v>11</v>
      </c>
      <c r="B138" s="15">
        <f t="shared" si="30"/>
        <v>497504.12312608887</v>
      </c>
      <c r="C138" s="18">
        <f t="shared" si="28"/>
        <v>1126.5067770874434</v>
      </c>
      <c r="D138" s="15">
        <f t="shared" si="29"/>
        <v>2280.2272309945738</v>
      </c>
      <c r="E138" s="15">
        <f t="shared" ref="E138:E139" si="32">-$I$8</f>
        <v>3406.7340080820172</v>
      </c>
      <c r="F138" s="15">
        <f t="shared" si="31"/>
        <v>496377.61634900142</v>
      </c>
    </row>
    <row r="139" spans="1:6" x14ac:dyDescent="0.25">
      <c r="A139" s="14">
        <v>12</v>
      </c>
      <c r="B139" s="15">
        <f t="shared" si="30"/>
        <v>496377.61634900142</v>
      </c>
      <c r="C139" s="18">
        <f t="shared" si="28"/>
        <v>1131.669933149094</v>
      </c>
      <c r="D139" s="15">
        <f t="shared" si="29"/>
        <v>2275.0640749329232</v>
      </c>
      <c r="E139" s="15">
        <f t="shared" si="32"/>
        <v>3406.7340080820172</v>
      </c>
      <c r="F139" s="20">
        <f t="shared" si="31"/>
        <v>495245.94641585235</v>
      </c>
    </row>
    <row r="140" spans="1:6" x14ac:dyDescent="0.25">
      <c r="A140" s="14"/>
      <c r="C140" s="21">
        <f>SUM(C128:C139)</f>
        <v>13244.400513602657</v>
      </c>
      <c r="D140" s="22">
        <f>SUM(D128:D139)</f>
        <v>27636.407583381551</v>
      </c>
    </row>
  </sheetData>
  <phoneticPr fontId="1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24" sqref="B24"/>
    </sheetView>
  </sheetViews>
  <sheetFormatPr defaultColWidth="11" defaultRowHeight="15.75" x14ac:dyDescent="0.25"/>
  <cols>
    <col min="1" max="1" width="20.625" bestFit="1" customWidth="1"/>
    <col min="2" max="2" width="11" bestFit="1" customWidth="1"/>
    <col min="3" max="3" width="12.5" bestFit="1" customWidth="1"/>
    <col min="4" max="6" width="11" bestFit="1" customWidth="1"/>
    <col min="7" max="9" width="11.375" bestFit="1" customWidth="1"/>
    <col min="10" max="12" width="11" bestFit="1" customWidth="1"/>
    <col min="13" max="13" width="12" bestFit="1" customWidth="1"/>
  </cols>
  <sheetData>
    <row r="1" spans="1:15" x14ac:dyDescent="0.25"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</row>
    <row r="2" spans="1:15" x14ac:dyDescent="0.25">
      <c r="A2" s="6" t="s">
        <v>87</v>
      </c>
      <c r="C2" s="46">
        <v>-765000</v>
      </c>
      <c r="D2" s="46">
        <v>-5740</v>
      </c>
      <c r="E2" s="46">
        <v>24934.900000000012</v>
      </c>
      <c r="F2" s="46">
        <v>35774.347000000016</v>
      </c>
      <c r="G2" s="46">
        <v>152767.25051249994</v>
      </c>
      <c r="H2" s="46">
        <v>124451.21843568751</v>
      </c>
      <c r="I2" s="46">
        <v>151735.02871638024</v>
      </c>
      <c r="J2" s="46">
        <v>38825.17950536016</v>
      </c>
      <c r="K2" s="46">
        <v>41120.5437215044</v>
      </c>
      <c r="L2" s="46">
        <v>43075.613366437188</v>
      </c>
      <c r="M2" s="46">
        <v>650978.97621989041</v>
      </c>
    </row>
    <row r="3" spans="1:15" x14ac:dyDescent="0.25">
      <c r="A3" s="6" t="s">
        <v>88</v>
      </c>
      <c r="C3" s="17">
        <v>6.7977476802373538E-2</v>
      </c>
    </row>
    <row r="5" spans="1:15" x14ac:dyDescent="0.25">
      <c r="A5" s="26" t="s">
        <v>89</v>
      </c>
      <c r="C5" s="17">
        <v>7.0000000000000007E-2</v>
      </c>
    </row>
    <row r="6" spans="1:15" x14ac:dyDescent="0.25">
      <c r="A6" s="26" t="s">
        <v>90</v>
      </c>
      <c r="C6" s="46">
        <v>-765000</v>
      </c>
      <c r="D6" s="46">
        <v>-5364.4859813084113</v>
      </c>
      <c r="E6" s="46">
        <v>21779.107345619715</v>
      </c>
      <c r="F6" s="46">
        <v>29202.523503256631</v>
      </c>
      <c r="G6" s="46">
        <v>116545.40397365105</v>
      </c>
      <c r="H6" s="46">
        <v>88731.998764548305</v>
      </c>
      <c r="I6" s="46">
        <v>101107.4564657352</v>
      </c>
      <c r="J6" s="46">
        <v>24178.370515585957</v>
      </c>
      <c r="K6" s="46">
        <v>23932.53083058029</v>
      </c>
      <c r="L6" s="46">
        <v>23430.279592513933</v>
      </c>
      <c r="M6" s="46">
        <v>330924.7017559646</v>
      </c>
    </row>
    <row r="7" spans="1:15" x14ac:dyDescent="0.25">
      <c r="A7" s="6" t="s">
        <v>91</v>
      </c>
      <c r="C7" s="46">
        <v>-10532.113233852782</v>
      </c>
      <c r="D7" s="46"/>
      <c r="E7" s="46"/>
      <c r="F7" s="46"/>
      <c r="G7" s="46"/>
      <c r="H7" s="46"/>
      <c r="I7" s="46"/>
      <c r="J7" s="46"/>
      <c r="K7" s="46"/>
      <c r="L7" s="46"/>
      <c r="M7" s="46"/>
    </row>
    <row r="11" spans="1:15" x14ac:dyDescent="0.25">
      <c r="A11" s="6" t="s">
        <v>116</v>
      </c>
    </row>
    <row r="12" spans="1:15" x14ac:dyDescent="0.25">
      <c r="A12" s="6" t="s">
        <v>87</v>
      </c>
      <c r="C12" s="46">
        <f>C2</f>
        <v>-765000</v>
      </c>
      <c r="D12" s="46">
        <f t="shared" ref="D12:M12" si="0">D2*$O$12</f>
        <v>-4305</v>
      </c>
      <c r="E12" s="46">
        <f t="shared" si="0"/>
        <v>18701.17500000001</v>
      </c>
      <c r="F12" s="46">
        <f t="shared" si="0"/>
        <v>26830.760250000014</v>
      </c>
      <c r="G12" s="46">
        <f t="shared" si="0"/>
        <v>114575.43788437496</v>
      </c>
      <c r="H12" s="46">
        <f t="shared" si="0"/>
        <v>93338.413826765638</v>
      </c>
      <c r="I12" s="46">
        <f t="shared" si="0"/>
        <v>113801.27153728518</v>
      </c>
      <c r="J12" s="46">
        <f t="shared" si="0"/>
        <v>29118.884629020118</v>
      </c>
      <c r="K12" s="46">
        <f t="shared" si="0"/>
        <v>30840.407791128302</v>
      </c>
      <c r="L12" s="46">
        <f t="shared" si="0"/>
        <v>32306.710024827891</v>
      </c>
      <c r="M12" s="46">
        <f t="shared" si="0"/>
        <v>488234.2321649178</v>
      </c>
      <c r="O12" s="11">
        <v>0.75</v>
      </c>
    </row>
    <row r="13" spans="1:15" x14ac:dyDescent="0.25">
      <c r="A13" s="6" t="s">
        <v>88</v>
      </c>
      <c r="C13" s="43">
        <f>C3</f>
        <v>6.7977476802373538E-2</v>
      </c>
    </row>
    <row r="15" spans="1:15" x14ac:dyDescent="0.25">
      <c r="A15" s="26" t="s">
        <v>89</v>
      </c>
      <c r="C15" s="43">
        <f>C5</f>
        <v>7.0000000000000007E-2</v>
      </c>
    </row>
    <row r="16" spans="1:15" x14ac:dyDescent="0.25">
      <c r="A16" s="26" t="s">
        <v>90</v>
      </c>
      <c r="C16" s="16">
        <f>-PV($C$15,C1,,C12)</f>
        <v>-765000</v>
      </c>
      <c r="D16" s="16">
        <f t="shared" ref="D16:L16" si="1">-PV($C$15,D1,,D12)</f>
        <v>-4023.364485981308</v>
      </c>
      <c r="E16" s="16">
        <f t="shared" si="1"/>
        <v>16334.330509214788</v>
      </c>
      <c r="F16" s="16">
        <f t="shared" si="1"/>
        <v>21901.892627442474</v>
      </c>
      <c r="G16" s="16">
        <f t="shared" si="1"/>
        <v>87409.052980238295</v>
      </c>
      <c r="H16" s="16">
        <f t="shared" si="1"/>
        <v>66548.999073411236</v>
      </c>
      <c r="I16" s="16">
        <f t="shared" si="1"/>
        <v>75830.592349301398</v>
      </c>
      <c r="J16" s="16">
        <f t="shared" si="1"/>
        <v>18133.777886689466</v>
      </c>
      <c r="K16" s="16">
        <f t="shared" si="1"/>
        <v>17949.398122935218</v>
      </c>
      <c r="L16" s="16">
        <f t="shared" si="1"/>
        <v>17572.709694385449</v>
      </c>
      <c r="M16" s="16">
        <f>-PV($C$15,M1,,M12)</f>
        <v>248193.52631697344</v>
      </c>
    </row>
    <row r="17" spans="1:3" x14ac:dyDescent="0.25">
      <c r="A17" s="6" t="s">
        <v>91</v>
      </c>
      <c r="C17" s="16">
        <f>SUM(C16:M16)</f>
        <v>-199149.0849253895</v>
      </c>
    </row>
    <row r="20" spans="1:3" x14ac:dyDescent="0.25">
      <c r="A20" s="47" t="s">
        <v>118</v>
      </c>
      <c r="B20" s="48">
        <v>0.4</v>
      </c>
    </row>
    <row r="24" spans="1:3" x14ac:dyDescent="0.25">
      <c r="A24" s="47" t="s">
        <v>119</v>
      </c>
      <c r="B24" s="49">
        <f>(B20*C17)+('Good Option'!B20*'Good Option'!C17)</f>
        <v>-18076.792101514227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C23" sqref="C23"/>
    </sheetView>
  </sheetViews>
  <sheetFormatPr defaultColWidth="11" defaultRowHeight="15.75" x14ac:dyDescent="0.25"/>
  <cols>
    <col min="1" max="1" width="20.625" bestFit="1" customWidth="1"/>
    <col min="3" max="3" width="12" bestFit="1" customWidth="1"/>
    <col min="4" max="6" width="11" bestFit="1" customWidth="1"/>
    <col min="7" max="9" width="11.375" bestFit="1" customWidth="1"/>
    <col min="10" max="12" width="11" bestFit="1" customWidth="1"/>
    <col min="13" max="13" width="11.375" bestFit="1" customWidth="1"/>
  </cols>
  <sheetData>
    <row r="1" spans="1:15" x14ac:dyDescent="0.25"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</row>
    <row r="2" spans="1:15" x14ac:dyDescent="0.25">
      <c r="A2" s="6" t="s">
        <v>87</v>
      </c>
      <c r="C2" s="46">
        <v>-765000</v>
      </c>
      <c r="D2" s="46">
        <v>-5740</v>
      </c>
      <c r="E2" s="46">
        <v>24934.900000000012</v>
      </c>
      <c r="F2" s="46">
        <v>35774.347000000016</v>
      </c>
      <c r="G2" s="46">
        <v>152767.25051249994</v>
      </c>
      <c r="H2" s="46">
        <v>124451.21843568751</v>
      </c>
      <c r="I2" s="46">
        <v>151735.02871638024</v>
      </c>
      <c r="J2" s="46">
        <v>38825.17950536016</v>
      </c>
      <c r="K2" s="46">
        <v>41120.5437215044</v>
      </c>
      <c r="L2" s="46">
        <v>43075.613366437188</v>
      </c>
      <c r="M2" s="46">
        <v>650978.97621989041</v>
      </c>
    </row>
    <row r="3" spans="1:15" x14ac:dyDescent="0.25">
      <c r="A3" s="6" t="s">
        <v>88</v>
      </c>
      <c r="C3" s="17">
        <v>6.7977476802373538E-2</v>
      </c>
    </row>
    <row r="5" spans="1:15" x14ac:dyDescent="0.25">
      <c r="A5" t="s">
        <v>89</v>
      </c>
      <c r="C5" s="17">
        <v>7.0000000000000007E-2</v>
      </c>
    </row>
    <row r="6" spans="1:15" x14ac:dyDescent="0.25">
      <c r="A6" t="s">
        <v>90</v>
      </c>
      <c r="C6" s="46">
        <v>-765000</v>
      </c>
      <c r="D6" s="46">
        <v>-5364.4859813084113</v>
      </c>
      <c r="E6" s="46">
        <v>21779.107345619715</v>
      </c>
      <c r="F6" s="46">
        <v>29202.523503256631</v>
      </c>
      <c r="G6" s="46">
        <v>116545.40397365105</v>
      </c>
      <c r="H6" s="46">
        <v>88731.998764548305</v>
      </c>
      <c r="I6" s="46">
        <v>101107.4564657352</v>
      </c>
      <c r="J6" s="46">
        <v>24178.370515585957</v>
      </c>
      <c r="K6" s="46">
        <v>23932.53083058029</v>
      </c>
      <c r="L6" s="46">
        <v>23430.279592513933</v>
      </c>
      <c r="M6" s="46">
        <v>330924.7017559646</v>
      </c>
    </row>
    <row r="7" spans="1:15" x14ac:dyDescent="0.25">
      <c r="A7" s="6" t="s">
        <v>91</v>
      </c>
      <c r="C7" s="46">
        <v>-10532.113233852782</v>
      </c>
      <c r="D7" s="46"/>
      <c r="E7" s="46"/>
      <c r="F7" s="46"/>
      <c r="G7" s="46"/>
      <c r="H7" s="46"/>
      <c r="I7" s="46"/>
      <c r="J7" s="46"/>
      <c r="K7" s="46"/>
      <c r="L7" s="46"/>
      <c r="M7" s="46"/>
    </row>
    <row r="11" spans="1:15" x14ac:dyDescent="0.25">
      <c r="A11" s="6" t="s">
        <v>117</v>
      </c>
    </row>
    <row r="12" spans="1:15" x14ac:dyDescent="0.25">
      <c r="A12" s="6" t="s">
        <v>87</v>
      </c>
      <c r="C12" s="46">
        <f>C2</f>
        <v>-765000</v>
      </c>
      <c r="D12" s="46">
        <f t="shared" ref="D12:M12" si="0">D2*$O$12</f>
        <v>-6600.9999999999991</v>
      </c>
      <c r="E12" s="46">
        <f t="shared" si="0"/>
        <v>28675.135000000013</v>
      </c>
      <c r="F12" s="46">
        <f t="shared" si="0"/>
        <v>41140.499050000013</v>
      </c>
      <c r="G12" s="46">
        <f t="shared" si="0"/>
        <v>175682.33808937491</v>
      </c>
      <c r="H12" s="46">
        <f t="shared" si="0"/>
        <v>143118.90120104063</v>
      </c>
      <c r="I12" s="46">
        <f t="shared" si="0"/>
        <v>174495.28302383726</v>
      </c>
      <c r="J12" s="46">
        <f t="shared" si="0"/>
        <v>44648.956431164181</v>
      </c>
      <c r="K12" s="46">
        <f t="shared" si="0"/>
        <v>47288.625279730055</v>
      </c>
      <c r="L12" s="46">
        <f t="shared" si="0"/>
        <v>49536.955371402764</v>
      </c>
      <c r="M12" s="46">
        <f t="shared" si="0"/>
        <v>748625.82265287393</v>
      </c>
      <c r="O12" s="11">
        <v>1.1499999999999999</v>
      </c>
    </row>
    <row r="13" spans="1:15" x14ac:dyDescent="0.25">
      <c r="A13" s="6" t="s">
        <v>88</v>
      </c>
      <c r="C13" s="17">
        <f>C3</f>
        <v>6.7977476802373538E-2</v>
      </c>
    </row>
    <row r="15" spans="1:15" x14ac:dyDescent="0.25">
      <c r="A15" t="s">
        <v>89</v>
      </c>
      <c r="C15" s="17">
        <f>C5</f>
        <v>7.0000000000000007E-2</v>
      </c>
    </row>
    <row r="16" spans="1:15" x14ac:dyDescent="0.25">
      <c r="A16" t="s">
        <v>90</v>
      </c>
      <c r="C16" s="46">
        <f>-PV($C$15,C1,,C12)</f>
        <v>-765000</v>
      </c>
      <c r="D16" s="46">
        <f t="shared" ref="D16:L16" si="1">-PV($C$15,D1,,D12)</f>
        <v>-6169.1588785046715</v>
      </c>
      <c r="E16" s="46">
        <f t="shared" si="1"/>
        <v>25045.973447462671</v>
      </c>
      <c r="F16" s="46">
        <f t="shared" si="1"/>
        <v>33582.90202874512</v>
      </c>
      <c r="G16" s="46">
        <f t="shared" si="1"/>
        <v>134027.2145696987</v>
      </c>
      <c r="H16" s="46">
        <f t="shared" si="1"/>
        <v>102041.79857923056</v>
      </c>
      <c r="I16" s="46">
        <f t="shared" si="1"/>
        <v>116273.57493559546</v>
      </c>
      <c r="J16" s="46">
        <f t="shared" si="1"/>
        <v>27805.126092923849</v>
      </c>
      <c r="K16" s="46">
        <f t="shared" si="1"/>
        <v>27522.41045516733</v>
      </c>
      <c r="L16" s="46">
        <f t="shared" si="1"/>
        <v>26944.821531391019</v>
      </c>
      <c r="M16" s="46">
        <f>-PV($C$15,M1,,M12)</f>
        <v>380563.40701935923</v>
      </c>
    </row>
    <row r="17" spans="1:13" x14ac:dyDescent="0.25">
      <c r="A17" s="6" t="s">
        <v>91</v>
      </c>
      <c r="C17" s="46">
        <f>SUM(C16:M16)</f>
        <v>102638.06978106929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20" spans="1:13" x14ac:dyDescent="0.25">
      <c r="A20" s="47" t="s">
        <v>118</v>
      </c>
      <c r="B20" s="48">
        <v>0.6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R44" sqref="R44"/>
    </sheetView>
  </sheetViews>
  <sheetFormatPr defaultColWidth="11" defaultRowHeight="15.75" x14ac:dyDescent="0.25"/>
  <cols>
    <col min="2" max="2" width="39.5" bestFit="1" customWidth="1"/>
    <col min="3" max="8" width="13.125" bestFit="1" customWidth="1"/>
    <col min="9" max="9" width="14.125" bestFit="1" customWidth="1"/>
    <col min="10" max="14" width="14.125" customWidth="1"/>
    <col min="15" max="16" width="13.125" customWidth="1"/>
    <col min="18" max="18" width="13.125" bestFit="1" customWidth="1"/>
    <col min="19" max="19" width="11.125" bestFit="1" customWidth="1"/>
  </cols>
  <sheetData>
    <row r="1" spans="1:16" x14ac:dyDescent="0.25">
      <c r="A1" t="s">
        <v>30</v>
      </c>
    </row>
    <row r="2" spans="1:16" x14ac:dyDescent="0.25">
      <c r="A2" t="s">
        <v>47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</row>
    <row r="3" spans="1:16" x14ac:dyDescent="0.25">
      <c r="B3" t="s">
        <v>49</v>
      </c>
      <c r="D3">
        <v>4</v>
      </c>
      <c r="E3">
        <v>4</v>
      </c>
      <c r="F3">
        <v>4</v>
      </c>
      <c r="G3">
        <v>5</v>
      </c>
      <c r="H3">
        <v>5</v>
      </c>
      <c r="I3">
        <v>5</v>
      </c>
    </row>
    <row r="4" spans="1:16" x14ac:dyDescent="0.25">
      <c r="B4" t="s">
        <v>58</v>
      </c>
      <c r="D4">
        <v>7</v>
      </c>
      <c r="E4">
        <v>7</v>
      </c>
      <c r="F4">
        <v>7</v>
      </c>
      <c r="G4">
        <v>7</v>
      </c>
      <c r="H4">
        <v>7</v>
      </c>
      <c r="I4">
        <v>7</v>
      </c>
    </row>
    <row r="5" spans="1:16" x14ac:dyDescent="0.25">
      <c r="B5" t="s">
        <v>59</v>
      </c>
      <c r="D5">
        <v>3</v>
      </c>
      <c r="E5">
        <v>2</v>
      </c>
      <c r="F5">
        <v>2</v>
      </c>
      <c r="G5">
        <v>2</v>
      </c>
      <c r="H5">
        <v>2</v>
      </c>
      <c r="I5">
        <v>2</v>
      </c>
    </row>
    <row r="6" spans="1:16" x14ac:dyDescent="0.25">
      <c r="B6" t="s">
        <v>61</v>
      </c>
      <c r="D6" s="28">
        <v>10</v>
      </c>
      <c r="E6" s="28">
        <v>10</v>
      </c>
      <c r="F6" s="28">
        <v>10</v>
      </c>
      <c r="G6" s="28">
        <v>10</v>
      </c>
      <c r="H6" s="28">
        <v>10.5</v>
      </c>
      <c r="I6" s="28">
        <v>10.5</v>
      </c>
      <c r="J6" s="28"/>
      <c r="K6" s="28"/>
      <c r="L6" s="28"/>
      <c r="M6" s="28"/>
      <c r="N6" s="28"/>
      <c r="O6" s="28"/>
      <c r="P6" s="28"/>
    </row>
    <row r="7" spans="1:16" x14ac:dyDescent="0.25">
      <c r="B7" t="s">
        <v>56</v>
      </c>
      <c r="D7" s="30">
        <v>38000</v>
      </c>
      <c r="E7" s="30">
        <f>D7*C20+D7</f>
        <v>39140</v>
      </c>
      <c r="F7" s="30">
        <f t="shared" ref="F7:I7" si="0">E7*D19+E7</f>
        <v>39140</v>
      </c>
      <c r="G7" s="30">
        <f t="shared" si="0"/>
        <v>39140</v>
      </c>
      <c r="H7" s="30">
        <f t="shared" si="0"/>
        <v>39140</v>
      </c>
      <c r="I7" s="30">
        <f t="shared" si="0"/>
        <v>39140</v>
      </c>
      <c r="J7" s="30"/>
      <c r="K7" s="30"/>
      <c r="L7" s="30"/>
      <c r="M7" s="30"/>
      <c r="N7" s="30"/>
      <c r="O7" s="28"/>
      <c r="P7" s="28"/>
    </row>
    <row r="8" spans="1:16" x14ac:dyDescent="0.25">
      <c r="B8" t="s">
        <v>50</v>
      </c>
      <c r="D8" s="28">
        <v>40</v>
      </c>
      <c r="E8" s="28">
        <f t="shared" ref="E8:I9" si="1">D8*$C$20+D8</f>
        <v>41.2</v>
      </c>
      <c r="F8" s="28">
        <f t="shared" si="1"/>
        <v>42.436</v>
      </c>
      <c r="G8" s="28">
        <f t="shared" si="1"/>
        <v>43.70908</v>
      </c>
      <c r="H8" s="28">
        <f t="shared" si="1"/>
        <v>45.0203524</v>
      </c>
      <c r="I8" s="28">
        <f t="shared" si="1"/>
        <v>46.370962972000001</v>
      </c>
      <c r="J8" s="28"/>
      <c r="K8" s="28"/>
      <c r="L8" s="28"/>
      <c r="M8" s="28"/>
      <c r="N8" s="28"/>
      <c r="O8" s="28"/>
      <c r="P8" s="28"/>
    </row>
    <row r="9" spans="1:16" x14ac:dyDescent="0.25">
      <c r="B9" t="s">
        <v>53</v>
      </c>
      <c r="D9" s="28">
        <v>12</v>
      </c>
      <c r="E9" s="28">
        <f t="shared" si="1"/>
        <v>12.36</v>
      </c>
      <c r="F9" s="28">
        <f t="shared" si="1"/>
        <v>12.730799999999999</v>
      </c>
      <c r="G9" s="28">
        <f t="shared" si="1"/>
        <v>13.112723999999998</v>
      </c>
      <c r="H9" s="28">
        <f t="shared" si="1"/>
        <v>13.506105719999999</v>
      </c>
      <c r="I9" s="28">
        <f t="shared" si="1"/>
        <v>13.911288891599998</v>
      </c>
      <c r="J9" s="28"/>
      <c r="K9" s="28"/>
      <c r="L9" s="28"/>
      <c r="M9" s="28"/>
      <c r="N9" s="28"/>
      <c r="O9" s="28"/>
      <c r="P9" s="28"/>
    </row>
    <row r="10" spans="1:16" x14ac:dyDescent="0.25">
      <c r="B10" t="s">
        <v>54</v>
      </c>
      <c r="D10" s="30">
        <f t="shared" ref="D10:I10" si="2">D11*$C$19</f>
        <v>2555</v>
      </c>
      <c r="E10" s="30">
        <f t="shared" si="2"/>
        <v>2555</v>
      </c>
      <c r="F10" s="30">
        <f t="shared" si="2"/>
        <v>2555</v>
      </c>
      <c r="G10" s="30">
        <f t="shared" si="2"/>
        <v>3193.75</v>
      </c>
      <c r="H10" s="30">
        <f t="shared" si="2"/>
        <v>3193.75</v>
      </c>
      <c r="I10" s="30">
        <f t="shared" si="2"/>
        <v>3193.75</v>
      </c>
      <c r="J10" s="30"/>
      <c r="K10" s="30"/>
      <c r="L10" s="30"/>
      <c r="M10" s="30"/>
      <c r="N10" s="30"/>
      <c r="O10" s="28"/>
      <c r="P10" s="28"/>
    </row>
    <row r="11" spans="1:16" x14ac:dyDescent="0.25">
      <c r="B11" t="s">
        <v>55</v>
      </c>
      <c r="D11" s="30">
        <f>D3*D4*365</f>
        <v>10220</v>
      </c>
      <c r="E11" s="30">
        <f t="shared" ref="E11:I11" si="3">E3*E4*365</f>
        <v>10220</v>
      </c>
      <c r="F11" s="30">
        <f t="shared" si="3"/>
        <v>10220</v>
      </c>
      <c r="G11" s="30">
        <f t="shared" si="3"/>
        <v>12775</v>
      </c>
      <c r="H11" s="30">
        <f t="shared" si="3"/>
        <v>12775</v>
      </c>
      <c r="I11" s="30">
        <f t="shared" si="3"/>
        <v>12775</v>
      </c>
      <c r="J11" s="30"/>
      <c r="K11" s="30"/>
      <c r="L11" s="30"/>
      <c r="M11" s="30"/>
      <c r="N11" s="30"/>
      <c r="O11" s="28"/>
      <c r="P11" s="28"/>
    </row>
    <row r="12" spans="1:16" x14ac:dyDescent="0.25">
      <c r="B12" t="s">
        <v>93</v>
      </c>
      <c r="D12" s="28">
        <v>10</v>
      </c>
      <c r="E12" s="28">
        <f>D12*$C$20+D12</f>
        <v>10.3</v>
      </c>
      <c r="F12" s="28">
        <f t="shared" ref="F12:I12" si="4">E12*$C$20+E12</f>
        <v>10.609</v>
      </c>
      <c r="G12" s="28">
        <f t="shared" si="4"/>
        <v>10.92727</v>
      </c>
      <c r="H12" s="28">
        <f t="shared" si="4"/>
        <v>11.2550881</v>
      </c>
      <c r="I12" s="28">
        <f t="shared" si="4"/>
        <v>11.592740743</v>
      </c>
      <c r="J12" s="28"/>
      <c r="K12" s="28"/>
      <c r="L12" s="28"/>
      <c r="M12" s="28"/>
      <c r="N12" s="28"/>
      <c r="O12" s="28"/>
      <c r="P12" s="28"/>
    </row>
    <row r="13" spans="1:16" x14ac:dyDescent="0.25">
      <c r="B13" t="s">
        <v>62</v>
      </c>
      <c r="C13">
        <v>4500</v>
      </c>
    </row>
    <row r="14" spans="1:16" x14ac:dyDescent="0.25">
      <c r="B14" t="s">
        <v>98</v>
      </c>
      <c r="C14">
        <v>20</v>
      </c>
    </row>
    <row r="15" spans="1:16" x14ac:dyDescent="0.25">
      <c r="B15" t="s">
        <v>99</v>
      </c>
      <c r="C15" s="11">
        <v>0.5</v>
      </c>
    </row>
    <row r="16" spans="1:16" x14ac:dyDescent="0.25">
      <c r="B16" t="s">
        <v>0</v>
      </c>
      <c r="C16">
        <v>90</v>
      </c>
    </row>
    <row r="17" spans="1:16" x14ac:dyDescent="0.25">
      <c r="B17" t="s">
        <v>1</v>
      </c>
      <c r="C17">
        <v>15</v>
      </c>
    </row>
    <row r="18" spans="1:16" x14ac:dyDescent="0.25">
      <c r="B18" t="s">
        <v>63</v>
      </c>
      <c r="C18">
        <f>D5*40</f>
        <v>120</v>
      </c>
    </row>
    <row r="19" spans="1:16" x14ac:dyDescent="0.25">
      <c r="B19" t="s">
        <v>52</v>
      </c>
      <c r="C19" s="11">
        <v>0.25</v>
      </c>
    </row>
    <row r="20" spans="1:16" x14ac:dyDescent="0.25">
      <c r="B20" t="s">
        <v>51</v>
      </c>
      <c r="C20" s="11">
        <v>0.03</v>
      </c>
    </row>
    <row r="21" spans="1:16" x14ac:dyDescent="0.25">
      <c r="A21" t="s">
        <v>2</v>
      </c>
    </row>
    <row r="22" spans="1:16" x14ac:dyDescent="0.25">
      <c r="A22" t="s">
        <v>31</v>
      </c>
      <c r="C22" s="28"/>
      <c r="D22" s="28">
        <f>D10*D9</f>
        <v>30660</v>
      </c>
      <c r="E22" s="28">
        <f t="shared" ref="E22:I22" si="5">E10*E9</f>
        <v>31579.8</v>
      </c>
      <c r="F22" s="28">
        <f t="shared" si="5"/>
        <v>32527.193999999996</v>
      </c>
      <c r="G22" s="28">
        <f t="shared" si="5"/>
        <v>41878.762274999994</v>
      </c>
      <c r="H22" s="28">
        <f t="shared" si="5"/>
        <v>43135.125143249999</v>
      </c>
      <c r="I22" s="28">
        <f t="shared" si="5"/>
        <v>44429.178897547492</v>
      </c>
      <c r="J22" s="28"/>
      <c r="K22" s="28"/>
      <c r="L22" s="28"/>
      <c r="M22" s="28"/>
      <c r="N22" s="28"/>
      <c r="O22" s="28"/>
      <c r="P22" s="28"/>
    </row>
    <row r="23" spans="1:16" x14ac:dyDescent="0.25">
      <c r="A23" t="s">
        <v>48</v>
      </c>
      <c r="C23" s="28"/>
      <c r="D23" s="28">
        <f>D11*D8</f>
        <v>408800</v>
      </c>
      <c r="E23" s="28">
        <f t="shared" ref="E23:I23" si="6">E11*E8</f>
        <v>421064</v>
      </c>
      <c r="F23" s="28">
        <f t="shared" si="6"/>
        <v>433695.92</v>
      </c>
      <c r="G23" s="28">
        <f t="shared" si="6"/>
        <v>558383.49699999997</v>
      </c>
      <c r="H23" s="28">
        <f t="shared" si="6"/>
        <v>575135.00190999999</v>
      </c>
      <c r="I23" s="28">
        <f t="shared" si="6"/>
        <v>592389.05196730001</v>
      </c>
      <c r="J23" s="28"/>
      <c r="K23" s="28"/>
      <c r="L23" s="28"/>
      <c r="M23" s="28"/>
      <c r="N23" s="28"/>
      <c r="O23" s="28"/>
      <c r="P23" s="28"/>
    </row>
    <row r="24" spans="1:16" x14ac:dyDescent="0.25">
      <c r="B24" t="s">
        <v>3</v>
      </c>
      <c r="C24" s="28"/>
      <c r="D24" s="28">
        <f t="shared" ref="D24:I24" si="7">D22*$M$24</f>
        <v>22995</v>
      </c>
      <c r="E24" s="28">
        <f t="shared" si="7"/>
        <v>23684.85</v>
      </c>
      <c r="F24" s="28">
        <f t="shared" si="7"/>
        <v>24395.395499999999</v>
      </c>
      <c r="G24" s="28">
        <f t="shared" si="7"/>
        <v>31409.071706249997</v>
      </c>
      <c r="H24" s="28">
        <f t="shared" si="7"/>
        <v>32351.3438574375</v>
      </c>
      <c r="I24" s="28">
        <f t="shared" si="7"/>
        <v>33321.884173160623</v>
      </c>
      <c r="J24" s="28"/>
      <c r="K24" s="28"/>
      <c r="L24" s="28"/>
      <c r="M24" s="11">
        <v>0.75</v>
      </c>
      <c r="N24" t="s">
        <v>35</v>
      </c>
      <c r="O24" s="28"/>
      <c r="P24" s="28"/>
    </row>
    <row r="25" spans="1:16" x14ac:dyDescent="0.25">
      <c r="C25" s="28"/>
    </row>
    <row r="26" spans="1:16" x14ac:dyDescent="0.25">
      <c r="A26" t="s">
        <v>4</v>
      </c>
      <c r="C26" s="28"/>
    </row>
    <row r="27" spans="1:16" x14ac:dyDescent="0.25">
      <c r="B27" t="s">
        <v>5</v>
      </c>
      <c r="C27" s="28"/>
      <c r="D27" s="28">
        <v>20000</v>
      </c>
      <c r="E27" s="28">
        <f>D27*$C$20+D27</f>
        <v>20600</v>
      </c>
      <c r="F27" s="28">
        <f t="shared" ref="F27:I27" si="8">E27*$C$20+E27</f>
        <v>21218</v>
      </c>
      <c r="G27" s="28">
        <f t="shared" si="8"/>
        <v>21854.54</v>
      </c>
      <c r="H27" s="28">
        <f t="shared" si="8"/>
        <v>22510.176200000002</v>
      </c>
      <c r="I27" s="28">
        <f t="shared" si="8"/>
        <v>23185.481486000001</v>
      </c>
      <c r="J27" s="28"/>
      <c r="K27" s="28"/>
      <c r="L27" s="28"/>
      <c r="O27" s="28"/>
      <c r="P27" s="28"/>
    </row>
    <row r="28" spans="1:16" x14ac:dyDescent="0.25">
      <c r="B28" t="s">
        <v>57</v>
      </c>
      <c r="C28" s="28"/>
      <c r="D28" s="28">
        <f>D7*D4</f>
        <v>266000</v>
      </c>
      <c r="E28" s="28">
        <f t="shared" ref="E28:I28" si="9">E7*E4</f>
        <v>273980</v>
      </c>
      <c r="F28" s="28">
        <f t="shared" si="9"/>
        <v>273980</v>
      </c>
      <c r="G28" s="28">
        <f t="shared" si="9"/>
        <v>273980</v>
      </c>
      <c r="H28" s="28">
        <f t="shared" si="9"/>
        <v>273980</v>
      </c>
      <c r="I28" s="28">
        <f t="shared" si="9"/>
        <v>273980</v>
      </c>
      <c r="J28" s="28"/>
      <c r="K28" s="28"/>
      <c r="L28" s="28"/>
      <c r="O28" s="28"/>
      <c r="P28" s="28"/>
    </row>
    <row r="29" spans="1:16" x14ac:dyDescent="0.25">
      <c r="B29" t="s">
        <v>60</v>
      </c>
      <c r="C29" s="28"/>
      <c r="D29" s="28">
        <f>D6*$C$18*52</f>
        <v>62400</v>
      </c>
      <c r="E29" s="28">
        <f t="shared" ref="E29:I29" si="10">E6*$C$18*52</f>
        <v>62400</v>
      </c>
      <c r="F29" s="28">
        <f t="shared" si="10"/>
        <v>62400</v>
      </c>
      <c r="G29" s="28">
        <f t="shared" si="10"/>
        <v>62400</v>
      </c>
      <c r="H29" s="28">
        <f t="shared" si="10"/>
        <v>65520</v>
      </c>
      <c r="I29" s="28">
        <f t="shared" si="10"/>
        <v>65520</v>
      </c>
      <c r="J29" s="28"/>
      <c r="K29" s="28"/>
      <c r="L29" s="28"/>
      <c r="O29" s="28"/>
      <c r="P29" s="28"/>
    </row>
    <row r="30" spans="1:16" x14ac:dyDescent="0.25">
      <c r="B30" t="s">
        <v>6</v>
      </c>
      <c r="C30" s="28"/>
      <c r="D30" s="28">
        <f>D12*$C$13</f>
        <v>45000</v>
      </c>
      <c r="E30" s="28">
        <f t="shared" ref="E30:I30" si="11">E12*$C$13</f>
        <v>46350</v>
      </c>
      <c r="F30" s="28">
        <f t="shared" si="11"/>
        <v>47740.5</v>
      </c>
      <c r="G30" s="28">
        <f t="shared" si="11"/>
        <v>49172.715000000004</v>
      </c>
      <c r="H30" s="28">
        <f t="shared" si="11"/>
        <v>50647.89645</v>
      </c>
      <c r="I30" s="28">
        <f t="shared" si="11"/>
        <v>52167.333343500002</v>
      </c>
      <c r="J30" s="28"/>
      <c r="K30" s="28"/>
      <c r="L30" s="28"/>
      <c r="O30" s="28"/>
      <c r="P30" s="28"/>
    </row>
    <row r="31" spans="1:16" x14ac:dyDescent="0.25">
      <c r="C31" s="28"/>
    </row>
    <row r="32" spans="1:16" x14ac:dyDescent="0.25">
      <c r="C32" s="28"/>
    </row>
    <row r="33" spans="1:16" x14ac:dyDescent="0.25">
      <c r="A33" t="s">
        <v>109</v>
      </c>
      <c r="C33" s="28"/>
      <c r="D33" s="28">
        <f t="shared" ref="D33:I33" si="12">(D51/$M$51)</f>
        <v>15000</v>
      </c>
      <c r="E33" s="28">
        <f t="shared" si="12"/>
        <v>15000</v>
      </c>
      <c r="F33" s="28">
        <f t="shared" si="12"/>
        <v>15000</v>
      </c>
      <c r="G33" s="28">
        <f t="shared" si="12"/>
        <v>15000</v>
      </c>
      <c r="H33" s="28">
        <f t="shared" si="12"/>
        <v>15000</v>
      </c>
      <c r="I33" s="28">
        <f t="shared" si="12"/>
        <v>15000</v>
      </c>
      <c r="J33" s="28"/>
      <c r="K33" s="28"/>
      <c r="L33" s="28"/>
      <c r="O33" s="28"/>
      <c r="P33" s="28"/>
    </row>
    <row r="34" spans="1:16" x14ac:dyDescent="0.25">
      <c r="A34" t="s">
        <v>110</v>
      </c>
      <c r="C34" s="28"/>
      <c r="D34" s="28">
        <f>(D52/$M$52)</f>
        <v>3000</v>
      </c>
      <c r="E34" s="28">
        <f>(E52/$M$52)</f>
        <v>3000</v>
      </c>
      <c r="F34" s="28">
        <f>(F52/$M$52)</f>
        <v>3000</v>
      </c>
      <c r="G34" s="28">
        <f>(G52/$M$52)</f>
        <v>3000</v>
      </c>
      <c r="H34" s="28">
        <f>($H$52/$M$52)</f>
        <v>3000</v>
      </c>
      <c r="I34" s="28">
        <f>($H$52/$M$52)</f>
        <v>3000</v>
      </c>
      <c r="J34" s="28"/>
      <c r="K34" s="28"/>
      <c r="L34" s="28"/>
      <c r="O34" s="28"/>
      <c r="P34" s="28"/>
    </row>
    <row r="35" spans="1:16" x14ac:dyDescent="0.25">
      <c r="C35" s="28"/>
      <c r="D35" s="28"/>
      <c r="E35" s="28"/>
      <c r="F35" s="28"/>
      <c r="G35" s="28"/>
      <c r="H35" s="28"/>
      <c r="I35" s="28"/>
      <c r="J35" s="28"/>
      <c r="K35" s="28"/>
      <c r="L35" s="28"/>
      <c r="O35" s="28"/>
      <c r="P35" s="28"/>
    </row>
    <row r="36" spans="1:16" x14ac:dyDescent="0.25">
      <c r="A36" t="s">
        <v>7</v>
      </c>
      <c r="C36" s="28"/>
      <c r="D36" s="28">
        <f>Mortgage!D14</f>
        <v>32798.271317713632</v>
      </c>
      <c r="E36" s="28">
        <f>Mortgage!D28</f>
        <v>32342.352711507581</v>
      </c>
      <c r="F36" s="28">
        <f>Mortgage!D42</f>
        <v>31860.716712215504</v>
      </c>
      <c r="G36" s="28">
        <f>Mortgage!D56</f>
        <v>31351.91265671869</v>
      </c>
      <c r="H36" s="28">
        <f>Mortgage!D70</f>
        <v>30814.408053095827</v>
      </c>
      <c r="I36" s="28">
        <f>Mortgage!D84</f>
        <v>30246.583964835223</v>
      </c>
      <c r="J36" s="28"/>
      <c r="K36" s="28"/>
      <c r="L36" s="28"/>
      <c r="O36" s="28"/>
      <c r="P36" s="28"/>
    </row>
    <row r="37" spans="1:16" x14ac:dyDescent="0.25">
      <c r="A37" t="s">
        <v>8</v>
      </c>
      <c r="C37" s="28"/>
      <c r="D37" s="28">
        <f t="shared" ref="D37:I37" si="13">D68*$M$37</f>
        <v>40859.694938420063</v>
      </c>
      <c r="E37" s="28">
        <f t="shared" si="13"/>
        <v>47730.973935466092</v>
      </c>
      <c r="F37" s="28">
        <f t="shared" si="13"/>
        <v>53707.599814468733</v>
      </c>
      <c r="G37" s="28">
        <f t="shared" si="13"/>
        <v>39875.501040266521</v>
      </c>
      <c r="H37" s="28">
        <f t="shared" si="13"/>
        <v>23450.873439924031</v>
      </c>
      <c r="I37" s="28">
        <f t="shared" si="13"/>
        <v>2582.9802974074469</v>
      </c>
      <c r="J37" s="28"/>
      <c r="K37" s="28"/>
      <c r="L37" s="28"/>
      <c r="M37" s="12">
        <v>0.15</v>
      </c>
      <c r="N37" t="s">
        <v>92</v>
      </c>
      <c r="O37" s="28"/>
      <c r="P37" s="28"/>
    </row>
    <row r="38" spans="1:16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12"/>
      <c r="O38" s="28"/>
      <c r="P38" s="28"/>
    </row>
    <row r="39" spans="1:16" x14ac:dyDescent="0.25">
      <c r="A39" t="s">
        <v>9</v>
      </c>
      <c r="C39" s="28"/>
      <c r="D39" s="28">
        <f>D23+D22-D24-D27-D28-D30-D33-D34-D36-D37-D29</f>
        <v>-68592.966256133688</v>
      </c>
      <c r="E39" s="28">
        <f t="shared" ref="E39:I39" si="14">E23+E22-E24-E27-E28-E30-E33-E34-E36-E37-E29</f>
        <v>-72444.376646973658</v>
      </c>
      <c r="F39" s="28">
        <f t="shared" si="14"/>
        <v>-67079.098026684223</v>
      </c>
      <c r="G39" s="28">
        <f t="shared" si="14"/>
        <v>72218.518871764769</v>
      </c>
      <c r="H39" s="28">
        <f t="shared" si="14"/>
        <v>100995.42905279264</v>
      </c>
      <c r="I39" s="28">
        <f t="shared" si="14"/>
        <v>137813.96759994421</v>
      </c>
      <c r="J39" s="28"/>
      <c r="K39" s="28"/>
      <c r="L39" s="28"/>
      <c r="M39" s="12">
        <v>7.3999999999999996E-2</v>
      </c>
      <c r="N39" t="s">
        <v>33</v>
      </c>
      <c r="O39" s="28"/>
      <c r="P39" s="28"/>
    </row>
    <row r="40" spans="1:16" x14ac:dyDescent="0.25">
      <c r="A40" t="s">
        <v>10</v>
      </c>
      <c r="C40" s="28"/>
      <c r="D40" s="28">
        <f>IF(D39&lt;0,0,D39*($M$40+$M$39))</f>
        <v>0</v>
      </c>
      <c r="E40" s="28">
        <f>IF(E39&lt;0,0,E39*($M$40+$M$39))</f>
        <v>0</v>
      </c>
      <c r="F40" s="28">
        <f>IF(F39&lt;0,0,F39*($M$40+$M$39))</f>
        <v>0</v>
      </c>
      <c r="G40" s="28">
        <f>G39*($M$40+$M$39)</f>
        <v>19787.87417086355</v>
      </c>
      <c r="H40" s="28">
        <f>H39*($M$40+$M$39)</f>
        <v>27672.747560465185</v>
      </c>
      <c r="I40" s="28">
        <f>I39*($M$40+$M$39)</f>
        <v>37761.027122384716</v>
      </c>
      <c r="J40" s="28"/>
      <c r="K40" s="28"/>
      <c r="L40" s="28"/>
      <c r="M40" s="12">
        <v>0.2</v>
      </c>
      <c r="N40" t="s">
        <v>34</v>
      </c>
      <c r="O40" s="28"/>
      <c r="P40" s="28"/>
    </row>
    <row r="41" spans="1:16" x14ac:dyDescent="0.25">
      <c r="A41" t="s">
        <v>11</v>
      </c>
      <c r="C41" s="28"/>
      <c r="D41" s="28">
        <f>D39-D40</f>
        <v>-68592.966256133688</v>
      </c>
      <c r="E41" s="28">
        <f t="shared" ref="E41:I41" si="15">E39-E40</f>
        <v>-72444.376646973658</v>
      </c>
      <c r="F41" s="28">
        <f t="shared" si="15"/>
        <v>-67079.098026684223</v>
      </c>
      <c r="G41" s="28">
        <f t="shared" si="15"/>
        <v>52430.644700901219</v>
      </c>
      <c r="H41" s="28">
        <f t="shared" si="15"/>
        <v>73322.681492327451</v>
      </c>
      <c r="I41" s="28">
        <f t="shared" si="15"/>
        <v>100052.94047755949</v>
      </c>
      <c r="J41" s="28"/>
      <c r="K41" s="28"/>
      <c r="L41" s="28"/>
      <c r="O41" s="28"/>
      <c r="P41" s="28"/>
    </row>
    <row r="42" spans="1:16" x14ac:dyDescent="0.25">
      <c r="C42" s="28"/>
    </row>
    <row r="43" spans="1:16" x14ac:dyDescent="0.25">
      <c r="A43" t="s">
        <v>12</v>
      </c>
      <c r="C43" s="28"/>
    </row>
    <row r="44" spans="1:16" x14ac:dyDescent="0.25">
      <c r="A44" t="s">
        <v>13</v>
      </c>
      <c r="C44" s="28"/>
      <c r="J44" s="53" t="s">
        <v>120</v>
      </c>
      <c r="K44" s="53" t="s">
        <v>121</v>
      </c>
      <c r="L44" s="53" t="s">
        <v>122</v>
      </c>
      <c r="O44" s="54"/>
    </row>
    <row r="45" spans="1:16" x14ac:dyDescent="0.25">
      <c r="B45" t="s">
        <v>14</v>
      </c>
      <c r="C45" s="28"/>
      <c r="D45" s="28">
        <v>5000</v>
      </c>
      <c r="E45" s="28">
        <v>5000</v>
      </c>
      <c r="F45" s="28">
        <v>5000</v>
      </c>
      <c r="G45" s="28">
        <v>5000</v>
      </c>
      <c r="H45" s="28">
        <v>5000</v>
      </c>
      <c r="I45" s="28">
        <v>5000</v>
      </c>
      <c r="J45" s="55">
        <v>1</v>
      </c>
      <c r="K45" s="56"/>
      <c r="L45" s="56">
        <f>I45*J45</f>
        <v>5000</v>
      </c>
      <c r="O45" s="54"/>
      <c r="P45" s="28"/>
    </row>
    <row r="46" spans="1:16" x14ac:dyDescent="0.25">
      <c r="B46" t="s">
        <v>15</v>
      </c>
      <c r="C46" s="28"/>
      <c r="D46" s="28"/>
      <c r="E46" s="28"/>
      <c r="F46" s="28"/>
      <c r="G46" s="28"/>
      <c r="H46" s="28"/>
      <c r="I46" s="28"/>
      <c r="J46" s="57"/>
      <c r="K46" s="58"/>
      <c r="L46" s="59"/>
      <c r="O46" s="60"/>
      <c r="P46" s="28"/>
    </row>
    <row r="47" spans="1:16" x14ac:dyDescent="0.25">
      <c r="B47" t="s">
        <v>16</v>
      </c>
      <c r="C47" s="28"/>
      <c r="D47" s="28">
        <f>$C$14/365*(D23+D22)</f>
        <v>24080</v>
      </c>
      <c r="E47" s="28">
        <f t="shared" ref="E47:I47" si="16">$C$14/365*(E23+E22)</f>
        <v>24802.399999999998</v>
      </c>
      <c r="F47" s="28">
        <f t="shared" si="16"/>
        <v>25546.471999999998</v>
      </c>
      <c r="G47" s="28">
        <f t="shared" si="16"/>
        <v>32891.082699999999</v>
      </c>
      <c r="H47" s="28">
        <f t="shared" si="16"/>
        <v>33877.815180999998</v>
      </c>
      <c r="I47" s="28">
        <f t="shared" si="16"/>
        <v>34894.149636430004</v>
      </c>
      <c r="J47" s="55">
        <v>0.2</v>
      </c>
      <c r="K47" s="56"/>
      <c r="L47" s="56">
        <f>I47*J47</f>
        <v>6978.8299272860013</v>
      </c>
      <c r="O47" s="54"/>
      <c r="P47" s="28"/>
    </row>
    <row r="48" spans="1:16" x14ac:dyDescent="0.25">
      <c r="B48" t="s">
        <v>17</v>
      </c>
      <c r="C48" s="28"/>
      <c r="D48" s="28">
        <f>D24/365*$C$16</f>
        <v>5670</v>
      </c>
      <c r="E48" s="28">
        <f t="shared" ref="E48:I48" si="17">E24/365*$C$16</f>
        <v>5840.1</v>
      </c>
      <c r="F48" s="28">
        <f t="shared" si="17"/>
        <v>6015.302999999999</v>
      </c>
      <c r="G48" s="28">
        <f t="shared" si="17"/>
        <v>7744.7026125000002</v>
      </c>
      <c r="H48" s="28">
        <f t="shared" si="17"/>
        <v>7977.0436908750007</v>
      </c>
      <c r="I48" s="28">
        <f t="shared" si="17"/>
        <v>8216.3550016012505</v>
      </c>
      <c r="J48" s="55">
        <v>0.2</v>
      </c>
      <c r="K48" s="56"/>
      <c r="L48" s="56">
        <f>I48*J48</f>
        <v>1643.2710003202501</v>
      </c>
      <c r="O48" s="54"/>
      <c r="P48" s="28"/>
    </row>
    <row r="49" spans="1:21" x14ac:dyDescent="0.25">
      <c r="C49" s="28"/>
      <c r="D49" s="28"/>
      <c r="E49" s="28"/>
      <c r="F49" s="28"/>
      <c r="G49" s="28"/>
      <c r="H49" s="28"/>
      <c r="I49" s="28"/>
      <c r="J49" s="61"/>
      <c r="K49" s="59"/>
      <c r="L49" s="62"/>
      <c r="O49" s="54"/>
      <c r="P49" s="28"/>
    </row>
    <row r="50" spans="1:21" x14ac:dyDescent="0.25">
      <c r="B50" t="s">
        <v>94</v>
      </c>
      <c r="C50" s="28"/>
      <c r="D50" s="28">
        <v>150000</v>
      </c>
      <c r="E50" s="28">
        <v>150000</v>
      </c>
      <c r="F50" s="28">
        <v>150000</v>
      </c>
      <c r="G50" s="28">
        <v>150000</v>
      </c>
      <c r="H50" s="28">
        <v>150000</v>
      </c>
      <c r="I50" s="28">
        <v>150000</v>
      </c>
      <c r="J50" s="55">
        <v>0.72</v>
      </c>
      <c r="K50" s="56">
        <f>I50*J50</f>
        <v>108000</v>
      </c>
      <c r="L50" s="62"/>
      <c r="O50" s="54"/>
      <c r="P50" s="28"/>
    </row>
    <row r="51" spans="1:21" x14ac:dyDescent="0.25">
      <c r="B51" t="s">
        <v>18</v>
      </c>
      <c r="C51" s="28"/>
      <c r="D51" s="28">
        <v>300000</v>
      </c>
      <c r="E51" s="28">
        <f>$D$51</f>
        <v>300000</v>
      </c>
      <c r="F51" s="28">
        <f t="shared" ref="F51:I51" si="18">$D$51</f>
        <v>300000</v>
      </c>
      <c r="G51" s="28">
        <f t="shared" si="18"/>
        <v>300000</v>
      </c>
      <c r="H51" s="28">
        <f t="shared" si="18"/>
        <v>300000</v>
      </c>
      <c r="I51" s="28">
        <f t="shared" si="18"/>
        <v>300000</v>
      </c>
      <c r="J51" s="55">
        <v>0.72</v>
      </c>
      <c r="K51" s="56">
        <f>I51*J51</f>
        <v>216000</v>
      </c>
      <c r="L51" s="63"/>
      <c r="M51">
        <v>20</v>
      </c>
      <c r="N51" t="s">
        <v>32</v>
      </c>
      <c r="O51" s="54"/>
      <c r="P51" s="28"/>
    </row>
    <row r="52" spans="1:21" x14ac:dyDescent="0.25">
      <c r="B52" t="s">
        <v>95</v>
      </c>
      <c r="C52" s="28"/>
      <c r="D52" s="28">
        <v>15000</v>
      </c>
      <c r="E52" s="28">
        <v>15000</v>
      </c>
      <c r="F52" s="28">
        <v>15000</v>
      </c>
      <c r="G52" s="28">
        <v>15000</v>
      </c>
      <c r="H52" s="28">
        <v>15000</v>
      </c>
      <c r="I52" s="28">
        <v>30000</v>
      </c>
      <c r="J52" s="57"/>
      <c r="K52" s="54"/>
      <c r="L52" s="54"/>
      <c r="M52">
        <v>5</v>
      </c>
      <c r="N52" t="s">
        <v>32</v>
      </c>
      <c r="O52" s="54"/>
      <c r="P52" s="28"/>
    </row>
    <row r="53" spans="1:21" x14ac:dyDescent="0.25">
      <c r="B53" t="s">
        <v>115</v>
      </c>
      <c r="C53" s="28"/>
      <c r="D53" s="28">
        <f>C53+$D$33</f>
        <v>15000</v>
      </c>
      <c r="E53" s="28">
        <f t="shared" ref="E53:I53" si="19">D53+$D$33</f>
        <v>30000</v>
      </c>
      <c r="F53" s="28">
        <f t="shared" si="19"/>
        <v>45000</v>
      </c>
      <c r="G53" s="28">
        <f t="shared" si="19"/>
        <v>60000</v>
      </c>
      <c r="H53" s="28">
        <f t="shared" si="19"/>
        <v>75000</v>
      </c>
      <c r="I53" s="28">
        <f t="shared" si="19"/>
        <v>90000</v>
      </c>
      <c r="J53" s="59"/>
      <c r="K53" s="64"/>
      <c r="L53" s="65"/>
      <c r="O53" s="54"/>
      <c r="P53" s="28"/>
      <c r="S53" t="s">
        <v>114</v>
      </c>
      <c r="U53">
        <v>0.75</v>
      </c>
    </row>
    <row r="54" spans="1:21" x14ac:dyDescent="0.25">
      <c r="B54" t="s">
        <v>111</v>
      </c>
      <c r="C54" s="28"/>
      <c r="D54" s="28">
        <f>$D$34+C54</f>
        <v>3000</v>
      </c>
      <c r="E54" s="28">
        <f t="shared" ref="E54:H54" si="20">$D$34+D54</f>
        <v>6000</v>
      </c>
      <c r="F54" s="28">
        <f t="shared" si="20"/>
        <v>9000</v>
      </c>
      <c r="G54" s="28">
        <f t="shared" si="20"/>
        <v>12000</v>
      </c>
      <c r="H54" s="28">
        <f t="shared" si="20"/>
        <v>15000</v>
      </c>
      <c r="I54" s="28">
        <f>$I$34+H54</f>
        <v>18000</v>
      </c>
      <c r="J54" s="56"/>
      <c r="K54" s="59"/>
      <c r="L54" s="62"/>
      <c r="M54" s="54"/>
      <c r="N54" s="54"/>
      <c r="O54" s="54"/>
      <c r="P54" s="28"/>
    </row>
    <row r="55" spans="1:21" x14ac:dyDescent="0.25">
      <c r="C55" s="28"/>
      <c r="D55" s="28"/>
      <c r="E55" s="28"/>
      <c r="F55" s="28"/>
      <c r="G55" s="28"/>
      <c r="H55" s="28"/>
      <c r="I55" s="28"/>
      <c r="J55" s="59"/>
      <c r="K55" s="59"/>
      <c r="L55" s="62"/>
      <c r="M55" s="54"/>
      <c r="N55" s="54"/>
      <c r="O55" s="54"/>
      <c r="P55" s="28"/>
      <c r="R55" t="s">
        <v>101</v>
      </c>
    </row>
    <row r="56" spans="1:21" x14ac:dyDescent="0.25">
      <c r="A56" t="s">
        <v>19</v>
      </c>
      <c r="C56" s="28"/>
      <c r="D56" s="28">
        <f>SUM(D45:D51)-D53</f>
        <v>469750</v>
      </c>
      <c r="E56" s="28">
        <f t="shared" ref="E56:I56" si="21">SUM(E45:E51)-E53</f>
        <v>455642.5</v>
      </c>
      <c r="F56" s="28">
        <f t="shared" si="21"/>
        <v>441561.77500000002</v>
      </c>
      <c r="G56" s="28">
        <f t="shared" si="21"/>
        <v>435635.78531249997</v>
      </c>
      <c r="H56" s="28">
        <f t="shared" si="21"/>
        <v>421854.85887187498</v>
      </c>
      <c r="I56" s="28">
        <f t="shared" si="21"/>
        <v>408110.50463803124</v>
      </c>
      <c r="M56" s="54"/>
      <c r="N56" s="54"/>
      <c r="O56" s="54"/>
      <c r="P56" s="28"/>
      <c r="S56" t="s">
        <v>113</v>
      </c>
      <c r="U56">
        <f>U53*(1+(1-$M$40+$M$39)*((S67+S68)/(S71+S72)))</f>
        <v>-2.9436858654984417</v>
      </c>
    </row>
    <row r="57" spans="1:21" x14ac:dyDescent="0.25">
      <c r="C57" s="28"/>
      <c r="D57" s="28"/>
      <c r="E57" s="28"/>
      <c r="F57" s="28"/>
      <c r="G57" s="28"/>
      <c r="H57" s="28"/>
      <c r="I57" s="28"/>
      <c r="M57" s="54"/>
      <c r="N57" s="54"/>
      <c r="O57" s="54"/>
      <c r="P57" s="28"/>
      <c r="S57" t="s">
        <v>102</v>
      </c>
      <c r="U57" s="17">
        <v>2.7199999999999998E-2</v>
      </c>
    </row>
    <row r="58" spans="1:21" x14ac:dyDescent="0.25">
      <c r="A58" t="s">
        <v>20</v>
      </c>
      <c r="C58" s="28"/>
      <c r="M58" s="54"/>
      <c r="N58" s="54"/>
      <c r="O58" s="54"/>
      <c r="S58" t="s">
        <v>103</v>
      </c>
      <c r="U58" s="17">
        <v>0.08</v>
      </c>
    </row>
    <row r="59" spans="1:21" x14ac:dyDescent="0.25">
      <c r="A59" t="s">
        <v>100</v>
      </c>
      <c r="C59" s="28"/>
      <c r="M59" s="54"/>
      <c r="N59" s="54"/>
      <c r="O59" s="54"/>
    </row>
    <row r="60" spans="1:21" x14ac:dyDescent="0.25">
      <c r="B60" t="s">
        <v>21</v>
      </c>
      <c r="C60" s="28"/>
      <c r="D60" s="28">
        <f>D24/365*$C$17</f>
        <v>945</v>
      </c>
      <c r="E60" s="28">
        <f t="shared" ref="E60:I60" si="22">E24/365*$C$17</f>
        <v>973.35</v>
      </c>
      <c r="F60" s="28">
        <f t="shared" si="22"/>
        <v>1002.5504999999999</v>
      </c>
      <c r="G60" s="28">
        <f t="shared" si="22"/>
        <v>1290.78376875</v>
      </c>
      <c r="H60" s="28">
        <f t="shared" si="22"/>
        <v>1329.5072818125</v>
      </c>
      <c r="I60" s="28">
        <f t="shared" si="22"/>
        <v>1369.392500266875</v>
      </c>
      <c r="J60" s="55">
        <v>1</v>
      </c>
      <c r="K60" s="56"/>
      <c r="L60" s="66">
        <f>-J60*I60</f>
        <v>-1369.392500266875</v>
      </c>
      <c r="M60" s="54"/>
      <c r="N60" s="54"/>
      <c r="O60" s="54"/>
      <c r="P60" s="28"/>
      <c r="S60" t="s">
        <v>104</v>
      </c>
      <c r="U60" s="17">
        <f>U56*(U58-U57)+U57</f>
        <v>-0.12822661369831773</v>
      </c>
    </row>
    <row r="61" spans="1:21" x14ac:dyDescent="0.25">
      <c r="B61" t="s">
        <v>22</v>
      </c>
      <c r="C61" s="28"/>
      <c r="D61" s="28">
        <f>D40</f>
        <v>0</v>
      </c>
      <c r="E61" s="28">
        <f t="shared" ref="E61:I61" si="23">E40</f>
        <v>0</v>
      </c>
      <c r="F61" s="28">
        <f t="shared" si="23"/>
        <v>0</v>
      </c>
      <c r="G61" s="28">
        <f t="shared" si="23"/>
        <v>19787.87417086355</v>
      </c>
      <c r="H61" s="28">
        <f t="shared" si="23"/>
        <v>27672.747560465185</v>
      </c>
      <c r="I61" s="28">
        <f t="shared" si="23"/>
        <v>37761.027122384716</v>
      </c>
      <c r="J61" s="57"/>
      <c r="K61" s="59"/>
      <c r="L61" s="59"/>
      <c r="M61" s="54"/>
      <c r="N61" s="54"/>
      <c r="O61" s="54"/>
      <c r="P61" s="28"/>
    </row>
    <row r="62" spans="1:21" x14ac:dyDescent="0.25">
      <c r="C62" s="28"/>
      <c r="D62" s="28"/>
      <c r="E62" s="28"/>
      <c r="F62" s="28"/>
      <c r="G62" s="28"/>
      <c r="H62" s="28"/>
      <c r="I62" s="28"/>
      <c r="J62" s="57" t="s">
        <v>123</v>
      </c>
      <c r="K62" s="67">
        <f>SUM(K45:K53)</f>
        <v>324000</v>
      </c>
      <c r="L62" s="67">
        <f>SUM(L45:L61)</f>
        <v>12252.708427339378</v>
      </c>
      <c r="M62" s="54"/>
      <c r="N62" s="54"/>
      <c r="O62" s="54"/>
      <c r="P62" s="28"/>
    </row>
    <row r="63" spans="1:21" x14ac:dyDescent="0.25">
      <c r="C63" s="28"/>
      <c r="D63" s="28"/>
      <c r="E63" s="28"/>
      <c r="F63" s="28"/>
      <c r="G63" s="28"/>
      <c r="H63" s="28"/>
      <c r="I63" s="28"/>
      <c r="J63" s="57" t="s">
        <v>124</v>
      </c>
      <c r="K63" s="59"/>
      <c r="L63" s="56">
        <f>K62-J67</f>
        <v>4929.609375</v>
      </c>
      <c r="M63" s="54"/>
      <c r="N63" s="54"/>
      <c r="O63" s="54"/>
      <c r="P63" s="28"/>
    </row>
    <row r="64" spans="1:21" x14ac:dyDescent="0.25">
      <c r="C64" s="28"/>
      <c r="D64" s="28"/>
      <c r="E64" s="28"/>
      <c r="F64" s="28"/>
      <c r="G64" s="28"/>
      <c r="H64" s="28"/>
      <c r="I64" s="28"/>
      <c r="J64" s="57"/>
      <c r="K64" s="64"/>
      <c r="L64" s="68"/>
      <c r="M64" s="54"/>
      <c r="N64" s="54"/>
      <c r="O64" s="54"/>
      <c r="P64" s="28"/>
    </row>
    <row r="65" spans="1:22" x14ac:dyDescent="0.25">
      <c r="C65" s="28"/>
      <c r="D65" s="28"/>
      <c r="E65" s="28"/>
      <c r="F65" s="28"/>
      <c r="G65" s="28"/>
      <c r="H65" s="28"/>
      <c r="I65" s="28"/>
      <c r="J65" s="57"/>
      <c r="K65" s="64"/>
      <c r="L65" s="68"/>
      <c r="M65" s="54"/>
      <c r="N65" s="54"/>
      <c r="O65" s="54"/>
      <c r="P65" s="28"/>
    </row>
    <row r="66" spans="1:22" x14ac:dyDescent="0.25">
      <c r="C66" s="28"/>
      <c r="D66" s="28"/>
      <c r="E66" s="28"/>
      <c r="F66" s="28"/>
      <c r="G66" s="28"/>
      <c r="H66" s="28"/>
      <c r="I66" s="28"/>
      <c r="J66" s="33"/>
      <c r="K66" s="64"/>
      <c r="L66" s="69" t="s">
        <v>106</v>
      </c>
      <c r="M66" s="70" t="s">
        <v>125</v>
      </c>
      <c r="N66" s="70" t="s">
        <v>126</v>
      </c>
      <c r="O66" s="70" t="s">
        <v>127</v>
      </c>
      <c r="P66" s="28"/>
      <c r="R66" t="s">
        <v>105</v>
      </c>
      <c r="S66" t="s">
        <v>106</v>
      </c>
      <c r="T66" t="s">
        <v>41</v>
      </c>
      <c r="U66" t="s">
        <v>107</v>
      </c>
      <c r="V66" t="s">
        <v>108</v>
      </c>
    </row>
    <row r="67" spans="1:22" x14ac:dyDescent="0.25">
      <c r="B67" t="s">
        <v>23</v>
      </c>
      <c r="C67" s="28"/>
      <c r="D67" s="28">
        <v>250000</v>
      </c>
      <c r="E67" s="28">
        <f>D67*1.05</f>
        <v>262500</v>
      </c>
      <c r="F67" s="28">
        <f t="shared" ref="F67:I67" si="24">E67*1.05</f>
        <v>275625</v>
      </c>
      <c r="G67" s="28">
        <f t="shared" si="24"/>
        <v>289406.25</v>
      </c>
      <c r="H67" s="28">
        <f t="shared" si="24"/>
        <v>303876.5625</v>
      </c>
      <c r="I67" s="28">
        <f t="shared" si="24"/>
        <v>319070.390625</v>
      </c>
      <c r="J67" s="71">
        <f>I67</f>
        <v>319070.390625</v>
      </c>
      <c r="K67" s="57">
        <f>I67-J67</f>
        <v>0</v>
      </c>
      <c r="L67" s="72">
        <f>K67/SUM(K67:K68)</f>
        <v>0</v>
      </c>
      <c r="M67" s="73">
        <f>L67*$L$49</f>
        <v>0</v>
      </c>
      <c r="N67" s="38">
        <f>J67+M67</f>
        <v>319070.390625</v>
      </c>
      <c r="O67" s="73">
        <f>N67/I67</f>
        <v>1</v>
      </c>
      <c r="P67" s="28"/>
      <c r="R67" s="28">
        <f>AVERAGE(D67:I67)</f>
        <v>283413.03385416669</v>
      </c>
      <c r="S67" s="28">
        <f>R67/$R$74</f>
        <v>0.66936808371309653</v>
      </c>
      <c r="T67" s="17">
        <v>0.06</v>
      </c>
      <c r="U67" s="17">
        <f>T67*(1-$M$39*$M$40)</f>
        <v>5.9111999999999998E-2</v>
      </c>
      <c r="V67" s="17">
        <f>U67*S67</f>
        <v>3.9567686164448564E-2</v>
      </c>
    </row>
    <row r="68" spans="1:22" x14ac:dyDescent="0.25">
      <c r="B68" t="s">
        <v>24</v>
      </c>
      <c r="C68" s="28"/>
      <c r="D68" s="28">
        <v>272397.96625613375</v>
      </c>
      <c r="E68" s="28">
        <v>318206.49290310731</v>
      </c>
      <c r="F68" s="28">
        <v>358050.66542979155</v>
      </c>
      <c r="G68" s="28">
        <v>265836.67360177683</v>
      </c>
      <c r="H68" s="28">
        <v>156339.15626616022</v>
      </c>
      <c r="I68" s="28">
        <v>17219.868649382981</v>
      </c>
      <c r="J68" s="57">
        <v>0</v>
      </c>
      <c r="K68" s="74">
        <f>I68</f>
        <v>17219.868649382981</v>
      </c>
      <c r="L68" s="72">
        <f>1-L67</f>
        <v>1</v>
      </c>
      <c r="M68" s="73">
        <f>L68*SUM(L62:L63)</f>
        <v>17182.317802339378</v>
      </c>
      <c r="N68" s="38">
        <f>J68+M68</f>
        <v>17182.317802339378</v>
      </c>
      <c r="O68" s="73">
        <f>N68/I68</f>
        <v>0.99781933022787905</v>
      </c>
      <c r="P68" s="28"/>
      <c r="R68" s="28">
        <f>AVERAGE(D68:I68)</f>
        <v>231341.80385105879</v>
      </c>
      <c r="S68" s="28">
        <f t="shared" ref="S68:S72" si="25">R68/$R$74</f>
        <v>0.54638566836765701</v>
      </c>
      <c r="T68" s="17">
        <v>0.15</v>
      </c>
      <c r="U68" s="17">
        <f>T68*(1-$M$39*$M$40)</f>
        <v>0.14777999999999999</v>
      </c>
      <c r="V68" s="17">
        <f>U68*S68</f>
        <v>8.0744874071372347E-2</v>
      </c>
    </row>
    <row r="69" spans="1:22" x14ac:dyDescent="0.25">
      <c r="C69" s="28"/>
      <c r="D69" s="28"/>
      <c r="E69" s="28"/>
      <c r="F69" s="28"/>
      <c r="G69" s="28"/>
      <c r="H69" s="28"/>
      <c r="I69" s="28"/>
      <c r="J69" s="57"/>
      <c r="K69" s="56">
        <f>SUM(K67:K68)</f>
        <v>17219.868649382981</v>
      </c>
      <c r="L69" s="59"/>
      <c r="M69" s="75"/>
      <c r="N69" s="75"/>
      <c r="O69" s="54"/>
      <c r="P69" s="28"/>
      <c r="T69" s="17"/>
    </row>
    <row r="70" spans="1:22" x14ac:dyDescent="0.25">
      <c r="A70" t="s">
        <v>25</v>
      </c>
      <c r="C70" s="28"/>
      <c r="D70" s="28"/>
      <c r="E70" s="28"/>
      <c r="F70" s="28"/>
      <c r="G70" s="28"/>
      <c r="H70" s="28"/>
      <c r="I70" s="28"/>
      <c r="J70" s="57"/>
      <c r="K70" s="64"/>
      <c r="L70" s="59"/>
      <c r="M70" s="75"/>
      <c r="N70" s="75"/>
      <c r="O70" s="54"/>
      <c r="P70" s="28"/>
      <c r="T70" s="17"/>
    </row>
    <row r="71" spans="1:22" x14ac:dyDescent="0.25">
      <c r="B71" t="s">
        <v>26</v>
      </c>
      <c r="C71" s="28"/>
      <c r="D71" s="28">
        <v>15000</v>
      </c>
      <c r="E71" s="28">
        <v>15000</v>
      </c>
      <c r="F71" s="28">
        <v>15000</v>
      </c>
      <c r="G71" s="28">
        <v>15000</v>
      </c>
      <c r="H71" s="28">
        <v>15000</v>
      </c>
      <c r="I71" s="28">
        <v>15000</v>
      </c>
      <c r="J71" s="28"/>
      <c r="K71" s="28"/>
      <c r="L71" s="28"/>
      <c r="M71" s="28"/>
      <c r="N71" s="28"/>
      <c r="O71" s="28"/>
      <c r="P71" s="28"/>
      <c r="R71" s="28">
        <f>AVERAGE(D71:I71)</f>
        <v>15000</v>
      </c>
      <c r="S71" s="28">
        <f t="shared" si="25"/>
        <v>3.5427168324456484E-2</v>
      </c>
      <c r="T71" s="17">
        <f>U60</f>
        <v>-0.12822661369831773</v>
      </c>
      <c r="U71" s="17">
        <f>T71*(1-$M$39*$M$40)</f>
        <v>-0.12632885981558262</v>
      </c>
      <c r="V71" s="17">
        <f>U71*S71</f>
        <v>-4.4754737809233119E-3</v>
      </c>
    </row>
    <row r="72" spans="1:22" x14ac:dyDescent="0.25">
      <c r="B72" t="s">
        <v>27</v>
      </c>
      <c r="C72" s="28"/>
      <c r="D72" s="28">
        <f>C72+D41</f>
        <v>-68592.966256133688</v>
      </c>
      <c r="E72" s="28">
        <f>D72+E41</f>
        <v>-141037.34290310735</v>
      </c>
      <c r="F72" s="28">
        <f t="shared" ref="F72:I72" si="26">E72+F41</f>
        <v>-208116.44092979157</v>
      </c>
      <c r="G72" s="28">
        <f t="shared" si="26"/>
        <v>-155685.79622889037</v>
      </c>
      <c r="H72" s="28">
        <f t="shared" si="26"/>
        <v>-82363.114736562915</v>
      </c>
      <c r="I72" s="28">
        <f t="shared" si="26"/>
        <v>17689.825740996574</v>
      </c>
      <c r="J72" s="28"/>
      <c r="K72" s="28"/>
      <c r="L72" s="28"/>
      <c r="M72" s="28"/>
      <c r="N72" s="28"/>
      <c r="O72" s="28"/>
      <c r="P72" s="28"/>
      <c r="R72" s="28">
        <f>AVERAGE(D72:I72)</f>
        <v>-106350.9725522482</v>
      </c>
      <c r="S72" s="28">
        <f t="shared" si="25"/>
        <v>-0.2511809204052099</v>
      </c>
    </row>
    <row r="73" spans="1:22" x14ac:dyDescent="0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22" x14ac:dyDescent="0.25">
      <c r="A74" t="s">
        <v>28</v>
      </c>
      <c r="C74" s="28"/>
      <c r="D74" s="28">
        <f>SUM(D60:D72)</f>
        <v>469750.00000000006</v>
      </c>
      <c r="E74" s="28">
        <f t="shared" ref="E74:I74" si="27">SUM(E60:E72)</f>
        <v>455642.49999999994</v>
      </c>
      <c r="F74" s="28">
        <f t="shared" si="27"/>
        <v>441561.77500000002</v>
      </c>
      <c r="G74" s="28">
        <f t="shared" si="27"/>
        <v>435635.78531250003</v>
      </c>
      <c r="H74" s="28">
        <f t="shared" si="27"/>
        <v>421854.85887187498</v>
      </c>
      <c r="I74" s="28">
        <f t="shared" si="27"/>
        <v>408110.50463803113</v>
      </c>
      <c r="J74" s="28"/>
      <c r="K74" s="28"/>
      <c r="L74" s="28"/>
      <c r="M74" s="28"/>
      <c r="N74" s="28"/>
      <c r="O74" s="28"/>
      <c r="P74" s="28"/>
      <c r="R74" s="28">
        <f>SUM(R67:R72)</f>
        <v>423403.86515297723</v>
      </c>
      <c r="S74">
        <f>SUM(S67:S73)</f>
        <v>1</v>
      </c>
      <c r="U74" t="s">
        <v>112</v>
      </c>
      <c r="V74" s="17">
        <f>SUM(V67:V71)</f>
        <v>0.1158370864548976</v>
      </c>
    </row>
    <row r="75" spans="1:22" x14ac:dyDescent="0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22" x14ac:dyDescent="0.25">
      <c r="A76" s="50" t="s">
        <v>29</v>
      </c>
      <c r="B76" s="50"/>
      <c r="C76" s="51"/>
      <c r="D76" s="51">
        <f t="shared" ref="D76:I76" si="28">D56-D74</f>
        <v>0</v>
      </c>
      <c r="E76" s="51">
        <f t="shared" si="28"/>
        <v>0</v>
      </c>
      <c r="F76" s="51">
        <f t="shared" si="28"/>
        <v>0</v>
      </c>
      <c r="G76" s="51">
        <f t="shared" si="28"/>
        <v>0</v>
      </c>
      <c r="H76" s="51">
        <f t="shared" si="28"/>
        <v>0</v>
      </c>
      <c r="I76" s="51">
        <f t="shared" si="28"/>
        <v>0</v>
      </c>
      <c r="J76" s="52"/>
      <c r="K76" s="52"/>
      <c r="L76" s="52"/>
      <c r="M76" s="52"/>
      <c r="N76" s="52"/>
      <c r="O76" s="28"/>
      <c r="P76" s="28"/>
    </row>
    <row r="77" spans="1:22" x14ac:dyDescent="0.25">
      <c r="A77" s="34" t="s">
        <v>128</v>
      </c>
      <c r="B77" s="33"/>
      <c r="C77" s="33"/>
      <c r="D77" s="33"/>
      <c r="E77" s="33"/>
      <c r="F77" s="33"/>
      <c r="G77" s="33"/>
      <c r="H77" s="33"/>
      <c r="I77" s="28"/>
      <c r="J77" s="28"/>
      <c r="K77" s="28"/>
      <c r="L77" s="28"/>
      <c r="M77" s="28"/>
      <c r="N77" s="28"/>
      <c r="O77" s="28"/>
      <c r="P77" s="28"/>
    </row>
    <row r="78" spans="1:22" x14ac:dyDescent="0.25">
      <c r="A78" s="33" t="s">
        <v>129</v>
      </c>
      <c r="B78" s="33"/>
      <c r="C78" s="33">
        <v>0</v>
      </c>
      <c r="D78" s="33">
        <v>1</v>
      </c>
      <c r="E78" s="33">
        <v>2</v>
      </c>
      <c r="F78" s="33">
        <v>3</v>
      </c>
      <c r="G78" s="33">
        <v>4</v>
      </c>
      <c r="H78" s="33">
        <v>5</v>
      </c>
      <c r="I78" s="76">
        <v>6</v>
      </c>
      <c r="J78" s="28"/>
      <c r="K78" s="28"/>
      <c r="L78" s="28"/>
      <c r="M78" s="28"/>
      <c r="N78" s="28"/>
      <c r="O78" s="28"/>
      <c r="P78" s="28"/>
    </row>
    <row r="79" spans="1:22" x14ac:dyDescent="0.25">
      <c r="A79" s="33"/>
      <c r="B79" s="33" t="s">
        <v>130</v>
      </c>
      <c r="C79" s="35">
        <f>-D67</f>
        <v>-250000</v>
      </c>
      <c r="D79" s="35"/>
      <c r="E79" s="35"/>
      <c r="F79" s="35"/>
      <c r="G79" s="35"/>
      <c r="H79" s="33"/>
      <c r="I79" s="28"/>
      <c r="J79" s="28"/>
      <c r="K79" s="28"/>
      <c r="L79" s="28"/>
      <c r="M79" s="28"/>
      <c r="N79" s="28"/>
      <c r="O79" s="28"/>
      <c r="P79" s="28"/>
    </row>
    <row r="80" spans="1:22" x14ac:dyDescent="0.25">
      <c r="A80" s="33"/>
      <c r="B80" s="33" t="s">
        <v>131</v>
      </c>
      <c r="C80" s="33"/>
      <c r="D80" s="35">
        <f>D36</f>
        <v>32798.271317713632</v>
      </c>
      <c r="E80" s="35">
        <f t="shared" ref="E80:I80" si="29">E36</f>
        <v>32342.352711507581</v>
      </c>
      <c r="F80" s="35">
        <f t="shared" si="29"/>
        <v>31860.716712215504</v>
      </c>
      <c r="G80" s="35">
        <f t="shared" si="29"/>
        <v>31351.91265671869</v>
      </c>
      <c r="H80" s="35">
        <f t="shared" si="29"/>
        <v>30814.408053095827</v>
      </c>
      <c r="I80" s="35">
        <f t="shared" si="29"/>
        <v>30246.583964835223</v>
      </c>
      <c r="J80" s="28"/>
      <c r="K80" s="28"/>
      <c r="L80" s="28"/>
      <c r="M80" s="28"/>
      <c r="N80" s="28"/>
      <c r="O80" s="28"/>
      <c r="P80" s="28"/>
    </row>
    <row r="81" spans="1:16" x14ac:dyDescent="0.25">
      <c r="A81" s="33"/>
      <c r="B81" s="33" t="s">
        <v>132</v>
      </c>
      <c r="C81" s="33"/>
      <c r="D81" s="35">
        <f>(D67-E67)</f>
        <v>-12500</v>
      </c>
      <c r="E81" s="35">
        <f t="shared" ref="E81:H81" si="30">(E67-F67)</f>
        <v>-13125</v>
      </c>
      <c r="F81" s="35">
        <f t="shared" si="30"/>
        <v>-13781.25</v>
      </c>
      <c r="G81" s="35">
        <f t="shared" si="30"/>
        <v>-14470.3125</v>
      </c>
      <c r="H81" s="35">
        <f t="shared" si="30"/>
        <v>-15193.828125</v>
      </c>
      <c r="I81" s="28"/>
      <c r="J81" s="28"/>
      <c r="K81" s="28"/>
      <c r="L81" s="28"/>
      <c r="M81" s="28"/>
      <c r="N81" s="28"/>
      <c r="O81" s="28"/>
      <c r="P81" s="28"/>
    </row>
    <row r="82" spans="1:16" x14ac:dyDescent="0.25">
      <c r="A82" s="33"/>
      <c r="B82" s="33" t="s">
        <v>133</v>
      </c>
      <c r="C82" s="33"/>
      <c r="D82" s="33"/>
      <c r="E82" s="33"/>
      <c r="F82" s="33"/>
      <c r="G82" s="33"/>
      <c r="H82" s="35"/>
      <c r="I82" s="28">
        <f>N67</f>
        <v>319070.390625</v>
      </c>
      <c r="J82" s="28"/>
      <c r="K82" s="28"/>
      <c r="L82" s="28"/>
      <c r="M82" s="28"/>
      <c r="N82" s="28"/>
      <c r="O82" s="28"/>
      <c r="P82" s="28"/>
    </row>
    <row r="83" spans="1:16" x14ac:dyDescent="0.25">
      <c r="A83" s="33"/>
      <c r="B83" s="33" t="s">
        <v>134</v>
      </c>
      <c r="C83" s="35">
        <f>SUM(C79:C82)</f>
        <v>-250000</v>
      </c>
      <c r="D83" s="35">
        <f t="shared" ref="D83:I83" si="31">SUM(D79:D82)</f>
        <v>20298.271317713632</v>
      </c>
      <c r="E83" s="35">
        <f t="shared" si="31"/>
        <v>19217.352711507581</v>
      </c>
      <c r="F83" s="35">
        <f t="shared" si="31"/>
        <v>18079.466712215504</v>
      </c>
      <c r="G83" s="35">
        <f t="shared" si="31"/>
        <v>16881.60015671869</v>
      </c>
      <c r="H83" s="35">
        <f t="shared" si="31"/>
        <v>15620.579928095827</v>
      </c>
      <c r="I83" s="35">
        <f t="shared" si="31"/>
        <v>349316.97458983521</v>
      </c>
      <c r="J83" s="28"/>
      <c r="K83" s="28"/>
      <c r="L83" s="28"/>
      <c r="M83" s="28"/>
      <c r="N83" s="28"/>
      <c r="O83" s="28"/>
      <c r="P83" s="28"/>
    </row>
    <row r="84" spans="1:16" x14ac:dyDescent="0.25">
      <c r="A84" s="33"/>
      <c r="B84" s="33" t="s">
        <v>88</v>
      </c>
      <c r="C84" s="40">
        <f>IRR(C83:H83)</f>
        <v>-0.27409800945992568</v>
      </c>
      <c r="D84" s="33"/>
      <c r="E84" s="33"/>
      <c r="F84" s="33"/>
      <c r="G84" s="33"/>
      <c r="H84" s="33"/>
      <c r="J84" s="28"/>
      <c r="K84" s="28"/>
      <c r="L84" s="28"/>
      <c r="M84" s="28"/>
      <c r="N84" s="28"/>
      <c r="O84" s="28"/>
      <c r="P84" s="28"/>
    </row>
    <row r="85" spans="1:16" x14ac:dyDescent="0.25">
      <c r="A85" s="33" t="s">
        <v>135</v>
      </c>
      <c r="B85" s="33"/>
      <c r="C85" s="33"/>
      <c r="D85" s="33"/>
      <c r="E85" s="33"/>
      <c r="F85" s="33"/>
      <c r="G85" s="33"/>
      <c r="H85" s="33"/>
      <c r="J85" s="28"/>
      <c r="K85" s="28"/>
      <c r="L85" s="28"/>
      <c r="M85" s="28"/>
      <c r="N85" s="28"/>
      <c r="O85" s="28"/>
      <c r="P85" s="28"/>
    </row>
    <row r="86" spans="1:16" x14ac:dyDescent="0.25">
      <c r="A86" s="33"/>
      <c r="B86" s="33" t="s">
        <v>130</v>
      </c>
      <c r="C86" s="35">
        <f>-D68</f>
        <v>-272397.96625613375</v>
      </c>
      <c r="D86" s="33"/>
      <c r="E86" s="33"/>
      <c r="F86" s="33"/>
      <c r="G86" s="33"/>
      <c r="H86" s="33"/>
      <c r="J86" s="28"/>
      <c r="K86" s="28"/>
      <c r="L86" s="28"/>
      <c r="M86" s="28"/>
      <c r="N86" s="28"/>
      <c r="O86" s="28"/>
      <c r="P86" s="28"/>
    </row>
    <row r="87" spans="1:16" x14ac:dyDescent="0.25">
      <c r="A87" s="33"/>
      <c r="B87" s="33" t="s">
        <v>131</v>
      </c>
      <c r="C87" s="33"/>
      <c r="D87" s="35">
        <f t="shared" ref="D87:I87" si="32">D37</f>
        <v>40859.694938420063</v>
      </c>
      <c r="E87" s="35">
        <f t="shared" si="32"/>
        <v>47730.973935466092</v>
      </c>
      <c r="F87" s="35">
        <f t="shared" si="32"/>
        <v>53707.599814468733</v>
      </c>
      <c r="G87" s="35">
        <f t="shared" si="32"/>
        <v>39875.501040266521</v>
      </c>
      <c r="H87" s="35">
        <f t="shared" si="32"/>
        <v>23450.873439924031</v>
      </c>
      <c r="I87" s="35">
        <f t="shared" si="32"/>
        <v>2582.9802974074469</v>
      </c>
      <c r="J87" s="28"/>
      <c r="K87" s="28"/>
      <c r="L87" s="28"/>
      <c r="M87" s="28"/>
      <c r="N87" s="28"/>
      <c r="O87" s="28"/>
      <c r="P87" s="28"/>
    </row>
    <row r="88" spans="1:16" x14ac:dyDescent="0.25">
      <c r="A88" s="33"/>
      <c r="B88" s="33" t="s">
        <v>132</v>
      </c>
      <c r="C88" s="33"/>
      <c r="D88" s="35">
        <f>D68-E68</f>
        <v>-45808.526646973565</v>
      </c>
      <c r="E88" s="35">
        <f t="shared" ref="E88:H88" si="33">E68-F68</f>
        <v>-39844.17252668424</v>
      </c>
      <c r="F88" s="35">
        <f t="shared" si="33"/>
        <v>92213.991828014725</v>
      </c>
      <c r="G88" s="35">
        <f t="shared" si="33"/>
        <v>109497.51733561661</v>
      </c>
      <c r="H88" s="35">
        <f t="shared" si="33"/>
        <v>139119.28761677723</v>
      </c>
      <c r="J88" s="28"/>
      <c r="K88" s="28"/>
      <c r="L88" s="28"/>
      <c r="M88" s="28"/>
      <c r="N88" s="28"/>
      <c r="O88" s="28"/>
      <c r="P88" s="28"/>
    </row>
    <row r="89" spans="1:16" x14ac:dyDescent="0.25">
      <c r="A89" s="33"/>
      <c r="B89" s="33" t="s">
        <v>133</v>
      </c>
      <c r="C89" s="33"/>
      <c r="D89" s="33"/>
      <c r="E89" s="33"/>
      <c r="F89" s="33"/>
      <c r="G89" s="33"/>
      <c r="H89" s="35"/>
      <c r="I89" s="41">
        <f>N68</f>
        <v>17182.317802339378</v>
      </c>
      <c r="J89" s="28"/>
      <c r="K89" s="28"/>
      <c r="L89" s="28"/>
      <c r="M89" s="28"/>
      <c r="N89" s="28"/>
      <c r="O89" s="28"/>
      <c r="P89" s="28"/>
    </row>
    <row r="90" spans="1:16" x14ac:dyDescent="0.25">
      <c r="A90" s="33"/>
      <c r="B90" s="33" t="s">
        <v>134</v>
      </c>
      <c r="C90" s="35">
        <f>SUM(C86:C89)</f>
        <v>-272397.96625613375</v>
      </c>
      <c r="D90" s="35">
        <f t="shared" ref="D90:I90" si="34">SUM(D86:D89)</f>
        <v>-4948.8317085535018</v>
      </c>
      <c r="E90" s="35">
        <f t="shared" si="34"/>
        <v>7886.8014087818519</v>
      </c>
      <c r="F90" s="35">
        <f t="shared" si="34"/>
        <v>145921.59164248346</v>
      </c>
      <c r="G90" s="35">
        <f t="shared" si="34"/>
        <v>149373.01837588311</v>
      </c>
      <c r="H90" s="35">
        <f t="shared" si="34"/>
        <v>162570.16105670127</v>
      </c>
      <c r="I90" s="35">
        <f t="shared" si="34"/>
        <v>19765.298099746826</v>
      </c>
      <c r="J90" s="28"/>
      <c r="K90" s="28"/>
      <c r="L90" s="28"/>
      <c r="M90" s="28"/>
      <c r="N90" s="28"/>
      <c r="O90" s="28"/>
      <c r="P90" s="28"/>
    </row>
    <row r="91" spans="1:16" x14ac:dyDescent="0.25">
      <c r="A91" s="33"/>
      <c r="B91" s="33" t="s">
        <v>88</v>
      </c>
      <c r="C91" s="40">
        <f>IRR(C90:H90)</f>
        <v>0.14073766394753573</v>
      </c>
      <c r="D91" s="33"/>
      <c r="E91" s="33"/>
      <c r="F91" s="33"/>
      <c r="G91" s="33"/>
      <c r="H91" s="33"/>
      <c r="J91" s="28"/>
      <c r="K91" s="28"/>
      <c r="L91" s="28"/>
      <c r="M91" s="28"/>
      <c r="N91" s="28"/>
      <c r="O91" s="28"/>
      <c r="P91" s="28"/>
    </row>
    <row r="92" spans="1:16" x14ac:dyDescent="0.25">
      <c r="J92" s="28"/>
      <c r="K92" s="28"/>
      <c r="L92" s="28"/>
      <c r="M92" s="28"/>
      <c r="N92" s="28"/>
      <c r="O92" s="28"/>
      <c r="P92" s="28"/>
    </row>
    <row r="93" spans="1:16" x14ac:dyDescent="0.25">
      <c r="J93" s="28"/>
      <c r="K93" s="28"/>
      <c r="L93" s="28"/>
      <c r="M93" s="28"/>
      <c r="N93" s="28"/>
      <c r="O93" s="28"/>
      <c r="P93" s="28"/>
    </row>
    <row r="94" spans="1:16" x14ac:dyDescent="0.25">
      <c r="J94" s="28"/>
      <c r="K94" s="28"/>
      <c r="L94" s="28"/>
      <c r="M94" s="28"/>
      <c r="N94" s="28"/>
      <c r="O94" s="28"/>
      <c r="P94" s="28"/>
    </row>
    <row r="95" spans="1:16" x14ac:dyDescent="0.25">
      <c r="J95" s="28"/>
      <c r="K95" s="28"/>
      <c r="L95" s="28"/>
      <c r="M95" s="28"/>
      <c r="N95" s="28"/>
      <c r="O95" s="28"/>
      <c r="P95" s="28"/>
    </row>
    <row r="96" spans="1:16" x14ac:dyDescent="0.25">
      <c r="J96" s="28"/>
      <c r="K96" s="28"/>
      <c r="L96" s="28"/>
      <c r="M96" s="28"/>
      <c r="N96" s="28"/>
      <c r="O96" s="28"/>
      <c r="P96" s="28"/>
    </row>
    <row r="97" spans="10:16" x14ac:dyDescent="0.25">
      <c r="J97" s="28"/>
      <c r="K97" s="28"/>
      <c r="L97" s="28"/>
      <c r="M97" s="28"/>
      <c r="N97" s="28"/>
      <c r="O97" s="28"/>
      <c r="P97" s="28"/>
    </row>
    <row r="98" spans="10:16" x14ac:dyDescent="0.25">
      <c r="J98" s="28"/>
      <c r="K98" s="28"/>
      <c r="L98" s="28"/>
      <c r="M98" s="28"/>
      <c r="N98" s="28"/>
      <c r="O98" s="28"/>
      <c r="P98" s="28"/>
    </row>
    <row r="99" spans="10:16" x14ac:dyDescent="0.25">
      <c r="J99" s="28"/>
      <c r="K99" s="28"/>
      <c r="L99" s="28"/>
      <c r="M99" s="28"/>
      <c r="N99" s="28"/>
      <c r="O99" s="28"/>
      <c r="P99" s="28"/>
    </row>
    <row r="100" spans="10:16" x14ac:dyDescent="0.25">
      <c r="J100" s="28"/>
      <c r="K100" s="28"/>
      <c r="L100" s="28"/>
      <c r="M100" s="28"/>
      <c r="N100" s="28"/>
      <c r="O100" s="28"/>
      <c r="P100" s="28"/>
    </row>
    <row r="101" spans="10:16" x14ac:dyDescent="0.25">
      <c r="J101" s="28"/>
      <c r="K101" s="28"/>
      <c r="L101" s="28"/>
      <c r="M101" s="28"/>
      <c r="N101" s="28"/>
      <c r="O101" s="28"/>
      <c r="P101" s="28"/>
    </row>
    <row r="102" spans="10:16" x14ac:dyDescent="0.25">
      <c r="J102" s="28"/>
      <c r="K102" s="28"/>
      <c r="L102" s="28"/>
      <c r="M102" s="28"/>
      <c r="N102" s="28"/>
      <c r="O102" s="28"/>
      <c r="P102" s="28"/>
    </row>
    <row r="103" spans="10:16" x14ac:dyDescent="0.25">
      <c r="J103" s="28"/>
      <c r="K103" s="28"/>
      <c r="L103" s="28"/>
      <c r="M103" s="28"/>
      <c r="N103" s="28"/>
      <c r="O103" s="28"/>
      <c r="P103" s="28"/>
    </row>
    <row r="104" spans="10:16" x14ac:dyDescent="0.25">
      <c r="J104" s="28"/>
      <c r="K104" s="28"/>
      <c r="L104" s="28"/>
      <c r="M104" s="28"/>
      <c r="N104" s="28"/>
      <c r="O104" s="28"/>
      <c r="P104" s="28"/>
    </row>
    <row r="105" spans="10:16" x14ac:dyDescent="0.25">
      <c r="J105" s="28"/>
      <c r="K105" s="28"/>
      <c r="L105" s="28"/>
      <c r="M105" s="28"/>
      <c r="N105" s="28"/>
      <c r="O105" s="28"/>
      <c r="P105" s="28"/>
    </row>
    <row r="106" spans="10:16" x14ac:dyDescent="0.25">
      <c r="J106" s="28"/>
      <c r="K106" s="28"/>
      <c r="L106" s="28"/>
      <c r="M106" s="28"/>
      <c r="N106" s="28"/>
      <c r="O106" s="28"/>
      <c r="P106" s="28"/>
    </row>
    <row r="107" spans="10:16" x14ac:dyDescent="0.25">
      <c r="J107" s="28"/>
      <c r="K107" s="28"/>
      <c r="L107" s="28"/>
      <c r="M107" s="28"/>
      <c r="N107" s="28"/>
      <c r="O107" s="28"/>
      <c r="P107" s="28"/>
    </row>
    <row r="108" spans="10:16" x14ac:dyDescent="0.25">
      <c r="J108" s="28"/>
      <c r="K108" s="28"/>
      <c r="L108" s="28"/>
      <c r="M108" s="28"/>
      <c r="N108" s="28"/>
      <c r="O108" s="28"/>
      <c r="P108" s="28"/>
    </row>
    <row r="109" spans="10:16" x14ac:dyDescent="0.25">
      <c r="J109" s="28"/>
      <c r="K109" s="28"/>
      <c r="L109" s="28"/>
      <c r="M109" s="28"/>
      <c r="N109" s="28"/>
      <c r="O109" s="28"/>
      <c r="P109" s="28"/>
    </row>
    <row r="110" spans="10:16" x14ac:dyDescent="0.25">
      <c r="J110" s="28"/>
      <c r="K110" s="28"/>
      <c r="L110" s="28"/>
      <c r="M110" s="28"/>
      <c r="N110" s="28"/>
      <c r="O110" s="28"/>
      <c r="P110" s="28"/>
    </row>
    <row r="111" spans="10:16" x14ac:dyDescent="0.25">
      <c r="J111" s="28"/>
      <c r="K111" s="28"/>
      <c r="L111" s="28"/>
      <c r="M111" s="28"/>
      <c r="N111" s="28"/>
      <c r="O111" s="28"/>
      <c r="P111" s="28"/>
    </row>
    <row r="112" spans="10:16" x14ac:dyDescent="0.25">
      <c r="J112" s="28"/>
      <c r="K112" s="28"/>
      <c r="L112" s="28"/>
      <c r="M112" s="28"/>
      <c r="N112" s="28"/>
      <c r="O112" s="28"/>
      <c r="P112" s="28"/>
    </row>
    <row r="113" spans="10:16" x14ac:dyDescent="0.25">
      <c r="J113" s="28"/>
      <c r="K113" s="28"/>
      <c r="L113" s="28"/>
      <c r="M113" s="28"/>
      <c r="N113" s="28"/>
      <c r="O113" s="28"/>
      <c r="P113" s="28"/>
    </row>
    <row r="114" spans="10:16" x14ac:dyDescent="0.25">
      <c r="J114" s="28"/>
      <c r="K114" s="28"/>
      <c r="L114" s="28"/>
      <c r="M114" s="28"/>
      <c r="N114" s="28"/>
      <c r="O114" s="28"/>
      <c r="P114" s="28"/>
    </row>
    <row r="115" spans="10:16" x14ac:dyDescent="0.25">
      <c r="J115" s="28"/>
      <c r="K115" s="28"/>
      <c r="L115" s="28"/>
      <c r="M115" s="28"/>
      <c r="N115" s="28"/>
      <c r="O115" s="28"/>
      <c r="P115" s="28"/>
    </row>
    <row r="116" spans="10:16" x14ac:dyDescent="0.25">
      <c r="J116" s="28"/>
      <c r="K116" s="28"/>
      <c r="L116" s="28"/>
      <c r="M116" s="28"/>
      <c r="N116" s="28"/>
      <c r="O116" s="28"/>
      <c r="P116" s="28"/>
    </row>
    <row r="117" spans="10:16" x14ac:dyDescent="0.25">
      <c r="J117" s="28"/>
      <c r="K117" s="28"/>
      <c r="L117" s="28"/>
      <c r="M117" s="28"/>
      <c r="N117" s="28"/>
      <c r="O117" s="28"/>
      <c r="P117" s="28"/>
    </row>
    <row r="118" spans="10:16" x14ac:dyDescent="0.25">
      <c r="J118" s="28"/>
      <c r="K118" s="28"/>
      <c r="L118" s="28"/>
      <c r="M118" s="28"/>
      <c r="N118" s="28"/>
      <c r="O118" s="28"/>
      <c r="P118" s="28"/>
    </row>
    <row r="119" spans="10:16" x14ac:dyDescent="0.25">
      <c r="J119" s="28"/>
      <c r="K119" s="28"/>
      <c r="L119" s="28"/>
      <c r="M119" s="28"/>
      <c r="N119" s="28"/>
      <c r="O119" s="28"/>
      <c r="P119" s="28"/>
    </row>
    <row r="120" spans="10:16" x14ac:dyDescent="0.25">
      <c r="J120" s="28"/>
      <c r="K120" s="28"/>
      <c r="L120" s="28"/>
      <c r="M120" s="28"/>
      <c r="N120" s="28"/>
      <c r="O120" s="28"/>
      <c r="P120" s="28"/>
    </row>
    <row r="121" spans="10:16" x14ac:dyDescent="0.25">
      <c r="J121" s="28"/>
      <c r="K121" s="28"/>
      <c r="L121" s="28"/>
      <c r="M121" s="28"/>
      <c r="N121" s="28"/>
      <c r="O121" s="28"/>
      <c r="P121" s="28"/>
    </row>
    <row r="122" spans="10:16" x14ac:dyDescent="0.25">
      <c r="J122" s="28"/>
      <c r="K122" s="28"/>
      <c r="L122" s="28"/>
      <c r="M122" s="28"/>
      <c r="N122" s="28"/>
      <c r="O122" s="28"/>
      <c r="P122" s="28"/>
    </row>
    <row r="123" spans="10:16" x14ac:dyDescent="0.25">
      <c r="J123" s="28"/>
      <c r="K123" s="28"/>
      <c r="L123" s="28"/>
      <c r="M123" s="28"/>
      <c r="N123" s="28"/>
      <c r="O123" s="28"/>
      <c r="P123" s="2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Case</vt:lpstr>
      <vt:lpstr>Mortgage</vt:lpstr>
      <vt:lpstr>Bad Option</vt:lpstr>
      <vt:lpstr>Good Option</vt:lpstr>
      <vt:lpstr>Failure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2013-12-20T15:40:42Z</dcterms:created>
  <dcterms:modified xsi:type="dcterms:W3CDTF">2019-07-31T21:36:10Z</dcterms:modified>
</cp:coreProperties>
</file>