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165" yWindow="120" windowWidth="15600" windowHeight="9240"/>
  </bookViews>
  <sheets>
    <sheet name="Forecast" sheetId="1" r:id="rId1"/>
    <sheet name="Mortgage" sheetId="4" r:id="rId2"/>
    <sheet name="Good-Bad" sheetId="2" r:id="rId3"/>
    <sheet name="Bankrupt 2" sheetId="6" r:id="rId4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9" i="1" l="1"/>
  <c r="O86" i="1"/>
  <c r="O84" i="1"/>
  <c r="B123" i="6" l="1"/>
  <c r="I121" i="6"/>
  <c r="H121" i="6"/>
  <c r="G121" i="6"/>
  <c r="G123" i="6" s="1"/>
  <c r="F121" i="6"/>
  <c r="E121" i="6"/>
  <c r="D121" i="6"/>
  <c r="C121" i="6"/>
  <c r="C123" i="6" s="1"/>
  <c r="G120" i="6"/>
  <c r="C120" i="6"/>
  <c r="B119" i="6"/>
  <c r="M66" i="6"/>
  <c r="M56" i="6"/>
  <c r="J55" i="6"/>
  <c r="M55" i="6" s="1"/>
  <c r="O56" i="6" s="1"/>
  <c r="M54" i="6"/>
  <c r="M50" i="6"/>
  <c r="M49" i="6"/>
  <c r="C3" i="6"/>
  <c r="C4" i="6" s="1"/>
  <c r="C21" i="6"/>
  <c r="C5" i="6"/>
  <c r="C23" i="6"/>
  <c r="C25" i="6"/>
  <c r="C33" i="6"/>
  <c r="C38" i="6"/>
  <c r="C55" i="6"/>
  <c r="C39" i="6" s="1"/>
  <c r="C77" i="6" s="1"/>
  <c r="C80" i="6" s="1"/>
  <c r="D3" i="6"/>
  <c r="D21" i="6" s="1"/>
  <c r="D38" i="6"/>
  <c r="D120" i="6" s="1"/>
  <c r="D123" i="6" s="1"/>
  <c r="E38" i="6"/>
  <c r="E120" i="6" s="1"/>
  <c r="E123" i="6" s="1"/>
  <c r="F38" i="6"/>
  <c r="F120" i="6" s="1"/>
  <c r="F123" i="6" s="1"/>
  <c r="G38" i="6"/>
  <c r="H38" i="6"/>
  <c r="H120" i="6" s="1"/>
  <c r="H123" i="6" s="1"/>
  <c r="I38" i="6"/>
  <c r="I120" i="6" s="1"/>
  <c r="I123" i="6" s="1"/>
  <c r="J38" i="6"/>
  <c r="J120" i="6" s="1"/>
  <c r="B84" i="6"/>
  <c r="B100" i="6"/>
  <c r="D8" i="6"/>
  <c r="D9" i="6"/>
  <c r="E9" i="6" s="1"/>
  <c r="F9" i="6" s="1"/>
  <c r="G9" i="6" s="1"/>
  <c r="D5" i="6"/>
  <c r="D10" i="6"/>
  <c r="D23" i="6"/>
  <c r="D11" i="6"/>
  <c r="D7" i="6"/>
  <c r="D12" i="6"/>
  <c r="D30" i="6"/>
  <c r="E30" i="6" s="1"/>
  <c r="F30" i="6" s="1"/>
  <c r="G30" i="6" s="1"/>
  <c r="H30" i="6" s="1"/>
  <c r="I30" i="6" s="1"/>
  <c r="J30" i="6" s="1"/>
  <c r="D31" i="6"/>
  <c r="D33" i="6"/>
  <c r="D32" i="6"/>
  <c r="D34" i="6"/>
  <c r="E34" i="6" s="1"/>
  <c r="F34" i="6" s="1"/>
  <c r="G34" i="6" s="1"/>
  <c r="H34" i="6" s="1"/>
  <c r="I34" i="6" s="1"/>
  <c r="J34" i="6" s="1"/>
  <c r="D55" i="6"/>
  <c r="D39" i="6"/>
  <c r="D77" i="6"/>
  <c r="D80" i="6" s="1"/>
  <c r="E3" i="6"/>
  <c r="E8" i="6"/>
  <c r="E21" i="6"/>
  <c r="E5" i="6"/>
  <c r="E23" i="6" s="1"/>
  <c r="E10" i="6"/>
  <c r="F10" i="6" s="1"/>
  <c r="G10" i="6" s="1"/>
  <c r="H10" i="6" s="1"/>
  <c r="E11" i="6"/>
  <c r="E12" i="6"/>
  <c r="E31" i="6"/>
  <c r="E33" i="6"/>
  <c r="E32" i="6"/>
  <c r="F32" i="6" s="1"/>
  <c r="G32" i="6" s="1"/>
  <c r="H32" i="6" s="1"/>
  <c r="I32" i="6" s="1"/>
  <c r="J32" i="6" s="1"/>
  <c r="E55" i="6"/>
  <c r="E39" i="6"/>
  <c r="E77" i="6" s="1"/>
  <c r="E80" i="6"/>
  <c r="F3" i="6"/>
  <c r="F8" i="6"/>
  <c r="F21" i="6"/>
  <c r="F5" i="6"/>
  <c r="F11" i="6"/>
  <c r="G11" i="6" s="1"/>
  <c r="H11" i="6" s="1"/>
  <c r="I11" i="6" s="1"/>
  <c r="J11" i="6" s="1"/>
  <c r="F12" i="6"/>
  <c r="F31" i="6"/>
  <c r="F33" i="6"/>
  <c r="G33" i="6" s="1"/>
  <c r="H33" i="6" s="1"/>
  <c r="I33" i="6" s="1"/>
  <c r="J33" i="6" s="1"/>
  <c r="F55" i="6"/>
  <c r="F39" i="6" s="1"/>
  <c r="G3" i="6"/>
  <c r="G21" i="6" s="1"/>
  <c r="G8" i="6"/>
  <c r="H8" i="6" s="1"/>
  <c r="I8" i="6" s="1"/>
  <c r="J8" i="6" s="1"/>
  <c r="G12" i="6"/>
  <c r="H12" i="6" s="1"/>
  <c r="I12" i="6" s="1"/>
  <c r="J12" i="6" s="1"/>
  <c r="G31" i="6"/>
  <c r="H31" i="6" s="1"/>
  <c r="I31" i="6" s="1"/>
  <c r="G55" i="6"/>
  <c r="G39" i="6" s="1"/>
  <c r="H3" i="6"/>
  <c r="H9" i="6"/>
  <c r="I9" i="6" s="1"/>
  <c r="J9" i="6" s="1"/>
  <c r="H55" i="6"/>
  <c r="H39" i="6"/>
  <c r="H77" i="6"/>
  <c r="H80" i="6" s="1"/>
  <c r="I10" i="6"/>
  <c r="J10" i="6" s="1"/>
  <c r="I55" i="6"/>
  <c r="I39" i="6"/>
  <c r="I77" i="6" s="1"/>
  <c r="I80" i="6" s="1"/>
  <c r="J31" i="6"/>
  <c r="J39" i="6"/>
  <c r="J77" i="6" s="1"/>
  <c r="J80" i="6" s="1"/>
  <c r="C57" i="6"/>
  <c r="D57" i="6"/>
  <c r="E57" i="6"/>
  <c r="U85" i="6"/>
  <c r="U87" i="6"/>
  <c r="B101" i="6"/>
  <c r="W65" i="6"/>
  <c r="W66" i="6"/>
  <c r="W61" i="6"/>
  <c r="V68" i="6" s="1"/>
  <c r="W68" i="6"/>
  <c r="V69" i="6"/>
  <c r="W69" i="6" s="1"/>
  <c r="J41" i="6"/>
  <c r="I41" i="6"/>
  <c r="H41" i="6"/>
  <c r="G41" i="6"/>
  <c r="F41" i="6"/>
  <c r="E41" i="6"/>
  <c r="D41" i="6"/>
  <c r="C41" i="6"/>
  <c r="C40" i="6"/>
  <c r="D40" i="6" s="1"/>
  <c r="E40" i="6"/>
  <c r="F40" i="6" s="1"/>
  <c r="G40" i="6" s="1"/>
  <c r="H40" i="6" s="1"/>
  <c r="I40" i="6" s="1"/>
  <c r="J40" i="6" s="1"/>
  <c r="D16" i="6"/>
  <c r="E16" i="6" s="1"/>
  <c r="E17" i="6" s="1"/>
  <c r="D17" i="6"/>
  <c r="C17" i="6"/>
  <c r="C5" i="1"/>
  <c r="D5" i="1"/>
  <c r="D8" i="1"/>
  <c r="E5" i="1"/>
  <c r="E8" i="1"/>
  <c r="F5" i="1"/>
  <c r="F8" i="1"/>
  <c r="G8" i="1" s="1"/>
  <c r="H8" i="1" s="1"/>
  <c r="I8" i="1" s="1"/>
  <c r="J8" i="1" s="1"/>
  <c r="K8" i="1" s="1"/>
  <c r="L8" i="1" s="1"/>
  <c r="G5" i="1"/>
  <c r="H5" i="1" s="1"/>
  <c r="C23" i="1"/>
  <c r="C3" i="2"/>
  <c r="D8" i="2"/>
  <c r="C4" i="2"/>
  <c r="D9" i="2"/>
  <c r="C5" i="2"/>
  <c r="D5" i="2" s="1"/>
  <c r="D23" i="2" s="1"/>
  <c r="D10" i="2"/>
  <c r="C6" i="2"/>
  <c r="D11" i="2"/>
  <c r="D7" i="2"/>
  <c r="D25" i="2" s="1"/>
  <c r="D12" i="2"/>
  <c r="D30" i="2"/>
  <c r="E30" i="2" s="1"/>
  <c r="F30" i="2" s="1"/>
  <c r="G30" i="2" s="1"/>
  <c r="D31" i="2"/>
  <c r="C33" i="2"/>
  <c r="D33" i="2" s="1"/>
  <c r="D32" i="2"/>
  <c r="E32" i="2" s="1"/>
  <c r="D34" i="2"/>
  <c r="D54" i="2"/>
  <c r="D38" i="2"/>
  <c r="D76" i="2" s="1"/>
  <c r="D79" i="2"/>
  <c r="C23" i="2"/>
  <c r="C25" i="2"/>
  <c r="C54" i="2"/>
  <c r="C38" i="2" s="1"/>
  <c r="C39" i="2"/>
  <c r="D39" i="2"/>
  <c r="E39" i="2" s="1"/>
  <c r="F39" i="2" s="1"/>
  <c r="G39" i="2" s="1"/>
  <c r="B83" i="2"/>
  <c r="B99" i="2"/>
  <c r="B100" i="2" s="1"/>
  <c r="B108" i="2" s="1"/>
  <c r="B119" i="2"/>
  <c r="C76" i="2"/>
  <c r="C79" i="2" s="1"/>
  <c r="E8" i="2"/>
  <c r="E9" i="2"/>
  <c r="F9" i="2" s="1"/>
  <c r="G9" i="2" s="1"/>
  <c r="E5" i="2"/>
  <c r="E10" i="2"/>
  <c r="E23" i="2"/>
  <c r="E11" i="2"/>
  <c r="E7" i="2"/>
  <c r="F7" i="2" s="1"/>
  <c r="G7" i="2" s="1"/>
  <c r="E12" i="2"/>
  <c r="F12" i="2" s="1"/>
  <c r="G12" i="2" s="1"/>
  <c r="H12" i="2" s="1"/>
  <c r="I12" i="2" s="1"/>
  <c r="J12" i="2" s="1"/>
  <c r="K12" i="2" s="1"/>
  <c r="L12" i="2" s="1"/>
  <c r="E31" i="2"/>
  <c r="F31" i="2" s="1"/>
  <c r="G31" i="2" s="1"/>
  <c r="H31" i="2" s="1"/>
  <c r="E33" i="2"/>
  <c r="F33" i="2" s="1"/>
  <c r="G33" i="2" s="1"/>
  <c r="H33" i="2" s="1"/>
  <c r="I33" i="2" s="1"/>
  <c r="E34" i="2"/>
  <c r="F34" i="2" s="1"/>
  <c r="E54" i="2"/>
  <c r="E38" i="2" s="1"/>
  <c r="E76" i="2"/>
  <c r="E79" i="2" s="1"/>
  <c r="F8" i="2"/>
  <c r="F5" i="2"/>
  <c r="F10" i="2"/>
  <c r="F11" i="2"/>
  <c r="F32" i="2"/>
  <c r="F54" i="2"/>
  <c r="F38" i="2"/>
  <c r="F76" i="2" s="1"/>
  <c r="F79" i="2" s="1"/>
  <c r="G8" i="2"/>
  <c r="G5" i="2"/>
  <c r="G10" i="2"/>
  <c r="H10" i="2" s="1"/>
  <c r="I10" i="2" s="1"/>
  <c r="J10" i="2" s="1"/>
  <c r="G11" i="2"/>
  <c r="H11" i="2" s="1"/>
  <c r="I11" i="2" s="1"/>
  <c r="G32" i="2"/>
  <c r="H32" i="2" s="1"/>
  <c r="I32" i="2" s="1"/>
  <c r="J32" i="2" s="1"/>
  <c r="K32" i="2" s="1"/>
  <c r="L32" i="2" s="1"/>
  <c r="G34" i="2"/>
  <c r="G54" i="2"/>
  <c r="G38" i="2"/>
  <c r="H8" i="2"/>
  <c r="H9" i="2"/>
  <c r="I9" i="2" s="1"/>
  <c r="J9" i="2" s="1"/>
  <c r="K9" i="2" s="1"/>
  <c r="H7" i="2"/>
  <c r="H30" i="2"/>
  <c r="I30" i="2" s="1"/>
  <c r="J30" i="2" s="1"/>
  <c r="K30" i="2" s="1"/>
  <c r="H34" i="2"/>
  <c r="I34" i="2" s="1"/>
  <c r="J34" i="2" s="1"/>
  <c r="K34" i="2" s="1"/>
  <c r="H54" i="2"/>
  <c r="H38" i="2"/>
  <c r="H76" i="2"/>
  <c r="H79" i="2" s="1"/>
  <c r="H39" i="2"/>
  <c r="I39" i="2" s="1"/>
  <c r="J39" i="2" s="1"/>
  <c r="K39" i="2" s="1"/>
  <c r="L39" i="2" s="1"/>
  <c r="I8" i="2"/>
  <c r="J8" i="2" s="1"/>
  <c r="K8" i="2" s="1"/>
  <c r="L8" i="2" s="1"/>
  <c r="I31" i="2"/>
  <c r="J31" i="2" s="1"/>
  <c r="K31" i="2" s="1"/>
  <c r="L31" i="2" s="1"/>
  <c r="I54" i="2"/>
  <c r="I38" i="2"/>
  <c r="I76" i="2"/>
  <c r="I79" i="2" s="1"/>
  <c r="J11" i="2"/>
  <c r="K11" i="2" s="1"/>
  <c r="L11" i="2" s="1"/>
  <c r="J33" i="2"/>
  <c r="K33" i="2" s="1"/>
  <c r="L33" i="2" s="1"/>
  <c r="J54" i="2"/>
  <c r="J38" i="2" s="1"/>
  <c r="K10" i="2"/>
  <c r="L10" i="2" s="1"/>
  <c r="K54" i="2"/>
  <c r="K38" i="2"/>
  <c r="L9" i="2"/>
  <c r="L30" i="2"/>
  <c r="L34" i="2"/>
  <c r="L54" i="2"/>
  <c r="L38" i="2"/>
  <c r="L76" i="2"/>
  <c r="L79" i="2" s="1"/>
  <c r="C56" i="2"/>
  <c r="D56" i="2"/>
  <c r="E56" i="2"/>
  <c r="F56" i="2"/>
  <c r="Q64" i="2"/>
  <c r="Q65" i="2"/>
  <c r="Q60" i="2"/>
  <c r="P67" i="2" s="1"/>
  <c r="Q67" i="2" s="1"/>
  <c r="L40" i="2"/>
  <c r="K40" i="2"/>
  <c r="J40" i="2"/>
  <c r="I40" i="2"/>
  <c r="H40" i="2"/>
  <c r="G40" i="2"/>
  <c r="F40" i="2"/>
  <c r="E40" i="2"/>
  <c r="D40" i="2"/>
  <c r="C40" i="2"/>
  <c r="D16" i="2"/>
  <c r="E16" i="2"/>
  <c r="F16" i="2"/>
  <c r="E17" i="2"/>
  <c r="D17" i="2"/>
  <c r="C17" i="2"/>
  <c r="Q60" i="1"/>
  <c r="B83" i="1"/>
  <c r="C3" i="1"/>
  <c r="C21" i="1" s="1"/>
  <c r="C33" i="1"/>
  <c r="C40" i="1"/>
  <c r="D34" i="1"/>
  <c r="B2" i="4"/>
  <c r="B121" i="2"/>
  <c r="Q107" i="2"/>
  <c r="N110" i="2"/>
  <c r="O110" i="2"/>
  <c r="O108" i="2"/>
  <c r="Q108" i="2"/>
  <c r="L54" i="1"/>
  <c r="L38" i="1"/>
  <c r="L76" i="1" s="1"/>
  <c r="L79" i="1" s="1"/>
  <c r="C54" i="1"/>
  <c r="C38" i="1" s="1"/>
  <c r="K54" i="1"/>
  <c r="K38" i="1"/>
  <c r="K76" i="1"/>
  <c r="J54" i="1"/>
  <c r="J38" i="1" s="1"/>
  <c r="J76" i="1"/>
  <c r="I54" i="1"/>
  <c r="I38" i="1"/>
  <c r="H54" i="1"/>
  <c r="H38" i="1" s="1"/>
  <c r="H76" i="1" s="1"/>
  <c r="H79" i="1" s="1"/>
  <c r="G54" i="1"/>
  <c r="G38" i="1"/>
  <c r="G76" i="1" s="1"/>
  <c r="F54" i="1"/>
  <c r="F38" i="1"/>
  <c r="E54" i="1"/>
  <c r="E38" i="1" s="1"/>
  <c r="E76" i="1"/>
  <c r="E79" i="1" s="1"/>
  <c r="D54" i="1"/>
  <c r="D38" i="1" s="1"/>
  <c r="D76" i="1" s="1"/>
  <c r="D79" i="1" s="1"/>
  <c r="I2" i="4"/>
  <c r="C4" i="1"/>
  <c r="C22" i="1" s="1"/>
  <c r="C25" i="1"/>
  <c r="D3" i="1"/>
  <c r="D21" i="1" s="1"/>
  <c r="E3" i="1"/>
  <c r="E21" i="1" s="1"/>
  <c r="D9" i="1"/>
  <c r="D10" i="1"/>
  <c r="D11" i="1"/>
  <c r="E11" i="1" s="1"/>
  <c r="F11" i="1" s="1"/>
  <c r="G11" i="1" s="1"/>
  <c r="H11" i="1" s="1"/>
  <c r="I11" i="1" s="1"/>
  <c r="D7" i="1"/>
  <c r="D12" i="1"/>
  <c r="D30" i="1"/>
  <c r="E30" i="1" s="1"/>
  <c r="F30" i="1" s="1"/>
  <c r="G30" i="1" s="1"/>
  <c r="H30" i="1" s="1"/>
  <c r="I30" i="1" s="1"/>
  <c r="J30" i="1" s="1"/>
  <c r="K30" i="1" s="1"/>
  <c r="L30" i="1" s="1"/>
  <c r="D31" i="1"/>
  <c r="D33" i="1"/>
  <c r="E33" i="1" s="1"/>
  <c r="F33" i="1" s="1"/>
  <c r="G33" i="1" s="1"/>
  <c r="H33" i="1" s="1"/>
  <c r="I33" i="1" s="1"/>
  <c r="J33" i="1" s="1"/>
  <c r="K33" i="1" s="1"/>
  <c r="L33" i="1" s="1"/>
  <c r="D32" i="1"/>
  <c r="E32" i="1"/>
  <c r="F32" i="1" s="1"/>
  <c r="G32" i="1" s="1"/>
  <c r="H32" i="1" s="1"/>
  <c r="I32" i="1" s="1"/>
  <c r="J32" i="1" s="1"/>
  <c r="K32" i="1" s="1"/>
  <c r="L32" i="1" s="1"/>
  <c r="E9" i="1"/>
  <c r="E7" i="1"/>
  <c r="E31" i="1"/>
  <c r="F31" i="1" s="1"/>
  <c r="G31" i="1" s="1"/>
  <c r="H31" i="1" s="1"/>
  <c r="I31" i="1" s="1"/>
  <c r="J31" i="1" s="1"/>
  <c r="K31" i="1" s="1"/>
  <c r="L31" i="1" s="1"/>
  <c r="E34" i="1"/>
  <c r="F34" i="1" s="1"/>
  <c r="G34" i="1" s="1"/>
  <c r="H34" i="1" s="1"/>
  <c r="I34" i="1" s="1"/>
  <c r="J34" i="1" s="1"/>
  <c r="K34" i="1" s="1"/>
  <c r="L34" i="1" s="1"/>
  <c r="F9" i="1"/>
  <c r="G9" i="1" s="1"/>
  <c r="H9" i="1" s="1"/>
  <c r="I9" i="1" s="1"/>
  <c r="J9" i="1" s="1"/>
  <c r="K9" i="1" s="1"/>
  <c r="L9" i="1" s="1"/>
  <c r="J11" i="1"/>
  <c r="K11" i="1" s="1"/>
  <c r="L11" i="1" s="1"/>
  <c r="Q64" i="1"/>
  <c r="Q65" i="1"/>
  <c r="D40" i="1"/>
  <c r="E40" i="1"/>
  <c r="F40" i="1"/>
  <c r="G40" i="1"/>
  <c r="H40" i="1"/>
  <c r="I40" i="1"/>
  <c r="J40" i="1"/>
  <c r="K40" i="1"/>
  <c r="L40" i="1"/>
  <c r="C17" i="1"/>
  <c r="D16" i="1"/>
  <c r="C39" i="1"/>
  <c r="D39" i="1"/>
  <c r="E39" i="1" s="1"/>
  <c r="F39" i="1" s="1"/>
  <c r="G39" i="1" s="1"/>
  <c r="H39" i="1" s="1"/>
  <c r="I39" i="1" s="1"/>
  <c r="J39" i="1" s="1"/>
  <c r="K39" i="1" s="1"/>
  <c r="L39" i="1" s="1"/>
  <c r="F3" i="1"/>
  <c r="F21" i="1" s="1"/>
  <c r="C6" i="1"/>
  <c r="B99" i="1"/>
  <c r="B100" i="1" s="1"/>
  <c r="G79" i="1"/>
  <c r="J79" i="1"/>
  <c r="K79" i="1"/>
  <c r="G3" i="1"/>
  <c r="G21" i="1" s="1"/>
  <c r="D6" i="1"/>
  <c r="D24" i="1" s="1"/>
  <c r="C24" i="1"/>
  <c r="C56" i="1"/>
  <c r="C76" i="1"/>
  <c r="C79" i="1" s="1"/>
  <c r="E6" i="1"/>
  <c r="E24" i="1" s="1"/>
  <c r="D56" i="1"/>
  <c r="F6" i="1"/>
  <c r="E56" i="1"/>
  <c r="G6" i="1"/>
  <c r="P67" i="1"/>
  <c r="Q67" i="1" s="1"/>
  <c r="P68" i="1"/>
  <c r="Q68" i="1" s="1"/>
  <c r="P110" i="2"/>
  <c r="Q110" i="2" s="1"/>
  <c r="R110" i="2" s="1"/>
  <c r="P111" i="2"/>
  <c r="Q111" i="2"/>
  <c r="I76" i="1" l="1"/>
  <c r="I79" i="1" s="1"/>
  <c r="F24" i="1"/>
  <c r="D25" i="1"/>
  <c r="E12" i="1"/>
  <c r="F12" i="1" s="1"/>
  <c r="G12" i="1" s="1"/>
  <c r="H12" i="1" s="1"/>
  <c r="I12" i="1" s="1"/>
  <c r="J12" i="1" s="1"/>
  <c r="K12" i="1" s="1"/>
  <c r="L12" i="1" s="1"/>
  <c r="J76" i="2"/>
  <c r="J79" i="2" s="1"/>
  <c r="F25" i="2"/>
  <c r="H6" i="1"/>
  <c r="G24" i="1"/>
  <c r="F56" i="1"/>
  <c r="F76" i="1"/>
  <c r="F79" i="1" s="1"/>
  <c r="G16" i="2"/>
  <c r="F17" i="2"/>
  <c r="E16" i="1"/>
  <c r="D17" i="1"/>
  <c r="H3" i="1"/>
  <c r="D4" i="1"/>
  <c r="P68" i="2"/>
  <c r="Q68" i="2" s="1"/>
  <c r="G76" i="2"/>
  <c r="G79" i="2" s="1"/>
  <c r="G56" i="2"/>
  <c r="G23" i="2"/>
  <c r="G25" i="2"/>
  <c r="E25" i="1"/>
  <c r="F7" i="1"/>
  <c r="D23" i="1"/>
  <c r="E10" i="1"/>
  <c r="D2" i="4"/>
  <c r="I8" i="4"/>
  <c r="R108" i="2"/>
  <c r="K76" i="2"/>
  <c r="K79" i="2" s="1"/>
  <c r="H25" i="2"/>
  <c r="I7" i="2"/>
  <c r="D6" i="2"/>
  <c r="C24" i="2"/>
  <c r="D4" i="2"/>
  <c r="C22" i="2"/>
  <c r="B125" i="2"/>
  <c r="B113" i="2"/>
  <c r="C50" i="1"/>
  <c r="C26" i="1"/>
  <c r="C75" i="1" s="1"/>
  <c r="C77" i="1" s="1"/>
  <c r="H5" i="2"/>
  <c r="F23" i="2"/>
  <c r="D3" i="2"/>
  <c r="C21" i="2"/>
  <c r="E25" i="2"/>
  <c r="F16" i="6"/>
  <c r="F77" i="6"/>
  <c r="F80" i="6" s="1"/>
  <c r="F57" i="6"/>
  <c r="I5" i="1"/>
  <c r="G77" i="6"/>
  <c r="G80" i="6" s="1"/>
  <c r="G57" i="6"/>
  <c r="L65" i="6"/>
  <c r="G5" i="6"/>
  <c r="F23" i="6"/>
  <c r="E7" i="6"/>
  <c r="D25" i="6"/>
  <c r="I3" i="6"/>
  <c r="H21" i="6"/>
  <c r="C6" i="6"/>
  <c r="C22" i="6"/>
  <c r="D4" i="6"/>
  <c r="C78" i="1" l="1"/>
  <c r="C80" i="1" s="1"/>
  <c r="D22" i="6"/>
  <c r="E4" i="6"/>
  <c r="H56" i="2"/>
  <c r="F16" i="1"/>
  <c r="E17" i="1"/>
  <c r="G56" i="1"/>
  <c r="E121" i="4"/>
  <c r="E134" i="4"/>
  <c r="E116" i="4"/>
  <c r="E96" i="4"/>
  <c r="E78" i="4"/>
  <c r="E60" i="4"/>
  <c r="E40" i="4"/>
  <c r="E22" i="4"/>
  <c r="E3" i="4"/>
  <c r="E137" i="4"/>
  <c r="E119" i="4"/>
  <c r="E101" i="4"/>
  <c r="E81" i="4"/>
  <c r="E63" i="4"/>
  <c r="E45" i="4"/>
  <c r="E25" i="4"/>
  <c r="E7" i="4"/>
  <c r="E97" i="4"/>
  <c r="E79" i="4"/>
  <c r="E61" i="4"/>
  <c r="E41" i="4"/>
  <c r="E23" i="4"/>
  <c r="E5" i="4"/>
  <c r="E122" i="4"/>
  <c r="E104" i="4"/>
  <c r="E86" i="4"/>
  <c r="E66" i="4"/>
  <c r="E48" i="4"/>
  <c r="E30" i="4"/>
  <c r="E10" i="4"/>
  <c r="E125" i="4"/>
  <c r="E131" i="4"/>
  <c r="E130" i="4"/>
  <c r="E110" i="4"/>
  <c r="E92" i="4"/>
  <c r="E74" i="4"/>
  <c r="E54" i="4"/>
  <c r="E36" i="4"/>
  <c r="E18" i="4"/>
  <c r="E133" i="4"/>
  <c r="E115" i="4"/>
  <c r="E95" i="4"/>
  <c r="E77" i="4"/>
  <c r="E59" i="4"/>
  <c r="E39" i="4"/>
  <c r="E21" i="4"/>
  <c r="E111" i="4"/>
  <c r="E93" i="4"/>
  <c r="E75" i="4"/>
  <c r="E55" i="4"/>
  <c r="E37" i="4"/>
  <c r="E19" i="4"/>
  <c r="E136" i="4"/>
  <c r="E118" i="4"/>
  <c r="E100" i="4"/>
  <c r="E80" i="4"/>
  <c r="E62" i="4"/>
  <c r="E44" i="4"/>
  <c r="E24" i="4"/>
  <c r="E6" i="4"/>
  <c r="E135" i="4"/>
  <c r="E124" i="4"/>
  <c r="E106" i="4"/>
  <c r="E88" i="4"/>
  <c r="E68" i="4"/>
  <c r="E50" i="4"/>
  <c r="E32" i="4"/>
  <c r="E12" i="4"/>
  <c r="E129" i="4"/>
  <c r="E109" i="4"/>
  <c r="E91" i="4"/>
  <c r="E73" i="4"/>
  <c r="E53" i="4"/>
  <c r="E35" i="4"/>
  <c r="E17" i="4"/>
  <c r="E107" i="4"/>
  <c r="E89" i="4"/>
  <c r="E69" i="4"/>
  <c r="E51" i="4"/>
  <c r="E33" i="4"/>
  <c r="E13" i="4"/>
  <c r="E132" i="4"/>
  <c r="E114" i="4"/>
  <c r="E94" i="4"/>
  <c r="E76" i="4"/>
  <c r="E58" i="4"/>
  <c r="E38" i="4"/>
  <c r="E20" i="4"/>
  <c r="E2" i="4"/>
  <c r="C2" i="4" s="1"/>
  <c r="E102" i="4"/>
  <c r="E26" i="4"/>
  <c r="E123" i="4"/>
  <c r="E49" i="4"/>
  <c r="E83" i="4"/>
  <c r="E9" i="4"/>
  <c r="E72" i="4"/>
  <c r="E139" i="4"/>
  <c r="E16" i="4"/>
  <c r="E4" i="4"/>
  <c r="E82" i="4"/>
  <c r="E8" i="4"/>
  <c r="E105" i="4"/>
  <c r="E31" i="4"/>
  <c r="E65" i="4"/>
  <c r="E128" i="4"/>
  <c r="E52" i="4"/>
  <c r="E117" i="4"/>
  <c r="E103" i="4"/>
  <c r="E138" i="4"/>
  <c r="E64" i="4"/>
  <c r="E87" i="4"/>
  <c r="E11" i="4"/>
  <c r="E47" i="4"/>
  <c r="E108" i="4"/>
  <c r="E34" i="4"/>
  <c r="E120" i="4"/>
  <c r="E46" i="4"/>
  <c r="E67" i="4"/>
  <c r="E27" i="4"/>
  <c r="E90" i="4"/>
  <c r="H21" i="1"/>
  <c r="I3" i="1"/>
  <c r="D21" i="2"/>
  <c r="E3" i="2"/>
  <c r="B130" i="2"/>
  <c r="B115" i="2"/>
  <c r="D6" i="6"/>
  <c r="C24" i="6"/>
  <c r="C51" i="6" s="1"/>
  <c r="H5" i="6"/>
  <c r="G23" i="6"/>
  <c r="J5" i="1"/>
  <c r="G16" i="6"/>
  <c r="F17" i="6"/>
  <c r="D24" i="2"/>
  <c r="E6" i="2"/>
  <c r="F10" i="1"/>
  <c r="E23" i="1"/>
  <c r="H16" i="2"/>
  <c r="G17" i="2"/>
  <c r="H57" i="6"/>
  <c r="C26" i="2"/>
  <c r="C50" i="2"/>
  <c r="C61" i="1"/>
  <c r="C51" i="1"/>
  <c r="D22" i="2"/>
  <c r="E4" i="2"/>
  <c r="C26" i="6"/>
  <c r="C88" i="1"/>
  <c r="J3" i="6"/>
  <c r="J21" i="6" s="1"/>
  <c r="I21" i="6"/>
  <c r="F7" i="6"/>
  <c r="E25" i="6"/>
  <c r="I5" i="2"/>
  <c r="H23" i="2"/>
  <c r="I25" i="2"/>
  <c r="J7" i="2"/>
  <c r="G7" i="1"/>
  <c r="F25" i="1"/>
  <c r="D22" i="1"/>
  <c r="E4" i="1"/>
  <c r="I6" i="1"/>
  <c r="H24" i="1"/>
  <c r="K7" i="2" l="1"/>
  <c r="J25" i="2"/>
  <c r="C89" i="1"/>
  <c r="E24" i="2"/>
  <c r="F6" i="2"/>
  <c r="I5" i="6"/>
  <c r="H23" i="6"/>
  <c r="D75" i="2"/>
  <c r="D77" i="2" s="1"/>
  <c r="D26" i="2"/>
  <c r="D50" i="2"/>
  <c r="H56" i="1"/>
  <c r="D50" i="1"/>
  <c r="D26" i="1"/>
  <c r="C89" i="6"/>
  <c r="I56" i="2"/>
  <c r="I23" i="2"/>
  <c r="J5" i="2"/>
  <c r="H16" i="6"/>
  <c r="G17" i="6"/>
  <c r="I16" i="2"/>
  <c r="H17" i="2"/>
  <c r="E6" i="6"/>
  <c r="D24" i="6"/>
  <c r="I21" i="1"/>
  <c r="J3" i="1"/>
  <c r="F4" i="1"/>
  <c r="E22" i="1"/>
  <c r="C61" i="2"/>
  <c r="C51" i="2"/>
  <c r="D26" i="6"/>
  <c r="D76" i="6" s="1"/>
  <c r="D78" i="6" s="1"/>
  <c r="D51" i="6"/>
  <c r="C52" i="6"/>
  <c r="C62" i="6"/>
  <c r="C90" i="1"/>
  <c r="C58" i="1"/>
  <c r="E22" i="2"/>
  <c r="F4" i="2"/>
  <c r="C75" i="2"/>
  <c r="C77" i="2" s="1"/>
  <c r="I57" i="6"/>
  <c r="K5" i="1"/>
  <c r="J6" i="1"/>
  <c r="I24" i="1"/>
  <c r="G25" i="1"/>
  <c r="H7" i="1"/>
  <c r="G7" i="6"/>
  <c r="F25" i="6"/>
  <c r="D88" i="2"/>
  <c r="C88" i="2"/>
  <c r="C58" i="2"/>
  <c r="F23" i="1"/>
  <c r="G10" i="1"/>
  <c r="F3" i="2"/>
  <c r="E21" i="2"/>
  <c r="F2" i="4"/>
  <c r="B3" i="4" s="1"/>
  <c r="G16" i="1"/>
  <c r="F17" i="1"/>
  <c r="F4" i="6"/>
  <c r="E22" i="6"/>
  <c r="C76" i="6"/>
  <c r="C78" i="6" s="1"/>
  <c r="D79" i="6" l="1"/>
  <c r="D81" i="6" s="1"/>
  <c r="C78" i="2"/>
  <c r="C80" i="2" s="1"/>
  <c r="C90" i="6"/>
  <c r="E50" i="1"/>
  <c r="E26" i="1"/>
  <c r="J21" i="1"/>
  <c r="K3" i="1"/>
  <c r="I16" i="6"/>
  <c r="H17" i="6"/>
  <c r="D51" i="1"/>
  <c r="D61" i="1"/>
  <c r="I56" i="1"/>
  <c r="D78" i="2"/>
  <c r="D80" i="2" s="1"/>
  <c r="F24" i="2"/>
  <c r="G6" i="2"/>
  <c r="F22" i="2"/>
  <c r="G4" i="2"/>
  <c r="F22" i="1"/>
  <c r="G4" i="1"/>
  <c r="I17" i="2"/>
  <c r="J16" i="2"/>
  <c r="J23" i="2"/>
  <c r="K5" i="2"/>
  <c r="C59" i="6"/>
  <c r="E88" i="1"/>
  <c r="D58" i="1"/>
  <c r="D88" i="1"/>
  <c r="K25" i="2"/>
  <c r="L7" i="2"/>
  <c r="L25" i="2" s="1"/>
  <c r="G23" i="1"/>
  <c r="H10" i="1"/>
  <c r="C79" i="6"/>
  <c r="C81" i="6" s="1"/>
  <c r="G17" i="1"/>
  <c r="H16" i="1"/>
  <c r="D3" i="4"/>
  <c r="E26" i="2"/>
  <c r="E75" i="2" s="1"/>
  <c r="E77" i="2" s="1"/>
  <c r="G25" i="6"/>
  <c r="H7" i="6"/>
  <c r="J24" i="1"/>
  <c r="K6" i="1"/>
  <c r="J57" i="6"/>
  <c r="C89" i="2"/>
  <c r="G4" i="6"/>
  <c r="F22" i="6"/>
  <c r="L5" i="1"/>
  <c r="E26" i="6"/>
  <c r="E51" i="6"/>
  <c r="E89" i="6" s="1"/>
  <c r="E76" i="6"/>
  <c r="E78" i="6" s="1"/>
  <c r="G3" i="2"/>
  <c r="F21" i="2"/>
  <c r="H25" i="1"/>
  <c r="I7" i="1"/>
  <c r="C91" i="6"/>
  <c r="D62" i="6"/>
  <c r="D91" i="6" s="1"/>
  <c r="D52" i="6"/>
  <c r="D90" i="6" s="1"/>
  <c r="C90" i="2"/>
  <c r="F6" i="6"/>
  <c r="E24" i="6"/>
  <c r="J56" i="2"/>
  <c r="D89" i="6"/>
  <c r="D75" i="1"/>
  <c r="D77" i="1" s="1"/>
  <c r="D61" i="2"/>
  <c r="D51" i="2"/>
  <c r="D89" i="2" s="1"/>
  <c r="I23" i="6"/>
  <c r="J5" i="6"/>
  <c r="J23" i="6" s="1"/>
  <c r="E78" i="2" l="1"/>
  <c r="E80" i="2" s="1"/>
  <c r="I25" i="1"/>
  <c r="J7" i="1"/>
  <c r="E81" i="6"/>
  <c r="E79" i="6"/>
  <c r="D58" i="2"/>
  <c r="F88" i="2"/>
  <c r="K16" i="2"/>
  <c r="J17" i="2"/>
  <c r="D59" i="6"/>
  <c r="H6" i="2"/>
  <c r="G24" i="2"/>
  <c r="J56" i="1"/>
  <c r="E51" i="1"/>
  <c r="E61" i="1"/>
  <c r="D78" i="1"/>
  <c r="D80" i="1" s="1"/>
  <c r="E88" i="2"/>
  <c r="I7" i="6"/>
  <c r="H25" i="6"/>
  <c r="C3" i="4"/>
  <c r="I17" i="6"/>
  <c r="J16" i="6"/>
  <c r="J17" i="6" s="1"/>
  <c r="F24" i="6"/>
  <c r="G6" i="6"/>
  <c r="F26" i="2"/>
  <c r="F75" i="2" s="1"/>
  <c r="F77" i="2" s="1"/>
  <c r="F26" i="6"/>
  <c r="F76" i="6" s="1"/>
  <c r="F78" i="6" s="1"/>
  <c r="F51" i="6"/>
  <c r="F89" i="6" s="1"/>
  <c r="E51" i="2"/>
  <c r="E58" i="2" s="1"/>
  <c r="E61" i="2"/>
  <c r="I16" i="1"/>
  <c r="H17" i="1"/>
  <c r="I10" i="1"/>
  <c r="H23" i="1"/>
  <c r="K23" i="2"/>
  <c r="L5" i="2"/>
  <c r="L23" i="2" s="1"/>
  <c r="G22" i="1"/>
  <c r="H4" i="1"/>
  <c r="G22" i="2"/>
  <c r="H4" i="2"/>
  <c r="E90" i="1"/>
  <c r="D90" i="1"/>
  <c r="K21" i="1"/>
  <c r="L3" i="1"/>
  <c r="L21" i="1" s="1"/>
  <c r="E75" i="1"/>
  <c r="E77" i="1" s="1"/>
  <c r="K56" i="2"/>
  <c r="D90" i="2"/>
  <c r="G21" i="2"/>
  <c r="H3" i="2"/>
  <c r="E62" i="6"/>
  <c r="E52" i="6"/>
  <c r="E59" i="6" s="1"/>
  <c r="H4" i="6"/>
  <c r="G22" i="6"/>
  <c r="K24" i="1"/>
  <c r="L6" i="1"/>
  <c r="L24" i="1" s="1"/>
  <c r="F26" i="1"/>
  <c r="F50" i="1"/>
  <c r="E89" i="1"/>
  <c r="D89" i="1"/>
  <c r="F79" i="6" l="1"/>
  <c r="F81" i="6" s="1"/>
  <c r="F80" i="2"/>
  <c r="F78" i="2"/>
  <c r="H6" i="6"/>
  <c r="G24" i="6"/>
  <c r="G51" i="6" s="1"/>
  <c r="H24" i="2"/>
  <c r="I6" i="2"/>
  <c r="E91" i="6"/>
  <c r="E89" i="2"/>
  <c r="I17" i="1"/>
  <c r="J16" i="1"/>
  <c r="K56" i="1"/>
  <c r="K7" i="1"/>
  <c r="J25" i="1"/>
  <c r="H22" i="2"/>
  <c r="I4" i="2"/>
  <c r="F52" i="6"/>
  <c r="F62" i="6"/>
  <c r="F91" i="6" s="1"/>
  <c r="F61" i="1"/>
  <c r="F51" i="1"/>
  <c r="G26" i="6"/>
  <c r="H21" i="2"/>
  <c r="I3" i="2"/>
  <c r="E78" i="1"/>
  <c r="E80" i="1" s="1"/>
  <c r="H22" i="1"/>
  <c r="I4" i="1"/>
  <c r="F51" i="2"/>
  <c r="F61" i="2"/>
  <c r="E58" i="1"/>
  <c r="J7" i="6"/>
  <c r="J25" i="6" s="1"/>
  <c r="I25" i="6"/>
  <c r="F75" i="1"/>
  <c r="F77" i="1" s="1"/>
  <c r="H22" i="6"/>
  <c r="I4" i="6"/>
  <c r="G75" i="2"/>
  <c r="G77" i="2" s="1"/>
  <c r="G26" i="2"/>
  <c r="L56" i="2"/>
  <c r="G26" i="1"/>
  <c r="G50" i="1"/>
  <c r="G88" i="1" s="1"/>
  <c r="J10" i="1"/>
  <c r="I23" i="1"/>
  <c r="F89" i="2"/>
  <c r="G88" i="2"/>
  <c r="F58" i="2"/>
  <c r="E90" i="6"/>
  <c r="F88" i="1"/>
  <c r="F3" i="4"/>
  <c r="B4" i="4" s="1"/>
  <c r="F90" i="1"/>
  <c r="L16" i="2"/>
  <c r="L17" i="2" s="1"/>
  <c r="K17" i="2"/>
  <c r="E90" i="2"/>
  <c r="G59" i="6" l="1"/>
  <c r="G89" i="6"/>
  <c r="O84" i="2"/>
  <c r="L84" i="2" s="1"/>
  <c r="G90" i="6"/>
  <c r="F90" i="6"/>
  <c r="J4" i="2"/>
  <c r="I22" i="2"/>
  <c r="L56" i="1"/>
  <c r="I24" i="2"/>
  <c r="J6" i="2"/>
  <c r="I6" i="6"/>
  <c r="H24" i="6"/>
  <c r="F78" i="1"/>
  <c r="F80" i="1" s="1"/>
  <c r="H26" i="2"/>
  <c r="G61" i="2"/>
  <c r="G51" i="2"/>
  <c r="G90" i="2"/>
  <c r="F90" i="2"/>
  <c r="G76" i="6"/>
  <c r="G78" i="6" s="1"/>
  <c r="K25" i="1"/>
  <c r="L7" i="1"/>
  <c r="L25" i="1" s="1"/>
  <c r="K16" i="1"/>
  <c r="J17" i="1"/>
  <c r="G58" i="1"/>
  <c r="G78" i="2"/>
  <c r="G80" i="2" s="1"/>
  <c r="H50" i="1"/>
  <c r="H88" i="1" s="1"/>
  <c r="H26" i="1"/>
  <c r="H75" i="1" s="1"/>
  <c r="H77" i="1" s="1"/>
  <c r="G52" i="6"/>
  <c r="G62" i="6"/>
  <c r="D4" i="4"/>
  <c r="G51" i="1"/>
  <c r="G61" i="1"/>
  <c r="I22" i="6"/>
  <c r="J4" i="6"/>
  <c r="J22" i="6" s="1"/>
  <c r="F59" i="6"/>
  <c r="K10" i="1"/>
  <c r="J23" i="1"/>
  <c r="G75" i="1"/>
  <c r="G77" i="1" s="1"/>
  <c r="G58" i="2"/>
  <c r="H51" i="6"/>
  <c r="H26" i="6"/>
  <c r="H76" i="6"/>
  <c r="H78" i="6" s="1"/>
  <c r="G89" i="2"/>
  <c r="J4" i="1"/>
  <c r="I22" i="1"/>
  <c r="I21" i="2"/>
  <c r="J3" i="2"/>
  <c r="G91" i="6"/>
  <c r="F58" i="1"/>
  <c r="F89" i="1"/>
  <c r="H78" i="1" l="1"/>
  <c r="H80" i="1" s="1"/>
  <c r="I26" i="2"/>
  <c r="I75" i="2" s="1"/>
  <c r="I77" i="2" s="1"/>
  <c r="H79" i="6"/>
  <c r="H81" i="6" s="1"/>
  <c r="L10" i="1"/>
  <c r="L23" i="1" s="1"/>
  <c r="K23" i="1"/>
  <c r="G79" i="6"/>
  <c r="G81" i="6"/>
  <c r="H89" i="2"/>
  <c r="J22" i="2"/>
  <c r="K4" i="2"/>
  <c r="I50" i="1"/>
  <c r="I26" i="1"/>
  <c r="H62" i="6"/>
  <c r="H91" i="6" s="1"/>
  <c r="H52" i="6"/>
  <c r="H88" i="2"/>
  <c r="H90" i="6"/>
  <c r="H75" i="2"/>
  <c r="H77" i="2" s="1"/>
  <c r="L84" i="1"/>
  <c r="G89" i="1"/>
  <c r="G80" i="1"/>
  <c r="G78" i="1"/>
  <c r="H51" i="1"/>
  <c r="H61" i="1"/>
  <c r="H90" i="1" s="1"/>
  <c r="J6" i="6"/>
  <c r="J24" i="6" s="1"/>
  <c r="I24" i="6"/>
  <c r="J22" i="1"/>
  <c r="K4" i="1"/>
  <c r="K3" i="2"/>
  <c r="J21" i="2"/>
  <c r="H59" i="6"/>
  <c r="I51" i="6"/>
  <c r="I26" i="6"/>
  <c r="C4" i="4"/>
  <c r="I88" i="1"/>
  <c r="H58" i="1"/>
  <c r="K17" i="1"/>
  <c r="L16" i="1"/>
  <c r="L17" i="1" s="1"/>
  <c r="G90" i="1"/>
  <c r="H61" i="2"/>
  <c r="H51" i="2"/>
  <c r="J24" i="2"/>
  <c r="K6" i="2"/>
  <c r="O86" i="2"/>
  <c r="L85" i="2" s="1"/>
  <c r="L86" i="2" s="1"/>
  <c r="H89" i="6"/>
  <c r="I78" i="2" l="1"/>
  <c r="I80" i="2" s="1"/>
  <c r="J76" i="6"/>
  <c r="J78" i="6" s="1"/>
  <c r="I76" i="6"/>
  <c r="I78" i="6" s="1"/>
  <c r="J26" i="2"/>
  <c r="J75" i="2" s="1"/>
  <c r="J77" i="2" s="1"/>
  <c r="I89" i="1"/>
  <c r="L85" i="1"/>
  <c r="I61" i="1"/>
  <c r="I90" i="1" s="1"/>
  <c r="I51" i="1"/>
  <c r="J88" i="2"/>
  <c r="F4" i="4"/>
  <c r="B5" i="4" s="1"/>
  <c r="K21" i="2"/>
  <c r="L3" i="2"/>
  <c r="L21" i="2" s="1"/>
  <c r="J26" i="6"/>
  <c r="H58" i="2"/>
  <c r="K22" i="1"/>
  <c r="L4" i="1"/>
  <c r="L22" i="1" s="1"/>
  <c r="J51" i="6"/>
  <c r="H78" i="2"/>
  <c r="H80" i="2" s="1"/>
  <c r="H89" i="1"/>
  <c r="I58" i="1"/>
  <c r="I88" i="2"/>
  <c r="I51" i="2"/>
  <c r="I61" i="2"/>
  <c r="I62" i="6"/>
  <c r="I52" i="6"/>
  <c r="I90" i="6" s="1"/>
  <c r="L6" i="2"/>
  <c r="L24" i="2" s="1"/>
  <c r="K24" i="2"/>
  <c r="J89" i="6"/>
  <c r="I59" i="6"/>
  <c r="I89" i="6"/>
  <c r="J26" i="1"/>
  <c r="J50" i="1"/>
  <c r="J88" i="1" s="1"/>
  <c r="H90" i="2"/>
  <c r="I75" i="1"/>
  <c r="I77" i="1" s="1"/>
  <c r="K22" i="2"/>
  <c r="L4" i="2"/>
  <c r="L22" i="2" s="1"/>
  <c r="J78" i="2" l="1"/>
  <c r="J80" i="2" s="1"/>
  <c r="I78" i="1"/>
  <c r="I80" i="1" s="1"/>
  <c r="J51" i="1"/>
  <c r="J61" i="1"/>
  <c r="J75" i="1"/>
  <c r="J77" i="1" s="1"/>
  <c r="J91" i="6"/>
  <c r="M51" i="6"/>
  <c r="D5" i="4"/>
  <c r="I81" i="6"/>
  <c r="I79" i="6"/>
  <c r="J90" i="2"/>
  <c r="L26" i="1"/>
  <c r="L50" i="1"/>
  <c r="L75" i="1"/>
  <c r="L77" i="1" s="1"/>
  <c r="I90" i="2"/>
  <c r="J62" i="6"/>
  <c r="J52" i="6"/>
  <c r="M52" i="6" s="1"/>
  <c r="K75" i="1"/>
  <c r="K77" i="1" s="1"/>
  <c r="K50" i="1"/>
  <c r="K26" i="1"/>
  <c r="L26" i="2"/>
  <c r="I89" i="2"/>
  <c r="J51" i="2"/>
  <c r="J58" i="2" s="1"/>
  <c r="J61" i="2"/>
  <c r="J90" i="6"/>
  <c r="I91" i="6"/>
  <c r="K75" i="2"/>
  <c r="K77" i="2" s="1"/>
  <c r="K88" i="2"/>
  <c r="K26" i="2"/>
  <c r="I58" i="2"/>
  <c r="J90" i="1"/>
  <c r="J79" i="6"/>
  <c r="J81" i="6"/>
  <c r="L88" i="1" l="1"/>
  <c r="C5" i="4"/>
  <c r="K90" i="2"/>
  <c r="L94" i="2"/>
  <c r="K78" i="1"/>
  <c r="K80" i="1" s="1"/>
  <c r="L94" i="1"/>
  <c r="J59" i="6"/>
  <c r="L78" i="1"/>
  <c r="L80" i="1" s="1"/>
  <c r="P56" i="6"/>
  <c r="J78" i="1"/>
  <c r="J80" i="1"/>
  <c r="K78" i="2"/>
  <c r="K80" i="2" s="1"/>
  <c r="K88" i="1"/>
  <c r="K61" i="2"/>
  <c r="K51" i="2"/>
  <c r="L89" i="2" s="1"/>
  <c r="L51" i="2"/>
  <c r="L95" i="2" s="1"/>
  <c r="L61" i="2"/>
  <c r="J89" i="2"/>
  <c r="L88" i="2"/>
  <c r="K58" i="2"/>
  <c r="J89" i="1"/>
  <c r="L75" i="2"/>
  <c r="L77" i="2" s="1"/>
  <c r="K61" i="1"/>
  <c r="K51" i="1"/>
  <c r="K58" i="1" s="1"/>
  <c r="J58" i="1"/>
  <c r="L51" i="1"/>
  <c r="L95" i="1" s="1"/>
  <c r="L61" i="1"/>
  <c r="K90" i="1"/>
  <c r="L78" i="2" l="1"/>
  <c r="L80" i="2" s="1"/>
  <c r="L90" i="2"/>
  <c r="F5" i="4"/>
  <c r="B6" i="4" s="1"/>
  <c r="L89" i="1"/>
  <c r="L90" i="1"/>
  <c r="K89" i="2"/>
  <c r="K89" i="1"/>
  <c r="L58" i="1"/>
  <c r="L58" i="2"/>
  <c r="D6" i="4" l="1"/>
  <c r="C6" i="4" s="1"/>
  <c r="F6" i="4" l="1"/>
  <c r="B7" i="4" s="1"/>
  <c r="D7" i="4" l="1"/>
  <c r="C7" i="4" s="1"/>
  <c r="F7" i="4" s="1"/>
  <c r="B8" i="4" s="1"/>
  <c r="D8" i="4" l="1"/>
  <c r="C8" i="4" s="1"/>
  <c r="F8" i="4"/>
  <c r="B9" i="4" s="1"/>
  <c r="D9" i="4" l="1"/>
  <c r="C9" i="4" s="1"/>
  <c r="F9" i="4"/>
  <c r="B10" i="4" s="1"/>
  <c r="D10" i="4" l="1"/>
  <c r="C10" i="4" s="1"/>
  <c r="F10" i="4" s="1"/>
  <c r="B11" i="4" s="1"/>
  <c r="D11" i="4" l="1"/>
  <c r="C11" i="4" s="1"/>
  <c r="F11" i="4"/>
  <c r="B12" i="4" s="1"/>
  <c r="D12" i="4" l="1"/>
  <c r="C12" i="4" s="1"/>
  <c r="F12" i="4" s="1"/>
  <c r="B13" i="4" s="1"/>
  <c r="D13" i="4" l="1"/>
  <c r="C13" i="4" l="1"/>
  <c r="D14" i="4"/>
  <c r="C37" i="6" l="1"/>
  <c r="C37" i="2"/>
  <c r="C42" i="2" s="1"/>
  <c r="C37" i="1"/>
  <c r="C42" i="1" s="1"/>
  <c r="C14" i="4"/>
  <c r="F13" i="4"/>
  <c r="C43" i="1" l="1"/>
  <c r="C62" i="1" s="1"/>
  <c r="C43" i="2"/>
  <c r="C62" i="2" s="1"/>
  <c r="C44" i="2"/>
  <c r="C68" i="2" s="1"/>
  <c r="C65" i="6"/>
  <c r="C64" i="2"/>
  <c r="B16" i="4"/>
  <c r="C64" i="1"/>
  <c r="C112" i="6"/>
  <c r="C43" i="6"/>
  <c r="D16" i="4" l="1"/>
  <c r="C91" i="2"/>
  <c r="C99" i="2" s="1"/>
  <c r="C70" i="2"/>
  <c r="C72" i="2" s="1"/>
  <c r="C44" i="6"/>
  <c r="C63" i="6" s="1"/>
  <c r="C44" i="1"/>
  <c r="C68" i="1" s="1"/>
  <c r="B111" i="6"/>
  <c r="B115" i="6" s="1"/>
  <c r="C91" i="1"/>
  <c r="C99" i="1" s="1"/>
  <c r="C70" i="1"/>
  <c r="C72" i="1" s="1"/>
  <c r="C16" i="4" l="1"/>
  <c r="C100" i="1"/>
  <c r="C45" i="6"/>
  <c r="C69" i="6" s="1"/>
  <c r="C100" i="2"/>
  <c r="C92" i="6"/>
  <c r="C100" i="6" s="1"/>
  <c r="C71" i="6"/>
  <c r="C73" i="6" s="1"/>
  <c r="C101" i="6" l="1"/>
  <c r="C108" i="2"/>
  <c r="F16" i="4"/>
  <c r="B17" i="4" s="1"/>
  <c r="C119" i="2" l="1"/>
  <c r="C125" i="2"/>
  <c r="C113" i="2"/>
  <c r="D17" i="4"/>
  <c r="C17" i="4" l="1"/>
  <c r="C127" i="2"/>
  <c r="C130" i="2"/>
  <c r="C115" i="2"/>
  <c r="C121" i="2"/>
  <c r="F17" i="4" l="1"/>
  <c r="B18" i="4" s="1"/>
  <c r="D18" i="4" l="1"/>
  <c r="C18" i="4" l="1"/>
  <c r="F18" i="4" l="1"/>
  <c r="B19" i="4" s="1"/>
  <c r="D19" i="4" l="1"/>
  <c r="C19" i="4" l="1"/>
  <c r="F19" i="4" l="1"/>
  <c r="B20" i="4" s="1"/>
  <c r="D20" i="4" l="1"/>
  <c r="C20" i="4" l="1"/>
  <c r="F20" i="4" l="1"/>
  <c r="B21" i="4" s="1"/>
  <c r="D21" i="4" l="1"/>
  <c r="C21" i="4" s="1"/>
  <c r="F21" i="4"/>
  <c r="B22" i="4" s="1"/>
  <c r="D22" i="4" l="1"/>
  <c r="C22" i="4" s="1"/>
  <c r="F22" i="4"/>
  <c r="B23" i="4" s="1"/>
  <c r="D23" i="4" l="1"/>
  <c r="C23" i="4" s="1"/>
  <c r="F23" i="4"/>
  <c r="B24" i="4" s="1"/>
  <c r="D24" i="4" l="1"/>
  <c r="C24" i="4" s="1"/>
  <c r="F24" i="4" s="1"/>
  <c r="B25" i="4" s="1"/>
  <c r="D25" i="4" l="1"/>
  <c r="C25" i="4" s="1"/>
  <c r="F25" i="4" s="1"/>
  <c r="B26" i="4" s="1"/>
  <c r="D26" i="4" l="1"/>
  <c r="C26" i="4" s="1"/>
  <c r="F26" i="4"/>
  <c r="B27" i="4" s="1"/>
  <c r="D27" i="4" l="1"/>
  <c r="C27" i="4" l="1"/>
  <c r="D28" i="4"/>
  <c r="C28" i="4" l="1"/>
  <c r="F27" i="4"/>
  <c r="D37" i="6"/>
  <c r="D37" i="2"/>
  <c r="D42" i="2" s="1"/>
  <c r="D37" i="1"/>
  <c r="D42" i="1" s="1"/>
  <c r="D43" i="2" l="1"/>
  <c r="D62" i="2" s="1"/>
  <c r="D112" i="6"/>
  <c r="D43" i="6"/>
  <c r="D65" i="6"/>
  <c r="D64" i="2"/>
  <c r="B30" i="4"/>
  <c r="D64" i="1"/>
  <c r="D43" i="1"/>
  <c r="D62" i="1" s="1"/>
  <c r="D44" i="6" l="1"/>
  <c r="D63" i="6" s="1"/>
  <c r="D30" i="4"/>
  <c r="D44" i="1"/>
  <c r="D68" i="1" s="1"/>
  <c r="D44" i="2"/>
  <c r="D68" i="2" s="1"/>
  <c r="D70" i="1"/>
  <c r="D72" i="1" s="1"/>
  <c r="D91" i="1"/>
  <c r="D99" i="1" s="1"/>
  <c r="C113" i="6"/>
  <c r="C115" i="6" s="1"/>
  <c r="D70" i="2"/>
  <c r="D72" i="2" s="1"/>
  <c r="D91" i="2"/>
  <c r="D99" i="2" s="1"/>
  <c r="D100" i="2" l="1"/>
  <c r="D45" i="6"/>
  <c r="D69" i="6" s="1"/>
  <c r="D71" i="6"/>
  <c r="D73" i="6" s="1"/>
  <c r="D92" i="6"/>
  <c r="D100" i="6" s="1"/>
  <c r="C30" i="4"/>
  <c r="D100" i="1"/>
  <c r="D101" i="6" l="1"/>
  <c r="F30" i="4"/>
  <c r="B31" i="4" s="1"/>
  <c r="D108" i="2"/>
  <c r="D31" i="4" l="1"/>
  <c r="D125" i="2"/>
  <c r="D113" i="2"/>
  <c r="D119" i="2"/>
  <c r="D127" i="2" l="1"/>
  <c r="D130" i="2"/>
  <c r="D115" i="2"/>
  <c r="D121" i="2"/>
  <c r="C31" i="4"/>
  <c r="F31" i="4" l="1"/>
  <c r="B32" i="4" s="1"/>
  <c r="D32" i="4" l="1"/>
  <c r="C32" i="4" l="1"/>
  <c r="F32" i="4" l="1"/>
  <c r="B33" i="4" s="1"/>
  <c r="D33" i="4" l="1"/>
  <c r="C33" i="4" l="1"/>
  <c r="F33" i="4" l="1"/>
  <c r="B34" i="4" s="1"/>
  <c r="D34" i="4" l="1"/>
  <c r="C34" i="4" l="1"/>
  <c r="F34" i="4" l="1"/>
  <c r="B35" i="4" s="1"/>
  <c r="D35" i="4" l="1"/>
  <c r="C35" i="4" s="1"/>
  <c r="F35" i="4"/>
  <c r="B36" i="4" s="1"/>
  <c r="D36" i="4" l="1"/>
  <c r="C36" i="4" s="1"/>
  <c r="F36" i="4" s="1"/>
  <c r="B37" i="4" s="1"/>
  <c r="D37" i="4" l="1"/>
  <c r="C37" i="4" s="1"/>
  <c r="F37" i="4"/>
  <c r="B38" i="4" s="1"/>
  <c r="D38" i="4" l="1"/>
  <c r="C38" i="4" s="1"/>
  <c r="F38" i="4"/>
  <c r="B39" i="4" s="1"/>
  <c r="D39" i="4" l="1"/>
  <c r="C39" i="4" s="1"/>
  <c r="F39" i="4" s="1"/>
  <c r="B40" i="4" s="1"/>
  <c r="D40" i="4" l="1"/>
  <c r="C40" i="4" s="1"/>
  <c r="F40" i="4"/>
  <c r="B41" i="4" s="1"/>
  <c r="D41" i="4" l="1"/>
  <c r="C41" i="4" l="1"/>
  <c r="D42" i="4"/>
  <c r="E37" i="6" l="1"/>
  <c r="E37" i="2"/>
  <c r="E42" i="2" s="1"/>
  <c r="E37" i="1"/>
  <c r="E42" i="1" s="1"/>
  <c r="C42" i="4"/>
  <c r="F41" i="4"/>
  <c r="E43" i="1" l="1"/>
  <c r="E62" i="1" s="1"/>
  <c r="E43" i="2"/>
  <c r="E62" i="2" s="1"/>
  <c r="E44" i="2"/>
  <c r="E68" i="2" s="1"/>
  <c r="E65" i="6"/>
  <c r="E64" i="2"/>
  <c r="E64" i="1"/>
  <c r="B44" i="4"/>
  <c r="E112" i="6"/>
  <c r="E43" i="6"/>
  <c r="E70" i="2" l="1"/>
  <c r="E72" i="2" s="1"/>
  <c r="E91" i="2"/>
  <c r="E99" i="2" s="1"/>
  <c r="E44" i="6"/>
  <c r="E63" i="6" s="1"/>
  <c r="E44" i="1"/>
  <c r="E68" i="1" s="1"/>
  <c r="D44" i="4"/>
  <c r="D113" i="6"/>
  <c r="D115" i="6" s="1"/>
  <c r="E70" i="1"/>
  <c r="E72" i="1" s="1"/>
  <c r="E91" i="1"/>
  <c r="E99" i="1" s="1"/>
  <c r="E100" i="2" l="1"/>
  <c r="E100" i="1"/>
  <c r="E92" i="6"/>
  <c r="E100" i="6" s="1"/>
  <c r="C44" i="4"/>
  <c r="E45" i="6"/>
  <c r="E69" i="6" s="1"/>
  <c r="E71" i="6" s="1"/>
  <c r="E73" i="6" s="1"/>
  <c r="F44" i="4" l="1"/>
  <c r="B45" i="4" s="1"/>
  <c r="E101" i="6"/>
  <c r="E108" i="2"/>
  <c r="E113" i="2" l="1"/>
  <c r="E119" i="2"/>
  <c r="E125" i="2"/>
  <c r="D45" i="4"/>
  <c r="C45" i="4" l="1"/>
  <c r="E127" i="2"/>
  <c r="E121" i="2"/>
  <c r="E130" i="2"/>
  <c r="E115" i="2"/>
  <c r="F45" i="4" l="1"/>
  <c r="B46" i="4" s="1"/>
  <c r="D46" i="4" l="1"/>
  <c r="C46" i="4" l="1"/>
  <c r="F46" i="4" l="1"/>
  <c r="B47" i="4" s="1"/>
  <c r="D47" i="4" l="1"/>
  <c r="C47" i="4" l="1"/>
  <c r="F47" i="4" l="1"/>
  <c r="B48" i="4" s="1"/>
  <c r="D48" i="4" l="1"/>
  <c r="C48" i="4" l="1"/>
  <c r="F48" i="4" l="1"/>
  <c r="B49" i="4" s="1"/>
  <c r="D49" i="4" l="1"/>
  <c r="C49" i="4" s="1"/>
  <c r="F49" i="4" s="1"/>
  <c r="B50" i="4" s="1"/>
  <c r="D50" i="4" l="1"/>
  <c r="C50" i="4" s="1"/>
  <c r="F50" i="4" s="1"/>
  <c r="B51" i="4" s="1"/>
  <c r="D51" i="4" l="1"/>
  <c r="C51" i="4" s="1"/>
  <c r="F51" i="4" s="1"/>
  <c r="B52" i="4" s="1"/>
  <c r="D52" i="4" l="1"/>
  <c r="C52" i="4" s="1"/>
  <c r="F52" i="4" s="1"/>
  <c r="B53" i="4" s="1"/>
  <c r="D53" i="4" l="1"/>
  <c r="C53" i="4" s="1"/>
  <c r="F53" i="4" s="1"/>
  <c r="B54" i="4" s="1"/>
  <c r="D54" i="4" l="1"/>
  <c r="C54" i="4" s="1"/>
  <c r="F54" i="4" s="1"/>
  <c r="B55" i="4" s="1"/>
  <c r="D55" i="4" l="1"/>
  <c r="C55" i="4" l="1"/>
  <c r="D56" i="4"/>
  <c r="F37" i="6" l="1"/>
  <c r="F37" i="2"/>
  <c r="F42" i="2" s="1"/>
  <c r="F37" i="1"/>
  <c r="F42" i="1" s="1"/>
  <c r="C56" i="4"/>
  <c r="F55" i="4"/>
  <c r="F43" i="1" l="1"/>
  <c r="F62" i="1" s="1"/>
  <c r="F44" i="1"/>
  <c r="F68" i="1" s="1"/>
  <c r="F43" i="2"/>
  <c r="F62" i="2" s="1"/>
  <c r="F44" i="2"/>
  <c r="F68" i="2" s="1"/>
  <c r="F65" i="6"/>
  <c r="F64" i="2"/>
  <c r="B58" i="4"/>
  <c r="F64" i="1"/>
  <c r="F112" i="6"/>
  <c r="F43" i="6"/>
  <c r="D58" i="4" l="1"/>
  <c r="F70" i="2"/>
  <c r="F72" i="2" s="1"/>
  <c r="F91" i="2"/>
  <c r="F99" i="2" s="1"/>
  <c r="F44" i="6"/>
  <c r="F63" i="6" s="1"/>
  <c r="F45" i="6"/>
  <c r="F69" i="6" s="1"/>
  <c r="E113" i="6"/>
  <c r="E115" i="6" s="1"/>
  <c r="F70" i="1"/>
  <c r="F72" i="1" s="1"/>
  <c r="F91" i="1"/>
  <c r="F99" i="1" s="1"/>
  <c r="F100" i="1" s="1"/>
  <c r="F100" i="2" l="1"/>
  <c r="C58" i="4"/>
  <c r="F71" i="6"/>
  <c r="F73" i="6" s="1"/>
  <c r="F92" i="6"/>
  <c r="F100" i="6" s="1"/>
  <c r="F101" i="6" s="1"/>
  <c r="F58" i="4" l="1"/>
  <c r="B59" i="4" s="1"/>
  <c r="F108" i="2"/>
  <c r="F119" i="2" l="1"/>
  <c r="F121" i="2" s="1"/>
  <c r="F113" i="2"/>
  <c r="F125" i="2"/>
  <c r="F127" i="2" s="1"/>
  <c r="D59" i="4"/>
  <c r="C59" i="4" l="1"/>
  <c r="F115" i="2"/>
  <c r="F130" i="2"/>
  <c r="F59" i="4" l="1"/>
  <c r="B60" i="4" s="1"/>
  <c r="D60" i="4" l="1"/>
  <c r="C60" i="4" l="1"/>
  <c r="F60" i="4" l="1"/>
  <c r="B61" i="4" s="1"/>
  <c r="D61" i="4" l="1"/>
  <c r="C61" i="4" l="1"/>
  <c r="F61" i="4" l="1"/>
  <c r="B62" i="4" s="1"/>
  <c r="D62" i="4" l="1"/>
  <c r="C62" i="4" l="1"/>
  <c r="F62" i="4" l="1"/>
  <c r="B63" i="4" s="1"/>
  <c r="D63" i="4" l="1"/>
  <c r="C63" i="4" s="1"/>
  <c r="F63" i="4"/>
  <c r="B64" i="4" s="1"/>
  <c r="D64" i="4" l="1"/>
  <c r="C64" i="4" s="1"/>
  <c r="F64" i="4" s="1"/>
  <c r="B65" i="4" s="1"/>
  <c r="D65" i="4" l="1"/>
  <c r="C65" i="4" s="1"/>
  <c r="F65" i="4"/>
  <c r="B66" i="4" s="1"/>
  <c r="D66" i="4" l="1"/>
  <c r="C66" i="4" s="1"/>
  <c r="F66" i="4"/>
  <c r="B67" i="4" s="1"/>
  <c r="D67" i="4" l="1"/>
  <c r="C67" i="4" s="1"/>
  <c r="F67" i="4" s="1"/>
  <c r="B68" i="4" s="1"/>
  <c r="D68" i="4" l="1"/>
  <c r="C68" i="4" s="1"/>
  <c r="F68" i="4" s="1"/>
  <c r="B69" i="4" s="1"/>
  <c r="D69" i="4" l="1"/>
  <c r="C69" i="4" l="1"/>
  <c r="D70" i="4"/>
  <c r="G37" i="6" l="1"/>
  <c r="G37" i="2"/>
  <c r="G42" i="2" s="1"/>
  <c r="G37" i="1"/>
  <c r="G42" i="1" s="1"/>
  <c r="C70" i="4"/>
  <c r="F69" i="4"/>
  <c r="G43" i="1" l="1"/>
  <c r="G62" i="1" s="1"/>
  <c r="G44" i="1"/>
  <c r="G68" i="1" s="1"/>
  <c r="G43" i="2"/>
  <c r="G62" i="2" s="1"/>
  <c r="G44" i="2"/>
  <c r="G68" i="2" s="1"/>
  <c r="G65" i="6"/>
  <c r="G64" i="2"/>
  <c r="B72" i="4"/>
  <c r="G64" i="1"/>
  <c r="G112" i="6"/>
  <c r="G43" i="6"/>
  <c r="G44" i="6" l="1"/>
  <c r="G63" i="6" s="1"/>
  <c r="D72" i="4"/>
  <c r="G70" i="2"/>
  <c r="G72" i="2" s="1"/>
  <c r="G91" i="2"/>
  <c r="G99" i="2" s="1"/>
  <c r="F113" i="6"/>
  <c r="F115" i="6" s="1"/>
  <c r="G70" i="1"/>
  <c r="G72" i="1" s="1"/>
  <c r="G91" i="1"/>
  <c r="G99" i="1" s="1"/>
  <c r="G100" i="1" s="1"/>
  <c r="G71" i="6" l="1"/>
  <c r="G73" i="6" s="1"/>
  <c r="G92" i="6"/>
  <c r="G100" i="6" s="1"/>
  <c r="G101" i="6" s="1"/>
  <c r="G100" i="2"/>
  <c r="C72" i="4"/>
  <c r="G45" i="6"/>
  <c r="G69" i="6" s="1"/>
  <c r="F72" i="4" l="1"/>
  <c r="B73" i="4" s="1"/>
  <c r="G108" i="2"/>
  <c r="D73" i="4" l="1"/>
  <c r="G119" i="2"/>
  <c r="G121" i="2" s="1"/>
  <c r="G125" i="2"/>
  <c r="G127" i="2" s="1"/>
  <c r="G113" i="2"/>
  <c r="G130" i="2" l="1"/>
  <c r="G115" i="2"/>
  <c r="C73" i="4"/>
  <c r="F73" i="4" l="1"/>
  <c r="B74" i="4" s="1"/>
  <c r="D74" i="4" l="1"/>
  <c r="C74" i="4" l="1"/>
  <c r="F74" i="4" l="1"/>
  <c r="B75" i="4" s="1"/>
  <c r="D75" i="4" l="1"/>
  <c r="C75" i="4" l="1"/>
  <c r="F75" i="4" l="1"/>
  <c r="B76" i="4" s="1"/>
  <c r="D76" i="4" l="1"/>
  <c r="C76" i="4" l="1"/>
  <c r="F76" i="4" l="1"/>
  <c r="B77" i="4" s="1"/>
  <c r="D77" i="4" l="1"/>
  <c r="C77" i="4" s="1"/>
  <c r="F77" i="4"/>
  <c r="B78" i="4" s="1"/>
  <c r="D78" i="4" l="1"/>
  <c r="C78" i="4" s="1"/>
  <c r="F78" i="4"/>
  <c r="B79" i="4" s="1"/>
  <c r="D79" i="4" l="1"/>
  <c r="C79" i="4" s="1"/>
  <c r="F79" i="4" s="1"/>
  <c r="B80" i="4" s="1"/>
  <c r="D80" i="4" l="1"/>
  <c r="C80" i="4" s="1"/>
  <c r="F80" i="4"/>
  <c r="B81" i="4" s="1"/>
  <c r="D81" i="4" l="1"/>
  <c r="C81" i="4" s="1"/>
  <c r="F81" i="4" s="1"/>
  <c r="B82" i="4" s="1"/>
  <c r="D82" i="4" l="1"/>
  <c r="C82" i="4" s="1"/>
  <c r="F82" i="4" s="1"/>
  <c r="B83" i="4" s="1"/>
  <c r="D83" i="4" l="1"/>
  <c r="C83" i="4" l="1"/>
  <c r="D84" i="4"/>
  <c r="H37" i="6" l="1"/>
  <c r="H37" i="2"/>
  <c r="H42" i="2" s="1"/>
  <c r="H37" i="1"/>
  <c r="H42" i="1" s="1"/>
  <c r="C84" i="4"/>
  <c r="F83" i="4"/>
  <c r="H43" i="2" l="1"/>
  <c r="H62" i="2" s="1"/>
  <c r="H44" i="2"/>
  <c r="H68" i="2" s="1"/>
  <c r="H43" i="1"/>
  <c r="H62" i="1" s="1"/>
  <c r="H44" i="1"/>
  <c r="H68" i="1" s="1"/>
  <c r="H65" i="6"/>
  <c r="H64" i="2"/>
  <c r="B86" i="4"/>
  <c r="H64" i="1"/>
  <c r="H112" i="6"/>
  <c r="H43" i="6"/>
  <c r="H44" i="6" l="1"/>
  <c r="H63" i="6" s="1"/>
  <c r="H45" i="6"/>
  <c r="H69" i="6" s="1"/>
  <c r="D86" i="4"/>
  <c r="H70" i="1"/>
  <c r="H72" i="1" s="1"/>
  <c r="H91" i="1"/>
  <c r="H99" i="1" s="1"/>
  <c r="H100" i="1" s="1"/>
  <c r="G113" i="6"/>
  <c r="G115" i="6" s="1"/>
  <c r="H70" i="2"/>
  <c r="H72" i="2" s="1"/>
  <c r="H91" i="2"/>
  <c r="H99" i="2" s="1"/>
  <c r="H100" i="2" s="1"/>
  <c r="H108" i="2" s="1"/>
  <c r="H125" i="2" l="1"/>
  <c r="H127" i="2" s="1"/>
  <c r="H113" i="2"/>
  <c r="H119" i="2"/>
  <c r="H121" i="2" s="1"/>
  <c r="C86" i="4"/>
  <c r="H71" i="6"/>
  <c r="H73" i="6" s="1"/>
  <c r="H92" i="6"/>
  <c r="H100" i="6" s="1"/>
  <c r="H101" i="6" s="1"/>
  <c r="F86" i="4" l="1"/>
  <c r="B87" i="4" s="1"/>
  <c r="H115" i="2"/>
  <c r="H130" i="2"/>
  <c r="D87" i="4" l="1"/>
  <c r="C87" i="4" l="1"/>
  <c r="F87" i="4" l="1"/>
  <c r="B88" i="4" s="1"/>
  <c r="D88" i="4" l="1"/>
  <c r="C88" i="4" l="1"/>
  <c r="F88" i="4" l="1"/>
  <c r="B89" i="4" s="1"/>
  <c r="D89" i="4" l="1"/>
  <c r="C89" i="4" l="1"/>
  <c r="F89" i="4" l="1"/>
  <c r="B90" i="4" s="1"/>
  <c r="D90" i="4" l="1"/>
  <c r="C90" i="4" l="1"/>
  <c r="F90" i="4" l="1"/>
  <c r="B91" i="4" s="1"/>
  <c r="D91" i="4" l="1"/>
  <c r="C91" i="4" s="1"/>
  <c r="F91" i="4"/>
  <c r="B92" i="4" s="1"/>
  <c r="D92" i="4" l="1"/>
  <c r="C92" i="4" s="1"/>
  <c r="F92" i="4" s="1"/>
  <c r="B93" i="4" s="1"/>
  <c r="D93" i="4" l="1"/>
  <c r="C93" i="4" s="1"/>
  <c r="F93" i="4" s="1"/>
  <c r="B94" i="4" s="1"/>
  <c r="D94" i="4" l="1"/>
  <c r="C94" i="4" s="1"/>
  <c r="F94" i="4" s="1"/>
  <c r="B95" i="4" s="1"/>
  <c r="D95" i="4" l="1"/>
  <c r="C95" i="4" s="1"/>
  <c r="F95" i="4" s="1"/>
  <c r="B96" i="4" s="1"/>
  <c r="D96" i="4" l="1"/>
  <c r="C96" i="4" s="1"/>
  <c r="F96" i="4"/>
  <c r="B97" i="4" s="1"/>
  <c r="D97" i="4" l="1"/>
  <c r="C97" i="4" l="1"/>
  <c r="D98" i="4"/>
  <c r="I37" i="6" l="1"/>
  <c r="I37" i="2"/>
  <c r="I42" i="2" s="1"/>
  <c r="I37" i="1"/>
  <c r="I42" i="1" s="1"/>
  <c r="C98" i="4"/>
  <c r="F97" i="4"/>
  <c r="I43" i="1" l="1"/>
  <c r="I62" i="1" s="1"/>
  <c r="I64" i="2"/>
  <c r="I65" i="6"/>
  <c r="B100" i="4"/>
  <c r="I64" i="1"/>
  <c r="I43" i="2"/>
  <c r="I62" i="2" s="1"/>
  <c r="I112" i="6"/>
  <c r="I43" i="6"/>
  <c r="I91" i="2" l="1"/>
  <c r="I99" i="2" s="1"/>
  <c r="I100" i="2" s="1"/>
  <c r="I108" i="2" s="1"/>
  <c r="H113" i="6"/>
  <c r="H115" i="6" s="1"/>
  <c r="I44" i="2"/>
  <c r="I68" i="2" s="1"/>
  <c r="I44" i="6"/>
  <c r="I63" i="6" s="1"/>
  <c r="I45" i="6"/>
  <c r="I69" i="6" s="1"/>
  <c r="I44" i="1"/>
  <c r="I68" i="1" s="1"/>
  <c r="D100" i="4"/>
  <c r="I70" i="1"/>
  <c r="I72" i="1" s="1"/>
  <c r="I91" i="1"/>
  <c r="I99" i="1" s="1"/>
  <c r="I100" i="1" s="1"/>
  <c r="C100" i="4" l="1"/>
  <c r="I71" i="6"/>
  <c r="I73" i="6" s="1"/>
  <c r="I92" i="6"/>
  <c r="I100" i="6" s="1"/>
  <c r="I101" i="6" s="1"/>
  <c r="I113" i="2"/>
  <c r="I119" i="2"/>
  <c r="I121" i="2" s="1"/>
  <c r="I125" i="2"/>
  <c r="I127" i="2" s="1"/>
  <c r="I70" i="2"/>
  <c r="I72" i="2" s="1"/>
  <c r="I130" i="2" l="1"/>
  <c r="I115" i="2"/>
  <c r="F100" i="4"/>
  <c r="B101" i="4" s="1"/>
  <c r="D101" i="4" l="1"/>
  <c r="C101" i="4" l="1"/>
  <c r="F101" i="4" l="1"/>
  <c r="B102" i="4" s="1"/>
  <c r="D102" i="4" l="1"/>
  <c r="C102" i="4" l="1"/>
  <c r="F102" i="4" l="1"/>
  <c r="B103" i="4" s="1"/>
  <c r="D103" i="4" l="1"/>
  <c r="C103" i="4" l="1"/>
  <c r="F103" i="4" l="1"/>
  <c r="B104" i="4" s="1"/>
  <c r="D104" i="4" l="1"/>
  <c r="C104" i="4" l="1"/>
  <c r="F104" i="4" l="1"/>
  <c r="B105" i="4" s="1"/>
  <c r="D105" i="4" l="1"/>
  <c r="C105" i="4" s="1"/>
  <c r="F105" i="4" s="1"/>
  <c r="B106" i="4" s="1"/>
  <c r="D106" i="4" l="1"/>
  <c r="C106" i="4" s="1"/>
  <c r="F106" i="4" s="1"/>
  <c r="B107" i="4" s="1"/>
  <c r="D107" i="4" l="1"/>
  <c r="C107" i="4" s="1"/>
  <c r="F107" i="4" s="1"/>
  <c r="B108" i="4" s="1"/>
  <c r="D108" i="4" l="1"/>
  <c r="C108" i="4" s="1"/>
  <c r="F108" i="4" s="1"/>
  <c r="B109" i="4" s="1"/>
  <c r="D109" i="4" l="1"/>
  <c r="C109" i="4" s="1"/>
  <c r="F109" i="4" s="1"/>
  <c r="B110" i="4" s="1"/>
  <c r="D110" i="4" l="1"/>
  <c r="C110" i="4" s="1"/>
  <c r="F110" i="4" s="1"/>
  <c r="B111" i="4" s="1"/>
  <c r="D111" i="4" l="1"/>
  <c r="C111" i="4" l="1"/>
  <c r="D112" i="4"/>
  <c r="J37" i="6" l="1"/>
  <c r="J37" i="2"/>
  <c r="J42" i="2" s="1"/>
  <c r="J37" i="1"/>
  <c r="J42" i="1" s="1"/>
  <c r="C112" i="4"/>
  <c r="F111" i="4"/>
  <c r="J43" i="1" l="1"/>
  <c r="J62" i="1" s="1"/>
  <c r="J44" i="1"/>
  <c r="J68" i="1" s="1"/>
  <c r="J43" i="2"/>
  <c r="J62" i="2" s="1"/>
  <c r="J65" i="6"/>
  <c r="J64" i="2"/>
  <c r="J64" i="1"/>
  <c r="B114" i="4"/>
  <c r="J112" i="6"/>
  <c r="J43" i="6"/>
  <c r="D114" i="4" l="1"/>
  <c r="J44" i="2"/>
  <c r="J68" i="2" s="1"/>
  <c r="J70" i="2"/>
  <c r="J72" i="2" s="1"/>
  <c r="J91" i="2"/>
  <c r="J99" i="2" s="1"/>
  <c r="J100" i="2" s="1"/>
  <c r="J108" i="2" s="1"/>
  <c r="J44" i="6"/>
  <c r="J63" i="6" s="1"/>
  <c r="M65" i="6"/>
  <c r="T65" i="6"/>
  <c r="I113" i="6"/>
  <c r="I115" i="6" s="1"/>
  <c r="J70" i="1"/>
  <c r="J72" i="1" s="1"/>
  <c r="J91" i="1"/>
  <c r="J99" i="1" s="1"/>
  <c r="J100" i="1" s="1"/>
  <c r="J45" i="6" l="1"/>
  <c r="J69" i="6" s="1"/>
  <c r="T69" i="6" s="1"/>
  <c r="M67" i="6"/>
  <c r="N66" i="6" s="1"/>
  <c r="O66" i="6" s="1"/>
  <c r="P66" i="6" s="1"/>
  <c r="J122" i="6" s="1"/>
  <c r="J123" i="6" s="1"/>
  <c r="B124" i="6" s="1"/>
  <c r="J113" i="2"/>
  <c r="J119" i="2"/>
  <c r="J121" i="2" s="1"/>
  <c r="J125" i="2"/>
  <c r="J127" i="2" s="1"/>
  <c r="C114" i="4"/>
  <c r="J71" i="6"/>
  <c r="J73" i="6" s="1"/>
  <c r="J92" i="6"/>
  <c r="J100" i="6" s="1"/>
  <c r="F114" i="4" l="1"/>
  <c r="B115" i="4" s="1"/>
  <c r="T71" i="6"/>
  <c r="J115" i="2"/>
  <c r="J130" i="2"/>
  <c r="J101" i="6"/>
  <c r="B104" i="6" s="1"/>
  <c r="B105" i="6"/>
  <c r="N65" i="6"/>
  <c r="O65" i="6" s="1"/>
  <c r="P65" i="6" s="1"/>
  <c r="J114" i="6" s="1"/>
  <c r="J115" i="6" s="1"/>
  <c r="B116" i="6" s="1"/>
  <c r="D115" i="4" l="1"/>
  <c r="U68" i="6"/>
  <c r="X68" i="6" s="1"/>
  <c r="U66" i="6"/>
  <c r="X66" i="6" s="1"/>
  <c r="U65" i="6"/>
  <c r="U69" i="6"/>
  <c r="X69" i="6" s="1"/>
  <c r="C115" i="4" l="1"/>
  <c r="X65" i="6"/>
  <c r="X71" i="6" s="1"/>
  <c r="V74" i="6"/>
  <c r="F115" i="4" l="1"/>
  <c r="B116" i="4" s="1"/>
  <c r="D116" i="4" l="1"/>
  <c r="C116" i="4" l="1"/>
  <c r="F116" i="4" l="1"/>
  <c r="B117" i="4" s="1"/>
  <c r="D117" i="4" l="1"/>
  <c r="C117" i="4" l="1"/>
  <c r="F117" i="4" l="1"/>
  <c r="B118" i="4" s="1"/>
  <c r="D118" i="4" l="1"/>
  <c r="C118" i="4" l="1"/>
  <c r="F118" i="4" l="1"/>
  <c r="B119" i="4" s="1"/>
  <c r="D119" i="4" l="1"/>
  <c r="C119" i="4" s="1"/>
  <c r="F119" i="4" s="1"/>
  <c r="B120" i="4" s="1"/>
  <c r="D120" i="4" l="1"/>
  <c r="C120" i="4" s="1"/>
  <c r="F120" i="4" s="1"/>
  <c r="B121" i="4" s="1"/>
  <c r="D121" i="4" l="1"/>
  <c r="C121" i="4" s="1"/>
  <c r="F121" i="4" s="1"/>
  <c r="B122" i="4" s="1"/>
  <c r="D122" i="4" l="1"/>
  <c r="C122" i="4" s="1"/>
  <c r="F122" i="4" s="1"/>
  <c r="B123" i="4" s="1"/>
  <c r="D123" i="4" l="1"/>
  <c r="C123" i="4" s="1"/>
  <c r="F123" i="4" s="1"/>
  <c r="B124" i="4" s="1"/>
  <c r="D124" i="4" l="1"/>
  <c r="C124" i="4" s="1"/>
  <c r="F124" i="4" s="1"/>
  <c r="B125" i="4" s="1"/>
  <c r="D125" i="4" l="1"/>
  <c r="C125" i="4" l="1"/>
  <c r="D126" i="4"/>
  <c r="K37" i="1" l="1"/>
  <c r="K42" i="1" s="1"/>
  <c r="K37" i="2"/>
  <c r="K42" i="2" s="1"/>
  <c r="C126" i="4"/>
  <c r="F125" i="4"/>
  <c r="K43" i="2" l="1"/>
  <c r="K62" i="2" s="1"/>
  <c r="B128" i="4"/>
  <c r="K64" i="2"/>
  <c r="K64" i="1"/>
  <c r="K43" i="1"/>
  <c r="K62" i="1" s="1"/>
  <c r="K44" i="1" l="1"/>
  <c r="K68" i="1" s="1"/>
  <c r="D128" i="4"/>
  <c r="K70" i="1"/>
  <c r="K72" i="1" s="1"/>
  <c r="K91" i="1"/>
  <c r="K99" i="1" s="1"/>
  <c r="K100" i="1" s="1"/>
  <c r="K44" i="2"/>
  <c r="K68" i="2" s="1"/>
  <c r="K91" i="2"/>
  <c r="K99" i="2" s="1"/>
  <c r="K100" i="2" s="1"/>
  <c r="K108" i="2" s="1"/>
  <c r="K119" i="2" l="1"/>
  <c r="K121" i="2" s="1"/>
  <c r="K125" i="2"/>
  <c r="K127" i="2" s="1"/>
  <c r="K113" i="2"/>
  <c r="C128" i="4"/>
  <c r="K70" i="2"/>
  <c r="K72" i="2" s="1"/>
  <c r="K130" i="2" l="1"/>
  <c r="K115" i="2"/>
  <c r="F128" i="4"/>
  <c r="B129" i="4" s="1"/>
  <c r="D129" i="4" l="1"/>
  <c r="C129" i="4" l="1"/>
  <c r="F129" i="4" l="1"/>
  <c r="B130" i="4" s="1"/>
  <c r="D130" i="4" l="1"/>
  <c r="C130" i="4" l="1"/>
  <c r="F130" i="4" l="1"/>
  <c r="B131" i="4" s="1"/>
  <c r="D131" i="4" l="1"/>
  <c r="C131" i="4" l="1"/>
  <c r="F131" i="4" l="1"/>
  <c r="B132" i="4" s="1"/>
  <c r="D132" i="4" l="1"/>
  <c r="C132" i="4" l="1"/>
  <c r="F132" i="4" l="1"/>
  <c r="B133" i="4" s="1"/>
  <c r="F133" i="4" l="1"/>
  <c r="B134" i="4" s="1"/>
  <c r="D133" i="4"/>
  <c r="C133" i="4" s="1"/>
  <c r="D134" i="4" l="1"/>
  <c r="C134" i="4" s="1"/>
  <c r="F134" i="4" s="1"/>
  <c r="B135" i="4" s="1"/>
  <c r="D135" i="4" l="1"/>
  <c r="C135" i="4" s="1"/>
  <c r="F135" i="4" s="1"/>
  <c r="B136" i="4" s="1"/>
  <c r="D136" i="4" l="1"/>
  <c r="C136" i="4" s="1"/>
  <c r="F136" i="4" s="1"/>
  <c r="B137" i="4" s="1"/>
  <c r="D137" i="4" l="1"/>
  <c r="C137" i="4" s="1"/>
  <c r="F137" i="4" s="1"/>
  <c r="B138" i="4" s="1"/>
  <c r="D138" i="4" l="1"/>
  <c r="C138" i="4" s="1"/>
  <c r="F138" i="4" s="1"/>
  <c r="B139" i="4" s="1"/>
  <c r="D139" i="4" l="1"/>
  <c r="C139" i="4" l="1"/>
  <c r="D140" i="4"/>
  <c r="L37" i="2" l="1"/>
  <c r="L42" i="2" s="1"/>
  <c r="L37" i="1"/>
  <c r="L42" i="1" s="1"/>
  <c r="C140" i="4"/>
  <c r="F139" i="4"/>
  <c r="L64" i="2" l="1"/>
  <c r="L64" i="1"/>
  <c r="N64" i="1" s="1"/>
  <c r="L43" i="1"/>
  <c r="L62" i="1" s="1"/>
  <c r="L44" i="1"/>
  <c r="L68" i="1" s="1"/>
  <c r="N68" i="1" s="1"/>
  <c r="L43" i="2"/>
  <c r="L62" i="2" s="1"/>
  <c r="L96" i="1" l="1"/>
  <c r="L97" i="1"/>
  <c r="L70" i="1"/>
  <c r="L72" i="1" s="1"/>
  <c r="L91" i="1"/>
  <c r="N70" i="1"/>
  <c r="O64" i="1"/>
  <c r="L96" i="2"/>
  <c r="L98" i="2" s="1"/>
  <c r="L97" i="2"/>
  <c r="L91" i="2"/>
  <c r="L44" i="2"/>
  <c r="L68" i="2" s="1"/>
  <c r="N64" i="2"/>
  <c r="N107" i="2"/>
  <c r="O107" i="2" s="1"/>
  <c r="L99" i="2" l="1"/>
  <c r="L100" i="2" s="1"/>
  <c r="N111" i="2"/>
  <c r="O111" i="2" s="1"/>
  <c r="R111" i="2" s="1"/>
  <c r="N68" i="2"/>
  <c r="R107" i="2"/>
  <c r="P119" i="2"/>
  <c r="L98" i="1"/>
  <c r="R64" i="1"/>
  <c r="L70" i="2"/>
  <c r="L72" i="2" s="1"/>
  <c r="O65" i="1"/>
  <c r="R65" i="1" s="1"/>
  <c r="O67" i="1"/>
  <c r="R67" i="1" s="1"/>
  <c r="N70" i="2"/>
  <c r="O68" i="1"/>
  <c r="R68" i="1" s="1"/>
  <c r="B104" i="2" l="1"/>
  <c r="R113" i="2"/>
  <c r="R70" i="1"/>
  <c r="L108" i="2"/>
  <c r="B103" i="2"/>
  <c r="O68" i="2"/>
  <c r="R68" i="2" s="1"/>
  <c r="L100" i="1"/>
  <c r="B103" i="1" s="1"/>
  <c r="B104" i="1"/>
  <c r="O65" i="2"/>
  <c r="R65" i="2" s="1"/>
  <c r="O67" i="2"/>
  <c r="R67" i="2" s="1"/>
  <c r="O64" i="2"/>
  <c r="P73" i="1"/>
  <c r="L125" i="2" l="1"/>
  <c r="L113" i="2"/>
  <c r="L119" i="2"/>
  <c r="B110" i="2"/>
  <c r="B127" i="2" s="1"/>
  <c r="B109" i="2"/>
  <c r="P73" i="2"/>
  <c r="R64" i="2"/>
  <c r="R70" i="2" s="1"/>
  <c r="L121" i="2" l="1"/>
  <c r="B122" i="2" s="1"/>
  <c r="B120" i="2"/>
  <c r="L115" i="2"/>
  <c r="B116" i="2" s="1"/>
  <c r="L130" i="2"/>
  <c r="B131" i="2" s="1"/>
  <c r="B114" i="2"/>
  <c r="L127" i="2"/>
  <c r="B128" i="2" s="1"/>
  <c r="B126" i="2"/>
</calcChain>
</file>

<file path=xl/sharedStrings.xml><?xml version="1.0" encoding="utf-8"?>
<sst xmlns="http://schemas.openxmlformats.org/spreadsheetml/2006/main" count="424" uniqueCount="140">
  <si>
    <t>INCOME STATEMENT</t>
  </si>
  <si>
    <t>Cost of Goods Sold</t>
  </si>
  <si>
    <t>Operating Expenses</t>
  </si>
  <si>
    <t>General and Admin</t>
  </si>
  <si>
    <t>Mortgage Loan Interest</t>
  </si>
  <si>
    <t>Taxable Income</t>
  </si>
  <si>
    <t>Income Tax Expense</t>
  </si>
  <si>
    <t>Net Income</t>
  </si>
  <si>
    <t>BALANCE SHEET</t>
  </si>
  <si>
    <t>Assets</t>
  </si>
  <si>
    <t>Minimum Cash Inventory</t>
  </si>
  <si>
    <t>Extra Cash Above Minimum</t>
  </si>
  <si>
    <t>Accounts Receivable</t>
  </si>
  <si>
    <t>Inventory</t>
  </si>
  <si>
    <t>Buildings</t>
  </si>
  <si>
    <t>Accumulated Depreciation</t>
  </si>
  <si>
    <t>Total Assets</t>
  </si>
  <si>
    <t>Liabilities and Owners Equity</t>
  </si>
  <si>
    <t>Accounts Payable</t>
  </si>
  <si>
    <t>Income Tax Payable</t>
  </si>
  <si>
    <t>Mortgage Loan</t>
  </si>
  <si>
    <t>Extra Bank Loan</t>
  </si>
  <si>
    <t>Common Stock</t>
  </si>
  <si>
    <t>Retained Earnings</t>
  </si>
  <si>
    <t>Total Liabilities and Owners Equity</t>
  </si>
  <si>
    <t>FCF, NPV, IRR</t>
  </si>
  <si>
    <t>Cash from Operations</t>
  </si>
  <si>
    <t>Cash in/out from Capital Expenditures</t>
  </si>
  <si>
    <t>Cash in/out from Changes in Working Capital</t>
  </si>
  <si>
    <t>Cash in/out from Liquidation of Working Capital</t>
  </si>
  <si>
    <t>Total Free Cash Flows</t>
  </si>
  <si>
    <t>Present Value of Total Free Cash Flows</t>
  </si>
  <si>
    <t>NPV of Total Free Cash Flows</t>
  </si>
  <si>
    <t>IRR</t>
  </si>
  <si>
    <t>SALES UNIT FORECASTS</t>
  </si>
  <si>
    <t>Yearly % change</t>
  </si>
  <si>
    <t>RATIOS USED IN FORECAST</t>
  </si>
  <si>
    <t>Average Payables Period - COGS</t>
  </si>
  <si>
    <t>Inventory Turnover Ratio - Gifts</t>
  </si>
  <si>
    <t>Price is this times COGS</t>
  </si>
  <si>
    <t>TOTALS</t>
  </si>
  <si>
    <t>Payment</t>
  </si>
  <si>
    <t>PV</t>
  </si>
  <si>
    <t>Type</t>
  </si>
  <si>
    <t>Per</t>
  </si>
  <si>
    <t>FV</t>
  </si>
  <si>
    <t>Per Rate</t>
  </si>
  <si>
    <t>Rate</t>
  </si>
  <si>
    <t>End Balance</t>
  </si>
  <si>
    <t xml:space="preserve">Interest </t>
  </si>
  <si>
    <t>Principal</t>
  </si>
  <si>
    <t>Beg Balance</t>
  </si>
  <si>
    <t>Tax Bracket</t>
  </si>
  <si>
    <t>year</t>
  </si>
  <si>
    <t>Deli</t>
  </si>
  <si>
    <t>Breakfast</t>
  </si>
  <si>
    <t xml:space="preserve">Specials </t>
  </si>
  <si>
    <t>Cakes</t>
  </si>
  <si>
    <t>Treat Sales</t>
  </si>
  <si>
    <t>Deli Sales</t>
  </si>
  <si>
    <t>Breakfast Sales</t>
  </si>
  <si>
    <t>Hot Chocolate Sales</t>
  </si>
  <si>
    <t>Cake Sales</t>
  </si>
  <si>
    <t>Average Treat Price</t>
  </si>
  <si>
    <t>Average Deli Price</t>
  </si>
  <si>
    <t>Average Hot Chocolate Price</t>
  </si>
  <si>
    <t>Average Breakfast Price</t>
  </si>
  <si>
    <t>Average Cake Price</t>
  </si>
  <si>
    <t>Treat Revenue</t>
  </si>
  <si>
    <t>Deli Revenue</t>
  </si>
  <si>
    <t>Hot Chocolate Revenue</t>
  </si>
  <si>
    <t xml:space="preserve">Breakfast Rveune </t>
  </si>
  <si>
    <t>Cake Revenue</t>
  </si>
  <si>
    <t>Advertizing Expense</t>
  </si>
  <si>
    <t>Hired Hands Expense</t>
  </si>
  <si>
    <t>Security system Expense</t>
  </si>
  <si>
    <t>Utilities Expense</t>
  </si>
  <si>
    <t>Average Collection Period - AR</t>
  </si>
  <si>
    <t>Inventory Days -</t>
  </si>
  <si>
    <t>Land</t>
  </si>
  <si>
    <t>years</t>
  </si>
  <si>
    <t>Operating Profit</t>
  </si>
  <si>
    <t>Less: Depreciation</t>
  </si>
  <si>
    <t>Taxable Operating Income</t>
  </si>
  <si>
    <t>Taxes on Operations only</t>
  </si>
  <si>
    <t>Add back: Depreciation</t>
  </si>
  <si>
    <t>Total Cast from Operations</t>
  </si>
  <si>
    <t>Buy Building</t>
  </si>
  <si>
    <t>Sell Building</t>
  </si>
  <si>
    <t>Taxes on Sale of Building</t>
  </si>
  <si>
    <t>Book</t>
  </si>
  <si>
    <t>Sell @</t>
  </si>
  <si>
    <t>Gain</t>
  </si>
  <si>
    <t>Total Depreciation</t>
  </si>
  <si>
    <t>Building depreciation</t>
  </si>
  <si>
    <t>Equipment depreciation</t>
  </si>
  <si>
    <t>Percent of sales</t>
  </si>
  <si>
    <t>CAPM for the retunr equity holders want</t>
  </si>
  <si>
    <t>Beta</t>
  </si>
  <si>
    <t>Tbill</t>
  </si>
  <si>
    <t>S&amp;P 500</t>
  </si>
  <si>
    <t>Return equity wants</t>
  </si>
  <si>
    <t>Avg</t>
  </si>
  <si>
    <t>Proportion</t>
  </si>
  <si>
    <t>Tax adj rate</t>
  </si>
  <si>
    <t>Weighted</t>
  </si>
  <si>
    <t>WACC</t>
  </si>
  <si>
    <t>http://www.zillow.com/mortgage-rates/md/</t>
  </si>
  <si>
    <t>Unlevered</t>
  </si>
  <si>
    <t>Relevered Beta</t>
  </si>
  <si>
    <t>(Better than Existing, will expand</t>
  </si>
  <si>
    <t>(= Existing FCF Projection)</t>
  </si>
  <si>
    <t>(Worse than Existing, goes bankrupt).....</t>
  </si>
  <si>
    <t>NPV</t>
  </si>
  <si>
    <t>NPV big</t>
  </si>
  <si>
    <t>Equipment</t>
  </si>
  <si>
    <t>Strong Market Total FCF(1)</t>
  </si>
  <si>
    <t>(1)</t>
  </si>
  <si>
    <t>(2)</t>
  </si>
  <si>
    <t>(3)</t>
  </si>
  <si>
    <t>Life continued on as always</t>
  </si>
  <si>
    <t>Existing Market Total FCF(2)</t>
  </si>
  <si>
    <t>Weak Market Total FCF(3)</t>
  </si>
  <si>
    <t>It was cold all year and our hot chocolate machine broke and we decided not to replace it. Star Wars producer told the world that we can't read good.</t>
  </si>
  <si>
    <t>Sales went up because part of the next Star Wars movies filmed there. We also bought an amish buggy for $10,000 in year 2 to deliver our food.</t>
  </si>
  <si>
    <t>Bank Loan Interest</t>
  </si>
  <si>
    <t>Left Over</t>
  </si>
  <si>
    <t>Paid off</t>
  </si>
  <si>
    <t>Secured</t>
  </si>
  <si>
    <t>Non Secured</t>
  </si>
  <si>
    <t>Prop</t>
  </si>
  <si>
    <t>Total Paid Off</t>
  </si>
  <si>
    <t>Debt Return in Bankruptcy</t>
  </si>
  <si>
    <t>Mortgage</t>
  </si>
  <si>
    <t>Initial Loan</t>
  </si>
  <si>
    <t>Interest Payments</t>
  </si>
  <si>
    <t>Principal Paid</t>
  </si>
  <si>
    <t>Final Pay off</t>
  </si>
  <si>
    <t>Total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</si>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</sst>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\-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[$$-409]#,##0.00;[Red]\-[$$-409]#,##0.00"/>
    <numFmt numFmtId="168" formatCode="_(* #,##0.00_);_(* \(#,##0.00\);_(* \-??_);_(@_)"/>
    <numFmt numFmtId="169" formatCode="0.0%"/>
    <numFmt numFmtId="170" formatCode="0.000%"/>
    <numFmt numFmtId="171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6"/>
      <color theme="1"/>
      <name val="Cambria"/>
      <family val="1"/>
      <scheme val="major"/>
    </font>
    <font>
      <b/>
      <sz val="16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6"/>
      <color rgb="FF000000"/>
      <name val="Cambria"/>
      <family val="1"/>
      <scheme val="major"/>
    </font>
    <font>
      <b/>
      <sz val="16"/>
      <color rgb="FF000000"/>
      <name val="Cambria"/>
      <family val="1"/>
      <scheme val="major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sz val="11"/>
      <name val="Calibri"/>
      <family val="2"/>
      <scheme val="minor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CD5B4"/>
        <bgColor rgb="FF000000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71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5"/>
    <xf numFmtId="167" fontId="3" fillId="0" borderId="0" xfId="5" applyNumberFormat="1" applyFont="1" applyAlignment="1">
      <alignment wrapText="1"/>
    </xf>
    <xf numFmtId="0" fontId="3" fillId="0" borderId="0" xfId="5" applyFont="1" applyAlignment="1">
      <alignment wrapText="1"/>
    </xf>
    <xf numFmtId="0" fontId="4" fillId="0" borderId="0" xfId="5" applyFont="1" applyAlignment="1">
      <alignment wrapText="1"/>
    </xf>
    <xf numFmtId="167" fontId="3" fillId="0" borderId="0" xfId="5" applyNumberFormat="1"/>
    <xf numFmtId="0" fontId="3" fillId="0" borderId="0" xfId="5" applyNumberFormat="1"/>
    <xf numFmtId="10" fontId="3" fillId="0" borderId="0" xfId="5" applyNumberFormat="1"/>
    <xf numFmtId="17" fontId="3" fillId="0" borderId="0" xfId="5" applyNumberFormat="1" applyFont="1" applyAlignment="1">
      <alignment horizontal="left" vertical="top" wrapText="1"/>
    </xf>
    <xf numFmtId="17" fontId="3" fillId="0" borderId="0" xfId="5" applyNumberFormat="1" applyFont="1" applyAlignment="1">
      <alignment horizontal="left" wrapText="1"/>
    </xf>
    <xf numFmtId="166" fontId="3" fillId="0" borderId="0" xfId="3" applyNumberFormat="1" applyFont="1"/>
    <xf numFmtId="166" fontId="3" fillId="0" borderId="0" xfId="3" applyNumberFormat="1" applyFont="1" applyAlignment="1">
      <alignment wrapText="1"/>
    </xf>
    <xf numFmtId="166" fontId="4" fillId="0" borderId="0" xfId="3" applyNumberFormat="1" applyFont="1" applyAlignment="1">
      <alignment wrapText="1"/>
    </xf>
    <xf numFmtId="166" fontId="4" fillId="0" borderId="0" xfId="3" applyNumberFormat="1" applyFont="1"/>
    <xf numFmtId="0" fontId="5" fillId="0" borderId="0" xfId="0" applyFont="1"/>
    <xf numFmtId="0" fontId="6" fillId="0" borderId="0" xfId="1" applyFont="1"/>
    <xf numFmtId="0" fontId="7" fillId="0" borderId="0" xfId="1" applyFont="1"/>
    <xf numFmtId="164" fontId="5" fillId="0" borderId="0" xfId="2" applyNumberFormat="1" applyFont="1"/>
    <xf numFmtId="165" fontId="5" fillId="0" borderId="0" xfId="2" applyNumberFormat="1" applyFont="1"/>
    <xf numFmtId="9" fontId="5" fillId="0" borderId="0" xfId="4" applyFont="1"/>
    <xf numFmtId="44" fontId="5" fillId="0" borderId="0" xfId="3" applyFont="1"/>
    <xf numFmtId="168" fontId="5" fillId="0" borderId="0" xfId="2" applyNumberFormat="1" applyFont="1"/>
    <xf numFmtId="0" fontId="7" fillId="0" borderId="0" xfId="1" applyFont="1" applyFill="1"/>
    <xf numFmtId="9" fontId="7" fillId="0" borderId="0" xfId="1" applyNumberFormat="1" applyFont="1"/>
    <xf numFmtId="43" fontId="5" fillId="0" borderId="0" xfId="2" applyFont="1"/>
    <xf numFmtId="166" fontId="5" fillId="0" borderId="0" xfId="0" applyNumberFormat="1" applyFont="1"/>
    <xf numFmtId="1" fontId="5" fillId="0" borderId="0" xfId="0" applyNumberFormat="1" applyFont="1"/>
    <xf numFmtId="166" fontId="5" fillId="0" borderId="0" xfId="3" applyNumberFormat="1" applyFont="1"/>
    <xf numFmtId="44" fontId="5" fillId="0" borderId="0" xfId="0" applyNumberFormat="1" applyFont="1"/>
    <xf numFmtId="9" fontId="5" fillId="0" borderId="0" xfId="0" applyNumberFormat="1" applyFont="1"/>
    <xf numFmtId="44" fontId="5" fillId="0" borderId="0" xfId="3" applyNumberFormat="1" applyFont="1"/>
    <xf numFmtId="0" fontId="10" fillId="0" borderId="0" xfId="0" applyFont="1"/>
    <xf numFmtId="166" fontId="5" fillId="0" borderId="1" xfId="3" applyNumberFormat="1" applyFont="1" applyBorder="1"/>
    <xf numFmtId="10" fontId="5" fillId="0" borderId="0" xfId="0" applyNumberFormat="1" applyFont="1"/>
    <xf numFmtId="8" fontId="5" fillId="0" borderId="0" xfId="0" applyNumberFormat="1" applyFont="1"/>
    <xf numFmtId="0" fontId="11" fillId="2" borderId="0" xfId="0" applyFont="1" applyFill="1"/>
    <xf numFmtId="9" fontId="11" fillId="2" borderId="0" xfId="0" applyNumberFormat="1" applyFont="1" applyFill="1"/>
    <xf numFmtId="169" fontId="11" fillId="2" borderId="0" xfId="0" applyNumberFormat="1" applyFont="1" applyFill="1"/>
    <xf numFmtId="0" fontId="11" fillId="2" borderId="1" xfId="0" applyFont="1" applyFill="1" applyBorder="1" applyAlignment="1">
      <alignment horizontal="center"/>
    </xf>
    <xf numFmtId="165" fontId="11" fillId="2" borderId="2" xfId="0" applyNumberFormat="1" applyFont="1" applyFill="1" applyBorder="1"/>
    <xf numFmtId="165" fontId="11" fillId="2" borderId="0" xfId="0" applyNumberFormat="1" applyFont="1" applyFill="1"/>
    <xf numFmtId="165" fontId="11" fillId="2" borderId="3" xfId="0" applyNumberFormat="1" applyFont="1" applyFill="1" applyBorder="1"/>
    <xf numFmtId="165" fontId="11" fillId="2" borderId="4" xfId="0" applyNumberFormat="1" applyFont="1" applyFill="1" applyBorder="1"/>
    <xf numFmtId="9" fontId="11" fillId="2" borderId="4" xfId="0" applyNumberFormat="1" applyFont="1" applyFill="1" applyBorder="1"/>
    <xf numFmtId="0" fontId="12" fillId="2" borderId="0" xfId="0" applyFont="1" applyFill="1"/>
    <xf numFmtId="10" fontId="11" fillId="2" borderId="0" xfId="0" applyNumberFormat="1" applyFont="1" applyFill="1"/>
    <xf numFmtId="169" fontId="5" fillId="3" borderId="0" xfId="4" applyNumberFormat="1" applyFont="1" applyFill="1"/>
    <xf numFmtId="10" fontId="5" fillId="3" borderId="0" xfId="4" applyNumberFormat="1" applyFont="1" applyFill="1"/>
    <xf numFmtId="169" fontId="7" fillId="3" borderId="0" xfId="6" applyNumberFormat="1" applyFont="1" applyFill="1"/>
    <xf numFmtId="43" fontId="5" fillId="0" borderId="0" xfId="0" applyNumberFormat="1" applyFont="1"/>
    <xf numFmtId="170" fontId="11" fillId="2" borderId="0" xfId="0" applyNumberFormat="1" applyFont="1" applyFill="1"/>
    <xf numFmtId="43" fontId="11" fillId="2" borderId="0" xfId="0" applyNumberFormat="1" applyFont="1" applyFill="1"/>
    <xf numFmtId="10" fontId="12" fillId="2" borderId="4" xfId="0" applyNumberFormat="1" applyFont="1" applyFill="1" applyBorder="1"/>
    <xf numFmtId="0" fontId="13" fillId="0" borderId="0" xfId="0" applyFont="1" applyFill="1"/>
    <xf numFmtId="165" fontId="13" fillId="0" borderId="0" xfId="2" applyNumberFormat="1" applyFont="1" applyFill="1"/>
    <xf numFmtId="166" fontId="13" fillId="0" borderId="0" xfId="0" applyNumberFormat="1" applyFont="1" applyFill="1"/>
    <xf numFmtId="9" fontId="13" fillId="0" borderId="0" xfId="0" applyNumberFormat="1" applyFont="1" applyFill="1"/>
    <xf numFmtId="0" fontId="14" fillId="0" borderId="0" xfId="0" applyFont="1" applyFill="1"/>
    <xf numFmtId="44" fontId="13" fillId="0" borderId="0" xfId="0" applyNumberFormat="1" applyFont="1" applyFill="1"/>
    <xf numFmtId="43" fontId="13" fillId="0" borderId="0" xfId="0" applyNumberFormat="1" applyFont="1" applyFill="1"/>
    <xf numFmtId="10" fontId="13" fillId="0" borderId="0" xfId="0" applyNumberFormat="1" applyFont="1" applyFill="1"/>
    <xf numFmtId="0" fontId="13" fillId="0" borderId="1" xfId="0" applyFont="1" applyFill="1" applyBorder="1" applyAlignment="1">
      <alignment horizontal="center"/>
    </xf>
    <xf numFmtId="165" fontId="13" fillId="0" borderId="2" xfId="0" applyNumberFormat="1" applyFont="1" applyFill="1" applyBorder="1"/>
    <xf numFmtId="169" fontId="13" fillId="0" borderId="0" xfId="0" applyNumberFormat="1" applyFont="1" applyFill="1"/>
    <xf numFmtId="169" fontId="13" fillId="0" borderId="0" xfId="4" applyNumberFormat="1" applyFont="1" applyFill="1"/>
    <xf numFmtId="10" fontId="13" fillId="0" borderId="0" xfId="4" applyNumberFormat="1" applyFont="1" applyFill="1"/>
    <xf numFmtId="170" fontId="13" fillId="0" borderId="0" xfId="0" applyNumberFormat="1" applyFont="1" applyFill="1"/>
    <xf numFmtId="165" fontId="13" fillId="0" borderId="0" xfId="0" applyNumberFormat="1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165" fontId="13" fillId="0" borderId="3" xfId="0" applyNumberFormat="1" applyFont="1" applyFill="1" applyBorder="1"/>
    <xf numFmtId="165" fontId="13" fillId="0" borderId="4" xfId="0" applyNumberFormat="1" applyFont="1" applyFill="1" applyBorder="1"/>
    <xf numFmtId="9" fontId="13" fillId="0" borderId="4" xfId="0" applyNumberFormat="1" applyFont="1" applyFill="1" applyBorder="1"/>
    <xf numFmtId="169" fontId="14" fillId="0" borderId="4" xfId="0" applyNumberFormat="1" applyFont="1" applyFill="1" applyBorder="1"/>
    <xf numFmtId="3" fontId="16" fillId="0" borderId="0" xfId="0" applyNumberFormat="1" applyFont="1" applyFill="1" applyAlignment="1">
      <alignment vertical="center"/>
    </xf>
    <xf numFmtId="165" fontId="15" fillId="0" borderId="0" xfId="2" applyNumberFormat="1" applyFont="1" applyFill="1"/>
    <xf numFmtId="0" fontId="13" fillId="0" borderId="0" xfId="0" quotePrefix="1" applyFont="1" applyFill="1" applyAlignment="1">
      <alignment horizontal="right"/>
    </xf>
    <xf numFmtId="43" fontId="13" fillId="0" borderId="0" xfId="2" applyNumberFormat="1" applyFont="1" applyFill="1"/>
    <xf numFmtId="171" fontId="5" fillId="0" borderId="0" xfId="2" applyNumberFormat="1" applyFont="1"/>
    <xf numFmtId="171" fontId="5" fillId="0" borderId="1" xfId="0" applyNumberFormat="1" applyFont="1" applyBorder="1"/>
    <xf numFmtId="165" fontId="5" fillId="0" borderId="0" xfId="2" quotePrefix="1" applyNumberFormat="1" applyFont="1" applyAlignment="1">
      <alignment horizontal="right"/>
    </xf>
    <xf numFmtId="10" fontId="5" fillId="0" borderId="0" xfId="4" applyNumberFormat="1" applyFont="1"/>
  </cellXfs>
  <cellStyles count="71">
    <cellStyle name="Comma" xfId="2" builtinId="3"/>
    <cellStyle name="Currency" xfId="3" builtinId="4"/>
    <cellStyle name="Excel Built-in Normal" xfId="6"/>
    <cellStyle name="Excel Built-in Normal 1" xfId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topLeftCell="A68" zoomScale="50" zoomScaleNormal="50" zoomScalePageLayoutView="50" workbookViewId="0">
      <selection activeCell="P103" sqref="P103"/>
    </sheetView>
  </sheetViews>
  <sheetFormatPr defaultColWidth="8.85546875" defaultRowHeight="20.25" x14ac:dyDescent="0.3"/>
  <cols>
    <col min="1" max="1" width="44.140625" style="14" bestFit="1" customWidth="1"/>
    <col min="2" max="2" width="19.140625" style="14" bestFit="1" customWidth="1"/>
    <col min="3" max="5" width="20.140625" style="14" bestFit="1" customWidth="1"/>
    <col min="6" max="6" width="21" style="14" bestFit="1" customWidth="1"/>
    <col min="7" max="11" width="20.140625" style="14" bestFit="1" customWidth="1"/>
    <col min="12" max="12" width="22.42578125" style="14" bestFit="1" customWidth="1"/>
    <col min="13" max="13" width="13" style="14" bestFit="1" customWidth="1"/>
    <col min="14" max="14" width="15.85546875" style="14" customWidth="1"/>
    <col min="15" max="15" width="19.140625" style="14" customWidth="1"/>
    <col min="16" max="16" width="12.140625" style="14" customWidth="1"/>
    <col min="17" max="17" width="15.140625" style="14" bestFit="1" customWidth="1"/>
    <col min="18" max="18" width="12.85546875" style="14" bestFit="1" customWidth="1"/>
    <col min="19" max="16384" width="8.85546875" style="14"/>
  </cols>
  <sheetData>
    <row r="1" spans="1:17" x14ac:dyDescent="0.3">
      <c r="C1" s="14">
        <v>2014</v>
      </c>
      <c r="D1" s="14">
        <v>2015</v>
      </c>
      <c r="E1" s="14">
        <v>2016</v>
      </c>
      <c r="F1" s="14">
        <v>2017</v>
      </c>
      <c r="G1" s="14">
        <v>2018</v>
      </c>
      <c r="H1" s="14">
        <v>2019</v>
      </c>
      <c r="I1" s="14">
        <v>2020</v>
      </c>
      <c r="J1" s="14">
        <v>2021</v>
      </c>
      <c r="K1" s="14">
        <v>2022</v>
      </c>
      <c r="L1" s="14">
        <v>2023</v>
      </c>
    </row>
    <row r="2" spans="1:17" x14ac:dyDescent="0.3">
      <c r="A2" s="15" t="s">
        <v>34</v>
      </c>
      <c r="B2" s="16"/>
      <c r="C2" s="16"/>
      <c r="D2" s="16"/>
      <c r="E2" s="16"/>
      <c r="F2" s="16"/>
      <c r="G2" s="16"/>
      <c r="H2" s="16"/>
      <c r="I2" s="16"/>
    </row>
    <row r="3" spans="1:17" x14ac:dyDescent="0.3">
      <c r="A3" s="16" t="s">
        <v>58</v>
      </c>
      <c r="B3" s="16"/>
      <c r="C3" s="17">
        <f>67*365</f>
        <v>24455</v>
      </c>
      <c r="D3" s="17">
        <f t="shared" ref="D3:F12" si="0">(1+$M3)*C3</f>
        <v>25188.65</v>
      </c>
      <c r="E3" s="17">
        <f t="shared" si="0"/>
        <v>25944.309500000003</v>
      </c>
      <c r="F3" s="18">
        <f t="shared" si="0"/>
        <v>26722.638785000003</v>
      </c>
      <c r="G3" s="18">
        <f t="shared" ref="G3:L3" si="1">(1+$M3)*F3</f>
        <v>27524.317948550004</v>
      </c>
      <c r="H3" s="18">
        <f t="shared" si="1"/>
        <v>28350.047487006505</v>
      </c>
      <c r="I3" s="18">
        <f t="shared" si="1"/>
        <v>29200.548911616701</v>
      </c>
      <c r="J3" s="18">
        <f t="shared" si="1"/>
        <v>30076.565378965202</v>
      </c>
      <c r="K3" s="18">
        <f t="shared" si="1"/>
        <v>30978.862340334159</v>
      </c>
      <c r="L3" s="18">
        <f t="shared" si="1"/>
        <v>31908.228210544185</v>
      </c>
      <c r="M3" s="19">
        <v>0.03</v>
      </c>
      <c r="N3" s="16" t="s">
        <v>35</v>
      </c>
      <c r="O3" s="16"/>
    </row>
    <row r="4" spans="1:17" x14ac:dyDescent="0.3">
      <c r="A4" s="16" t="s">
        <v>59</v>
      </c>
      <c r="B4" s="16"/>
      <c r="C4" s="17">
        <f>C3</f>
        <v>24455</v>
      </c>
      <c r="D4" s="17">
        <f t="shared" si="0"/>
        <v>24944.100000000002</v>
      </c>
      <c r="E4" s="17">
        <f t="shared" si="0"/>
        <v>25442.982000000004</v>
      </c>
      <c r="F4" s="17">
        <f t="shared" si="0"/>
        <v>25951.841640000002</v>
      </c>
      <c r="G4" s="17">
        <f t="shared" ref="G4:L4" si="2">(1+$M4)*F4</f>
        <v>26470.878472800003</v>
      </c>
      <c r="H4" s="17">
        <f t="shared" si="2"/>
        <v>27000.296042256003</v>
      </c>
      <c r="I4" s="17">
        <f t="shared" si="2"/>
        <v>27540.301963101123</v>
      </c>
      <c r="J4" s="17">
        <f t="shared" si="2"/>
        <v>28091.108002363148</v>
      </c>
      <c r="K4" s="17">
        <f t="shared" si="2"/>
        <v>28652.930162410412</v>
      </c>
      <c r="L4" s="17">
        <f t="shared" si="2"/>
        <v>29225.988765658622</v>
      </c>
      <c r="M4" s="19">
        <v>0.02</v>
      </c>
      <c r="N4" s="16" t="s">
        <v>35</v>
      </c>
      <c r="O4" s="16"/>
    </row>
    <row r="5" spans="1:17" x14ac:dyDescent="0.3">
      <c r="A5" s="16" t="s">
        <v>61</v>
      </c>
      <c r="B5" s="16"/>
      <c r="C5" s="17">
        <f>46*365</f>
        <v>16790</v>
      </c>
      <c r="D5" s="17">
        <f t="shared" ref="D5:L7" si="3">(1+$M5)*C5</f>
        <v>17125.8</v>
      </c>
      <c r="E5" s="17">
        <f t="shared" si="3"/>
        <v>17468.315999999999</v>
      </c>
      <c r="F5" s="17">
        <f t="shared" si="3"/>
        <v>17817.68232</v>
      </c>
      <c r="G5" s="17">
        <f t="shared" si="3"/>
        <v>18174.035966399999</v>
      </c>
      <c r="H5" s="17">
        <f t="shared" si="3"/>
        <v>18537.516685727998</v>
      </c>
      <c r="I5" s="17">
        <f t="shared" si="3"/>
        <v>18908.267019442559</v>
      </c>
      <c r="J5" s="17">
        <f t="shared" si="3"/>
        <v>19286.432359831411</v>
      </c>
      <c r="K5" s="17">
        <f t="shared" si="3"/>
        <v>19672.16100702804</v>
      </c>
      <c r="L5" s="17">
        <f t="shared" si="3"/>
        <v>20065.604227168602</v>
      </c>
      <c r="M5" s="19">
        <v>0.02</v>
      </c>
      <c r="N5" s="16" t="s">
        <v>35</v>
      </c>
      <c r="O5" s="16"/>
    </row>
    <row r="6" spans="1:17" x14ac:dyDescent="0.3">
      <c r="A6" s="16" t="s">
        <v>60</v>
      </c>
      <c r="B6" s="16"/>
      <c r="C6" s="17">
        <f>C4</f>
        <v>24455</v>
      </c>
      <c r="D6" s="17">
        <f t="shared" si="3"/>
        <v>24944.100000000002</v>
      </c>
      <c r="E6" s="17">
        <f t="shared" si="3"/>
        <v>25442.982000000004</v>
      </c>
      <c r="F6" s="17">
        <f t="shared" si="3"/>
        <v>25951.841640000002</v>
      </c>
      <c r="G6" s="17">
        <f t="shared" si="3"/>
        <v>26470.878472800003</v>
      </c>
      <c r="H6" s="17">
        <f t="shared" si="3"/>
        <v>27000.296042256003</v>
      </c>
      <c r="I6" s="17">
        <f t="shared" si="3"/>
        <v>27540.301963101123</v>
      </c>
      <c r="J6" s="17">
        <f t="shared" si="3"/>
        <v>28091.108002363148</v>
      </c>
      <c r="K6" s="17">
        <f t="shared" si="3"/>
        <v>28652.930162410412</v>
      </c>
      <c r="L6" s="17">
        <f t="shared" si="3"/>
        <v>29225.988765658622</v>
      </c>
      <c r="M6" s="19">
        <v>0.02</v>
      </c>
      <c r="N6" s="16" t="s">
        <v>35</v>
      </c>
      <c r="O6" s="16"/>
    </row>
    <row r="7" spans="1:17" x14ac:dyDescent="0.3">
      <c r="A7" s="16" t="s">
        <v>62</v>
      </c>
      <c r="B7" s="16"/>
      <c r="C7" s="17">
        <v>356</v>
      </c>
      <c r="D7" s="17">
        <f t="shared" si="3"/>
        <v>363.12</v>
      </c>
      <c r="E7" s="17">
        <f t="shared" si="3"/>
        <v>370.38240000000002</v>
      </c>
      <c r="F7" s="17">
        <f t="shared" si="3"/>
        <v>377.79004800000001</v>
      </c>
      <c r="G7" s="17">
        <f t="shared" si="3"/>
        <v>385.34584896000001</v>
      </c>
      <c r="H7" s="17">
        <f t="shared" si="3"/>
        <v>393.05276593920001</v>
      </c>
      <c r="I7" s="17">
        <f t="shared" si="3"/>
        <v>400.91382125798401</v>
      </c>
      <c r="J7" s="17">
        <f t="shared" si="3"/>
        <v>408.9320976831437</v>
      </c>
      <c r="K7" s="17">
        <f t="shared" si="3"/>
        <v>417.11073963680656</v>
      </c>
      <c r="L7" s="17">
        <f t="shared" si="3"/>
        <v>425.45295442954267</v>
      </c>
      <c r="M7" s="19">
        <v>0.02</v>
      </c>
      <c r="N7" s="16" t="s">
        <v>35</v>
      </c>
      <c r="O7" s="16"/>
    </row>
    <row r="8" spans="1:17" x14ac:dyDescent="0.3">
      <c r="A8" s="16" t="s">
        <v>63</v>
      </c>
      <c r="B8" s="16"/>
      <c r="C8" s="21">
        <v>3.2</v>
      </c>
      <c r="D8" s="20">
        <f t="shared" ref="D8:L10" si="4">(1+$M8)*C8</f>
        <v>3.2640000000000002</v>
      </c>
      <c r="E8" s="20">
        <f t="shared" si="4"/>
        <v>3.3292800000000002</v>
      </c>
      <c r="F8" s="20">
        <f t="shared" si="4"/>
        <v>3.3958656000000005</v>
      </c>
      <c r="G8" s="20">
        <f t="shared" si="4"/>
        <v>3.4637829120000005</v>
      </c>
      <c r="H8" s="20">
        <f t="shared" si="4"/>
        <v>3.5330585702400006</v>
      </c>
      <c r="I8" s="20">
        <f t="shared" si="4"/>
        <v>3.6037197416448006</v>
      </c>
      <c r="J8" s="20">
        <f t="shared" si="4"/>
        <v>3.6757941364776965</v>
      </c>
      <c r="K8" s="20">
        <f t="shared" si="4"/>
        <v>3.7493100192072504</v>
      </c>
      <c r="L8" s="20">
        <f t="shared" si="4"/>
        <v>3.8242962195913957</v>
      </c>
      <c r="M8" s="19">
        <v>0.02</v>
      </c>
      <c r="N8" s="16"/>
      <c r="O8" s="16"/>
    </row>
    <row r="9" spans="1:17" x14ac:dyDescent="0.3">
      <c r="A9" s="16" t="s">
        <v>64</v>
      </c>
      <c r="B9" s="16"/>
      <c r="C9" s="21">
        <v>6.5</v>
      </c>
      <c r="D9" s="20">
        <f t="shared" si="4"/>
        <v>6.63</v>
      </c>
      <c r="E9" s="20">
        <f t="shared" si="4"/>
        <v>6.7625999999999999</v>
      </c>
      <c r="F9" s="20">
        <f t="shared" si="4"/>
        <v>6.8978520000000003</v>
      </c>
      <c r="G9" s="20">
        <f t="shared" si="4"/>
        <v>7.0358090400000002</v>
      </c>
      <c r="H9" s="20">
        <f t="shared" si="4"/>
        <v>7.1765252208000003</v>
      </c>
      <c r="I9" s="20">
        <f t="shared" si="4"/>
        <v>7.3200557252160001</v>
      </c>
      <c r="J9" s="20">
        <f t="shared" si="4"/>
        <v>7.4664568397203199</v>
      </c>
      <c r="K9" s="20">
        <f t="shared" si="4"/>
        <v>7.6157859765147267</v>
      </c>
      <c r="L9" s="20">
        <f t="shared" si="4"/>
        <v>7.7681016960450213</v>
      </c>
      <c r="M9" s="19">
        <v>0.02</v>
      </c>
      <c r="N9" s="16"/>
      <c r="O9" s="16"/>
    </row>
    <row r="10" spans="1:17" x14ac:dyDescent="0.3">
      <c r="A10" s="16" t="s">
        <v>65</v>
      </c>
      <c r="B10" s="16"/>
      <c r="C10" s="17">
        <v>3</v>
      </c>
      <c r="D10" s="20">
        <f t="shared" si="4"/>
        <v>3.06</v>
      </c>
      <c r="E10" s="20">
        <f t="shared" si="4"/>
        <v>3.1212</v>
      </c>
      <c r="F10" s="20">
        <f t="shared" si="4"/>
        <v>3.183624</v>
      </c>
      <c r="G10" s="20">
        <f t="shared" si="4"/>
        <v>3.2472964800000002</v>
      </c>
      <c r="H10" s="20">
        <f t="shared" si="4"/>
        <v>3.3122424096</v>
      </c>
      <c r="I10" s="20">
        <f t="shared" si="4"/>
        <v>3.378487257792</v>
      </c>
      <c r="J10" s="20">
        <f t="shared" si="4"/>
        <v>3.4460570029478399</v>
      </c>
      <c r="K10" s="20">
        <f t="shared" si="4"/>
        <v>3.5149781430067968</v>
      </c>
      <c r="L10" s="20">
        <f t="shared" si="4"/>
        <v>3.585277705866933</v>
      </c>
      <c r="M10" s="19">
        <v>0.02</v>
      </c>
      <c r="N10" s="16"/>
      <c r="O10" s="16"/>
    </row>
    <row r="11" spans="1:17" x14ac:dyDescent="0.3">
      <c r="A11" s="16" t="s">
        <v>66</v>
      </c>
      <c r="B11" s="16"/>
      <c r="C11" s="20">
        <v>5</v>
      </c>
      <c r="D11" s="20">
        <f>(1+$M11)*C11</f>
        <v>5.15</v>
      </c>
      <c r="E11" s="20">
        <f t="shared" ref="E11:L11" si="5">(1+$M11)*D11</f>
        <v>5.3045000000000009</v>
      </c>
      <c r="F11" s="20">
        <f t="shared" si="5"/>
        <v>5.4636350000000009</v>
      </c>
      <c r="G11" s="20">
        <f t="shared" si="5"/>
        <v>5.6275440500000009</v>
      </c>
      <c r="H11" s="20">
        <f t="shared" si="5"/>
        <v>5.796370371500001</v>
      </c>
      <c r="I11" s="20">
        <f t="shared" si="5"/>
        <v>5.9702614826450011</v>
      </c>
      <c r="J11" s="20">
        <f t="shared" si="5"/>
        <v>6.1493693271243517</v>
      </c>
      <c r="K11" s="20">
        <f t="shared" si="5"/>
        <v>6.3338504069380823</v>
      </c>
      <c r="L11" s="20">
        <f t="shared" si="5"/>
        <v>6.5238659191462247</v>
      </c>
      <c r="M11" s="19">
        <v>0.03</v>
      </c>
      <c r="N11" s="16" t="s">
        <v>35</v>
      </c>
      <c r="O11" s="16"/>
      <c r="Q11" s="14" t="s">
        <v>54</v>
      </c>
    </row>
    <row r="12" spans="1:17" x14ac:dyDescent="0.3">
      <c r="A12" s="22" t="s">
        <v>67</v>
      </c>
      <c r="B12" s="16"/>
      <c r="C12" s="16">
        <v>22</v>
      </c>
      <c r="D12" s="20">
        <f t="shared" si="0"/>
        <v>22.44</v>
      </c>
      <c r="E12" s="20">
        <f t="shared" ref="E12:L12" si="6">(1+$M12)*D12</f>
        <v>22.888800000000003</v>
      </c>
      <c r="F12" s="20">
        <f t="shared" si="6"/>
        <v>23.346576000000002</v>
      </c>
      <c r="G12" s="20">
        <f t="shared" si="6"/>
        <v>23.813507520000002</v>
      </c>
      <c r="H12" s="20">
        <f t="shared" si="6"/>
        <v>24.289777670400003</v>
      </c>
      <c r="I12" s="20">
        <f t="shared" si="6"/>
        <v>24.775573223808003</v>
      </c>
      <c r="J12" s="20">
        <f t="shared" si="6"/>
        <v>25.271084688284162</v>
      </c>
      <c r="K12" s="20">
        <f t="shared" si="6"/>
        <v>25.776506382049845</v>
      </c>
      <c r="L12" s="20">
        <f t="shared" si="6"/>
        <v>26.292036509690842</v>
      </c>
      <c r="M12" s="16">
        <v>0.02</v>
      </c>
      <c r="N12" s="16"/>
      <c r="O12" s="16"/>
      <c r="Q12" s="14" t="s">
        <v>55</v>
      </c>
    </row>
    <row r="13" spans="1:17" x14ac:dyDescent="0.3">
      <c r="A13" s="16"/>
      <c r="B13" s="16"/>
      <c r="C13" s="16"/>
      <c r="D13" s="16"/>
      <c r="E13" s="16"/>
      <c r="F13" s="16"/>
      <c r="M13" s="16"/>
      <c r="N13" s="16"/>
      <c r="O13" s="16"/>
      <c r="Q13" s="14" t="s">
        <v>56</v>
      </c>
    </row>
    <row r="14" spans="1:17" x14ac:dyDescent="0.3">
      <c r="A14" s="15" t="s">
        <v>36</v>
      </c>
      <c r="B14" s="16"/>
      <c r="M14" s="16"/>
      <c r="N14" s="16"/>
      <c r="O14" s="16"/>
      <c r="Q14" s="14" t="s">
        <v>57</v>
      </c>
    </row>
    <row r="15" spans="1:17" x14ac:dyDescent="0.3">
      <c r="A15" s="16" t="s">
        <v>77</v>
      </c>
      <c r="B15" s="16"/>
      <c r="C15" s="16">
        <v>3</v>
      </c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16">
        <v>3</v>
      </c>
      <c r="L15" s="16">
        <v>3</v>
      </c>
      <c r="M15" s="23">
        <v>-0.01</v>
      </c>
      <c r="N15" s="16" t="s">
        <v>35</v>
      </c>
      <c r="O15" s="16"/>
    </row>
    <row r="16" spans="1:17" x14ac:dyDescent="0.3">
      <c r="A16" s="16" t="s">
        <v>38</v>
      </c>
      <c r="B16" s="16"/>
      <c r="C16" s="24">
        <v>3</v>
      </c>
      <c r="D16" s="24">
        <f t="shared" ref="D16:L16" si="7">(1+$M15)*C16</f>
        <v>2.9699999999999998</v>
      </c>
      <c r="E16" s="24">
        <f t="shared" si="7"/>
        <v>2.9402999999999997</v>
      </c>
      <c r="F16" s="24">
        <f t="shared" si="7"/>
        <v>2.9108969999999998</v>
      </c>
      <c r="G16" s="24">
        <f t="shared" si="7"/>
        <v>2.8817880299999996</v>
      </c>
      <c r="H16" s="24">
        <f t="shared" si="7"/>
        <v>2.8529701496999995</v>
      </c>
      <c r="I16" s="24">
        <f t="shared" si="7"/>
        <v>2.8244404482029997</v>
      </c>
      <c r="J16" s="24">
        <f t="shared" si="7"/>
        <v>2.7961960437209696</v>
      </c>
      <c r="K16" s="24">
        <f t="shared" si="7"/>
        <v>2.76823408328376</v>
      </c>
      <c r="L16" s="24">
        <f t="shared" si="7"/>
        <v>2.7405517424509225</v>
      </c>
      <c r="M16" s="23"/>
      <c r="N16" s="16"/>
      <c r="O16" s="16"/>
    </row>
    <row r="17" spans="1:15" x14ac:dyDescent="0.3">
      <c r="A17" s="16" t="s">
        <v>78</v>
      </c>
      <c r="B17" s="16"/>
      <c r="C17" s="24">
        <f>365/C16</f>
        <v>121.66666666666667</v>
      </c>
      <c r="D17" s="24">
        <f>365/D16</f>
        <v>122.89562289562291</v>
      </c>
      <c r="E17" s="24">
        <f>365/E16</f>
        <v>124.13699282386152</v>
      </c>
      <c r="F17" s="24">
        <f>365/F16</f>
        <v>125.39090184228436</v>
      </c>
      <c r="G17" s="24">
        <f t="shared" ref="G17:L17" si="8">365/G16</f>
        <v>126.65747660836806</v>
      </c>
      <c r="H17" s="24">
        <f t="shared" si="8"/>
        <v>127.93684505895763</v>
      </c>
      <c r="I17" s="24">
        <f t="shared" si="8"/>
        <v>129.22913642318952</v>
      </c>
      <c r="J17" s="24">
        <f t="shared" si="8"/>
        <v>130.53448123554497</v>
      </c>
      <c r="K17" s="24">
        <f t="shared" si="8"/>
        <v>131.85301134903531</v>
      </c>
      <c r="L17" s="24">
        <f t="shared" si="8"/>
        <v>133.18485994852051</v>
      </c>
      <c r="M17" s="16"/>
      <c r="N17" s="16"/>
      <c r="O17" s="16"/>
    </row>
    <row r="18" spans="1:15" x14ac:dyDescent="0.3">
      <c r="A18" s="16" t="s">
        <v>37</v>
      </c>
      <c r="B18" s="16"/>
      <c r="C18" s="17">
        <v>30</v>
      </c>
      <c r="D18" s="17">
        <v>30</v>
      </c>
      <c r="E18" s="17">
        <v>30</v>
      </c>
      <c r="F18" s="17">
        <v>30</v>
      </c>
      <c r="G18" s="17">
        <v>30</v>
      </c>
      <c r="H18" s="17">
        <v>30</v>
      </c>
      <c r="I18" s="17">
        <v>30</v>
      </c>
      <c r="J18" s="17">
        <v>30</v>
      </c>
      <c r="K18" s="17">
        <v>30</v>
      </c>
      <c r="L18" s="17">
        <v>30</v>
      </c>
    </row>
    <row r="19" spans="1:15" x14ac:dyDescent="0.3">
      <c r="A19" s="16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5" x14ac:dyDescent="0.3">
      <c r="A20" s="14" t="s">
        <v>0</v>
      </c>
    </row>
    <row r="21" spans="1:15" x14ac:dyDescent="0.3">
      <c r="A21" s="14" t="s">
        <v>68</v>
      </c>
      <c r="C21" s="25">
        <f>C3*C8</f>
        <v>78256</v>
      </c>
      <c r="D21" s="25">
        <f t="shared" ref="D21:L21" si="9">D3*D8</f>
        <v>82215.753600000011</v>
      </c>
      <c r="E21" s="25">
        <f t="shared" si="9"/>
        <v>86375.870732160023</v>
      </c>
      <c r="F21" s="25">
        <f t="shared" si="9"/>
        <v>90746.489791207321</v>
      </c>
      <c r="G21" s="25">
        <f t="shared" si="9"/>
        <v>95338.262174642412</v>
      </c>
      <c r="H21" s="25">
        <f t="shared" si="9"/>
        <v>100162.37824067932</v>
      </c>
      <c r="I21" s="25">
        <f t="shared" si="9"/>
        <v>105230.5945796577</v>
      </c>
      <c r="J21" s="25">
        <f t="shared" si="9"/>
        <v>110555.26266538838</v>
      </c>
      <c r="K21" s="25">
        <f t="shared" si="9"/>
        <v>116149.35895625703</v>
      </c>
      <c r="L21" s="25">
        <f t="shared" si="9"/>
        <v>122026.51651944364</v>
      </c>
      <c r="M21" s="14">
        <v>1.6</v>
      </c>
      <c r="N21" s="14" t="s">
        <v>39</v>
      </c>
    </row>
    <row r="22" spans="1:15" x14ac:dyDescent="0.3">
      <c r="A22" s="22" t="s">
        <v>69</v>
      </c>
      <c r="C22" s="25">
        <f>C4*C9</f>
        <v>158957.5</v>
      </c>
      <c r="D22" s="25">
        <f t="shared" ref="D22:L22" si="10">D4*D9</f>
        <v>165379.383</v>
      </c>
      <c r="E22" s="25">
        <f t="shared" si="10"/>
        <v>172060.71007320003</v>
      </c>
      <c r="F22" s="25">
        <f t="shared" si="10"/>
        <v>179011.9627601573</v>
      </c>
      <c r="G22" s="25">
        <f t="shared" si="10"/>
        <v>186244.04605566766</v>
      </c>
      <c r="H22" s="25">
        <f t="shared" si="10"/>
        <v>193768.30551631664</v>
      </c>
      <c r="I22" s="25">
        <f t="shared" si="10"/>
        <v>201596.54505917581</v>
      </c>
      <c r="J22" s="25">
        <f t="shared" si="10"/>
        <v>209741.04547956653</v>
      </c>
      <c r="K22" s="25">
        <f t="shared" si="10"/>
        <v>218214.58371694104</v>
      </c>
      <c r="L22" s="25">
        <f t="shared" si="10"/>
        <v>227030.45289910547</v>
      </c>
    </row>
    <row r="23" spans="1:15" x14ac:dyDescent="0.3">
      <c r="A23" s="22" t="s">
        <v>70</v>
      </c>
      <c r="C23" s="25">
        <f t="shared" ref="C23:L25" si="11">C5*C10</f>
        <v>50370</v>
      </c>
      <c r="D23" s="25">
        <f t="shared" si="11"/>
        <v>52404.947999999997</v>
      </c>
      <c r="E23" s="25">
        <f t="shared" si="11"/>
        <v>54522.107899199997</v>
      </c>
      <c r="F23" s="25">
        <f t="shared" si="11"/>
        <v>56724.801058327677</v>
      </c>
      <c r="G23" s="25">
        <f t="shared" si="11"/>
        <v>59016.483021084117</v>
      </c>
      <c r="H23" s="25">
        <f t="shared" si="11"/>
        <v>61400.748935135911</v>
      </c>
      <c r="I23" s="25">
        <f t="shared" si="11"/>
        <v>63881.339192115403</v>
      </c>
      <c r="J23" s="25">
        <f t="shared" si="11"/>
        <v>66462.145295476876</v>
      </c>
      <c r="K23" s="25">
        <f t="shared" si="11"/>
        <v>69147.215965414143</v>
      </c>
      <c r="L23" s="25">
        <f t="shared" si="11"/>
        <v>71940.763490416881</v>
      </c>
    </row>
    <row r="24" spans="1:15" x14ac:dyDescent="0.3">
      <c r="A24" s="22" t="s">
        <v>71</v>
      </c>
      <c r="C24" s="25">
        <f t="shared" si="11"/>
        <v>122275</v>
      </c>
      <c r="D24" s="25">
        <f t="shared" si="11"/>
        <v>128462.11500000002</v>
      </c>
      <c r="E24" s="25">
        <f t="shared" si="11"/>
        <v>134962.29801900004</v>
      </c>
      <c r="F24" s="25">
        <f t="shared" si="11"/>
        <v>141791.39029876143</v>
      </c>
      <c r="G24" s="25">
        <f t="shared" si="11"/>
        <v>148966.03464787875</v>
      </c>
      <c r="H24" s="25">
        <f t="shared" si="11"/>
        <v>156503.71600106143</v>
      </c>
      <c r="I24" s="25">
        <f t="shared" si="11"/>
        <v>164422.80403071514</v>
      </c>
      <c r="J24" s="25">
        <f t="shared" si="11"/>
        <v>172742.59791466937</v>
      </c>
      <c r="K24" s="25">
        <f t="shared" si="11"/>
        <v>181483.37336915164</v>
      </c>
      <c r="L24" s="25">
        <f t="shared" si="11"/>
        <v>190666.43206163071</v>
      </c>
    </row>
    <row r="25" spans="1:15" x14ac:dyDescent="0.3">
      <c r="A25" s="22" t="s">
        <v>72</v>
      </c>
      <c r="C25" s="25">
        <f t="shared" si="11"/>
        <v>7832</v>
      </c>
      <c r="D25" s="25">
        <f t="shared" si="11"/>
        <v>8148.412800000001</v>
      </c>
      <c r="E25" s="25">
        <f t="shared" si="11"/>
        <v>8477.6086771200025</v>
      </c>
      <c r="F25" s="25">
        <f t="shared" si="11"/>
        <v>8820.1040676756493</v>
      </c>
      <c r="G25" s="25">
        <f t="shared" si="11"/>
        <v>9176.4362720097452</v>
      </c>
      <c r="H25" s="25">
        <f t="shared" si="11"/>
        <v>9547.1642973989401</v>
      </c>
      <c r="I25" s="25">
        <f t="shared" si="11"/>
        <v>9932.8697350138555</v>
      </c>
      <c r="J25" s="25">
        <f t="shared" si="11"/>
        <v>10334.157672308416</v>
      </c>
      <c r="K25" s="25">
        <f t="shared" si="11"/>
        <v>10751.657642269676</v>
      </c>
      <c r="L25" s="25">
        <f t="shared" si="11"/>
        <v>11186.02461101737</v>
      </c>
    </row>
    <row r="26" spans="1:15" x14ac:dyDescent="0.3">
      <c r="A26" s="14" t="s">
        <v>1</v>
      </c>
      <c r="C26" s="25">
        <f>(SUM(C21:C25))*$M$26</f>
        <v>250614.3</v>
      </c>
      <c r="D26" s="25">
        <f t="shared" ref="D26:L26" si="12">(SUM(D21:D25))*$M$26</f>
        <v>261966.36744</v>
      </c>
      <c r="E26" s="25">
        <f t="shared" si="12"/>
        <v>273839.15724040807</v>
      </c>
      <c r="F26" s="25">
        <f t="shared" si="12"/>
        <v>286256.84878567758</v>
      </c>
      <c r="G26" s="25">
        <f t="shared" si="12"/>
        <v>299244.75730276958</v>
      </c>
      <c r="H26" s="25">
        <f t="shared" si="12"/>
        <v>312829.38779435534</v>
      </c>
      <c r="I26" s="25">
        <f t="shared" si="12"/>
        <v>327038.49155800673</v>
      </c>
      <c r="J26" s="25">
        <f t="shared" si="12"/>
        <v>341901.12541644572</v>
      </c>
      <c r="K26" s="25">
        <f t="shared" si="12"/>
        <v>357447.71379002009</v>
      </c>
      <c r="L26" s="25">
        <f t="shared" si="12"/>
        <v>373710.1137489684</v>
      </c>
      <c r="M26" s="14">
        <v>0.6</v>
      </c>
      <c r="N26" s="14" t="s">
        <v>96</v>
      </c>
    </row>
    <row r="29" spans="1:15" x14ac:dyDescent="0.3">
      <c r="A29" s="14" t="s">
        <v>2</v>
      </c>
    </row>
    <row r="30" spans="1:15" x14ac:dyDescent="0.3">
      <c r="A30" s="14" t="s">
        <v>76</v>
      </c>
      <c r="C30" s="14">
        <v>4800</v>
      </c>
      <c r="D30" s="26">
        <f>C30*(1+$M$30)</f>
        <v>4944</v>
      </c>
      <c r="E30" s="26">
        <f t="shared" ref="E30:L30" si="13">D30*(1+$M$30)</f>
        <v>5092.32</v>
      </c>
      <c r="F30" s="26">
        <f t="shared" si="13"/>
        <v>5245.0896000000002</v>
      </c>
      <c r="G30" s="26">
        <f t="shared" si="13"/>
        <v>5402.4422880000002</v>
      </c>
      <c r="H30" s="26">
        <f t="shared" si="13"/>
        <v>5564.5155566399999</v>
      </c>
      <c r="I30" s="26">
        <f t="shared" si="13"/>
        <v>5731.4510233392002</v>
      </c>
      <c r="J30" s="26">
        <f t="shared" si="13"/>
        <v>5903.3945540393761</v>
      </c>
      <c r="K30" s="26">
        <f t="shared" si="13"/>
        <v>6080.4963906605572</v>
      </c>
      <c r="L30" s="26">
        <f t="shared" si="13"/>
        <v>6262.9112823803744</v>
      </c>
      <c r="M30" s="19">
        <v>0.03</v>
      </c>
      <c r="N30" s="14" t="s">
        <v>35</v>
      </c>
    </row>
    <row r="31" spans="1:15" x14ac:dyDescent="0.3">
      <c r="A31" s="14" t="s">
        <v>75</v>
      </c>
      <c r="C31" s="27">
        <v>700</v>
      </c>
      <c r="D31" s="26">
        <f>C31*(1+$M$31)</f>
        <v>721</v>
      </c>
      <c r="E31" s="26">
        <f t="shared" ref="E31:L31" si="14">D31*(1+$M$31)</f>
        <v>742.63</v>
      </c>
      <c r="F31" s="26">
        <f t="shared" si="14"/>
        <v>764.90890000000002</v>
      </c>
      <c r="G31" s="26">
        <f t="shared" si="14"/>
        <v>787.85616700000003</v>
      </c>
      <c r="H31" s="26">
        <f t="shared" si="14"/>
        <v>811.49185201</v>
      </c>
      <c r="I31" s="26">
        <f t="shared" si="14"/>
        <v>835.83660757029998</v>
      </c>
      <c r="J31" s="26">
        <f t="shared" si="14"/>
        <v>860.91170579740901</v>
      </c>
      <c r="K31" s="26">
        <f t="shared" si="14"/>
        <v>886.73905697133125</v>
      </c>
      <c r="L31" s="26">
        <f t="shared" si="14"/>
        <v>913.3412286804712</v>
      </c>
      <c r="M31" s="19">
        <v>0.03</v>
      </c>
      <c r="N31" s="14" t="s">
        <v>35</v>
      </c>
    </row>
    <row r="32" spans="1:15" x14ac:dyDescent="0.3">
      <c r="A32" s="14" t="s">
        <v>73</v>
      </c>
      <c r="C32" s="27">
        <v>5000</v>
      </c>
      <c r="D32" s="26">
        <f>C32*(1+$M$32)</f>
        <v>5250</v>
      </c>
      <c r="E32" s="26">
        <f t="shared" ref="E32:L32" si="15">D32*(1+$M$32)</f>
        <v>5512.5</v>
      </c>
      <c r="F32" s="26">
        <f t="shared" si="15"/>
        <v>5788.125</v>
      </c>
      <c r="G32" s="26">
        <f t="shared" si="15"/>
        <v>6077.53125</v>
      </c>
      <c r="H32" s="26">
        <f t="shared" si="15"/>
        <v>6381.4078125000005</v>
      </c>
      <c r="I32" s="26">
        <f t="shared" si="15"/>
        <v>6700.4782031250006</v>
      </c>
      <c r="J32" s="26">
        <f t="shared" si="15"/>
        <v>7035.5021132812508</v>
      </c>
      <c r="K32" s="26">
        <f t="shared" si="15"/>
        <v>7387.2772189453135</v>
      </c>
      <c r="L32" s="26">
        <f t="shared" si="15"/>
        <v>7756.6410798925799</v>
      </c>
      <c r="M32" s="19">
        <v>0.05</v>
      </c>
    </row>
    <row r="33" spans="1:15" x14ac:dyDescent="0.3">
      <c r="A33" s="14" t="s">
        <v>74</v>
      </c>
      <c r="C33" s="27">
        <f>(7.25*5)*(50*48)</f>
        <v>87000</v>
      </c>
      <c r="D33" s="26">
        <f>C33*(1+$M$33)</f>
        <v>89610</v>
      </c>
      <c r="E33" s="26">
        <f t="shared" ref="E33:L33" si="16">D33*(1+$M$33)</f>
        <v>92298.3</v>
      </c>
      <c r="F33" s="26">
        <f t="shared" si="16"/>
        <v>95067.249000000011</v>
      </c>
      <c r="G33" s="26">
        <f t="shared" si="16"/>
        <v>97919.266470000017</v>
      </c>
      <c r="H33" s="26">
        <f t="shared" si="16"/>
        <v>100856.84446410002</v>
      </c>
      <c r="I33" s="26">
        <f t="shared" si="16"/>
        <v>103882.54979802303</v>
      </c>
      <c r="J33" s="26">
        <f t="shared" si="16"/>
        <v>106999.02629196372</v>
      </c>
      <c r="K33" s="26">
        <f t="shared" si="16"/>
        <v>110208.99708072263</v>
      </c>
      <c r="L33" s="26">
        <f t="shared" si="16"/>
        <v>113515.26699314432</v>
      </c>
      <c r="M33" s="19">
        <v>0.03</v>
      </c>
    </row>
    <row r="34" spans="1:15" x14ac:dyDescent="0.3">
      <c r="A34" s="14" t="s">
        <v>3</v>
      </c>
      <c r="C34" s="14">
        <v>70000</v>
      </c>
      <c r="D34" s="26">
        <f>C34*(1+$M$34)</f>
        <v>68600</v>
      </c>
      <c r="E34" s="26">
        <f t="shared" ref="E34:L34" si="17">D34*(1+$M$34)</f>
        <v>67228</v>
      </c>
      <c r="F34" s="26">
        <f t="shared" si="17"/>
        <v>65883.44</v>
      </c>
      <c r="G34" s="26">
        <f t="shared" si="17"/>
        <v>64565.771200000003</v>
      </c>
      <c r="H34" s="26">
        <f t="shared" si="17"/>
        <v>63274.455776000003</v>
      </c>
      <c r="I34" s="26">
        <f t="shared" si="17"/>
        <v>62008.96666048</v>
      </c>
      <c r="J34" s="26">
        <f t="shared" si="17"/>
        <v>60768.787327270402</v>
      </c>
      <c r="K34" s="26">
        <f t="shared" si="17"/>
        <v>59553.411580724991</v>
      </c>
      <c r="L34" s="26">
        <f t="shared" si="17"/>
        <v>58362.343349110488</v>
      </c>
      <c r="M34" s="19">
        <v>-0.02</v>
      </c>
    </row>
    <row r="37" spans="1:15" x14ac:dyDescent="0.3">
      <c r="A37" s="14" t="s">
        <v>4</v>
      </c>
      <c r="C37" s="27">
        <f>Mortgage!D14</f>
        <v>8691.3647285118295</v>
      </c>
      <c r="D37" s="27">
        <f>Mortgage!D28</f>
        <v>8559.2703690025282</v>
      </c>
      <c r="E37" s="27">
        <f>Mortgage!D42</f>
        <v>8420.4178113612616</v>
      </c>
      <c r="F37" s="27">
        <f>Mortgage!D56</f>
        <v>8274.46129334533</v>
      </c>
      <c r="G37" s="27">
        <f>Mortgage!D70</f>
        <v>8121.0373628594989</v>
      </c>
      <c r="H37" s="27">
        <f>Mortgage!D84</f>
        <v>7959.7639729095399</v>
      </c>
      <c r="I37" s="27">
        <f>Mortgage!D98</f>
        <v>7790.2395302519171</v>
      </c>
      <c r="J37" s="27">
        <f>Mortgage!D112</f>
        <v>7612.0418953705876</v>
      </c>
      <c r="K37" s="27">
        <f>Mortgage!D126</f>
        <v>7424.7273312906927</v>
      </c>
      <c r="L37" s="27">
        <f>Mortgage!D140</f>
        <v>7227.8293986115814</v>
      </c>
      <c r="M37" s="18"/>
    </row>
    <row r="38" spans="1:15" x14ac:dyDescent="0.3">
      <c r="A38" s="14" t="s">
        <v>93</v>
      </c>
      <c r="C38" s="25">
        <f>(C55/$M$55)+(C54/$M$38)</f>
        <v>16547.619047619046</v>
      </c>
      <c r="D38" s="25">
        <f t="shared" ref="D38:L38" si="18">(D55/$M$55)+(D54/$M$38)</f>
        <v>16547.619047619046</v>
      </c>
      <c r="E38" s="25">
        <f t="shared" si="18"/>
        <v>16547.619047619046</v>
      </c>
      <c r="F38" s="25">
        <f t="shared" si="18"/>
        <v>16547.619047619046</v>
      </c>
      <c r="G38" s="25">
        <f t="shared" si="18"/>
        <v>16547.619047619046</v>
      </c>
      <c r="H38" s="25">
        <f t="shared" si="18"/>
        <v>16547.619047619046</v>
      </c>
      <c r="I38" s="25">
        <f t="shared" si="18"/>
        <v>16547.619047619046</v>
      </c>
      <c r="J38" s="25">
        <f t="shared" si="18"/>
        <v>16547.619047619046</v>
      </c>
      <c r="K38" s="25">
        <f t="shared" si="18"/>
        <v>16547.619047619046</v>
      </c>
      <c r="L38" s="25">
        <f t="shared" si="18"/>
        <v>16547.619047619046</v>
      </c>
      <c r="M38" s="18">
        <v>30</v>
      </c>
      <c r="N38" s="14" t="s">
        <v>53</v>
      </c>
    </row>
    <row r="39" spans="1:15" x14ac:dyDescent="0.3">
      <c r="A39" s="14" t="s">
        <v>94</v>
      </c>
      <c r="C39" s="27">
        <f>C54/M38</f>
        <v>5833.333333333333</v>
      </c>
      <c r="D39" s="27">
        <f>C39</f>
        <v>5833.333333333333</v>
      </c>
      <c r="E39" s="27">
        <f t="shared" ref="E39:L39" si="19">D39</f>
        <v>5833.333333333333</v>
      </c>
      <c r="F39" s="27">
        <f t="shared" si="19"/>
        <v>5833.333333333333</v>
      </c>
      <c r="G39" s="27">
        <f t="shared" si="19"/>
        <v>5833.333333333333</v>
      </c>
      <c r="H39" s="27">
        <f t="shared" si="19"/>
        <v>5833.333333333333</v>
      </c>
      <c r="I39" s="27">
        <f t="shared" si="19"/>
        <v>5833.333333333333</v>
      </c>
      <c r="J39" s="27">
        <f t="shared" si="19"/>
        <v>5833.333333333333</v>
      </c>
      <c r="K39" s="27">
        <f t="shared" si="19"/>
        <v>5833.333333333333</v>
      </c>
      <c r="L39" s="27">
        <f t="shared" si="19"/>
        <v>5833.333333333333</v>
      </c>
    </row>
    <row r="40" spans="1:15" x14ac:dyDescent="0.3">
      <c r="A40" s="14" t="s">
        <v>95</v>
      </c>
      <c r="C40" s="27">
        <f>C55/$M$55</f>
        <v>10714.285714285714</v>
      </c>
      <c r="D40" s="27">
        <f t="shared" ref="D40:L40" si="20">D55/$M$55</f>
        <v>10714.285714285714</v>
      </c>
      <c r="E40" s="27">
        <f t="shared" si="20"/>
        <v>10714.285714285714</v>
      </c>
      <c r="F40" s="27">
        <f t="shared" si="20"/>
        <v>10714.285714285714</v>
      </c>
      <c r="G40" s="27">
        <f t="shared" si="20"/>
        <v>10714.285714285714</v>
      </c>
      <c r="H40" s="27">
        <f t="shared" si="20"/>
        <v>10714.285714285714</v>
      </c>
      <c r="I40" s="27">
        <f t="shared" si="20"/>
        <v>10714.285714285714</v>
      </c>
      <c r="J40" s="27">
        <f t="shared" si="20"/>
        <v>10714.285714285714</v>
      </c>
      <c r="K40" s="27">
        <f t="shared" si="20"/>
        <v>10714.285714285714</v>
      </c>
      <c r="L40" s="27">
        <f t="shared" si="20"/>
        <v>10714.285714285714</v>
      </c>
    </row>
    <row r="41" spans="1:15" x14ac:dyDescent="0.3"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5" x14ac:dyDescent="0.3">
      <c r="A42" s="14" t="s">
        <v>5</v>
      </c>
      <c r="C42" s="25">
        <f>SUM(C21:C25)-SUM(C26:C38)</f>
        <v>-25662.783776130877</v>
      </c>
      <c r="D42" s="25">
        <f t="shared" ref="D42:L42" si="21">SUM(D21:D25)-SUM(D26:D38)</f>
        <v>-19587.64445662155</v>
      </c>
      <c r="E42" s="25">
        <f t="shared" si="21"/>
        <v>-13282.348698708287</v>
      </c>
      <c r="F42" s="25">
        <f t="shared" si="21"/>
        <v>-6732.9936505125952</v>
      </c>
      <c r="G42" s="25">
        <f t="shared" si="21"/>
        <v>74.981083034421317</v>
      </c>
      <c r="H42" s="25">
        <f t="shared" si="21"/>
        <v>7156.8267144582351</v>
      </c>
      <c r="I42" s="25">
        <f t="shared" si="21"/>
        <v>14528.52016826265</v>
      </c>
      <c r="J42" s="25">
        <f t="shared" si="21"/>
        <v>22206.800675622071</v>
      </c>
      <c r="K42" s="25">
        <f t="shared" si="21"/>
        <v>30209.208153078798</v>
      </c>
      <c r="L42" s="25">
        <f t="shared" si="21"/>
        <v>38554.123453206732</v>
      </c>
    </row>
    <row r="43" spans="1:15" x14ac:dyDescent="0.3">
      <c r="A43" s="14" t="s">
        <v>6</v>
      </c>
      <c r="C43" s="27">
        <f t="shared" ref="C43:L43" si="22">IF(C42&lt;0,0,C42*$M$43)</f>
        <v>0</v>
      </c>
      <c r="D43" s="27">
        <f t="shared" si="22"/>
        <v>0</v>
      </c>
      <c r="E43" s="27">
        <f t="shared" si="22"/>
        <v>0</v>
      </c>
      <c r="F43" s="27">
        <f t="shared" si="22"/>
        <v>0</v>
      </c>
      <c r="G43" s="27">
        <f t="shared" si="22"/>
        <v>18.745270758605329</v>
      </c>
      <c r="H43" s="27">
        <f t="shared" si="22"/>
        <v>1789.2066786145588</v>
      </c>
      <c r="I43" s="27">
        <f t="shared" si="22"/>
        <v>3632.1300420656626</v>
      </c>
      <c r="J43" s="27">
        <f t="shared" si="22"/>
        <v>5551.7001689055178</v>
      </c>
      <c r="K43" s="27">
        <f t="shared" si="22"/>
        <v>7552.3020382696996</v>
      </c>
      <c r="L43" s="27">
        <f t="shared" si="22"/>
        <v>9638.530863301683</v>
      </c>
      <c r="M43" s="29">
        <v>0.25</v>
      </c>
      <c r="N43" s="14" t="s">
        <v>52</v>
      </c>
      <c r="O43" s="25"/>
    </row>
    <row r="44" spans="1:15" x14ac:dyDescent="0.3">
      <c r="A44" s="14" t="s">
        <v>7</v>
      </c>
      <c r="C44" s="25">
        <f>C42-C43</f>
        <v>-25662.783776130877</v>
      </c>
      <c r="D44" s="25">
        <f t="shared" ref="D44:L44" si="23">D42-D43</f>
        <v>-19587.64445662155</v>
      </c>
      <c r="E44" s="25">
        <f t="shared" si="23"/>
        <v>-13282.348698708287</v>
      </c>
      <c r="F44" s="25">
        <f t="shared" si="23"/>
        <v>-6732.9936505125952</v>
      </c>
      <c r="G44" s="25">
        <f t="shared" si="23"/>
        <v>56.235812275815988</v>
      </c>
      <c r="H44" s="25">
        <f t="shared" si="23"/>
        <v>5367.6200358436763</v>
      </c>
      <c r="I44" s="25">
        <f t="shared" si="23"/>
        <v>10896.390126196988</v>
      </c>
      <c r="J44" s="25">
        <f t="shared" si="23"/>
        <v>16655.100506716553</v>
      </c>
      <c r="K44" s="25">
        <f t="shared" si="23"/>
        <v>22656.906114809099</v>
      </c>
      <c r="L44" s="25">
        <f t="shared" si="23"/>
        <v>28915.592589905049</v>
      </c>
    </row>
    <row r="46" spans="1:15" x14ac:dyDescent="0.3">
      <c r="A46" s="14" t="s">
        <v>8</v>
      </c>
    </row>
    <row r="47" spans="1:15" x14ac:dyDescent="0.3">
      <c r="A47" s="14" t="s">
        <v>9</v>
      </c>
    </row>
    <row r="48" spans="1:15" x14ac:dyDescent="0.3">
      <c r="A48" s="14" t="s">
        <v>10</v>
      </c>
      <c r="C48" s="27">
        <v>1500</v>
      </c>
      <c r="D48" s="27">
        <v>1500</v>
      </c>
      <c r="E48" s="27">
        <v>1500</v>
      </c>
      <c r="F48" s="27">
        <v>1500</v>
      </c>
      <c r="G48" s="27">
        <v>1500</v>
      </c>
      <c r="H48" s="27">
        <v>1500</v>
      </c>
      <c r="I48" s="27">
        <v>1500</v>
      </c>
      <c r="J48" s="27">
        <v>1500</v>
      </c>
      <c r="K48" s="27">
        <v>1500</v>
      </c>
      <c r="L48" s="27">
        <v>1500</v>
      </c>
    </row>
    <row r="49" spans="1:20" x14ac:dyDescent="0.3">
      <c r="A49" s="14" t="s">
        <v>11</v>
      </c>
      <c r="C49" s="27">
        <v>61429</v>
      </c>
      <c r="D49" s="27">
        <v>56133</v>
      </c>
      <c r="E49" s="27">
        <v>57025</v>
      </c>
      <c r="F49" s="27">
        <v>64343</v>
      </c>
      <c r="G49" s="27">
        <v>78338</v>
      </c>
      <c r="H49" s="27">
        <v>99259</v>
      </c>
      <c r="I49" s="27">
        <v>125637</v>
      </c>
      <c r="J49" s="27">
        <v>157699</v>
      </c>
      <c r="K49" s="27">
        <v>195683</v>
      </c>
      <c r="L49" s="27">
        <v>239845</v>
      </c>
    </row>
    <row r="50" spans="1:20" x14ac:dyDescent="0.3">
      <c r="A50" s="14" t="s">
        <v>12</v>
      </c>
      <c r="C50" s="30">
        <f t="shared" ref="C50:L50" si="24">(C15/365)*SUM(C21:C25)</f>
        <v>3433.0726027397259</v>
      </c>
      <c r="D50" s="30">
        <f t="shared" si="24"/>
        <v>3588.5803758904108</v>
      </c>
      <c r="E50" s="30">
        <f t="shared" si="24"/>
        <v>3751.2213320603842</v>
      </c>
      <c r="F50" s="30">
        <f t="shared" si="24"/>
        <v>3921.3266956942134</v>
      </c>
      <c r="G50" s="30">
        <f t="shared" si="24"/>
        <v>4099.2432507228705</v>
      </c>
      <c r="H50" s="30">
        <f t="shared" si="24"/>
        <v>4285.3340793747302</v>
      </c>
      <c r="I50" s="30">
        <f t="shared" si="24"/>
        <v>4479.979336411051</v>
      </c>
      <c r="J50" s="30">
        <f t="shared" si="24"/>
        <v>4683.5770604992558</v>
      </c>
      <c r="K50" s="30">
        <f t="shared" si="24"/>
        <v>4896.5440245208229</v>
      </c>
      <c r="L50" s="30">
        <f t="shared" si="24"/>
        <v>5119.3166266981971</v>
      </c>
    </row>
    <row r="51" spans="1:20" x14ac:dyDescent="0.3">
      <c r="A51" s="14" t="s">
        <v>13</v>
      </c>
      <c r="C51" s="30">
        <f t="shared" ref="C51:K51" si="25">(10/356)*C26</f>
        <v>7039.7275280898875</v>
      </c>
      <c r="D51" s="30">
        <f t="shared" si="25"/>
        <v>7358.6058269662917</v>
      </c>
      <c r="E51" s="30">
        <f t="shared" si="25"/>
        <v>7692.1111584384289</v>
      </c>
      <c r="F51" s="30">
        <f t="shared" si="25"/>
        <v>8040.9227186988082</v>
      </c>
      <c r="G51" s="30">
        <f t="shared" si="25"/>
        <v>8405.751609628358</v>
      </c>
      <c r="H51" s="30">
        <f t="shared" si="25"/>
        <v>8787.3423537740255</v>
      </c>
      <c r="I51" s="30">
        <f t="shared" si="25"/>
        <v>9186.4744819664811</v>
      </c>
      <c r="J51" s="30">
        <f t="shared" si="25"/>
        <v>9603.9641970911725</v>
      </c>
      <c r="K51" s="30">
        <f t="shared" si="25"/>
        <v>10040.666117697194</v>
      </c>
      <c r="L51" s="30">
        <f>(10/356)*L26</f>
        <v>10497.475105308102</v>
      </c>
    </row>
    <row r="53" spans="1:20" x14ac:dyDescent="0.3">
      <c r="A53" s="14" t="s">
        <v>79</v>
      </c>
      <c r="C53" s="14">
        <v>10500</v>
      </c>
      <c r="D53" s="14">
        <v>10500</v>
      </c>
      <c r="E53" s="14">
        <v>10500</v>
      </c>
      <c r="F53" s="14">
        <v>10500</v>
      </c>
      <c r="G53" s="14">
        <v>10500</v>
      </c>
      <c r="H53" s="14">
        <v>10500</v>
      </c>
      <c r="I53" s="14">
        <v>10500</v>
      </c>
      <c r="J53" s="14">
        <v>10500</v>
      </c>
      <c r="K53" s="14">
        <v>10500</v>
      </c>
      <c r="L53" s="14">
        <v>10500</v>
      </c>
    </row>
    <row r="54" spans="1:20" x14ac:dyDescent="0.3">
      <c r="A54" s="14" t="s">
        <v>14</v>
      </c>
      <c r="C54" s="27">
        <f>Mortgage!$I$6</f>
        <v>175000</v>
      </c>
      <c r="D54" s="27">
        <f>Mortgage!$I$6</f>
        <v>175000</v>
      </c>
      <c r="E54" s="27">
        <f>Mortgage!$I$6</f>
        <v>175000</v>
      </c>
      <c r="F54" s="27">
        <f>Mortgage!$I$6</f>
        <v>175000</v>
      </c>
      <c r="G54" s="27">
        <f>Mortgage!$I$6</f>
        <v>175000</v>
      </c>
      <c r="H54" s="27">
        <f>Mortgage!$I$6</f>
        <v>175000</v>
      </c>
      <c r="I54" s="27">
        <f>Mortgage!$I$6</f>
        <v>175000</v>
      </c>
      <c r="J54" s="27">
        <f>Mortgage!$I$6</f>
        <v>175000</v>
      </c>
      <c r="K54" s="27">
        <f>Mortgage!$I$6</f>
        <v>175000</v>
      </c>
      <c r="L54" s="27">
        <f>Mortgage!$I$6</f>
        <v>175000</v>
      </c>
    </row>
    <row r="55" spans="1:20" x14ac:dyDescent="0.3">
      <c r="A55" s="14" t="s">
        <v>115</v>
      </c>
      <c r="C55" s="27">
        <v>75000</v>
      </c>
      <c r="D55" s="27">
        <v>75000</v>
      </c>
      <c r="E55" s="27">
        <v>75000</v>
      </c>
      <c r="F55" s="27">
        <v>75000</v>
      </c>
      <c r="G55" s="27">
        <v>75000</v>
      </c>
      <c r="H55" s="27">
        <v>75000</v>
      </c>
      <c r="I55" s="27">
        <v>75000</v>
      </c>
      <c r="J55" s="27">
        <v>75000</v>
      </c>
      <c r="K55" s="27">
        <v>75000</v>
      </c>
      <c r="L55" s="27">
        <v>75000</v>
      </c>
      <c r="M55" s="18">
        <v>7</v>
      </c>
      <c r="N55" s="35" t="s">
        <v>97</v>
      </c>
      <c r="O55" s="35"/>
      <c r="P55" s="35"/>
      <c r="Q55" s="35"/>
      <c r="R55" s="35"/>
      <c r="S55" s="35"/>
    </row>
    <row r="56" spans="1:20" x14ac:dyDescent="0.3">
      <c r="A56" s="14" t="s">
        <v>15</v>
      </c>
      <c r="C56" s="25">
        <f t="shared" ref="C56:L56" si="26">C38+B56</f>
        <v>16547.619047619046</v>
      </c>
      <c r="D56" s="25">
        <f t="shared" si="26"/>
        <v>33095.238095238092</v>
      </c>
      <c r="E56" s="25">
        <f t="shared" si="26"/>
        <v>49642.857142857138</v>
      </c>
      <c r="F56" s="25">
        <f t="shared" si="26"/>
        <v>66190.476190476184</v>
      </c>
      <c r="G56" s="25">
        <f t="shared" si="26"/>
        <v>82738.095238095237</v>
      </c>
      <c r="H56" s="25">
        <f t="shared" si="26"/>
        <v>99285.71428571429</v>
      </c>
      <c r="I56" s="25">
        <f t="shared" si="26"/>
        <v>115833.33333333334</v>
      </c>
      <c r="J56" s="25">
        <f t="shared" si="26"/>
        <v>132380.9523809524</v>
      </c>
      <c r="K56" s="25">
        <f t="shared" si="26"/>
        <v>148928.57142857145</v>
      </c>
      <c r="L56" s="25">
        <f t="shared" si="26"/>
        <v>165476.1904761905</v>
      </c>
      <c r="M56" s="14" t="s">
        <v>80</v>
      </c>
      <c r="N56" s="35"/>
      <c r="O56" s="35" t="s">
        <v>98</v>
      </c>
      <c r="P56" s="51">
        <v>2.09</v>
      </c>
      <c r="Q56" s="35"/>
      <c r="R56" s="35"/>
      <c r="S56" s="35"/>
    </row>
    <row r="57" spans="1:20" x14ac:dyDescent="0.3">
      <c r="N57" s="35"/>
      <c r="O57" s="35" t="s">
        <v>99</v>
      </c>
      <c r="P57" s="45">
        <v>3.7400000000000003E-2</v>
      </c>
      <c r="Q57" s="35"/>
      <c r="R57" s="35"/>
      <c r="S57" s="35"/>
    </row>
    <row r="58" spans="1:20" x14ac:dyDescent="0.3">
      <c r="A58" s="14" t="s">
        <v>16</v>
      </c>
      <c r="C58" s="25">
        <f>SUM(C48:C55)-C56</f>
        <v>317354.18108321057</v>
      </c>
      <c r="D58" s="25">
        <f t="shared" ref="D58:L58" si="27">SUM(D48:D55)-D56</f>
        <v>295984.94810761861</v>
      </c>
      <c r="E58" s="25">
        <f t="shared" si="27"/>
        <v>280825.47534764162</v>
      </c>
      <c r="F58" s="25">
        <f t="shared" si="27"/>
        <v>272114.77322391688</v>
      </c>
      <c r="G58" s="25">
        <f t="shared" si="27"/>
        <v>270104.89962225594</v>
      </c>
      <c r="H58" s="25">
        <f t="shared" si="27"/>
        <v>275045.96214743447</v>
      </c>
      <c r="I58" s="25">
        <f t="shared" si="27"/>
        <v>285470.1204850442</v>
      </c>
      <c r="J58" s="25">
        <f t="shared" si="27"/>
        <v>301605.58887663798</v>
      </c>
      <c r="K58" s="25">
        <f t="shared" si="27"/>
        <v>323691.63871364656</v>
      </c>
      <c r="L58" s="25">
        <f t="shared" si="27"/>
        <v>351985.60125581583</v>
      </c>
      <c r="N58" s="35"/>
      <c r="O58" s="35" t="s">
        <v>100</v>
      </c>
      <c r="P58" s="45">
        <v>0.1</v>
      </c>
      <c r="Q58" s="35"/>
      <c r="R58" s="35"/>
      <c r="S58" s="35"/>
    </row>
    <row r="59" spans="1:20" x14ac:dyDescent="0.3">
      <c r="N59" s="35"/>
      <c r="O59" s="35"/>
      <c r="P59" s="35"/>
      <c r="Q59" s="35"/>
      <c r="R59" s="35"/>
      <c r="S59" s="35"/>
    </row>
    <row r="60" spans="1:20" x14ac:dyDescent="0.3">
      <c r="A60" s="14" t="s">
        <v>17</v>
      </c>
      <c r="N60" s="35"/>
      <c r="O60" s="35" t="s">
        <v>101</v>
      </c>
      <c r="P60" s="35"/>
      <c r="Q60" s="48">
        <f>P56*(P58-P57)+P57</f>
        <v>0.16823399999999999</v>
      </c>
      <c r="R60" s="35"/>
      <c r="S60" s="35"/>
    </row>
    <row r="61" spans="1:20" x14ac:dyDescent="0.3">
      <c r="A61" s="14" t="s">
        <v>18</v>
      </c>
      <c r="C61" s="30">
        <f t="shared" ref="C61:L61" si="28">(30/365)*C26</f>
        <v>20598.435616438353</v>
      </c>
      <c r="D61" s="30">
        <f t="shared" si="28"/>
        <v>21531.482255342464</v>
      </c>
      <c r="E61" s="30">
        <f t="shared" si="28"/>
        <v>22507.327992362305</v>
      </c>
      <c r="F61" s="30">
        <f t="shared" si="28"/>
        <v>23527.96017416528</v>
      </c>
      <c r="G61" s="30">
        <f t="shared" si="28"/>
        <v>24595.459504337225</v>
      </c>
      <c r="H61" s="30">
        <f t="shared" si="28"/>
        <v>25712.004476248381</v>
      </c>
      <c r="I61" s="30">
        <f t="shared" si="28"/>
        <v>26879.876018466304</v>
      </c>
      <c r="J61" s="30">
        <f t="shared" si="28"/>
        <v>28101.462362995539</v>
      </c>
      <c r="K61" s="30">
        <f t="shared" si="28"/>
        <v>29379.264147124937</v>
      </c>
      <c r="L61" s="30">
        <f t="shared" si="28"/>
        <v>30715.899760189182</v>
      </c>
      <c r="N61" s="35"/>
      <c r="O61" s="35"/>
      <c r="P61" s="35"/>
      <c r="Q61" s="35"/>
      <c r="R61" s="35"/>
      <c r="S61" s="35"/>
    </row>
    <row r="62" spans="1:20" x14ac:dyDescent="0.3">
      <c r="A62" s="14" t="s">
        <v>19</v>
      </c>
      <c r="C62" s="25">
        <f t="shared" ref="C62:L62" si="29">C43</f>
        <v>0</v>
      </c>
      <c r="D62" s="25">
        <f t="shared" si="29"/>
        <v>0</v>
      </c>
      <c r="E62" s="25">
        <f t="shared" si="29"/>
        <v>0</v>
      </c>
      <c r="F62" s="25">
        <f t="shared" si="29"/>
        <v>0</v>
      </c>
      <c r="G62" s="25">
        <f t="shared" si="29"/>
        <v>18.745270758605329</v>
      </c>
      <c r="H62" s="25">
        <f t="shared" si="29"/>
        <v>1789.2066786145588</v>
      </c>
      <c r="I62" s="25">
        <f t="shared" si="29"/>
        <v>3632.1300420656626</v>
      </c>
      <c r="J62" s="25">
        <f t="shared" si="29"/>
        <v>5551.7001689055178</v>
      </c>
      <c r="K62" s="25">
        <f t="shared" si="29"/>
        <v>7552.3020382696996</v>
      </c>
      <c r="L62" s="25">
        <f t="shared" si="29"/>
        <v>9638.530863301683</v>
      </c>
      <c r="N62" s="35"/>
      <c r="O62" s="35"/>
      <c r="P62" s="35"/>
      <c r="Q62" s="35"/>
      <c r="R62" s="35"/>
      <c r="S62" s="35"/>
    </row>
    <row r="63" spans="1:20" x14ac:dyDescent="0.3">
      <c r="N63" s="38" t="s">
        <v>102</v>
      </c>
      <c r="O63" s="38" t="s">
        <v>103</v>
      </c>
      <c r="P63" s="38" t="s">
        <v>47</v>
      </c>
      <c r="Q63" s="38" t="s">
        <v>104</v>
      </c>
      <c r="R63" s="38" t="s">
        <v>105</v>
      </c>
      <c r="S63" s="35"/>
    </row>
    <row r="64" spans="1:20" x14ac:dyDescent="0.3">
      <c r="A64" s="14" t="s">
        <v>20</v>
      </c>
      <c r="C64" s="27">
        <f>Mortgage!F13</f>
        <v>172418.11064525691</v>
      </c>
      <c r="D64" s="27">
        <f>Mortgage!F27</f>
        <v>169704.12693100449</v>
      </c>
      <c r="E64" s="27">
        <f>Mortgage!F41</f>
        <v>166851.29065911082</v>
      </c>
      <c r="F64" s="27">
        <f>Mortgage!F55</f>
        <v>163852.49786920121</v>
      </c>
      <c r="G64" s="27">
        <f>Mortgage!F69</f>
        <v>160700.28114880581</v>
      </c>
      <c r="H64" s="27">
        <f>Mortgage!F83</f>
        <v>157386.79103846048</v>
      </c>
      <c r="I64" s="27">
        <f>Mortgage!F97</f>
        <v>153903.77648545746</v>
      </c>
      <c r="J64" s="27">
        <f>Mortgage!F111</f>
        <v>150242.56429757315</v>
      </c>
      <c r="K64" s="27">
        <f>Mortgage!F125</f>
        <v>146394.03754560894</v>
      </c>
      <c r="L64" s="27">
        <f>Mortgage!F139</f>
        <v>142348.61286096563</v>
      </c>
      <c r="N64" s="39">
        <f>AVERAGE(C64:L64)</f>
        <v>158380.20894814446</v>
      </c>
      <c r="O64" s="37">
        <f>N64/$N$70</f>
        <v>0.58823792975502631</v>
      </c>
      <c r="P64" s="46">
        <v>0.05</v>
      </c>
      <c r="Q64" s="46">
        <f>P64*(1-$M$43)</f>
        <v>3.7500000000000006E-2</v>
      </c>
      <c r="R64" s="47">
        <f>O64*Q64</f>
        <v>2.2058922365813489E-2</v>
      </c>
      <c r="S64" s="35"/>
      <c r="T64" s="14" t="s">
        <v>107</v>
      </c>
    </row>
    <row r="65" spans="1:19" x14ac:dyDescent="0.3">
      <c r="A65" s="14" t="s">
        <v>21</v>
      </c>
      <c r="N65" s="39"/>
      <c r="O65" s="37">
        <f>N65/$N$70</f>
        <v>0</v>
      </c>
      <c r="P65" s="46">
        <v>0.1</v>
      </c>
      <c r="Q65" s="46">
        <f>P65*(1-$M$43)</f>
        <v>7.5000000000000011E-2</v>
      </c>
      <c r="R65" s="47">
        <f>O65*Q65</f>
        <v>0</v>
      </c>
      <c r="S65" s="35"/>
    </row>
    <row r="66" spans="1:19" x14ac:dyDescent="0.3">
      <c r="N66" s="39"/>
      <c r="O66" s="37"/>
      <c r="P66" s="46"/>
      <c r="Q66" s="46"/>
      <c r="R66" s="47"/>
      <c r="S66" s="35"/>
    </row>
    <row r="67" spans="1:19" x14ac:dyDescent="0.3">
      <c r="A67" s="14" t="s">
        <v>22</v>
      </c>
      <c r="C67" s="18">
        <v>150000</v>
      </c>
      <c r="D67" s="18">
        <v>150000</v>
      </c>
      <c r="E67" s="18">
        <v>150000</v>
      </c>
      <c r="F67" s="18">
        <v>150000</v>
      </c>
      <c r="G67" s="18">
        <v>150000</v>
      </c>
      <c r="H67" s="18">
        <v>150000</v>
      </c>
      <c r="I67" s="18">
        <v>150000</v>
      </c>
      <c r="J67" s="18">
        <v>150000</v>
      </c>
      <c r="K67" s="18">
        <v>150000</v>
      </c>
      <c r="L67" s="18">
        <v>150000</v>
      </c>
      <c r="N67" s="39">
        <v>150000</v>
      </c>
      <c r="O67" s="50">
        <f>N67/$N$70</f>
        <v>0.55711310175214734</v>
      </c>
      <c r="P67" s="46">
        <f>Q60</f>
        <v>0.16823399999999999</v>
      </c>
      <c r="Q67" s="46">
        <f>P67*(1-$M$43)</f>
        <v>0.1261755</v>
      </c>
      <c r="R67" s="47">
        <f>O67*Q67</f>
        <v>7.0294024170128061E-2</v>
      </c>
      <c r="S67" s="35"/>
    </row>
    <row r="68" spans="1:19" x14ac:dyDescent="0.3">
      <c r="A68" s="14" t="s">
        <v>23</v>
      </c>
      <c r="C68" s="25">
        <f>B68+C44</f>
        <v>-25662.783776130877</v>
      </c>
      <c r="D68" s="25">
        <f t="shared" ref="D68:L68" si="30">C68+D44</f>
        <v>-45250.428232752427</v>
      </c>
      <c r="E68" s="25">
        <f t="shared" si="30"/>
        <v>-58532.776931460714</v>
      </c>
      <c r="F68" s="25">
        <f t="shared" si="30"/>
        <v>-65265.770581973309</v>
      </c>
      <c r="G68" s="25">
        <f t="shared" si="30"/>
        <v>-65209.534769697493</v>
      </c>
      <c r="H68" s="25">
        <f t="shared" si="30"/>
        <v>-59841.914733853817</v>
      </c>
      <c r="I68" s="25">
        <f t="shared" si="30"/>
        <v>-48945.524607656829</v>
      </c>
      <c r="J68" s="25">
        <f t="shared" si="30"/>
        <v>-32290.424100940276</v>
      </c>
      <c r="K68" s="25">
        <f t="shared" si="30"/>
        <v>-9633.5179861311772</v>
      </c>
      <c r="L68" s="25">
        <f t="shared" si="30"/>
        <v>19282.074603773872</v>
      </c>
      <c r="N68" s="39">
        <f>AVERAGE(C68:L68)</f>
        <v>-39135.060111682302</v>
      </c>
      <c r="O68" s="37">
        <f>N68/$N$70</f>
        <v>-0.14535103150717377</v>
      </c>
      <c r="P68" s="36">
        <f>Q60</f>
        <v>0.16823399999999999</v>
      </c>
      <c r="Q68" s="46">
        <f>P68*(1-$M$43)</f>
        <v>0.1261755</v>
      </c>
      <c r="R68" s="47">
        <f>O68*Q68</f>
        <v>-1.8339739075933403E-2</v>
      </c>
      <c r="S68" s="35"/>
    </row>
    <row r="69" spans="1:19" x14ac:dyDescent="0.3">
      <c r="N69" s="39"/>
      <c r="O69" s="40"/>
      <c r="P69" s="40"/>
      <c r="Q69" s="36"/>
      <c r="R69" s="40"/>
      <c r="S69" s="35"/>
    </row>
    <row r="70" spans="1:19" x14ac:dyDescent="0.3">
      <c r="A70" s="14" t="s">
        <v>24</v>
      </c>
      <c r="C70" s="25">
        <f>SUM(C61:C68)</f>
        <v>317353.7624855644</v>
      </c>
      <c r="D70" s="25">
        <f t="shared" ref="D70:L70" si="31">SUM(D61:D68)</f>
        <v>295985.18095359456</v>
      </c>
      <c r="E70" s="25">
        <f t="shared" si="31"/>
        <v>280825.84172001242</v>
      </c>
      <c r="F70" s="25">
        <f t="shared" si="31"/>
        <v>272114.68746139319</v>
      </c>
      <c r="G70" s="25">
        <f t="shared" si="31"/>
        <v>270104.9511542042</v>
      </c>
      <c r="H70" s="25">
        <f t="shared" si="31"/>
        <v>275046.08745946962</v>
      </c>
      <c r="I70" s="25">
        <f t="shared" si="31"/>
        <v>285470.25793833262</v>
      </c>
      <c r="J70" s="25">
        <f t="shared" si="31"/>
        <v>301605.30272853392</v>
      </c>
      <c r="K70" s="25">
        <f t="shared" si="31"/>
        <v>323692.0857448724</v>
      </c>
      <c r="L70" s="25">
        <f t="shared" si="31"/>
        <v>351985.11808823037</v>
      </c>
      <c r="N70" s="41">
        <f>SUM(N64:N69)</f>
        <v>269245.14883646218</v>
      </c>
      <c r="O70" s="42"/>
      <c r="P70" s="42"/>
      <c r="Q70" s="43"/>
      <c r="R70" s="52">
        <f>R64+R65+R67+R68</f>
        <v>7.401320746000814E-2</v>
      </c>
      <c r="S70" s="44" t="s">
        <v>106</v>
      </c>
    </row>
    <row r="72" spans="1:19" x14ac:dyDescent="0.3">
      <c r="A72" s="14" t="s">
        <v>25</v>
      </c>
      <c r="C72" s="25">
        <f>C58-C70</f>
        <v>0.41859764617402107</v>
      </c>
      <c r="D72" s="25">
        <f t="shared" ref="D72:L72" si="32">D58-D70</f>
        <v>-0.23284597595920786</v>
      </c>
      <c r="E72" s="25">
        <f t="shared" si="32"/>
        <v>-0.36637237080140039</v>
      </c>
      <c r="F72" s="25">
        <f t="shared" si="32"/>
        <v>8.5762523696757853E-2</v>
      </c>
      <c r="G72" s="25">
        <f t="shared" si="32"/>
        <v>-5.1531948265619576E-2</v>
      </c>
      <c r="H72" s="25">
        <f t="shared" si="32"/>
        <v>-0.12531203514663503</v>
      </c>
      <c r="I72" s="25">
        <f t="shared" si="32"/>
        <v>-0.13745328842196614</v>
      </c>
      <c r="J72" s="25">
        <f t="shared" si="32"/>
        <v>0.28614810405997559</v>
      </c>
      <c r="K72" s="25">
        <f t="shared" si="32"/>
        <v>-0.4470312258345075</v>
      </c>
      <c r="L72" s="25">
        <f t="shared" si="32"/>
        <v>0.4831675854511559</v>
      </c>
      <c r="O72" s="14" t="s">
        <v>108</v>
      </c>
      <c r="P72" s="14">
        <v>1.05</v>
      </c>
    </row>
    <row r="73" spans="1:19" x14ac:dyDescent="0.3">
      <c r="O73" s="14" t="s">
        <v>109</v>
      </c>
      <c r="P73" s="49">
        <f>P72*(1+(1-M43)*(O64/(O67+O68)))</f>
        <v>2.1750122416726847</v>
      </c>
    </row>
    <row r="74" spans="1:19" x14ac:dyDescent="0.3">
      <c r="A74" s="31" t="s">
        <v>26</v>
      </c>
    </row>
    <row r="75" spans="1:19" x14ac:dyDescent="0.3">
      <c r="A75" s="14" t="s">
        <v>81</v>
      </c>
      <c r="C75" s="25">
        <f>C21+C22+C23+C24+C25-C26-C30-C31-C33-C32-C34</f>
        <v>-423.79999999998836</v>
      </c>
      <c r="D75" s="25">
        <f t="shared" ref="D75:L75" si="33">D21+D22+D23+D24+D25-D26-D30-D31-D33-D32-D34</f>
        <v>5519.24496000004</v>
      </c>
      <c r="E75" s="25">
        <f t="shared" si="33"/>
        <v>11685.68816027201</v>
      </c>
      <c r="F75" s="25">
        <f t="shared" si="33"/>
        <v>18089.086690451746</v>
      </c>
      <c r="G75" s="25">
        <f t="shared" si="33"/>
        <v>24743.637493513088</v>
      </c>
      <c r="H75" s="25">
        <f t="shared" si="33"/>
        <v>31664.209734986871</v>
      </c>
      <c r="I75" s="25">
        <f t="shared" si="33"/>
        <v>38866.378746133618</v>
      </c>
      <c r="J75" s="25">
        <f t="shared" si="33"/>
        <v>46366.461618611662</v>
      </c>
      <c r="K75" s="25">
        <f t="shared" si="33"/>
        <v>54181.554531988571</v>
      </c>
      <c r="L75" s="25">
        <f t="shared" si="33"/>
        <v>62329.571899437338</v>
      </c>
    </row>
    <row r="76" spans="1:19" x14ac:dyDescent="0.3">
      <c r="A76" s="14" t="s">
        <v>82</v>
      </c>
      <c r="C76" s="32">
        <f t="shared" ref="C76:L76" si="34">-C38</f>
        <v>-16547.619047619046</v>
      </c>
      <c r="D76" s="32">
        <f t="shared" si="34"/>
        <v>-16547.619047619046</v>
      </c>
      <c r="E76" s="32">
        <f t="shared" si="34"/>
        <v>-16547.619047619046</v>
      </c>
      <c r="F76" s="32">
        <f t="shared" si="34"/>
        <v>-16547.619047619046</v>
      </c>
      <c r="G76" s="32">
        <f t="shared" si="34"/>
        <v>-16547.619047619046</v>
      </c>
      <c r="H76" s="32">
        <f t="shared" si="34"/>
        <v>-16547.619047619046</v>
      </c>
      <c r="I76" s="32">
        <f t="shared" si="34"/>
        <v>-16547.619047619046</v>
      </c>
      <c r="J76" s="32">
        <f t="shared" si="34"/>
        <v>-16547.619047619046</v>
      </c>
      <c r="K76" s="32">
        <f t="shared" si="34"/>
        <v>-16547.619047619046</v>
      </c>
      <c r="L76" s="32">
        <f t="shared" si="34"/>
        <v>-16547.619047619046</v>
      </c>
    </row>
    <row r="77" spans="1:19" x14ac:dyDescent="0.3">
      <c r="A77" s="14" t="s">
        <v>83</v>
      </c>
      <c r="C77" s="27">
        <f>C75+C76</f>
        <v>-16971.419047619034</v>
      </c>
      <c r="D77" s="27">
        <f t="shared" ref="D77:L77" si="35">D75+D76</f>
        <v>-11028.374087619006</v>
      </c>
      <c r="E77" s="27">
        <f t="shared" si="35"/>
        <v>-4861.9308873470363</v>
      </c>
      <c r="F77" s="27">
        <f t="shared" si="35"/>
        <v>1541.4676428327002</v>
      </c>
      <c r="G77" s="27">
        <f t="shared" si="35"/>
        <v>8196.0184458940421</v>
      </c>
      <c r="H77" s="27">
        <f t="shared" si="35"/>
        <v>15116.590687367825</v>
      </c>
      <c r="I77" s="27">
        <f t="shared" si="35"/>
        <v>22318.759698514572</v>
      </c>
      <c r="J77" s="27">
        <f t="shared" si="35"/>
        <v>29818.842570992616</v>
      </c>
      <c r="K77" s="27">
        <f t="shared" si="35"/>
        <v>37633.935484369526</v>
      </c>
      <c r="L77" s="27">
        <f t="shared" si="35"/>
        <v>45781.952851818292</v>
      </c>
    </row>
    <row r="78" spans="1:19" x14ac:dyDescent="0.3">
      <c r="A78" s="14" t="s">
        <v>84</v>
      </c>
      <c r="C78" s="27">
        <f>IF(C77&lt;0,0,C77*$M$43)</f>
        <v>0</v>
      </c>
      <c r="D78" s="27">
        <f t="shared" ref="D78:L78" si="36">IF(D77&lt;0,0,D77*$M$43)</f>
        <v>0</v>
      </c>
      <c r="E78" s="27">
        <f t="shared" si="36"/>
        <v>0</v>
      </c>
      <c r="F78" s="27">
        <f t="shared" si="36"/>
        <v>385.36691070817506</v>
      </c>
      <c r="G78" s="27">
        <f t="shared" si="36"/>
        <v>2049.0046114735105</v>
      </c>
      <c r="H78" s="27">
        <f t="shared" si="36"/>
        <v>3779.1476718419563</v>
      </c>
      <c r="I78" s="27">
        <f t="shared" si="36"/>
        <v>5579.689924628643</v>
      </c>
      <c r="J78" s="27">
        <f t="shared" si="36"/>
        <v>7454.710642748154</v>
      </c>
      <c r="K78" s="27">
        <f t="shared" si="36"/>
        <v>9408.4838710923814</v>
      </c>
      <c r="L78" s="27">
        <f t="shared" si="36"/>
        <v>11445.488212954573</v>
      </c>
    </row>
    <row r="79" spans="1:19" x14ac:dyDescent="0.3">
      <c r="A79" s="14" t="s">
        <v>85</v>
      </c>
      <c r="C79" s="32">
        <f>-C76</f>
        <v>16547.619047619046</v>
      </c>
      <c r="D79" s="32">
        <f t="shared" ref="D79:L79" si="37">-D76</f>
        <v>16547.619047619046</v>
      </c>
      <c r="E79" s="32">
        <f t="shared" si="37"/>
        <v>16547.619047619046</v>
      </c>
      <c r="F79" s="32">
        <f t="shared" si="37"/>
        <v>16547.619047619046</v>
      </c>
      <c r="G79" s="32">
        <f t="shared" si="37"/>
        <v>16547.619047619046</v>
      </c>
      <c r="H79" s="32">
        <f t="shared" si="37"/>
        <v>16547.619047619046</v>
      </c>
      <c r="I79" s="32">
        <f t="shared" si="37"/>
        <v>16547.619047619046</v>
      </c>
      <c r="J79" s="32">
        <f t="shared" si="37"/>
        <v>16547.619047619046</v>
      </c>
      <c r="K79" s="32">
        <f t="shared" si="37"/>
        <v>16547.619047619046</v>
      </c>
      <c r="L79" s="32">
        <f t="shared" si="37"/>
        <v>16547.619047619046</v>
      </c>
    </row>
    <row r="80" spans="1:19" x14ac:dyDescent="0.3">
      <c r="A80" s="14" t="s">
        <v>86</v>
      </c>
      <c r="C80" s="27">
        <f>C77-C78+C79</f>
        <v>-423.79999999998836</v>
      </c>
      <c r="D80" s="27">
        <f t="shared" ref="D80:K80" si="38">D77-D78+D79</f>
        <v>5519.24496000004</v>
      </c>
      <c r="E80" s="27">
        <f t="shared" si="38"/>
        <v>11685.68816027201</v>
      </c>
      <c r="F80" s="27">
        <f t="shared" si="38"/>
        <v>17703.719779743573</v>
      </c>
      <c r="G80" s="27">
        <f t="shared" si="38"/>
        <v>22694.632882039579</v>
      </c>
      <c r="H80" s="27">
        <f t="shared" si="38"/>
        <v>27885.062063144913</v>
      </c>
      <c r="I80" s="27">
        <f t="shared" si="38"/>
        <v>33286.688821504977</v>
      </c>
      <c r="J80" s="27">
        <f t="shared" si="38"/>
        <v>38911.750975863506</v>
      </c>
      <c r="K80" s="27">
        <f t="shared" si="38"/>
        <v>44773.070660896192</v>
      </c>
      <c r="L80" s="27">
        <f>L77-L78+L79</f>
        <v>50884.083686482765</v>
      </c>
    </row>
    <row r="82" spans="1:15" x14ac:dyDescent="0.3">
      <c r="A82" s="31" t="s">
        <v>27</v>
      </c>
    </row>
    <row r="83" spans="1:15" x14ac:dyDescent="0.3">
      <c r="A83" s="14" t="s">
        <v>87</v>
      </c>
      <c r="B83" s="25">
        <f>-Mortgage!I6</f>
        <v>-175000</v>
      </c>
    </row>
    <row r="84" spans="1:15" x14ac:dyDescent="0.3">
      <c r="A84" s="14" t="s">
        <v>88</v>
      </c>
      <c r="L84" s="28">
        <f>O84*O85</f>
        <v>9619.0476190475929</v>
      </c>
      <c r="N84" s="14" t="s">
        <v>90</v>
      </c>
      <c r="O84" s="25">
        <f>L54-L56</f>
        <v>9523.8095238094975</v>
      </c>
    </row>
    <row r="85" spans="1:15" x14ac:dyDescent="0.3">
      <c r="A85" s="14" t="s">
        <v>89</v>
      </c>
      <c r="L85" s="28">
        <f>-O86*M43</f>
        <v>-23.809523809523853</v>
      </c>
      <c r="N85" s="14" t="s">
        <v>91</v>
      </c>
      <c r="O85" s="19">
        <v>1.01</v>
      </c>
    </row>
    <row r="86" spans="1:15" x14ac:dyDescent="0.3">
      <c r="L86" s="28"/>
      <c r="N86" s="14" t="s">
        <v>92</v>
      </c>
      <c r="O86" s="28">
        <f>L84-O84</f>
        <v>95.238095238095411</v>
      </c>
    </row>
    <row r="87" spans="1:15" x14ac:dyDescent="0.3">
      <c r="A87" s="31" t="s">
        <v>28</v>
      </c>
    </row>
    <row r="88" spans="1:15" x14ac:dyDescent="0.3">
      <c r="A88" s="14" t="s">
        <v>12</v>
      </c>
      <c r="C88" s="28">
        <f>B50-C50</f>
        <v>-3433.0726027397259</v>
      </c>
      <c r="D88" s="28">
        <f t="shared" ref="D88:L88" si="39">C50-D50</f>
        <v>-155.5077731506849</v>
      </c>
      <c r="E88" s="28">
        <f t="shared" si="39"/>
        <v>-162.64095616997338</v>
      </c>
      <c r="F88" s="28">
        <f t="shared" si="39"/>
        <v>-170.10536363382926</v>
      </c>
      <c r="G88" s="28">
        <f t="shared" si="39"/>
        <v>-177.91655502865706</v>
      </c>
      <c r="H88" s="28">
        <f t="shared" si="39"/>
        <v>-186.09082865185974</v>
      </c>
      <c r="I88" s="28">
        <f t="shared" si="39"/>
        <v>-194.6452570363208</v>
      </c>
      <c r="J88" s="28">
        <f t="shared" si="39"/>
        <v>-203.59772408820481</v>
      </c>
      <c r="K88" s="28">
        <f t="shared" si="39"/>
        <v>-212.96696402156704</v>
      </c>
      <c r="L88" s="28">
        <f t="shared" si="39"/>
        <v>-222.77260217737421</v>
      </c>
    </row>
    <row r="89" spans="1:15" x14ac:dyDescent="0.3">
      <c r="A89" s="14" t="s">
        <v>13</v>
      </c>
      <c r="C89" s="28">
        <f>B51-C51</f>
        <v>-7039.7275280898875</v>
      </c>
      <c r="D89" s="28">
        <f t="shared" ref="D89:L89" si="40">C51-D51</f>
        <v>-318.87829887640419</v>
      </c>
      <c r="E89" s="28">
        <f t="shared" si="40"/>
        <v>-333.50533147213719</v>
      </c>
      <c r="F89" s="28">
        <f t="shared" si="40"/>
        <v>-348.81156026037934</v>
      </c>
      <c r="G89" s="28">
        <f t="shared" si="40"/>
        <v>-364.82889092954974</v>
      </c>
      <c r="H89" s="28">
        <f t="shared" si="40"/>
        <v>-381.59074414566749</v>
      </c>
      <c r="I89" s="28">
        <f t="shared" si="40"/>
        <v>-399.13212819245564</v>
      </c>
      <c r="J89" s="28">
        <f t="shared" si="40"/>
        <v>-417.48971512469143</v>
      </c>
      <c r="K89" s="28">
        <f t="shared" si="40"/>
        <v>-436.7019206060213</v>
      </c>
      <c r="L89" s="28">
        <f t="shared" si="40"/>
        <v>-456.80898761090793</v>
      </c>
    </row>
    <row r="90" spans="1:15" x14ac:dyDescent="0.3">
      <c r="A90" s="14" t="s">
        <v>18</v>
      </c>
      <c r="C90" s="28">
        <f>-(B61-C61)</f>
        <v>20598.435616438353</v>
      </c>
      <c r="D90" s="28">
        <f t="shared" ref="D90:L90" si="41">-(C61-D61)</f>
        <v>933.0466389041103</v>
      </c>
      <c r="E90" s="28">
        <f t="shared" si="41"/>
        <v>975.84573701984118</v>
      </c>
      <c r="F90" s="28">
        <f t="shared" si="41"/>
        <v>1020.6321818029755</v>
      </c>
      <c r="G90" s="28">
        <f t="shared" si="41"/>
        <v>1067.4993301719442</v>
      </c>
      <c r="H90" s="28">
        <f t="shared" si="41"/>
        <v>1116.5449719111566</v>
      </c>
      <c r="I90" s="28">
        <f t="shared" si="41"/>
        <v>1167.871542217923</v>
      </c>
      <c r="J90" s="28">
        <f t="shared" si="41"/>
        <v>1221.5863445292343</v>
      </c>
      <c r="K90" s="28">
        <f t="shared" si="41"/>
        <v>1277.8017841293986</v>
      </c>
      <c r="L90" s="28">
        <f t="shared" si="41"/>
        <v>1336.6356130642453</v>
      </c>
    </row>
    <row r="91" spans="1:15" x14ac:dyDescent="0.3">
      <c r="A91" s="14" t="s">
        <v>19</v>
      </c>
      <c r="C91" s="25">
        <f>-(B62-C62)</f>
        <v>0</v>
      </c>
      <c r="D91" s="25">
        <f>-(C62-D62)</f>
        <v>0</v>
      </c>
      <c r="E91" s="25">
        <f t="shared" ref="E91:L91" si="42">-(D62-E62)</f>
        <v>0</v>
      </c>
      <c r="F91" s="25">
        <f t="shared" si="42"/>
        <v>0</v>
      </c>
      <c r="G91" s="25">
        <f t="shared" si="42"/>
        <v>18.745270758605329</v>
      </c>
      <c r="H91" s="25">
        <f t="shared" si="42"/>
        <v>1770.4614078559534</v>
      </c>
      <c r="I91" s="25">
        <f t="shared" si="42"/>
        <v>1842.9233634511038</v>
      </c>
      <c r="J91" s="25">
        <f t="shared" si="42"/>
        <v>1919.5701268398552</v>
      </c>
      <c r="K91" s="25">
        <f t="shared" si="42"/>
        <v>2000.6018693641818</v>
      </c>
      <c r="L91" s="25">
        <f t="shared" si="42"/>
        <v>2086.2288250319834</v>
      </c>
    </row>
    <row r="93" spans="1:15" x14ac:dyDescent="0.3">
      <c r="A93" s="31" t="s">
        <v>29</v>
      </c>
    </row>
    <row r="94" spans="1:15" x14ac:dyDescent="0.3">
      <c r="A94" s="14" t="s">
        <v>12</v>
      </c>
      <c r="L94" s="28">
        <f>L50</f>
        <v>5119.3166266981971</v>
      </c>
    </row>
    <row r="95" spans="1:15" x14ac:dyDescent="0.3">
      <c r="A95" s="14" t="s">
        <v>13</v>
      </c>
      <c r="L95" s="28">
        <f>L51</f>
        <v>10497.475105308102</v>
      </c>
    </row>
    <row r="96" spans="1:15" x14ac:dyDescent="0.3">
      <c r="A96" s="14" t="s">
        <v>18</v>
      </c>
      <c r="L96" s="25">
        <f>-L62</f>
        <v>-9638.530863301683</v>
      </c>
    </row>
    <row r="97" spans="1:12" x14ac:dyDescent="0.3">
      <c r="A97" s="14" t="s">
        <v>19</v>
      </c>
      <c r="L97" s="25">
        <f>-L62</f>
        <v>-9638.530863301683</v>
      </c>
    </row>
    <row r="98" spans="1:12" x14ac:dyDescent="0.3">
      <c r="L98" s="28">
        <f>SUM(L94:L97)</f>
        <v>-3660.2699945970671</v>
      </c>
    </row>
    <row r="99" spans="1:12" x14ac:dyDescent="0.3">
      <c r="A99" s="31" t="s">
        <v>30</v>
      </c>
      <c r="B99" s="18">
        <f>SUM(B80:B98)</f>
        <v>-175000</v>
      </c>
      <c r="C99" s="18">
        <f>SUM(C80:C98)</f>
        <v>9701.8354856087517</v>
      </c>
      <c r="D99" s="18">
        <f t="shared" ref="D99:K99" si="43">SUM(D80:D98)</f>
        <v>5977.9055268770617</v>
      </c>
      <c r="E99" s="18">
        <f t="shared" si="43"/>
        <v>12165.387609649741</v>
      </c>
      <c r="F99" s="18">
        <f t="shared" si="43"/>
        <v>18205.43503765234</v>
      </c>
      <c r="G99" s="18">
        <f t="shared" si="43"/>
        <v>23238.132037011921</v>
      </c>
      <c r="H99" s="18">
        <f t="shared" si="43"/>
        <v>30204.386870114497</v>
      </c>
      <c r="I99" s="18">
        <f t="shared" si="43"/>
        <v>35703.706341945232</v>
      </c>
      <c r="J99" s="18">
        <f t="shared" si="43"/>
        <v>41431.820008019698</v>
      </c>
      <c r="K99" s="18">
        <f t="shared" si="43"/>
        <v>47401.805429762186</v>
      </c>
      <c r="L99" s="18">
        <f>SUM(L80:L98)</f>
        <v>55902.064640834651</v>
      </c>
    </row>
    <row r="100" spans="1:12" x14ac:dyDescent="0.3">
      <c r="A100" s="14" t="s">
        <v>31</v>
      </c>
      <c r="B100" s="18">
        <f>-PV(B102,,,B99)</f>
        <v>-175000</v>
      </c>
      <c r="C100" s="18">
        <f>-PV($B$102,C101,,C99)</f>
        <v>9067.135967858645</v>
      </c>
      <c r="D100" s="18">
        <f t="shared" ref="D100:L100" si="44">-PV($B$102,D101,,D99)</f>
        <v>5221.3342011329041</v>
      </c>
      <c r="E100" s="18">
        <f t="shared" si="44"/>
        <v>9930.5800773113588</v>
      </c>
      <c r="F100" s="18">
        <f t="shared" si="44"/>
        <v>13888.839223467226</v>
      </c>
      <c r="G100" s="18">
        <f t="shared" si="44"/>
        <v>16568.466979406167</v>
      </c>
      <c r="H100" s="18">
        <f t="shared" si="44"/>
        <v>20126.458316046366</v>
      </c>
      <c r="I100" s="18">
        <f t="shared" si="44"/>
        <v>22234.473908769633</v>
      </c>
      <c r="J100" s="18">
        <f t="shared" si="44"/>
        <v>24113.696463367389</v>
      </c>
      <c r="K100" s="18">
        <f t="shared" si="44"/>
        <v>25783.441432656135</v>
      </c>
      <c r="L100" s="18">
        <f t="shared" si="44"/>
        <v>28417.774989037531</v>
      </c>
    </row>
    <row r="101" spans="1:12" x14ac:dyDescent="0.3">
      <c r="C101" s="14">
        <v>1</v>
      </c>
      <c r="D101" s="14">
        <v>2</v>
      </c>
      <c r="E101" s="14">
        <v>3</v>
      </c>
      <c r="F101" s="14">
        <v>4</v>
      </c>
      <c r="G101" s="14">
        <v>5</v>
      </c>
      <c r="H101" s="14">
        <v>6</v>
      </c>
      <c r="I101" s="14">
        <v>7</v>
      </c>
      <c r="J101" s="14">
        <v>8</v>
      </c>
      <c r="K101" s="14">
        <v>9</v>
      </c>
      <c r="L101" s="14">
        <v>10</v>
      </c>
    </row>
    <row r="102" spans="1:12" x14ac:dyDescent="0.3">
      <c r="B102" s="19">
        <v>7.0000000000000007E-2</v>
      </c>
    </row>
    <row r="103" spans="1:12" x14ac:dyDescent="0.3">
      <c r="A103" s="14" t="s">
        <v>32</v>
      </c>
      <c r="B103" s="18">
        <f>NPV(B102,B100:L100)</f>
        <v>-57652.098071776731</v>
      </c>
    </row>
    <row r="104" spans="1:12" x14ac:dyDescent="0.3">
      <c r="A104" s="14" t="s">
        <v>33</v>
      </c>
      <c r="B104" s="33">
        <f>IRR(B99:L99)</f>
        <v>7.0321630525297385E-2</v>
      </c>
    </row>
    <row r="107" spans="1:12" x14ac:dyDescent="0.3">
      <c r="A107" s="31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</row>
    <row r="108" spans="1:12" x14ac:dyDescent="0.3"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</row>
    <row r="109" spans="1:12" x14ac:dyDescent="0.3">
      <c r="B109" s="18"/>
    </row>
    <row r="110" spans="1:12" x14ac:dyDescent="0.3">
      <c r="B110" s="18"/>
    </row>
    <row r="111" spans="1:12" x14ac:dyDescent="0.3">
      <c r="B111" s="29"/>
    </row>
    <row r="113" spans="2:6" x14ac:dyDescent="0.3">
      <c r="B113" s="18"/>
      <c r="C113" s="18"/>
      <c r="D113" s="18"/>
    </row>
    <row r="114" spans="2:6" x14ac:dyDescent="0.3">
      <c r="B114" s="18"/>
      <c r="C114" s="18"/>
      <c r="D114" s="18"/>
    </row>
    <row r="115" spans="2:6" x14ac:dyDescent="0.3">
      <c r="B115" s="18"/>
      <c r="C115" s="18"/>
      <c r="D115" s="18"/>
    </row>
    <row r="122" spans="2:6" x14ac:dyDescent="0.3">
      <c r="F122" s="33"/>
    </row>
    <row r="124" spans="2:6" x14ac:dyDescent="0.3">
      <c r="F124" s="34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workbookViewId="0">
      <selection activeCell="J3" sqref="J3"/>
    </sheetView>
  </sheetViews>
  <sheetFormatPr defaultColWidth="11.42578125" defaultRowHeight="12.75" x14ac:dyDescent="0.2"/>
  <cols>
    <col min="1" max="1" width="30.140625" style="1" customWidth="1"/>
    <col min="2" max="3" width="12.7109375" style="10" customWidth="1"/>
    <col min="4" max="4" width="12.85546875" style="10" customWidth="1"/>
    <col min="5" max="5" width="13.42578125" style="10" customWidth="1"/>
    <col min="6" max="6" width="12.42578125" style="10" customWidth="1"/>
    <col min="7" max="16384" width="11.42578125" style="1"/>
  </cols>
  <sheetData>
    <row r="1" spans="1:9" x14ac:dyDescent="0.2">
      <c r="B1" s="10" t="s">
        <v>51</v>
      </c>
      <c r="C1" s="10" t="s">
        <v>50</v>
      </c>
      <c r="D1" s="10" t="s">
        <v>49</v>
      </c>
      <c r="E1" s="10" t="s">
        <v>41</v>
      </c>
      <c r="F1" s="10" t="s">
        <v>48</v>
      </c>
      <c r="H1" s="1" t="s">
        <v>47</v>
      </c>
      <c r="I1" s="7">
        <v>0.05</v>
      </c>
    </row>
    <row r="2" spans="1:9" x14ac:dyDescent="0.2">
      <c r="A2" s="8">
        <v>41640</v>
      </c>
      <c r="B2" s="11">
        <f>I6</f>
        <v>175000</v>
      </c>
      <c r="C2" s="11">
        <f t="shared" ref="C2:C13" si="0">+E2-D2</f>
        <v>210.27117360457669</v>
      </c>
      <c r="D2" s="11">
        <f t="shared" ref="D2:D13" si="1">B2*$I$2</f>
        <v>729.16666666666663</v>
      </c>
      <c r="E2" s="11">
        <f t="shared" ref="E2:E13" si="2">-$I$8</f>
        <v>939.43784027124332</v>
      </c>
      <c r="F2" s="11">
        <f t="shared" ref="F2:F13" si="3">+B2-C2</f>
        <v>174789.72882639541</v>
      </c>
      <c r="H2" s="1" t="s">
        <v>46</v>
      </c>
      <c r="I2" s="7">
        <f>+I1/12</f>
        <v>4.1666666666666666E-3</v>
      </c>
    </row>
    <row r="3" spans="1:9" x14ac:dyDescent="0.2">
      <c r="A3" s="8">
        <v>41671</v>
      </c>
      <c r="B3" s="11">
        <f t="shared" ref="B3:B13" si="4">+F2</f>
        <v>174789.72882639541</v>
      </c>
      <c r="C3" s="11">
        <f t="shared" si="0"/>
        <v>211.1473034945958</v>
      </c>
      <c r="D3" s="11">
        <f t="shared" si="1"/>
        <v>728.29053677664751</v>
      </c>
      <c r="E3" s="11">
        <f t="shared" si="2"/>
        <v>939.43784027124332</v>
      </c>
      <c r="F3" s="11">
        <f t="shared" si="3"/>
        <v>174578.58152290081</v>
      </c>
      <c r="H3" s="1" t="s">
        <v>45</v>
      </c>
      <c r="I3" s="5">
        <v>0</v>
      </c>
    </row>
    <row r="4" spans="1:9" x14ac:dyDescent="0.2">
      <c r="A4" s="8">
        <v>41699</v>
      </c>
      <c r="B4" s="11">
        <f t="shared" si="4"/>
        <v>174578.58152290081</v>
      </c>
      <c r="C4" s="11">
        <f t="shared" si="0"/>
        <v>212.02708392582326</v>
      </c>
      <c r="D4" s="11">
        <f t="shared" si="1"/>
        <v>727.41075634542005</v>
      </c>
      <c r="E4" s="11">
        <f t="shared" si="2"/>
        <v>939.43784027124332</v>
      </c>
      <c r="F4" s="11">
        <f t="shared" si="3"/>
        <v>174366.554438975</v>
      </c>
      <c r="H4" s="1" t="s">
        <v>44</v>
      </c>
      <c r="I4" s="6">
        <v>360</v>
      </c>
    </row>
    <row r="5" spans="1:9" x14ac:dyDescent="0.2">
      <c r="A5" s="8">
        <v>41730</v>
      </c>
      <c r="B5" s="11">
        <f t="shared" si="4"/>
        <v>174366.554438975</v>
      </c>
      <c r="C5" s="11">
        <f t="shared" si="0"/>
        <v>212.91053010884752</v>
      </c>
      <c r="D5" s="11">
        <f t="shared" si="1"/>
        <v>726.52731016239579</v>
      </c>
      <c r="E5" s="11">
        <f t="shared" si="2"/>
        <v>939.43784027124332</v>
      </c>
      <c r="F5" s="11">
        <f t="shared" si="3"/>
        <v>174153.64390886616</v>
      </c>
      <c r="H5" s="1" t="s">
        <v>43</v>
      </c>
      <c r="I5" s="1">
        <v>0</v>
      </c>
    </row>
    <row r="6" spans="1:9" x14ac:dyDescent="0.2">
      <c r="A6" s="8">
        <v>41760</v>
      </c>
      <c r="B6" s="11">
        <f t="shared" si="4"/>
        <v>174153.64390886616</v>
      </c>
      <c r="C6" s="11">
        <f t="shared" si="0"/>
        <v>213.79765731763439</v>
      </c>
      <c r="D6" s="11">
        <f t="shared" si="1"/>
        <v>725.64018295360893</v>
      </c>
      <c r="E6" s="11">
        <f t="shared" si="2"/>
        <v>939.43784027124332</v>
      </c>
      <c r="F6" s="11">
        <f t="shared" si="3"/>
        <v>173939.84625154853</v>
      </c>
      <c r="H6" s="1" t="s">
        <v>42</v>
      </c>
      <c r="I6" s="5">
        <v>175000</v>
      </c>
    </row>
    <row r="7" spans="1:9" x14ac:dyDescent="0.2">
      <c r="A7" s="8">
        <v>41791</v>
      </c>
      <c r="B7" s="11">
        <f t="shared" si="4"/>
        <v>173939.84625154853</v>
      </c>
      <c r="C7" s="11">
        <f t="shared" si="0"/>
        <v>214.68848088979109</v>
      </c>
      <c r="D7" s="11">
        <f t="shared" si="1"/>
        <v>724.74935938145222</v>
      </c>
      <c r="E7" s="11">
        <f t="shared" si="2"/>
        <v>939.43784027124332</v>
      </c>
      <c r="F7" s="11">
        <f t="shared" si="3"/>
        <v>173725.15777065873</v>
      </c>
    </row>
    <row r="8" spans="1:9" x14ac:dyDescent="0.2">
      <c r="A8" s="8">
        <v>41821</v>
      </c>
      <c r="B8" s="11">
        <f t="shared" si="4"/>
        <v>173725.15777065873</v>
      </c>
      <c r="C8" s="11">
        <f t="shared" si="0"/>
        <v>215.583016226832</v>
      </c>
      <c r="D8" s="11">
        <f t="shared" si="1"/>
        <v>723.85482404441132</v>
      </c>
      <c r="E8" s="11">
        <f t="shared" si="2"/>
        <v>939.43784027124332</v>
      </c>
      <c r="F8" s="11">
        <f t="shared" si="3"/>
        <v>173509.5747544319</v>
      </c>
      <c r="H8" s="1" t="s">
        <v>41</v>
      </c>
      <c r="I8" s="5">
        <f>PMT(I2,I4,I6,I3,I5)</f>
        <v>-939.43784027124332</v>
      </c>
    </row>
    <row r="9" spans="1:9" x14ac:dyDescent="0.2">
      <c r="A9" s="8">
        <v>41852</v>
      </c>
      <c r="B9" s="11">
        <f t="shared" si="4"/>
        <v>173509.5747544319</v>
      </c>
      <c r="C9" s="11">
        <f t="shared" si="0"/>
        <v>216.48127879444371</v>
      </c>
      <c r="D9" s="11">
        <f t="shared" si="1"/>
        <v>722.95656147679961</v>
      </c>
      <c r="E9" s="11">
        <f t="shared" si="2"/>
        <v>939.43784027124332</v>
      </c>
      <c r="F9" s="11">
        <f t="shared" si="3"/>
        <v>173293.09347563746</v>
      </c>
    </row>
    <row r="10" spans="1:9" x14ac:dyDescent="0.2">
      <c r="A10" s="8">
        <v>41883</v>
      </c>
      <c r="B10" s="11">
        <f t="shared" si="4"/>
        <v>173293.09347563746</v>
      </c>
      <c r="C10" s="11">
        <f t="shared" si="0"/>
        <v>217.38328412275393</v>
      </c>
      <c r="D10" s="11">
        <f t="shared" si="1"/>
        <v>722.05455614848938</v>
      </c>
      <c r="E10" s="11">
        <f t="shared" si="2"/>
        <v>939.43784027124332</v>
      </c>
      <c r="F10" s="11">
        <f t="shared" si="3"/>
        <v>173075.71019151472</v>
      </c>
    </row>
    <row r="11" spans="1:9" x14ac:dyDescent="0.2">
      <c r="A11" s="8">
        <v>41913</v>
      </c>
      <c r="B11" s="11">
        <f t="shared" si="4"/>
        <v>173075.71019151472</v>
      </c>
      <c r="C11" s="11">
        <f t="shared" si="0"/>
        <v>218.28904780659866</v>
      </c>
      <c r="D11" s="11">
        <f t="shared" si="1"/>
        <v>721.14879246464466</v>
      </c>
      <c r="E11" s="11">
        <f t="shared" si="2"/>
        <v>939.43784027124332</v>
      </c>
      <c r="F11" s="11">
        <f t="shared" si="3"/>
        <v>172857.42114370811</v>
      </c>
    </row>
    <row r="12" spans="1:9" x14ac:dyDescent="0.2">
      <c r="A12" s="8">
        <v>41944</v>
      </c>
      <c r="B12" s="11">
        <f t="shared" si="4"/>
        <v>172857.42114370811</v>
      </c>
      <c r="C12" s="11">
        <f t="shared" si="0"/>
        <v>219.19858550579283</v>
      </c>
      <c r="D12" s="11">
        <f t="shared" si="1"/>
        <v>720.23925476545048</v>
      </c>
      <c r="E12" s="11">
        <f t="shared" si="2"/>
        <v>939.43784027124332</v>
      </c>
      <c r="F12" s="11">
        <f t="shared" si="3"/>
        <v>172638.22255820231</v>
      </c>
    </row>
    <row r="13" spans="1:9" x14ac:dyDescent="0.2">
      <c r="A13" s="8">
        <v>41974</v>
      </c>
      <c r="B13" s="11">
        <f t="shared" si="4"/>
        <v>172638.22255820231</v>
      </c>
      <c r="C13" s="11">
        <f t="shared" si="0"/>
        <v>220.11191294540038</v>
      </c>
      <c r="D13" s="11">
        <f t="shared" si="1"/>
        <v>719.32592732584294</v>
      </c>
      <c r="E13" s="11">
        <f t="shared" si="2"/>
        <v>939.43784027124332</v>
      </c>
      <c r="F13" s="12">
        <f t="shared" si="3"/>
        <v>172418.11064525691</v>
      </c>
    </row>
    <row r="14" spans="1:9" x14ac:dyDescent="0.2">
      <c r="A14" s="4" t="s">
        <v>40</v>
      </c>
      <c r="B14" s="12"/>
      <c r="C14" s="12">
        <f>SUM(C2:C13)</f>
        <v>2581.8893547430907</v>
      </c>
      <c r="D14" s="12">
        <f>SUM(D2:D13)</f>
        <v>8691.3647285118295</v>
      </c>
      <c r="E14" s="11"/>
      <c r="F14" s="11"/>
    </row>
    <row r="15" spans="1:9" x14ac:dyDescent="0.2">
      <c r="A15" s="3"/>
      <c r="B15" s="11"/>
      <c r="C15" s="11"/>
      <c r="D15" s="11"/>
      <c r="E15" s="11"/>
      <c r="F15" s="11"/>
    </row>
    <row r="16" spans="1:9" x14ac:dyDescent="0.2">
      <c r="A16" s="9">
        <v>42005</v>
      </c>
      <c r="B16" s="11">
        <f>+F13</f>
        <v>172418.11064525691</v>
      </c>
      <c r="C16" s="11">
        <f t="shared" ref="C16:C27" si="5">+E16-D16</f>
        <v>221.02904591600623</v>
      </c>
      <c r="D16" s="11">
        <f t="shared" ref="D16:D27" si="6">B16*$I$2</f>
        <v>718.40879435523709</v>
      </c>
      <c r="E16" s="11">
        <f t="shared" ref="E16:E27" si="7">-$I$8</f>
        <v>939.43784027124332</v>
      </c>
      <c r="F16" s="11">
        <f t="shared" ref="F16:F27" si="8">+B16-C16</f>
        <v>172197.08159934089</v>
      </c>
    </row>
    <row r="17" spans="1:6" x14ac:dyDescent="0.2">
      <c r="A17" s="9">
        <v>42036</v>
      </c>
      <c r="B17" s="11">
        <f t="shared" ref="B17:B27" si="9">+F16</f>
        <v>172197.08159934089</v>
      </c>
      <c r="C17" s="11">
        <f t="shared" si="5"/>
        <v>221.95000027398964</v>
      </c>
      <c r="D17" s="11">
        <f t="shared" si="6"/>
        <v>717.48783999725367</v>
      </c>
      <c r="E17" s="11">
        <f t="shared" si="7"/>
        <v>939.43784027124332</v>
      </c>
      <c r="F17" s="11">
        <f t="shared" si="8"/>
        <v>171975.1315990669</v>
      </c>
    </row>
    <row r="18" spans="1:6" x14ac:dyDescent="0.2">
      <c r="A18" s="9">
        <v>42064</v>
      </c>
      <c r="B18" s="11">
        <f t="shared" si="9"/>
        <v>171975.1315990669</v>
      </c>
      <c r="C18" s="11">
        <f t="shared" si="5"/>
        <v>222.87479194179798</v>
      </c>
      <c r="D18" s="11">
        <f t="shared" si="6"/>
        <v>716.56304832944534</v>
      </c>
      <c r="E18" s="11">
        <f t="shared" si="7"/>
        <v>939.43784027124332</v>
      </c>
      <c r="F18" s="11">
        <f t="shared" si="8"/>
        <v>171752.25680712509</v>
      </c>
    </row>
    <row r="19" spans="1:6" x14ac:dyDescent="0.2">
      <c r="A19" s="9">
        <v>42095</v>
      </c>
      <c r="B19" s="11">
        <f t="shared" si="9"/>
        <v>171752.25680712509</v>
      </c>
      <c r="C19" s="11">
        <f t="shared" si="5"/>
        <v>223.80343690822212</v>
      </c>
      <c r="D19" s="11">
        <f t="shared" si="6"/>
        <v>715.63440336302119</v>
      </c>
      <c r="E19" s="11">
        <f t="shared" si="7"/>
        <v>939.43784027124332</v>
      </c>
      <c r="F19" s="11">
        <f t="shared" si="8"/>
        <v>171528.45337021686</v>
      </c>
    </row>
    <row r="20" spans="1:6" x14ac:dyDescent="0.2">
      <c r="A20" s="9">
        <v>42125</v>
      </c>
      <c r="B20" s="11">
        <f t="shared" si="9"/>
        <v>171528.45337021686</v>
      </c>
      <c r="C20" s="11">
        <f t="shared" si="5"/>
        <v>224.73595122867312</v>
      </c>
      <c r="D20" s="11">
        <f t="shared" si="6"/>
        <v>714.7018890425702</v>
      </c>
      <c r="E20" s="11">
        <f t="shared" si="7"/>
        <v>939.43784027124332</v>
      </c>
      <c r="F20" s="11">
        <f t="shared" si="8"/>
        <v>171303.71741898818</v>
      </c>
    </row>
    <row r="21" spans="1:6" x14ac:dyDescent="0.2">
      <c r="A21" s="9">
        <v>42156</v>
      </c>
      <c r="B21" s="11">
        <f t="shared" si="9"/>
        <v>171303.71741898818</v>
      </c>
      <c r="C21" s="11">
        <f t="shared" si="5"/>
        <v>225.67235102545931</v>
      </c>
      <c r="D21" s="11">
        <f t="shared" si="6"/>
        <v>713.76548924578401</v>
      </c>
      <c r="E21" s="11">
        <f t="shared" si="7"/>
        <v>939.43784027124332</v>
      </c>
      <c r="F21" s="11">
        <f t="shared" si="8"/>
        <v>171078.04506796272</v>
      </c>
    </row>
    <row r="22" spans="1:6" x14ac:dyDescent="0.2">
      <c r="A22" s="9">
        <v>42186</v>
      </c>
      <c r="B22" s="11">
        <f t="shared" si="9"/>
        <v>171078.04506796272</v>
      </c>
      <c r="C22" s="11">
        <f t="shared" si="5"/>
        <v>226.61265248806535</v>
      </c>
      <c r="D22" s="11">
        <f t="shared" si="6"/>
        <v>712.82518778317797</v>
      </c>
      <c r="E22" s="11">
        <f t="shared" si="7"/>
        <v>939.43784027124332</v>
      </c>
      <c r="F22" s="11">
        <f t="shared" si="8"/>
        <v>170851.43241547467</v>
      </c>
    </row>
    <row r="23" spans="1:6" x14ac:dyDescent="0.2">
      <c r="A23" s="9">
        <v>42217</v>
      </c>
      <c r="B23" s="11">
        <f t="shared" si="9"/>
        <v>170851.43241547467</v>
      </c>
      <c r="C23" s="11">
        <f t="shared" si="5"/>
        <v>227.55687187343221</v>
      </c>
      <c r="D23" s="11">
        <f t="shared" si="6"/>
        <v>711.8809683978111</v>
      </c>
      <c r="E23" s="11">
        <f t="shared" si="7"/>
        <v>939.43784027124332</v>
      </c>
      <c r="F23" s="11">
        <f t="shared" si="8"/>
        <v>170623.87554360123</v>
      </c>
    </row>
    <row r="24" spans="1:6" x14ac:dyDescent="0.2">
      <c r="A24" s="9">
        <v>42248</v>
      </c>
      <c r="B24" s="11">
        <f t="shared" si="9"/>
        <v>170623.87554360123</v>
      </c>
      <c r="C24" s="11">
        <f t="shared" si="5"/>
        <v>228.50502550623821</v>
      </c>
      <c r="D24" s="11">
        <f t="shared" si="6"/>
        <v>710.93281476500511</v>
      </c>
      <c r="E24" s="11">
        <f t="shared" si="7"/>
        <v>939.43784027124332</v>
      </c>
      <c r="F24" s="11">
        <f t="shared" si="8"/>
        <v>170395.37051809498</v>
      </c>
    </row>
    <row r="25" spans="1:6" x14ac:dyDescent="0.2">
      <c r="A25" s="9">
        <v>42278</v>
      </c>
      <c r="B25" s="11">
        <f t="shared" si="9"/>
        <v>170395.37051809498</v>
      </c>
      <c r="C25" s="11">
        <f t="shared" si="5"/>
        <v>229.45712977918095</v>
      </c>
      <c r="D25" s="11">
        <f t="shared" si="6"/>
        <v>709.98071049206237</v>
      </c>
      <c r="E25" s="11">
        <f t="shared" si="7"/>
        <v>939.43784027124332</v>
      </c>
      <c r="F25" s="11">
        <f t="shared" si="8"/>
        <v>170165.91338831579</v>
      </c>
    </row>
    <row r="26" spans="1:6" x14ac:dyDescent="0.2">
      <c r="A26" s="9">
        <v>42309</v>
      </c>
      <c r="B26" s="11">
        <f t="shared" si="9"/>
        <v>170165.91338831579</v>
      </c>
      <c r="C26" s="11">
        <f t="shared" si="5"/>
        <v>230.41320115326084</v>
      </c>
      <c r="D26" s="11">
        <f t="shared" si="6"/>
        <v>709.02463911798247</v>
      </c>
      <c r="E26" s="11">
        <f t="shared" si="7"/>
        <v>939.43784027124332</v>
      </c>
      <c r="F26" s="11">
        <f t="shared" si="8"/>
        <v>169935.50018716254</v>
      </c>
    </row>
    <row r="27" spans="1:6" x14ac:dyDescent="0.2">
      <c r="A27" s="9">
        <v>42339</v>
      </c>
      <c r="B27" s="11">
        <f t="shared" si="9"/>
        <v>169935.50018716254</v>
      </c>
      <c r="C27" s="11">
        <f t="shared" si="5"/>
        <v>231.37325615806606</v>
      </c>
      <c r="D27" s="11">
        <f t="shared" si="6"/>
        <v>708.06458411317726</v>
      </c>
      <c r="E27" s="11">
        <f t="shared" si="7"/>
        <v>939.43784027124332</v>
      </c>
      <c r="F27" s="12">
        <f t="shared" si="8"/>
        <v>169704.12693100449</v>
      </c>
    </row>
    <row r="28" spans="1:6" x14ac:dyDescent="0.2">
      <c r="A28" s="4" t="s">
        <v>40</v>
      </c>
      <c r="B28" s="12"/>
      <c r="C28" s="12">
        <f>SUM(C16:C27)</f>
        <v>2713.9837142523916</v>
      </c>
      <c r="D28" s="12">
        <f>SUM(D16:D27)</f>
        <v>8559.2703690025282</v>
      </c>
      <c r="E28" s="11"/>
      <c r="F28" s="11"/>
    </row>
    <row r="29" spans="1:6" x14ac:dyDescent="0.2">
      <c r="A29" s="3"/>
      <c r="B29" s="11"/>
      <c r="C29" s="11"/>
      <c r="D29" s="11"/>
      <c r="E29" s="11"/>
      <c r="F29" s="11"/>
    </row>
    <row r="30" spans="1:6" x14ac:dyDescent="0.2">
      <c r="A30" s="9">
        <v>42370</v>
      </c>
      <c r="B30" s="11">
        <f>+F27</f>
        <v>169704.12693100449</v>
      </c>
      <c r="C30" s="11">
        <f t="shared" ref="C30:C41" si="10">+E30-D30</f>
        <v>232.33731139205793</v>
      </c>
      <c r="D30" s="11">
        <f t="shared" ref="D30:D41" si="11">B30*$I$2</f>
        <v>707.10052887918539</v>
      </c>
      <c r="E30" s="11">
        <f t="shared" ref="E30:E41" si="12">-$I$8</f>
        <v>939.43784027124332</v>
      </c>
      <c r="F30" s="11">
        <f t="shared" ref="F30:F41" si="13">+B30-C30</f>
        <v>169471.78961961242</v>
      </c>
    </row>
    <row r="31" spans="1:6" x14ac:dyDescent="0.2">
      <c r="A31" s="9">
        <v>42401</v>
      </c>
      <c r="B31" s="11">
        <f t="shared" ref="B31:B41" si="14">+F30</f>
        <v>169471.78961961242</v>
      </c>
      <c r="C31" s="11">
        <f t="shared" si="10"/>
        <v>233.30538352285828</v>
      </c>
      <c r="D31" s="11">
        <f t="shared" si="11"/>
        <v>706.13245674838504</v>
      </c>
      <c r="E31" s="11">
        <f t="shared" si="12"/>
        <v>939.43784027124332</v>
      </c>
      <c r="F31" s="11">
        <f t="shared" si="13"/>
        <v>169238.48423608957</v>
      </c>
    </row>
    <row r="32" spans="1:6" x14ac:dyDescent="0.2">
      <c r="A32" s="9">
        <v>42430</v>
      </c>
      <c r="B32" s="11">
        <f t="shared" si="14"/>
        <v>169238.48423608957</v>
      </c>
      <c r="C32" s="11">
        <f t="shared" si="10"/>
        <v>234.27748928753681</v>
      </c>
      <c r="D32" s="11">
        <f t="shared" si="11"/>
        <v>705.16035098370651</v>
      </c>
      <c r="E32" s="11">
        <f t="shared" si="12"/>
        <v>939.43784027124332</v>
      </c>
      <c r="F32" s="11">
        <f t="shared" si="13"/>
        <v>169004.20674680203</v>
      </c>
    </row>
    <row r="33" spans="1:6" x14ac:dyDescent="0.2">
      <c r="A33" s="9">
        <v>42461</v>
      </c>
      <c r="B33" s="11">
        <f t="shared" si="14"/>
        <v>169004.20674680203</v>
      </c>
      <c r="C33" s="11">
        <f t="shared" si="10"/>
        <v>235.25364549290157</v>
      </c>
      <c r="D33" s="11">
        <f t="shared" si="11"/>
        <v>704.18419477834175</v>
      </c>
      <c r="E33" s="11">
        <f t="shared" si="12"/>
        <v>939.43784027124332</v>
      </c>
      <c r="F33" s="11">
        <f t="shared" si="13"/>
        <v>168768.95310130913</v>
      </c>
    </row>
    <row r="34" spans="1:6" x14ac:dyDescent="0.2">
      <c r="A34" s="9">
        <v>42491</v>
      </c>
      <c r="B34" s="11">
        <f t="shared" si="14"/>
        <v>168768.95310130913</v>
      </c>
      <c r="C34" s="11">
        <f t="shared" si="10"/>
        <v>236.23386901578863</v>
      </c>
      <c r="D34" s="11">
        <f t="shared" si="11"/>
        <v>703.20397125545469</v>
      </c>
      <c r="E34" s="11">
        <f t="shared" si="12"/>
        <v>939.43784027124332</v>
      </c>
      <c r="F34" s="11">
        <f t="shared" si="13"/>
        <v>168532.71923229334</v>
      </c>
    </row>
    <row r="35" spans="1:6" x14ac:dyDescent="0.2">
      <c r="A35" s="9">
        <v>42522</v>
      </c>
      <c r="B35" s="11">
        <f t="shared" si="14"/>
        <v>168532.71923229334</v>
      </c>
      <c r="C35" s="11">
        <f t="shared" si="10"/>
        <v>237.21817680335437</v>
      </c>
      <c r="D35" s="11">
        <f t="shared" si="11"/>
        <v>702.21966346788895</v>
      </c>
      <c r="E35" s="11">
        <f t="shared" si="12"/>
        <v>939.43784027124332</v>
      </c>
      <c r="F35" s="11">
        <f t="shared" si="13"/>
        <v>168295.50105548999</v>
      </c>
    </row>
    <row r="36" spans="1:6" x14ac:dyDescent="0.2">
      <c r="A36" s="9">
        <v>42552</v>
      </c>
      <c r="B36" s="11">
        <f t="shared" si="14"/>
        <v>168295.50105548999</v>
      </c>
      <c r="C36" s="11">
        <f t="shared" si="10"/>
        <v>238.20658587336834</v>
      </c>
      <c r="D36" s="11">
        <f t="shared" si="11"/>
        <v>701.23125439787498</v>
      </c>
      <c r="E36" s="11">
        <f t="shared" si="12"/>
        <v>939.43784027124332</v>
      </c>
      <c r="F36" s="11">
        <f t="shared" si="13"/>
        <v>168057.29446961664</v>
      </c>
    </row>
    <row r="37" spans="1:6" x14ac:dyDescent="0.2">
      <c r="A37" s="9">
        <v>42583</v>
      </c>
      <c r="B37" s="11">
        <f t="shared" si="14"/>
        <v>168057.29446961664</v>
      </c>
      <c r="C37" s="11">
        <f t="shared" si="10"/>
        <v>239.19911331450737</v>
      </c>
      <c r="D37" s="11">
        <f t="shared" si="11"/>
        <v>700.23872695673595</v>
      </c>
      <c r="E37" s="11">
        <f t="shared" si="12"/>
        <v>939.43784027124332</v>
      </c>
      <c r="F37" s="11">
        <f t="shared" si="13"/>
        <v>167818.09535630213</v>
      </c>
    </row>
    <row r="38" spans="1:6" x14ac:dyDescent="0.2">
      <c r="A38" s="9">
        <v>42614</v>
      </c>
      <c r="B38" s="11">
        <f t="shared" si="14"/>
        <v>167818.09535630213</v>
      </c>
      <c r="C38" s="11">
        <f t="shared" si="10"/>
        <v>240.19577628665115</v>
      </c>
      <c r="D38" s="11">
        <f t="shared" si="11"/>
        <v>699.24206398459216</v>
      </c>
      <c r="E38" s="11">
        <f t="shared" si="12"/>
        <v>939.43784027124332</v>
      </c>
      <c r="F38" s="11">
        <f t="shared" si="13"/>
        <v>167577.89958001548</v>
      </c>
    </row>
    <row r="39" spans="1:6" x14ac:dyDescent="0.2">
      <c r="A39" s="9">
        <v>42644</v>
      </c>
      <c r="B39" s="11">
        <f t="shared" si="14"/>
        <v>167577.89958001548</v>
      </c>
      <c r="C39" s="11">
        <f t="shared" si="10"/>
        <v>241.19659202117884</v>
      </c>
      <c r="D39" s="11">
        <f t="shared" si="11"/>
        <v>698.24124825006447</v>
      </c>
      <c r="E39" s="11">
        <f t="shared" si="12"/>
        <v>939.43784027124332</v>
      </c>
      <c r="F39" s="11">
        <f t="shared" si="13"/>
        <v>167336.7029879943</v>
      </c>
    </row>
    <row r="40" spans="1:6" x14ac:dyDescent="0.2">
      <c r="A40" s="9">
        <v>42675</v>
      </c>
      <c r="B40" s="11">
        <f t="shared" si="14"/>
        <v>167336.7029879943</v>
      </c>
      <c r="C40" s="11">
        <f t="shared" si="10"/>
        <v>242.20157782126705</v>
      </c>
      <c r="D40" s="11">
        <f t="shared" si="11"/>
        <v>697.23626244997627</v>
      </c>
      <c r="E40" s="11">
        <f t="shared" si="12"/>
        <v>939.43784027124332</v>
      </c>
      <c r="F40" s="11">
        <f t="shared" si="13"/>
        <v>167094.50141017302</v>
      </c>
    </row>
    <row r="41" spans="1:6" x14ac:dyDescent="0.2">
      <c r="A41" s="9">
        <v>42705</v>
      </c>
      <c r="B41" s="11">
        <f t="shared" si="14"/>
        <v>167094.50141017302</v>
      </c>
      <c r="C41" s="11">
        <f t="shared" si="10"/>
        <v>243.21075106218905</v>
      </c>
      <c r="D41" s="11">
        <f t="shared" si="11"/>
        <v>696.22708920905427</v>
      </c>
      <c r="E41" s="11">
        <f t="shared" si="12"/>
        <v>939.43784027124332</v>
      </c>
      <c r="F41" s="12">
        <f t="shared" si="13"/>
        <v>166851.29065911082</v>
      </c>
    </row>
    <row r="42" spans="1:6" x14ac:dyDescent="0.2">
      <c r="A42" s="4" t="s">
        <v>40</v>
      </c>
      <c r="B42" s="12"/>
      <c r="C42" s="12">
        <f>SUM(C30:C41)</f>
        <v>2852.8362718936596</v>
      </c>
      <c r="D42" s="12">
        <f>SUM(D30:D41)</f>
        <v>8420.4178113612616</v>
      </c>
      <c r="E42" s="11"/>
      <c r="F42" s="11"/>
    </row>
    <row r="43" spans="1:6" x14ac:dyDescent="0.2">
      <c r="A43" s="3"/>
      <c r="B43" s="11"/>
      <c r="C43" s="11"/>
      <c r="D43" s="11"/>
      <c r="E43" s="11"/>
      <c r="F43" s="11"/>
    </row>
    <row r="44" spans="1:6" x14ac:dyDescent="0.2">
      <c r="A44" s="9">
        <v>42736</v>
      </c>
      <c r="B44" s="11">
        <f>+F41</f>
        <v>166851.29065911082</v>
      </c>
      <c r="C44" s="11">
        <f t="shared" ref="C44:C55" si="15">+E44-D44</f>
        <v>244.22412919161491</v>
      </c>
      <c r="D44" s="11">
        <f t="shared" ref="D44:D55" si="16">B44*$I$2</f>
        <v>695.21371107962841</v>
      </c>
      <c r="E44" s="11">
        <f t="shared" ref="E44:E55" si="17">-$I$8</f>
        <v>939.43784027124332</v>
      </c>
      <c r="F44" s="11">
        <f t="shared" ref="F44:F55" si="18">+B44-C44</f>
        <v>166607.06652991919</v>
      </c>
    </row>
    <row r="45" spans="1:6" x14ac:dyDescent="0.2">
      <c r="A45" s="9">
        <v>42767</v>
      </c>
      <c r="B45" s="11">
        <f t="shared" ref="B45:B55" si="19">+F44</f>
        <v>166607.06652991919</v>
      </c>
      <c r="C45" s="11">
        <f t="shared" si="15"/>
        <v>245.24172972991335</v>
      </c>
      <c r="D45" s="11">
        <f t="shared" si="16"/>
        <v>694.19611054132997</v>
      </c>
      <c r="E45" s="11">
        <f t="shared" si="17"/>
        <v>939.43784027124332</v>
      </c>
      <c r="F45" s="11">
        <f t="shared" si="18"/>
        <v>166361.82480018926</v>
      </c>
    </row>
    <row r="46" spans="1:6" x14ac:dyDescent="0.2">
      <c r="A46" s="9">
        <v>42795</v>
      </c>
      <c r="B46" s="11">
        <f t="shared" si="19"/>
        <v>166361.82480018926</v>
      </c>
      <c r="C46" s="11">
        <f t="shared" si="15"/>
        <v>246.26357027045469</v>
      </c>
      <c r="D46" s="11">
        <f t="shared" si="16"/>
        <v>693.17427000078862</v>
      </c>
      <c r="E46" s="11">
        <f t="shared" si="17"/>
        <v>939.43784027124332</v>
      </c>
      <c r="F46" s="11">
        <f t="shared" si="18"/>
        <v>166115.56122991882</v>
      </c>
    </row>
    <row r="47" spans="1:6" x14ac:dyDescent="0.2">
      <c r="A47" s="9">
        <v>42826</v>
      </c>
      <c r="B47" s="11">
        <f t="shared" si="19"/>
        <v>166115.56122991882</v>
      </c>
      <c r="C47" s="11">
        <f t="shared" si="15"/>
        <v>247.28966847991489</v>
      </c>
      <c r="D47" s="11">
        <f t="shared" si="16"/>
        <v>692.14817179132842</v>
      </c>
      <c r="E47" s="11">
        <f t="shared" si="17"/>
        <v>939.43784027124332</v>
      </c>
      <c r="F47" s="11">
        <f t="shared" si="18"/>
        <v>165868.27156143892</v>
      </c>
    </row>
    <row r="48" spans="1:6" x14ac:dyDescent="0.2">
      <c r="A48" s="9">
        <v>42856</v>
      </c>
      <c r="B48" s="11">
        <f t="shared" si="19"/>
        <v>165868.27156143892</v>
      </c>
      <c r="C48" s="11">
        <f t="shared" si="15"/>
        <v>248.32004209858121</v>
      </c>
      <c r="D48" s="11">
        <f t="shared" si="16"/>
        <v>691.11779817266211</v>
      </c>
      <c r="E48" s="11">
        <f t="shared" si="17"/>
        <v>939.43784027124332</v>
      </c>
      <c r="F48" s="11">
        <f t="shared" si="18"/>
        <v>165619.95151934033</v>
      </c>
    </row>
    <row r="49" spans="1:7" x14ac:dyDescent="0.2">
      <c r="A49" s="9">
        <v>42887</v>
      </c>
      <c r="B49" s="11">
        <f t="shared" si="19"/>
        <v>165619.95151934033</v>
      </c>
      <c r="C49" s="11">
        <f t="shared" si="15"/>
        <v>249.35470894065861</v>
      </c>
      <c r="D49" s="11">
        <f t="shared" si="16"/>
        <v>690.08313133058471</v>
      </c>
      <c r="E49" s="11">
        <f t="shared" si="17"/>
        <v>939.43784027124332</v>
      </c>
      <c r="F49" s="11">
        <f t="shared" si="18"/>
        <v>165370.59681039967</v>
      </c>
    </row>
    <row r="50" spans="1:7" x14ac:dyDescent="0.2">
      <c r="A50" s="9">
        <v>42917</v>
      </c>
      <c r="B50" s="11">
        <f t="shared" si="19"/>
        <v>165370.59681039967</v>
      </c>
      <c r="C50" s="11">
        <f t="shared" si="15"/>
        <v>250.39368689457808</v>
      </c>
      <c r="D50" s="11">
        <f t="shared" si="16"/>
        <v>689.04415337666524</v>
      </c>
      <c r="E50" s="11">
        <f t="shared" si="17"/>
        <v>939.43784027124332</v>
      </c>
      <c r="F50" s="11">
        <f t="shared" si="18"/>
        <v>165120.20312350508</v>
      </c>
    </row>
    <row r="51" spans="1:7" x14ac:dyDescent="0.2">
      <c r="A51" s="9">
        <v>42948</v>
      </c>
      <c r="B51" s="11">
        <f t="shared" si="19"/>
        <v>165120.20312350508</v>
      </c>
      <c r="C51" s="11">
        <f t="shared" si="15"/>
        <v>251.43699392330552</v>
      </c>
      <c r="D51" s="11">
        <f t="shared" si="16"/>
        <v>688.0008463479378</v>
      </c>
      <c r="E51" s="11">
        <f t="shared" si="17"/>
        <v>939.43784027124332</v>
      </c>
      <c r="F51" s="11">
        <f t="shared" si="18"/>
        <v>164868.76612958178</v>
      </c>
    </row>
    <row r="52" spans="1:7" x14ac:dyDescent="0.2">
      <c r="A52" s="9">
        <v>42979</v>
      </c>
      <c r="B52" s="11">
        <f t="shared" si="19"/>
        <v>164868.76612958178</v>
      </c>
      <c r="C52" s="11">
        <f t="shared" si="15"/>
        <v>252.48464806465256</v>
      </c>
      <c r="D52" s="11">
        <f t="shared" si="16"/>
        <v>686.95319220659076</v>
      </c>
      <c r="E52" s="11">
        <f t="shared" si="17"/>
        <v>939.43784027124332</v>
      </c>
      <c r="F52" s="11">
        <f t="shared" si="18"/>
        <v>164616.28148151713</v>
      </c>
    </row>
    <row r="53" spans="1:7" x14ac:dyDescent="0.2">
      <c r="A53" s="9">
        <v>43009</v>
      </c>
      <c r="B53" s="11">
        <f t="shared" si="19"/>
        <v>164616.28148151713</v>
      </c>
      <c r="C53" s="11">
        <f t="shared" si="15"/>
        <v>253.53666743158863</v>
      </c>
      <c r="D53" s="11">
        <f t="shared" si="16"/>
        <v>685.90117283965469</v>
      </c>
      <c r="E53" s="11">
        <f t="shared" si="17"/>
        <v>939.43784027124332</v>
      </c>
      <c r="F53" s="11">
        <f t="shared" si="18"/>
        <v>164362.74481408554</v>
      </c>
    </row>
    <row r="54" spans="1:7" x14ac:dyDescent="0.2">
      <c r="A54" s="9">
        <v>43040</v>
      </c>
      <c r="B54" s="11">
        <f t="shared" si="19"/>
        <v>164362.74481408554</v>
      </c>
      <c r="C54" s="11">
        <f t="shared" si="15"/>
        <v>254.59307021255358</v>
      </c>
      <c r="D54" s="11">
        <f t="shared" si="16"/>
        <v>684.84477005868973</v>
      </c>
      <c r="E54" s="11">
        <f t="shared" si="17"/>
        <v>939.43784027124332</v>
      </c>
      <c r="F54" s="11">
        <f t="shared" si="18"/>
        <v>164108.15174387299</v>
      </c>
    </row>
    <row r="55" spans="1:7" x14ac:dyDescent="0.2">
      <c r="A55" s="9">
        <v>43070</v>
      </c>
      <c r="B55" s="11">
        <f t="shared" si="19"/>
        <v>164108.15174387299</v>
      </c>
      <c r="C55" s="11">
        <f t="shared" si="15"/>
        <v>255.65387467177254</v>
      </c>
      <c r="D55" s="11">
        <f t="shared" si="16"/>
        <v>683.78396559947078</v>
      </c>
      <c r="E55" s="11">
        <f t="shared" si="17"/>
        <v>939.43784027124332</v>
      </c>
      <c r="F55" s="12">
        <f t="shared" si="18"/>
        <v>163852.49786920121</v>
      </c>
      <c r="G55" s="2"/>
    </row>
    <row r="56" spans="1:7" x14ac:dyDescent="0.2">
      <c r="A56" s="4" t="s">
        <v>40</v>
      </c>
      <c r="B56" s="13"/>
      <c r="C56" s="12">
        <f>SUM(C44:C55)</f>
        <v>2998.7927899095885</v>
      </c>
      <c r="D56" s="12">
        <f>SUM(D44:D55)</f>
        <v>8274.46129334533</v>
      </c>
    </row>
    <row r="58" spans="1:7" x14ac:dyDescent="0.2">
      <c r="A58" s="9">
        <v>43101</v>
      </c>
      <c r="B58" s="10">
        <f>F55</f>
        <v>163852.49786920121</v>
      </c>
      <c r="C58" s="10">
        <f t="shared" ref="C58:C69" si="20">+E58-D58</f>
        <v>256.71909914957166</v>
      </c>
      <c r="D58" s="10">
        <f t="shared" ref="D58:D69" si="21">B58*$I$2</f>
        <v>682.71874112167166</v>
      </c>
      <c r="E58" s="10">
        <f t="shared" ref="E58:E69" si="22">-$I$8</f>
        <v>939.43784027124332</v>
      </c>
      <c r="F58" s="10">
        <f t="shared" ref="F58:F69" si="23">+B58-C58</f>
        <v>163595.77877005163</v>
      </c>
    </row>
    <row r="59" spans="1:7" x14ac:dyDescent="0.2">
      <c r="A59" s="9">
        <v>43132</v>
      </c>
      <c r="B59" s="10">
        <f t="shared" ref="B59:B69" si="24">+F58</f>
        <v>163595.77877005163</v>
      </c>
      <c r="C59" s="10">
        <f t="shared" si="20"/>
        <v>257.7887620626949</v>
      </c>
      <c r="D59" s="10">
        <f t="shared" si="21"/>
        <v>681.64907820854842</v>
      </c>
      <c r="E59" s="10">
        <f t="shared" si="22"/>
        <v>939.43784027124332</v>
      </c>
      <c r="F59" s="10">
        <f t="shared" si="23"/>
        <v>163337.99000798893</v>
      </c>
    </row>
    <row r="60" spans="1:7" x14ac:dyDescent="0.2">
      <c r="A60" s="9">
        <v>43160</v>
      </c>
      <c r="B60" s="10">
        <f t="shared" si="24"/>
        <v>163337.99000798893</v>
      </c>
      <c r="C60" s="10">
        <f t="shared" si="20"/>
        <v>258.86288190462278</v>
      </c>
      <c r="D60" s="10">
        <f t="shared" si="21"/>
        <v>680.57495836662054</v>
      </c>
      <c r="E60" s="10">
        <f t="shared" si="22"/>
        <v>939.43784027124332</v>
      </c>
      <c r="F60" s="10">
        <f t="shared" si="23"/>
        <v>163079.12712608432</v>
      </c>
    </row>
    <row r="61" spans="1:7" x14ac:dyDescent="0.2">
      <c r="A61" s="9">
        <v>43191</v>
      </c>
      <c r="B61" s="10">
        <f t="shared" si="24"/>
        <v>163079.12712608432</v>
      </c>
      <c r="C61" s="10">
        <f t="shared" si="20"/>
        <v>259.94147724589197</v>
      </c>
      <c r="D61" s="10">
        <f t="shared" si="21"/>
        <v>679.49636302535134</v>
      </c>
      <c r="E61" s="10">
        <f t="shared" si="22"/>
        <v>939.43784027124332</v>
      </c>
      <c r="F61" s="10">
        <f t="shared" si="23"/>
        <v>162819.18564883844</v>
      </c>
    </row>
    <row r="62" spans="1:7" x14ac:dyDescent="0.2">
      <c r="A62" s="9">
        <v>43221</v>
      </c>
      <c r="B62" s="10">
        <f t="shared" si="24"/>
        <v>162819.18564883844</v>
      </c>
      <c r="C62" s="10">
        <f t="shared" si="20"/>
        <v>261.02456673441645</v>
      </c>
      <c r="D62" s="10">
        <f t="shared" si="21"/>
        <v>678.41327353682686</v>
      </c>
      <c r="E62" s="10">
        <f t="shared" si="22"/>
        <v>939.43784027124332</v>
      </c>
      <c r="F62" s="10">
        <f t="shared" si="23"/>
        <v>162558.16108210402</v>
      </c>
    </row>
    <row r="63" spans="1:7" x14ac:dyDescent="0.2">
      <c r="A63" s="9">
        <v>43252</v>
      </c>
      <c r="B63" s="10">
        <f t="shared" si="24"/>
        <v>162558.16108210402</v>
      </c>
      <c r="C63" s="10">
        <f t="shared" si="20"/>
        <v>262.11216909580992</v>
      </c>
      <c r="D63" s="10">
        <f t="shared" si="21"/>
        <v>677.3256711754334</v>
      </c>
      <c r="E63" s="10">
        <f t="shared" si="22"/>
        <v>939.43784027124332</v>
      </c>
      <c r="F63" s="10">
        <f t="shared" si="23"/>
        <v>162296.04891300821</v>
      </c>
    </row>
    <row r="64" spans="1:7" x14ac:dyDescent="0.2">
      <c r="A64" s="9">
        <v>43282</v>
      </c>
      <c r="B64" s="10">
        <f t="shared" si="24"/>
        <v>162296.04891300821</v>
      </c>
      <c r="C64" s="10">
        <f t="shared" si="20"/>
        <v>263.20430313370912</v>
      </c>
      <c r="D64" s="10">
        <f t="shared" si="21"/>
        <v>676.2335371375342</v>
      </c>
      <c r="E64" s="10">
        <f t="shared" si="22"/>
        <v>939.43784027124332</v>
      </c>
      <c r="F64" s="10">
        <f t="shared" si="23"/>
        <v>162032.8446098745</v>
      </c>
    </row>
    <row r="65" spans="1:6" x14ac:dyDescent="0.2">
      <c r="A65" s="9">
        <v>43313</v>
      </c>
      <c r="B65" s="10">
        <f t="shared" si="24"/>
        <v>162032.8446098745</v>
      </c>
      <c r="C65" s="10">
        <f t="shared" si="20"/>
        <v>264.30098773009956</v>
      </c>
      <c r="D65" s="10">
        <f t="shared" si="21"/>
        <v>675.13685254114375</v>
      </c>
      <c r="E65" s="10">
        <f t="shared" si="22"/>
        <v>939.43784027124332</v>
      </c>
      <c r="F65" s="10">
        <f t="shared" si="23"/>
        <v>161768.54362214441</v>
      </c>
    </row>
    <row r="66" spans="1:6" x14ac:dyDescent="0.2">
      <c r="A66" s="9">
        <v>43344</v>
      </c>
      <c r="B66" s="10">
        <f t="shared" si="24"/>
        <v>161768.54362214441</v>
      </c>
      <c r="C66" s="10">
        <f t="shared" si="20"/>
        <v>265.40224184564158</v>
      </c>
      <c r="D66" s="10">
        <f t="shared" si="21"/>
        <v>674.03559842560173</v>
      </c>
      <c r="E66" s="10">
        <f t="shared" si="22"/>
        <v>939.43784027124332</v>
      </c>
      <c r="F66" s="10">
        <f t="shared" si="23"/>
        <v>161503.14138029877</v>
      </c>
    </row>
    <row r="67" spans="1:6" x14ac:dyDescent="0.2">
      <c r="A67" s="9">
        <v>43374</v>
      </c>
      <c r="B67" s="10">
        <f t="shared" si="24"/>
        <v>161503.14138029877</v>
      </c>
      <c r="C67" s="10">
        <f t="shared" si="20"/>
        <v>266.50808451999842</v>
      </c>
      <c r="D67" s="10">
        <f t="shared" si="21"/>
        <v>672.9297557512449</v>
      </c>
      <c r="E67" s="10">
        <f t="shared" si="22"/>
        <v>939.43784027124332</v>
      </c>
      <c r="F67" s="10">
        <f t="shared" si="23"/>
        <v>161236.63329577877</v>
      </c>
    </row>
    <row r="68" spans="1:6" x14ac:dyDescent="0.2">
      <c r="A68" s="9">
        <v>43405</v>
      </c>
      <c r="B68" s="10">
        <f t="shared" si="24"/>
        <v>161236.63329577877</v>
      </c>
      <c r="C68" s="10">
        <f t="shared" si="20"/>
        <v>267.61853487216513</v>
      </c>
      <c r="D68" s="10">
        <f t="shared" si="21"/>
        <v>671.81930539907819</v>
      </c>
      <c r="E68" s="10">
        <f t="shared" si="22"/>
        <v>939.43784027124332</v>
      </c>
      <c r="F68" s="10">
        <f t="shared" si="23"/>
        <v>160969.0147609066</v>
      </c>
    </row>
    <row r="69" spans="1:6" x14ac:dyDescent="0.2">
      <c r="A69" s="9">
        <v>43435</v>
      </c>
      <c r="B69" s="10">
        <f t="shared" si="24"/>
        <v>160969.0147609066</v>
      </c>
      <c r="C69" s="10">
        <f t="shared" si="20"/>
        <v>268.73361210079918</v>
      </c>
      <c r="D69" s="10">
        <f t="shared" si="21"/>
        <v>670.70422817044414</v>
      </c>
      <c r="E69" s="10">
        <f t="shared" si="22"/>
        <v>939.43784027124332</v>
      </c>
      <c r="F69" s="10">
        <f t="shared" si="23"/>
        <v>160700.28114880581</v>
      </c>
    </row>
    <row r="70" spans="1:6" x14ac:dyDescent="0.2">
      <c r="A70" s="1" t="s">
        <v>40</v>
      </c>
      <c r="C70" s="10">
        <f>SUM(C58:C69)</f>
        <v>3152.2167203954209</v>
      </c>
      <c r="D70" s="10">
        <f>SUM(D58:D69)</f>
        <v>8121.0373628594989</v>
      </c>
    </row>
    <row r="72" spans="1:6" x14ac:dyDescent="0.2">
      <c r="A72" s="9">
        <v>43466</v>
      </c>
      <c r="B72" s="10">
        <f>+F69</f>
        <v>160700.28114880581</v>
      </c>
      <c r="C72" s="10">
        <f t="shared" ref="C72:C83" si="25">+E72-D72</f>
        <v>269.85333548455242</v>
      </c>
      <c r="D72" s="10">
        <f t="shared" ref="D72:D83" si="26">B72*$I$2</f>
        <v>669.5845047866909</v>
      </c>
      <c r="E72" s="10">
        <f t="shared" ref="E72:E83" si="27">-$I$8</f>
        <v>939.43784027124332</v>
      </c>
      <c r="F72" s="10">
        <f t="shared" ref="F72:F83" si="28">+B72-C72</f>
        <v>160430.42781332126</v>
      </c>
    </row>
    <row r="73" spans="1:6" x14ac:dyDescent="0.2">
      <c r="A73" s="9">
        <v>43497</v>
      </c>
      <c r="B73" s="10">
        <f t="shared" ref="B73:B83" si="29">+F72</f>
        <v>160430.42781332126</v>
      </c>
      <c r="C73" s="10">
        <f t="shared" si="25"/>
        <v>270.97772438240474</v>
      </c>
      <c r="D73" s="10">
        <f t="shared" si="26"/>
        <v>668.46011588883857</v>
      </c>
      <c r="E73" s="10">
        <f t="shared" si="27"/>
        <v>939.43784027124332</v>
      </c>
      <c r="F73" s="10">
        <f t="shared" si="28"/>
        <v>160159.45008893887</v>
      </c>
    </row>
    <row r="74" spans="1:6" x14ac:dyDescent="0.2">
      <c r="A74" s="9">
        <v>43525</v>
      </c>
      <c r="B74" s="10">
        <f t="shared" si="29"/>
        <v>160159.45008893887</v>
      </c>
      <c r="C74" s="10">
        <f t="shared" si="25"/>
        <v>272.10679823399801</v>
      </c>
      <c r="D74" s="10">
        <f t="shared" si="26"/>
        <v>667.33104203724531</v>
      </c>
      <c r="E74" s="10">
        <f t="shared" si="27"/>
        <v>939.43784027124332</v>
      </c>
      <c r="F74" s="10">
        <f t="shared" si="28"/>
        <v>159887.34329070488</v>
      </c>
    </row>
    <row r="75" spans="1:6" x14ac:dyDescent="0.2">
      <c r="A75" s="9">
        <v>43556</v>
      </c>
      <c r="B75" s="10">
        <f t="shared" si="29"/>
        <v>159887.34329070488</v>
      </c>
      <c r="C75" s="10">
        <f t="shared" si="25"/>
        <v>273.24057655997296</v>
      </c>
      <c r="D75" s="10">
        <f t="shared" si="26"/>
        <v>666.19726371127035</v>
      </c>
      <c r="E75" s="10">
        <f t="shared" si="27"/>
        <v>939.43784027124332</v>
      </c>
      <c r="F75" s="10">
        <f t="shared" si="28"/>
        <v>159614.10271414492</v>
      </c>
    </row>
    <row r="76" spans="1:6" x14ac:dyDescent="0.2">
      <c r="A76" s="9">
        <v>43586</v>
      </c>
      <c r="B76" s="11">
        <f t="shared" si="29"/>
        <v>159614.10271414492</v>
      </c>
      <c r="C76" s="11">
        <f t="shared" si="25"/>
        <v>274.37907896230615</v>
      </c>
      <c r="D76" s="11">
        <f t="shared" si="26"/>
        <v>665.05876130893716</v>
      </c>
      <c r="E76" s="11">
        <f t="shared" si="27"/>
        <v>939.43784027124332</v>
      </c>
      <c r="F76" s="11">
        <f t="shared" si="28"/>
        <v>159339.7236351826</v>
      </c>
    </row>
    <row r="77" spans="1:6" x14ac:dyDescent="0.2">
      <c r="A77" s="9">
        <v>43617</v>
      </c>
      <c r="B77" s="11">
        <f t="shared" si="29"/>
        <v>159339.7236351826</v>
      </c>
      <c r="C77" s="11">
        <f t="shared" si="25"/>
        <v>275.52232512464911</v>
      </c>
      <c r="D77" s="11">
        <f t="shared" si="26"/>
        <v>663.9155151465942</v>
      </c>
      <c r="E77" s="11">
        <f t="shared" si="27"/>
        <v>939.43784027124332</v>
      </c>
      <c r="F77" s="11">
        <f t="shared" si="28"/>
        <v>159064.20131005795</v>
      </c>
    </row>
    <row r="78" spans="1:6" x14ac:dyDescent="0.2">
      <c r="A78" s="9">
        <v>43647</v>
      </c>
      <c r="B78" s="11">
        <f t="shared" si="29"/>
        <v>159064.20131005795</v>
      </c>
      <c r="C78" s="11">
        <f t="shared" si="25"/>
        <v>276.67033481266856</v>
      </c>
      <c r="D78" s="11">
        <f t="shared" si="26"/>
        <v>662.76750545857476</v>
      </c>
      <c r="E78" s="11">
        <f t="shared" si="27"/>
        <v>939.43784027124332</v>
      </c>
      <c r="F78" s="11">
        <f t="shared" si="28"/>
        <v>158787.53097524529</v>
      </c>
    </row>
    <row r="79" spans="1:6" x14ac:dyDescent="0.2">
      <c r="A79" s="9">
        <v>43678</v>
      </c>
      <c r="B79" s="11">
        <f t="shared" si="29"/>
        <v>158787.53097524529</v>
      </c>
      <c r="C79" s="11">
        <f t="shared" si="25"/>
        <v>277.82312787438798</v>
      </c>
      <c r="D79" s="11">
        <f t="shared" si="26"/>
        <v>661.61471239685534</v>
      </c>
      <c r="E79" s="11">
        <f t="shared" si="27"/>
        <v>939.43784027124332</v>
      </c>
      <c r="F79" s="11">
        <f t="shared" si="28"/>
        <v>158509.70784737091</v>
      </c>
    </row>
    <row r="80" spans="1:6" x14ac:dyDescent="0.2">
      <c r="A80" s="9">
        <v>43709</v>
      </c>
      <c r="B80" s="11">
        <f t="shared" si="29"/>
        <v>158509.70784737091</v>
      </c>
      <c r="C80" s="11">
        <f t="shared" si="25"/>
        <v>278.98072424053123</v>
      </c>
      <c r="D80" s="11">
        <f t="shared" si="26"/>
        <v>660.45711603071209</v>
      </c>
      <c r="E80" s="11">
        <f t="shared" si="27"/>
        <v>939.43784027124332</v>
      </c>
      <c r="F80" s="11">
        <f t="shared" si="28"/>
        <v>158230.72712313037</v>
      </c>
    </row>
    <row r="81" spans="1:6" x14ac:dyDescent="0.2">
      <c r="A81" s="9">
        <v>43739</v>
      </c>
      <c r="B81" s="11">
        <f t="shared" si="29"/>
        <v>158230.72712313037</v>
      </c>
      <c r="C81" s="11">
        <f t="shared" si="25"/>
        <v>280.14314392486676</v>
      </c>
      <c r="D81" s="11">
        <f t="shared" si="26"/>
        <v>659.29469634637655</v>
      </c>
      <c r="E81" s="11">
        <f t="shared" si="27"/>
        <v>939.43784027124332</v>
      </c>
      <c r="F81" s="11">
        <f t="shared" si="28"/>
        <v>157950.58397920552</v>
      </c>
    </row>
    <row r="82" spans="1:6" x14ac:dyDescent="0.2">
      <c r="A82" s="9">
        <v>43770</v>
      </c>
      <c r="B82" s="11">
        <f t="shared" si="29"/>
        <v>157950.58397920552</v>
      </c>
      <c r="C82" s="11">
        <f t="shared" si="25"/>
        <v>281.31040702455368</v>
      </c>
      <c r="D82" s="11">
        <f t="shared" si="26"/>
        <v>658.12743324668963</v>
      </c>
      <c r="E82" s="11">
        <f t="shared" si="27"/>
        <v>939.43784027124332</v>
      </c>
      <c r="F82" s="11">
        <f t="shared" si="28"/>
        <v>157669.27357218097</v>
      </c>
    </row>
    <row r="83" spans="1:6" x14ac:dyDescent="0.2">
      <c r="A83" s="9">
        <v>43800</v>
      </c>
      <c r="B83" s="11">
        <f t="shared" si="29"/>
        <v>157669.27357218097</v>
      </c>
      <c r="C83" s="11">
        <f t="shared" si="25"/>
        <v>282.4825337204893</v>
      </c>
      <c r="D83" s="11">
        <f t="shared" si="26"/>
        <v>656.95530655075402</v>
      </c>
      <c r="E83" s="11">
        <f t="shared" si="27"/>
        <v>939.43784027124332</v>
      </c>
      <c r="F83" s="12">
        <f t="shared" si="28"/>
        <v>157386.79103846048</v>
      </c>
    </row>
    <row r="84" spans="1:6" x14ac:dyDescent="0.2">
      <c r="A84" s="1" t="s">
        <v>40</v>
      </c>
      <c r="B84" s="12"/>
      <c r="C84" s="12">
        <f>SUM(C72:C83)</f>
        <v>3313.4901103453808</v>
      </c>
      <c r="D84" s="12">
        <f>SUM(D72:D83)</f>
        <v>7959.7639729095399</v>
      </c>
      <c r="E84" s="11"/>
      <c r="F84" s="11"/>
    </row>
    <row r="85" spans="1:6" x14ac:dyDescent="0.2">
      <c r="B85" s="11"/>
      <c r="C85" s="11"/>
      <c r="D85" s="11"/>
      <c r="E85" s="11"/>
      <c r="F85" s="11"/>
    </row>
    <row r="86" spans="1:6" x14ac:dyDescent="0.2">
      <c r="A86" s="9">
        <v>43831</v>
      </c>
      <c r="B86" s="11">
        <f>+F83</f>
        <v>157386.79103846048</v>
      </c>
      <c r="C86" s="11">
        <f t="shared" ref="C86:C97" si="30">+E86-D86</f>
        <v>283.65954427765803</v>
      </c>
      <c r="D86" s="11">
        <f t="shared" ref="D86:D97" si="31">B86*$I$2</f>
        <v>655.77829599358529</v>
      </c>
      <c r="E86" s="11">
        <f t="shared" ref="E86:E97" si="32">-$I$8</f>
        <v>939.43784027124332</v>
      </c>
      <c r="F86" s="11">
        <f t="shared" ref="F86:F97" si="33">+B86-C86</f>
        <v>157103.13149418283</v>
      </c>
    </row>
    <row r="87" spans="1:6" x14ac:dyDescent="0.2">
      <c r="A87" s="9">
        <v>43862</v>
      </c>
      <c r="B87" s="11">
        <f t="shared" ref="B87:B97" si="34">+F86</f>
        <v>157103.13149418283</v>
      </c>
      <c r="C87" s="11">
        <f t="shared" si="30"/>
        <v>284.84145904548154</v>
      </c>
      <c r="D87" s="11">
        <f t="shared" si="31"/>
        <v>654.59638122576177</v>
      </c>
      <c r="E87" s="11">
        <f t="shared" si="32"/>
        <v>939.43784027124332</v>
      </c>
      <c r="F87" s="11">
        <f t="shared" si="33"/>
        <v>156818.29003513735</v>
      </c>
    </row>
    <row r="88" spans="1:6" x14ac:dyDescent="0.2">
      <c r="A88" s="9">
        <v>43891</v>
      </c>
      <c r="B88" s="11">
        <f t="shared" si="34"/>
        <v>156818.29003513735</v>
      </c>
      <c r="C88" s="11">
        <f t="shared" si="30"/>
        <v>286.02829845817098</v>
      </c>
      <c r="D88" s="11">
        <f t="shared" si="31"/>
        <v>653.40954181307234</v>
      </c>
      <c r="E88" s="11">
        <f t="shared" si="32"/>
        <v>939.43784027124332</v>
      </c>
      <c r="F88" s="11">
        <f t="shared" si="33"/>
        <v>156532.26173667918</v>
      </c>
    </row>
    <row r="89" spans="1:6" x14ac:dyDescent="0.2">
      <c r="A89" s="9">
        <v>43922</v>
      </c>
      <c r="B89" s="11">
        <f t="shared" si="34"/>
        <v>156532.26173667918</v>
      </c>
      <c r="C89" s="11">
        <f t="shared" si="30"/>
        <v>287.22008303508005</v>
      </c>
      <c r="D89" s="11">
        <f t="shared" si="31"/>
        <v>652.21775723616327</v>
      </c>
      <c r="E89" s="11">
        <f t="shared" si="32"/>
        <v>939.43784027124332</v>
      </c>
      <c r="F89" s="11">
        <f t="shared" si="33"/>
        <v>156245.04165364409</v>
      </c>
    </row>
    <row r="90" spans="1:6" x14ac:dyDescent="0.2">
      <c r="A90" s="9">
        <v>43952</v>
      </c>
      <c r="B90" s="11">
        <f t="shared" si="34"/>
        <v>156245.04165364409</v>
      </c>
      <c r="C90" s="11">
        <f t="shared" si="30"/>
        <v>288.41683338105963</v>
      </c>
      <c r="D90" s="11">
        <f t="shared" si="31"/>
        <v>651.02100689018368</v>
      </c>
      <c r="E90" s="11">
        <f t="shared" si="32"/>
        <v>939.43784027124332</v>
      </c>
      <c r="F90" s="11">
        <f t="shared" si="33"/>
        <v>155956.62482026304</v>
      </c>
    </row>
    <row r="91" spans="1:6" x14ac:dyDescent="0.2">
      <c r="A91" s="9">
        <v>43983</v>
      </c>
      <c r="B91" s="11">
        <f t="shared" si="34"/>
        <v>155956.62482026304</v>
      </c>
      <c r="C91" s="11">
        <f t="shared" si="30"/>
        <v>289.61857018681405</v>
      </c>
      <c r="D91" s="11">
        <f t="shared" si="31"/>
        <v>649.81927008442926</v>
      </c>
      <c r="E91" s="11">
        <f t="shared" si="32"/>
        <v>939.43784027124332</v>
      </c>
      <c r="F91" s="11">
        <f t="shared" si="33"/>
        <v>155667.00625007623</v>
      </c>
    </row>
    <row r="92" spans="1:6" x14ac:dyDescent="0.2">
      <c r="A92" s="9">
        <v>44013</v>
      </c>
      <c r="B92" s="11">
        <f t="shared" si="34"/>
        <v>155667.00625007623</v>
      </c>
      <c r="C92" s="11">
        <f t="shared" si="30"/>
        <v>290.82531422925899</v>
      </c>
      <c r="D92" s="11">
        <f t="shared" si="31"/>
        <v>648.61252604198432</v>
      </c>
      <c r="E92" s="11">
        <f t="shared" si="32"/>
        <v>939.43784027124332</v>
      </c>
      <c r="F92" s="11">
        <f t="shared" si="33"/>
        <v>155376.18093584696</v>
      </c>
    </row>
    <row r="93" spans="1:6" x14ac:dyDescent="0.2">
      <c r="A93" s="9">
        <v>44044</v>
      </c>
      <c r="B93" s="11">
        <f t="shared" si="34"/>
        <v>155376.18093584696</v>
      </c>
      <c r="C93" s="11">
        <f t="shared" si="30"/>
        <v>292.03708637188095</v>
      </c>
      <c r="D93" s="11">
        <f t="shared" si="31"/>
        <v>647.40075389936237</v>
      </c>
      <c r="E93" s="11">
        <f t="shared" si="32"/>
        <v>939.43784027124332</v>
      </c>
      <c r="F93" s="11">
        <f t="shared" si="33"/>
        <v>155084.14384947508</v>
      </c>
    </row>
    <row r="94" spans="1:6" x14ac:dyDescent="0.2">
      <c r="A94" s="9">
        <v>44075</v>
      </c>
      <c r="B94" s="11">
        <f t="shared" si="34"/>
        <v>155084.14384947508</v>
      </c>
      <c r="C94" s="11">
        <f t="shared" si="30"/>
        <v>293.25390756509717</v>
      </c>
      <c r="D94" s="11">
        <f t="shared" si="31"/>
        <v>646.18393270614615</v>
      </c>
      <c r="E94" s="11">
        <f t="shared" si="32"/>
        <v>939.43784027124332</v>
      </c>
      <c r="F94" s="11">
        <f t="shared" si="33"/>
        <v>154790.88994190999</v>
      </c>
    </row>
    <row r="95" spans="1:6" x14ac:dyDescent="0.2">
      <c r="A95" s="9">
        <v>44105</v>
      </c>
      <c r="B95" s="11">
        <f t="shared" si="34"/>
        <v>154790.88994190999</v>
      </c>
      <c r="C95" s="11">
        <f t="shared" si="30"/>
        <v>294.47579884661832</v>
      </c>
      <c r="D95" s="11">
        <f t="shared" si="31"/>
        <v>644.962041424625</v>
      </c>
      <c r="E95" s="11">
        <f t="shared" si="32"/>
        <v>939.43784027124332</v>
      </c>
      <c r="F95" s="11">
        <f t="shared" si="33"/>
        <v>154496.41414306336</v>
      </c>
    </row>
    <row r="96" spans="1:6" x14ac:dyDescent="0.2">
      <c r="A96" s="9">
        <v>44136</v>
      </c>
      <c r="B96" s="11">
        <f t="shared" si="34"/>
        <v>154496.41414306336</v>
      </c>
      <c r="C96" s="11">
        <f t="shared" si="30"/>
        <v>295.70278134181262</v>
      </c>
      <c r="D96" s="11">
        <f t="shared" si="31"/>
        <v>643.73505892943069</v>
      </c>
      <c r="E96" s="11">
        <f t="shared" si="32"/>
        <v>939.43784027124332</v>
      </c>
      <c r="F96" s="11">
        <f t="shared" si="33"/>
        <v>154200.71136172154</v>
      </c>
    </row>
    <row r="97" spans="1:6" x14ac:dyDescent="0.2">
      <c r="A97" s="9">
        <v>44166</v>
      </c>
      <c r="B97" s="11">
        <f t="shared" si="34"/>
        <v>154200.71136172154</v>
      </c>
      <c r="C97" s="11">
        <f t="shared" si="30"/>
        <v>296.93487626407023</v>
      </c>
      <c r="D97" s="11">
        <f t="shared" si="31"/>
        <v>642.50296400717309</v>
      </c>
      <c r="E97" s="11">
        <f t="shared" si="32"/>
        <v>939.43784027124332</v>
      </c>
      <c r="F97" s="12">
        <f t="shared" si="33"/>
        <v>153903.77648545746</v>
      </c>
    </row>
    <row r="98" spans="1:6" x14ac:dyDescent="0.2">
      <c r="A98" s="1" t="s">
        <v>40</v>
      </c>
      <c r="B98" s="12"/>
      <c r="C98" s="12">
        <f>SUM(C86:C97)</f>
        <v>3483.0145530030022</v>
      </c>
      <c r="D98" s="12">
        <f>SUM(D86:D97)</f>
        <v>7790.2395302519171</v>
      </c>
      <c r="E98" s="11"/>
      <c r="F98" s="11"/>
    </row>
    <row r="99" spans="1:6" x14ac:dyDescent="0.2">
      <c r="B99" s="11"/>
      <c r="C99" s="11"/>
      <c r="D99" s="11"/>
      <c r="E99" s="11"/>
      <c r="F99" s="11"/>
    </row>
    <row r="100" spans="1:6" x14ac:dyDescent="0.2">
      <c r="A100" s="9">
        <v>44197</v>
      </c>
      <c r="B100" s="11">
        <f>+F97</f>
        <v>153903.77648545746</v>
      </c>
      <c r="C100" s="11">
        <f t="shared" ref="C100:C111" si="35">+E100-D100</f>
        <v>298.17210491517051</v>
      </c>
      <c r="D100" s="11">
        <f t="shared" ref="D100:D111" si="36">B100*$I$2</f>
        <v>641.26573535607281</v>
      </c>
      <c r="E100" s="11">
        <f t="shared" ref="E100:E111" si="37">-$I$8</f>
        <v>939.43784027124332</v>
      </c>
      <c r="F100" s="11">
        <f t="shared" ref="F100:F111" si="38">+B100-C100</f>
        <v>153605.6043805423</v>
      </c>
    </row>
    <row r="101" spans="1:6" x14ac:dyDescent="0.2">
      <c r="A101" s="9">
        <v>44228</v>
      </c>
      <c r="B101" s="11">
        <f t="shared" ref="B101:B111" si="39">+F100</f>
        <v>153605.6043805423</v>
      </c>
      <c r="C101" s="11">
        <f t="shared" si="35"/>
        <v>299.41448868565044</v>
      </c>
      <c r="D101" s="11">
        <f t="shared" si="36"/>
        <v>640.02335158559288</v>
      </c>
      <c r="E101" s="11">
        <f t="shared" si="37"/>
        <v>939.43784027124332</v>
      </c>
      <c r="F101" s="11">
        <f t="shared" si="38"/>
        <v>153306.18989185666</v>
      </c>
    </row>
    <row r="102" spans="1:6" x14ac:dyDescent="0.2">
      <c r="A102" s="9">
        <v>44256</v>
      </c>
      <c r="B102" s="11">
        <f t="shared" si="39"/>
        <v>153306.18989185666</v>
      </c>
      <c r="C102" s="11">
        <f t="shared" si="35"/>
        <v>300.66204905517395</v>
      </c>
      <c r="D102" s="11">
        <f t="shared" si="36"/>
        <v>638.77579121606936</v>
      </c>
      <c r="E102" s="11">
        <f t="shared" si="37"/>
        <v>939.43784027124332</v>
      </c>
      <c r="F102" s="11">
        <f t="shared" si="38"/>
        <v>153005.52784280147</v>
      </c>
    </row>
    <row r="103" spans="1:6" x14ac:dyDescent="0.2">
      <c r="A103" s="9">
        <v>44287</v>
      </c>
      <c r="B103" s="11">
        <f t="shared" si="39"/>
        <v>153005.52784280147</v>
      </c>
      <c r="C103" s="11">
        <f t="shared" si="35"/>
        <v>301.91480759290391</v>
      </c>
      <c r="D103" s="11">
        <f t="shared" si="36"/>
        <v>637.5230326783394</v>
      </c>
      <c r="E103" s="11">
        <f t="shared" si="37"/>
        <v>939.43784027124332</v>
      </c>
      <c r="F103" s="11">
        <f t="shared" si="38"/>
        <v>152703.61303520857</v>
      </c>
    </row>
    <row r="104" spans="1:6" x14ac:dyDescent="0.2">
      <c r="A104" s="9">
        <v>44317</v>
      </c>
      <c r="B104" s="11">
        <f t="shared" si="39"/>
        <v>152703.61303520857</v>
      </c>
      <c r="C104" s="11">
        <f t="shared" si="35"/>
        <v>303.17278595787423</v>
      </c>
      <c r="D104" s="11">
        <f t="shared" si="36"/>
        <v>636.26505431336909</v>
      </c>
      <c r="E104" s="11">
        <f t="shared" si="37"/>
        <v>939.43784027124332</v>
      </c>
      <c r="F104" s="11">
        <f t="shared" si="38"/>
        <v>152400.44024925071</v>
      </c>
    </row>
    <row r="105" spans="1:6" x14ac:dyDescent="0.2">
      <c r="A105" s="9">
        <v>44348</v>
      </c>
      <c r="B105" s="11">
        <f t="shared" si="39"/>
        <v>152400.44024925071</v>
      </c>
      <c r="C105" s="11">
        <f t="shared" si="35"/>
        <v>304.43600589936534</v>
      </c>
      <c r="D105" s="11">
        <f t="shared" si="36"/>
        <v>635.00183437187798</v>
      </c>
      <c r="E105" s="11">
        <f t="shared" si="37"/>
        <v>939.43784027124332</v>
      </c>
      <c r="F105" s="11">
        <f t="shared" si="38"/>
        <v>152096.00424335134</v>
      </c>
    </row>
    <row r="106" spans="1:6" x14ac:dyDescent="0.2">
      <c r="A106" s="9">
        <v>44378</v>
      </c>
      <c r="B106" s="11">
        <f t="shared" si="39"/>
        <v>152096.00424335134</v>
      </c>
      <c r="C106" s="11">
        <f t="shared" si="35"/>
        <v>305.70448925727942</v>
      </c>
      <c r="D106" s="11">
        <f t="shared" si="36"/>
        <v>633.7333510139639</v>
      </c>
      <c r="E106" s="11">
        <f t="shared" si="37"/>
        <v>939.43784027124332</v>
      </c>
      <c r="F106" s="11">
        <f t="shared" si="38"/>
        <v>151790.29975409407</v>
      </c>
    </row>
    <row r="107" spans="1:6" x14ac:dyDescent="0.2">
      <c r="A107" s="9">
        <v>44409</v>
      </c>
      <c r="B107" s="11">
        <f t="shared" si="39"/>
        <v>151790.29975409407</v>
      </c>
      <c r="C107" s="11">
        <f t="shared" si="35"/>
        <v>306.978257962518</v>
      </c>
      <c r="D107" s="11">
        <f t="shared" si="36"/>
        <v>632.45958230872532</v>
      </c>
      <c r="E107" s="11">
        <f t="shared" si="37"/>
        <v>939.43784027124332</v>
      </c>
      <c r="F107" s="11">
        <f t="shared" si="38"/>
        <v>151483.32149613154</v>
      </c>
    </row>
    <row r="108" spans="1:6" x14ac:dyDescent="0.2">
      <c r="A108" s="9">
        <v>44440</v>
      </c>
      <c r="B108" s="11">
        <f t="shared" si="39"/>
        <v>151483.32149613154</v>
      </c>
      <c r="C108" s="11">
        <f t="shared" si="35"/>
        <v>308.25733403736194</v>
      </c>
      <c r="D108" s="11">
        <f t="shared" si="36"/>
        <v>631.18050623388137</v>
      </c>
      <c r="E108" s="11">
        <f t="shared" si="37"/>
        <v>939.43784027124332</v>
      </c>
      <c r="F108" s="11">
        <f t="shared" si="38"/>
        <v>151175.06416209418</v>
      </c>
    </row>
    <row r="109" spans="1:6" x14ac:dyDescent="0.2">
      <c r="A109" s="9">
        <v>44470</v>
      </c>
      <c r="B109" s="11">
        <f t="shared" si="39"/>
        <v>151175.06416209418</v>
      </c>
      <c r="C109" s="11">
        <f t="shared" si="35"/>
        <v>309.54173959585091</v>
      </c>
      <c r="D109" s="11">
        <f t="shared" si="36"/>
        <v>629.8961006753924</v>
      </c>
      <c r="E109" s="11">
        <f t="shared" si="37"/>
        <v>939.43784027124332</v>
      </c>
      <c r="F109" s="11">
        <f t="shared" si="38"/>
        <v>150865.52242249832</v>
      </c>
    </row>
    <row r="110" spans="1:6" x14ac:dyDescent="0.2">
      <c r="A110" s="9">
        <v>44501</v>
      </c>
      <c r="B110" s="11">
        <f t="shared" si="39"/>
        <v>150865.52242249832</v>
      </c>
      <c r="C110" s="11">
        <f t="shared" si="35"/>
        <v>310.83149684416696</v>
      </c>
      <c r="D110" s="11">
        <f t="shared" si="36"/>
        <v>628.60634342707635</v>
      </c>
      <c r="E110" s="11">
        <f t="shared" si="37"/>
        <v>939.43784027124332</v>
      </c>
      <c r="F110" s="11">
        <f t="shared" si="38"/>
        <v>150554.69092565417</v>
      </c>
    </row>
    <row r="111" spans="1:6" x14ac:dyDescent="0.2">
      <c r="A111" s="9">
        <v>44531</v>
      </c>
      <c r="B111" s="11">
        <f t="shared" si="39"/>
        <v>150554.69092565417</v>
      </c>
      <c r="C111" s="11">
        <f t="shared" si="35"/>
        <v>312.12662808101766</v>
      </c>
      <c r="D111" s="11">
        <f t="shared" si="36"/>
        <v>627.31121219022566</v>
      </c>
      <c r="E111" s="11">
        <f t="shared" si="37"/>
        <v>939.43784027124332</v>
      </c>
      <c r="F111" s="12">
        <f t="shared" si="38"/>
        <v>150242.56429757315</v>
      </c>
    </row>
    <row r="112" spans="1:6" x14ac:dyDescent="0.2">
      <c r="A112" s="1" t="s">
        <v>40</v>
      </c>
      <c r="B112" s="13"/>
      <c r="C112" s="12">
        <f>SUM(C100:C111)</f>
        <v>3661.2121878843332</v>
      </c>
      <c r="D112" s="12">
        <f>SUM(D100:D111)</f>
        <v>7612.0418953705876</v>
      </c>
    </row>
    <row r="114" spans="1:6" x14ac:dyDescent="0.2">
      <c r="A114" s="9">
        <v>44562</v>
      </c>
      <c r="B114" s="11">
        <f>+F111</f>
        <v>150242.56429757315</v>
      </c>
      <c r="C114" s="11">
        <f t="shared" ref="C114:C125" si="40">+E114-D114</f>
        <v>313.42715569802192</v>
      </c>
      <c r="D114" s="11">
        <f t="shared" ref="D114:D125" si="41">B114*$I$2</f>
        <v>626.0106845732214</v>
      </c>
      <c r="E114" s="11">
        <f t="shared" ref="E114:E125" si="42">-$I$8</f>
        <v>939.43784027124332</v>
      </c>
      <c r="F114" s="11">
        <f t="shared" ref="F114:F125" si="43">+B114-C114</f>
        <v>149929.13714187514</v>
      </c>
    </row>
    <row r="115" spans="1:6" x14ac:dyDescent="0.2">
      <c r="A115" s="9">
        <v>44593</v>
      </c>
      <c r="B115" s="11">
        <f t="shared" ref="B115:B125" si="44">+F114</f>
        <v>149929.13714187514</v>
      </c>
      <c r="C115" s="11">
        <f t="shared" si="40"/>
        <v>314.73310218009692</v>
      </c>
      <c r="D115" s="11">
        <f t="shared" si="41"/>
        <v>624.7047380911464</v>
      </c>
      <c r="E115" s="11">
        <f t="shared" si="42"/>
        <v>939.43784027124332</v>
      </c>
      <c r="F115" s="11">
        <f t="shared" si="43"/>
        <v>149614.40403969504</v>
      </c>
    </row>
    <row r="116" spans="1:6" x14ac:dyDescent="0.2">
      <c r="A116" s="9">
        <v>44621</v>
      </c>
      <c r="B116" s="11">
        <f t="shared" si="44"/>
        <v>149614.40403969504</v>
      </c>
      <c r="C116" s="11">
        <f t="shared" si="40"/>
        <v>316.04449010584733</v>
      </c>
      <c r="D116" s="11">
        <f t="shared" si="41"/>
        <v>623.39335016539599</v>
      </c>
      <c r="E116" s="11">
        <f t="shared" si="42"/>
        <v>939.43784027124332</v>
      </c>
      <c r="F116" s="11">
        <f t="shared" si="43"/>
        <v>149298.35954958919</v>
      </c>
    </row>
    <row r="117" spans="1:6" x14ac:dyDescent="0.2">
      <c r="A117" s="9">
        <v>44652</v>
      </c>
      <c r="B117" s="11">
        <f t="shared" si="44"/>
        <v>149298.35954958919</v>
      </c>
      <c r="C117" s="11">
        <f t="shared" si="40"/>
        <v>317.36134214795504</v>
      </c>
      <c r="D117" s="11">
        <f t="shared" si="41"/>
        <v>622.07649812328827</v>
      </c>
      <c r="E117" s="11">
        <f t="shared" si="42"/>
        <v>939.43784027124332</v>
      </c>
      <c r="F117" s="11">
        <f t="shared" si="43"/>
        <v>148980.99820744124</v>
      </c>
    </row>
    <row r="118" spans="1:6" x14ac:dyDescent="0.2">
      <c r="A118" s="9">
        <v>44682</v>
      </c>
      <c r="B118" s="11">
        <f t="shared" si="44"/>
        <v>148980.99820744124</v>
      </c>
      <c r="C118" s="11">
        <f t="shared" si="40"/>
        <v>318.68368107357151</v>
      </c>
      <c r="D118" s="11">
        <f t="shared" si="41"/>
        <v>620.75415919767181</v>
      </c>
      <c r="E118" s="11">
        <f t="shared" si="42"/>
        <v>939.43784027124332</v>
      </c>
      <c r="F118" s="11">
        <f t="shared" si="43"/>
        <v>148662.31452636767</v>
      </c>
    </row>
    <row r="119" spans="1:6" x14ac:dyDescent="0.2">
      <c r="A119" s="9">
        <v>44713</v>
      </c>
      <c r="B119" s="11">
        <f t="shared" si="44"/>
        <v>148662.31452636767</v>
      </c>
      <c r="C119" s="11">
        <f t="shared" si="40"/>
        <v>320.01152974471131</v>
      </c>
      <c r="D119" s="11">
        <f t="shared" si="41"/>
        <v>619.42631052653201</v>
      </c>
      <c r="E119" s="11">
        <f t="shared" si="42"/>
        <v>939.43784027124332</v>
      </c>
      <c r="F119" s="11">
        <f t="shared" si="43"/>
        <v>148342.30299662295</v>
      </c>
    </row>
    <row r="120" spans="1:6" x14ac:dyDescent="0.2">
      <c r="A120" s="9">
        <v>44743</v>
      </c>
      <c r="B120" s="11">
        <f t="shared" si="44"/>
        <v>148342.30299662295</v>
      </c>
      <c r="C120" s="11">
        <f t="shared" si="40"/>
        <v>321.3449111186477</v>
      </c>
      <c r="D120" s="11">
        <f t="shared" si="41"/>
        <v>618.09292915259562</v>
      </c>
      <c r="E120" s="11">
        <f t="shared" si="42"/>
        <v>939.43784027124332</v>
      </c>
      <c r="F120" s="11">
        <f t="shared" si="43"/>
        <v>148020.9580855043</v>
      </c>
    </row>
    <row r="121" spans="1:6" x14ac:dyDescent="0.2">
      <c r="A121" s="9">
        <v>44774</v>
      </c>
      <c r="B121" s="11">
        <f t="shared" si="44"/>
        <v>148020.9580855043</v>
      </c>
      <c r="C121" s="11">
        <f t="shared" si="40"/>
        <v>322.68384824830878</v>
      </c>
      <c r="D121" s="11">
        <f t="shared" si="41"/>
        <v>616.75399202293454</v>
      </c>
      <c r="E121" s="11">
        <f t="shared" si="42"/>
        <v>939.43784027124332</v>
      </c>
      <c r="F121" s="11">
        <f t="shared" si="43"/>
        <v>147698.274237256</v>
      </c>
    </row>
    <row r="122" spans="1:6" x14ac:dyDescent="0.2">
      <c r="A122" s="9">
        <v>44805</v>
      </c>
      <c r="B122" s="11">
        <f t="shared" si="44"/>
        <v>147698.274237256</v>
      </c>
      <c r="C122" s="11">
        <f t="shared" si="40"/>
        <v>324.02836428267665</v>
      </c>
      <c r="D122" s="11">
        <f t="shared" si="41"/>
        <v>615.40947598856667</v>
      </c>
      <c r="E122" s="11">
        <f t="shared" si="42"/>
        <v>939.43784027124332</v>
      </c>
      <c r="F122" s="11">
        <f t="shared" si="43"/>
        <v>147374.24587297332</v>
      </c>
    </row>
    <row r="123" spans="1:6" x14ac:dyDescent="0.2">
      <c r="A123" s="9">
        <v>44835</v>
      </c>
      <c r="B123" s="11">
        <f t="shared" si="44"/>
        <v>147374.24587297332</v>
      </c>
      <c r="C123" s="11">
        <f t="shared" si="40"/>
        <v>325.37848246718784</v>
      </c>
      <c r="D123" s="11">
        <f t="shared" si="41"/>
        <v>614.05935780405548</v>
      </c>
      <c r="E123" s="11">
        <f t="shared" si="42"/>
        <v>939.43784027124332</v>
      </c>
      <c r="F123" s="11">
        <f t="shared" si="43"/>
        <v>147048.86739050614</v>
      </c>
    </row>
    <row r="124" spans="1:6" x14ac:dyDescent="0.2">
      <c r="A124" s="9">
        <v>44866</v>
      </c>
      <c r="B124" s="11">
        <f t="shared" si="44"/>
        <v>147048.86739050614</v>
      </c>
      <c r="C124" s="11">
        <f t="shared" si="40"/>
        <v>326.73422614413437</v>
      </c>
      <c r="D124" s="11">
        <f t="shared" si="41"/>
        <v>612.70361412710895</v>
      </c>
      <c r="E124" s="11">
        <f t="shared" si="42"/>
        <v>939.43784027124332</v>
      </c>
      <c r="F124" s="11">
        <f t="shared" si="43"/>
        <v>146722.13316436202</v>
      </c>
    </row>
    <row r="125" spans="1:6" x14ac:dyDescent="0.2">
      <c r="A125" s="9">
        <v>44896</v>
      </c>
      <c r="B125" s="11">
        <f t="shared" si="44"/>
        <v>146722.13316436202</v>
      </c>
      <c r="C125" s="11">
        <f t="shared" si="40"/>
        <v>328.09561875306827</v>
      </c>
      <c r="D125" s="11">
        <f t="shared" si="41"/>
        <v>611.34222151817505</v>
      </c>
      <c r="E125" s="11">
        <f t="shared" si="42"/>
        <v>939.43784027124332</v>
      </c>
      <c r="F125" s="12">
        <f t="shared" si="43"/>
        <v>146394.03754560894</v>
      </c>
    </row>
    <row r="126" spans="1:6" x14ac:dyDescent="0.2">
      <c r="A126" s="1" t="s">
        <v>40</v>
      </c>
      <c r="B126" s="13"/>
      <c r="C126" s="12">
        <f>SUM(C114:C125)</f>
        <v>3848.5267519642275</v>
      </c>
      <c r="D126" s="12">
        <f>SUM(D114:D125)</f>
        <v>7424.7273312906927</v>
      </c>
    </row>
    <row r="128" spans="1:6" x14ac:dyDescent="0.2">
      <c r="A128" s="9">
        <v>44927</v>
      </c>
      <c r="B128" s="11">
        <f>+F125</f>
        <v>146394.03754560894</v>
      </c>
      <c r="C128" s="11">
        <f t="shared" ref="C128:C139" si="45">+E128-D128</f>
        <v>329.46268383120605</v>
      </c>
      <c r="D128" s="11">
        <f t="shared" ref="D128:D139" si="46">B128*$I$2</f>
        <v>609.97515644003727</v>
      </c>
      <c r="E128" s="11">
        <f t="shared" ref="E128:E139" si="47">-$I$8</f>
        <v>939.43784027124332</v>
      </c>
      <c r="F128" s="11">
        <f t="shared" ref="F128:F139" si="48">+B128-C128</f>
        <v>146064.57486177774</v>
      </c>
    </row>
    <row r="129" spans="1:6" x14ac:dyDescent="0.2">
      <c r="A129" s="9">
        <v>44958</v>
      </c>
      <c r="B129" s="11">
        <f t="shared" ref="B129:B139" si="49">+F128</f>
        <v>146064.57486177774</v>
      </c>
      <c r="C129" s="11">
        <f t="shared" si="45"/>
        <v>330.83544501383608</v>
      </c>
      <c r="D129" s="11">
        <f t="shared" si="46"/>
        <v>608.60239525740724</v>
      </c>
      <c r="E129" s="11">
        <f t="shared" si="47"/>
        <v>939.43784027124332</v>
      </c>
      <c r="F129" s="11">
        <f t="shared" si="48"/>
        <v>145733.73941676391</v>
      </c>
    </row>
    <row r="130" spans="1:6" x14ac:dyDescent="0.2">
      <c r="A130" s="9">
        <v>44986</v>
      </c>
      <c r="B130" s="11">
        <f t="shared" si="49"/>
        <v>145733.73941676391</v>
      </c>
      <c r="C130" s="11">
        <f t="shared" si="45"/>
        <v>332.21392603472702</v>
      </c>
      <c r="D130" s="11">
        <f t="shared" si="46"/>
        <v>607.22391423651629</v>
      </c>
      <c r="E130" s="11">
        <f t="shared" si="47"/>
        <v>939.43784027124332</v>
      </c>
      <c r="F130" s="11">
        <f t="shared" si="48"/>
        <v>145401.5254907292</v>
      </c>
    </row>
    <row r="131" spans="1:6" x14ac:dyDescent="0.2">
      <c r="A131" s="9">
        <v>45017</v>
      </c>
      <c r="B131" s="11">
        <f t="shared" si="49"/>
        <v>145401.5254907292</v>
      </c>
      <c r="C131" s="11">
        <f t="shared" si="45"/>
        <v>333.59815072653839</v>
      </c>
      <c r="D131" s="11">
        <f t="shared" si="46"/>
        <v>605.83968954470492</v>
      </c>
      <c r="E131" s="11">
        <f t="shared" si="47"/>
        <v>939.43784027124332</v>
      </c>
      <c r="F131" s="11">
        <f t="shared" si="48"/>
        <v>145067.92734000267</v>
      </c>
    </row>
    <row r="132" spans="1:6" x14ac:dyDescent="0.2">
      <c r="A132" s="9">
        <v>45047</v>
      </c>
      <c r="B132" s="11">
        <f t="shared" si="49"/>
        <v>145067.92734000267</v>
      </c>
      <c r="C132" s="11">
        <f t="shared" si="45"/>
        <v>334.98814302123219</v>
      </c>
      <c r="D132" s="11">
        <f t="shared" si="46"/>
        <v>604.44969725001113</v>
      </c>
      <c r="E132" s="11">
        <f t="shared" si="47"/>
        <v>939.43784027124332</v>
      </c>
      <c r="F132" s="11">
        <f t="shared" si="48"/>
        <v>144732.93919698143</v>
      </c>
    </row>
    <row r="133" spans="1:6" x14ac:dyDescent="0.2">
      <c r="A133" s="9">
        <v>45078</v>
      </c>
      <c r="B133" s="11">
        <f t="shared" si="49"/>
        <v>144732.93919698143</v>
      </c>
      <c r="C133" s="11">
        <f t="shared" si="45"/>
        <v>336.38392695048731</v>
      </c>
      <c r="D133" s="11">
        <f t="shared" si="46"/>
        <v>603.05391332075601</v>
      </c>
      <c r="E133" s="11">
        <f t="shared" si="47"/>
        <v>939.43784027124332</v>
      </c>
      <c r="F133" s="11">
        <f t="shared" si="48"/>
        <v>144396.55527003095</v>
      </c>
    </row>
    <row r="134" spans="1:6" x14ac:dyDescent="0.2">
      <c r="A134" s="9">
        <v>45108</v>
      </c>
      <c r="B134" s="11">
        <f t="shared" si="49"/>
        <v>144396.55527003095</v>
      </c>
      <c r="C134" s="11">
        <f t="shared" si="45"/>
        <v>337.78552664611436</v>
      </c>
      <c r="D134" s="11">
        <f t="shared" si="46"/>
        <v>601.65231362512895</v>
      </c>
      <c r="E134" s="11">
        <f t="shared" si="47"/>
        <v>939.43784027124332</v>
      </c>
      <c r="F134" s="11">
        <f t="shared" si="48"/>
        <v>144058.76974338482</v>
      </c>
    </row>
    <row r="135" spans="1:6" x14ac:dyDescent="0.2">
      <c r="A135" s="9">
        <v>45139</v>
      </c>
      <c r="B135" s="11">
        <f t="shared" si="49"/>
        <v>144058.76974338482</v>
      </c>
      <c r="C135" s="11">
        <f t="shared" si="45"/>
        <v>339.19296634047328</v>
      </c>
      <c r="D135" s="11">
        <f t="shared" si="46"/>
        <v>600.24487393077004</v>
      </c>
      <c r="E135" s="11">
        <f t="shared" si="47"/>
        <v>939.43784027124332</v>
      </c>
      <c r="F135" s="11">
        <f t="shared" si="48"/>
        <v>143719.57677704436</v>
      </c>
    </row>
    <row r="136" spans="1:6" x14ac:dyDescent="0.2">
      <c r="A136" s="9">
        <v>45170</v>
      </c>
      <c r="B136" s="11">
        <f t="shared" si="49"/>
        <v>143719.57677704436</v>
      </c>
      <c r="C136" s="11">
        <f t="shared" si="45"/>
        <v>340.60627036689186</v>
      </c>
      <c r="D136" s="11">
        <f t="shared" si="46"/>
        <v>598.83156990435145</v>
      </c>
      <c r="E136" s="11">
        <f t="shared" si="47"/>
        <v>939.43784027124332</v>
      </c>
      <c r="F136" s="11">
        <f t="shared" si="48"/>
        <v>143378.97050667746</v>
      </c>
    </row>
    <row r="137" spans="1:6" x14ac:dyDescent="0.2">
      <c r="A137" s="9">
        <v>45200</v>
      </c>
      <c r="B137" s="11">
        <f t="shared" si="49"/>
        <v>143378.97050667746</v>
      </c>
      <c r="C137" s="11">
        <f t="shared" si="45"/>
        <v>342.02546316008727</v>
      </c>
      <c r="D137" s="11">
        <f t="shared" si="46"/>
        <v>597.41237711115605</v>
      </c>
      <c r="E137" s="11">
        <f t="shared" si="47"/>
        <v>939.43784027124332</v>
      </c>
      <c r="F137" s="11">
        <f t="shared" si="48"/>
        <v>143036.94504351736</v>
      </c>
    </row>
    <row r="138" spans="1:6" x14ac:dyDescent="0.2">
      <c r="A138" s="9">
        <v>45231</v>
      </c>
      <c r="B138" s="11">
        <f t="shared" si="49"/>
        <v>143036.94504351736</v>
      </c>
      <c r="C138" s="11">
        <f t="shared" si="45"/>
        <v>343.45056925658764</v>
      </c>
      <c r="D138" s="11">
        <f t="shared" si="46"/>
        <v>595.98727101465568</v>
      </c>
      <c r="E138" s="11">
        <f t="shared" si="47"/>
        <v>939.43784027124332</v>
      </c>
      <c r="F138" s="11">
        <f t="shared" si="48"/>
        <v>142693.49447426078</v>
      </c>
    </row>
    <row r="139" spans="1:6" x14ac:dyDescent="0.2">
      <c r="A139" s="9">
        <v>45261</v>
      </c>
      <c r="B139" s="11">
        <f t="shared" si="49"/>
        <v>142693.49447426078</v>
      </c>
      <c r="C139" s="11">
        <f t="shared" si="45"/>
        <v>344.88161329515674</v>
      </c>
      <c r="D139" s="11">
        <f t="shared" si="46"/>
        <v>594.55622697608658</v>
      </c>
      <c r="E139" s="11">
        <f t="shared" si="47"/>
        <v>939.43784027124332</v>
      </c>
      <c r="F139" s="12">
        <f t="shared" si="48"/>
        <v>142348.61286096563</v>
      </c>
    </row>
    <row r="140" spans="1:6" x14ac:dyDescent="0.2">
      <c r="A140" s="1" t="s">
        <v>40</v>
      </c>
      <c r="B140" s="12"/>
      <c r="C140" s="12">
        <f>SUM(C128:C139)</f>
        <v>4045.424684643338</v>
      </c>
      <c r="D140" s="12">
        <f>SUM(D128:D139)</f>
        <v>7227.8293986115814</v>
      </c>
      <c r="E140" s="11"/>
      <c r="F140" s="11"/>
    </row>
    <row r="141" spans="1:6" x14ac:dyDescent="0.2">
      <c r="B141" s="11"/>
      <c r="C141" s="11"/>
      <c r="D141" s="11"/>
      <c r="E141" s="11"/>
      <c r="F141" s="11"/>
    </row>
    <row r="142" spans="1:6" x14ac:dyDescent="0.2">
      <c r="B142" s="11"/>
      <c r="C142" s="11"/>
      <c r="D142" s="11"/>
      <c r="E142" s="11"/>
      <c r="F142" s="11"/>
    </row>
    <row r="143" spans="1:6" x14ac:dyDescent="0.2">
      <c r="B143" s="11"/>
      <c r="C143" s="11"/>
      <c r="D143" s="11"/>
      <c r="E143" s="11"/>
      <c r="F143" s="11"/>
    </row>
    <row r="144" spans="1:6" x14ac:dyDescent="0.2">
      <c r="B144" s="11"/>
      <c r="C144" s="11"/>
      <c r="D144" s="11"/>
      <c r="E144" s="11"/>
      <c r="F144" s="11"/>
    </row>
    <row r="145" spans="2:6" x14ac:dyDescent="0.2">
      <c r="B145" s="11"/>
      <c r="C145" s="11"/>
      <c r="D145" s="11"/>
      <c r="E145" s="11"/>
      <c r="F145" s="11"/>
    </row>
    <row r="146" spans="2:6" x14ac:dyDescent="0.2">
      <c r="B146" s="11"/>
      <c r="C146" s="11"/>
      <c r="D146" s="11"/>
      <c r="E146" s="11"/>
      <c r="F146" s="11"/>
    </row>
    <row r="147" spans="2:6" x14ac:dyDescent="0.2">
      <c r="B147" s="11"/>
      <c r="C147" s="11"/>
      <c r="D147" s="11"/>
      <c r="E147" s="11"/>
      <c r="F147" s="11"/>
    </row>
    <row r="148" spans="2:6" x14ac:dyDescent="0.2">
      <c r="B148" s="11"/>
      <c r="C148" s="11"/>
      <c r="D148" s="11"/>
      <c r="E148" s="11"/>
      <c r="F148" s="11"/>
    </row>
    <row r="149" spans="2:6" x14ac:dyDescent="0.2">
      <c r="B149" s="11"/>
      <c r="C149" s="11"/>
      <c r="D149" s="11"/>
      <c r="E149" s="11"/>
      <c r="F149" s="11"/>
    </row>
    <row r="150" spans="2:6" x14ac:dyDescent="0.2">
      <c r="B150" s="11"/>
      <c r="C150" s="11"/>
      <c r="D150" s="11"/>
      <c r="E150" s="11"/>
      <c r="F150" s="11"/>
    </row>
    <row r="151" spans="2:6" x14ac:dyDescent="0.2">
      <c r="B151" s="11"/>
      <c r="C151" s="11"/>
      <c r="D151" s="11"/>
      <c r="E151" s="11"/>
      <c r="F151" s="11"/>
    </row>
    <row r="152" spans="2:6" x14ac:dyDescent="0.2">
      <c r="B152" s="11"/>
      <c r="C152" s="11"/>
      <c r="D152" s="11"/>
      <c r="E152" s="11"/>
      <c r="F152" s="11"/>
    </row>
    <row r="153" spans="2:6" x14ac:dyDescent="0.2">
      <c r="B153" s="11"/>
      <c r="C153" s="11"/>
      <c r="D153" s="11"/>
      <c r="E153" s="11"/>
      <c r="F153" s="12"/>
    </row>
    <row r="154" spans="2:6" x14ac:dyDescent="0.2">
      <c r="B154" s="12"/>
      <c r="C154" s="12"/>
      <c r="D154" s="12"/>
      <c r="E154" s="11"/>
      <c r="F154" s="11"/>
    </row>
    <row r="155" spans="2:6" x14ac:dyDescent="0.2">
      <c r="B155" s="11"/>
      <c r="C155" s="11"/>
      <c r="D155" s="11"/>
      <c r="E155" s="11"/>
      <c r="F155" s="11"/>
    </row>
    <row r="156" spans="2:6" x14ac:dyDescent="0.2">
      <c r="B156" s="11"/>
      <c r="C156" s="11"/>
      <c r="D156" s="11"/>
      <c r="E156" s="11"/>
      <c r="F156" s="11"/>
    </row>
    <row r="157" spans="2:6" x14ac:dyDescent="0.2">
      <c r="B157" s="11"/>
      <c r="C157" s="11"/>
      <c r="D157" s="11"/>
      <c r="E157" s="11"/>
      <c r="F157" s="11"/>
    </row>
    <row r="158" spans="2:6" x14ac:dyDescent="0.2">
      <c r="B158" s="11"/>
      <c r="C158" s="11"/>
      <c r="D158" s="11"/>
      <c r="E158" s="11"/>
      <c r="F158" s="11"/>
    </row>
    <row r="159" spans="2:6" x14ac:dyDescent="0.2">
      <c r="B159" s="11"/>
      <c r="C159" s="11"/>
      <c r="D159" s="11"/>
      <c r="E159" s="11"/>
      <c r="F159" s="11"/>
    </row>
    <row r="160" spans="2:6" x14ac:dyDescent="0.2">
      <c r="B160" s="11"/>
      <c r="C160" s="11"/>
      <c r="D160" s="11"/>
      <c r="E160" s="11"/>
      <c r="F160" s="11"/>
    </row>
    <row r="161" spans="2:6" x14ac:dyDescent="0.2">
      <c r="B161" s="11"/>
      <c r="C161" s="11"/>
      <c r="D161" s="11"/>
      <c r="E161" s="11"/>
      <c r="F161" s="11"/>
    </row>
    <row r="162" spans="2:6" x14ac:dyDescent="0.2">
      <c r="B162" s="11"/>
      <c r="C162" s="11"/>
      <c r="D162" s="11"/>
      <c r="E162" s="11"/>
      <c r="F162" s="11"/>
    </row>
    <row r="163" spans="2:6" x14ac:dyDescent="0.2">
      <c r="B163" s="11"/>
      <c r="C163" s="11"/>
      <c r="D163" s="11"/>
      <c r="E163" s="11"/>
      <c r="F163" s="11"/>
    </row>
    <row r="164" spans="2:6" x14ac:dyDescent="0.2">
      <c r="B164" s="11"/>
      <c r="C164" s="11"/>
      <c r="D164" s="11"/>
      <c r="E164" s="11"/>
      <c r="F164" s="11"/>
    </row>
    <row r="165" spans="2:6" x14ac:dyDescent="0.2">
      <c r="B165" s="11"/>
      <c r="C165" s="11"/>
      <c r="D165" s="11"/>
      <c r="E165" s="11"/>
      <c r="F165" s="11"/>
    </row>
    <row r="166" spans="2:6" x14ac:dyDescent="0.2">
      <c r="B166" s="11"/>
      <c r="C166" s="11"/>
      <c r="D166" s="11"/>
      <c r="E166" s="11"/>
      <c r="F166" s="11"/>
    </row>
    <row r="167" spans="2:6" x14ac:dyDescent="0.2">
      <c r="B167" s="11"/>
      <c r="C167" s="11"/>
      <c r="D167" s="11"/>
      <c r="E167" s="11"/>
      <c r="F167" s="12"/>
    </row>
    <row r="168" spans="2:6" x14ac:dyDescent="0.2">
      <c r="B168" s="13"/>
      <c r="C168" s="12"/>
      <c r="D168" s="12"/>
    </row>
    <row r="170" spans="2:6" x14ac:dyDescent="0.2">
      <c r="B170" s="11"/>
      <c r="C170" s="11"/>
      <c r="D170" s="11"/>
      <c r="E170" s="11"/>
      <c r="F170" s="11"/>
    </row>
    <row r="171" spans="2:6" x14ac:dyDescent="0.2">
      <c r="B171" s="11"/>
      <c r="C171" s="11"/>
      <c r="D171" s="11"/>
      <c r="E171" s="11"/>
      <c r="F171" s="11"/>
    </row>
    <row r="172" spans="2:6" x14ac:dyDescent="0.2">
      <c r="B172" s="11"/>
      <c r="C172" s="11"/>
      <c r="D172" s="11"/>
      <c r="E172" s="11"/>
      <c r="F172" s="11"/>
    </row>
    <row r="173" spans="2:6" x14ac:dyDescent="0.2">
      <c r="B173" s="11"/>
      <c r="C173" s="11"/>
      <c r="D173" s="11"/>
      <c r="E173" s="11"/>
      <c r="F173" s="11"/>
    </row>
    <row r="174" spans="2:6" x14ac:dyDescent="0.2">
      <c r="B174" s="11"/>
      <c r="C174" s="11"/>
      <c r="D174" s="11"/>
      <c r="E174" s="11"/>
      <c r="F174" s="11"/>
    </row>
    <row r="175" spans="2:6" x14ac:dyDescent="0.2">
      <c r="B175" s="11"/>
      <c r="C175" s="11"/>
      <c r="D175" s="11"/>
      <c r="E175" s="11"/>
      <c r="F175" s="11"/>
    </row>
    <row r="176" spans="2:6" x14ac:dyDescent="0.2">
      <c r="B176" s="11"/>
      <c r="C176" s="11"/>
      <c r="D176" s="11"/>
      <c r="E176" s="11"/>
      <c r="F176" s="11"/>
    </row>
    <row r="177" spans="2:6" x14ac:dyDescent="0.2">
      <c r="B177" s="11"/>
      <c r="C177" s="11"/>
      <c r="D177" s="11"/>
      <c r="E177" s="11"/>
      <c r="F177" s="11"/>
    </row>
    <row r="178" spans="2:6" x14ac:dyDescent="0.2">
      <c r="B178" s="11"/>
      <c r="C178" s="11"/>
      <c r="D178" s="11"/>
      <c r="E178" s="11"/>
      <c r="F178" s="11"/>
    </row>
    <row r="179" spans="2:6" x14ac:dyDescent="0.2">
      <c r="B179" s="11"/>
      <c r="C179" s="11"/>
      <c r="D179" s="11"/>
      <c r="E179" s="11"/>
      <c r="F179" s="11"/>
    </row>
    <row r="180" spans="2:6" x14ac:dyDescent="0.2">
      <c r="B180" s="11"/>
      <c r="C180" s="11"/>
      <c r="D180" s="11"/>
      <c r="E180" s="11"/>
      <c r="F180" s="11"/>
    </row>
    <row r="181" spans="2:6" x14ac:dyDescent="0.2">
      <c r="B181" s="11"/>
      <c r="C181" s="11"/>
      <c r="D181" s="11"/>
      <c r="E181" s="11"/>
      <c r="F181" s="12"/>
    </row>
    <row r="182" spans="2:6" x14ac:dyDescent="0.2">
      <c r="B182" s="13"/>
      <c r="C182" s="12"/>
      <c r="D182" s="12"/>
    </row>
    <row r="184" spans="2:6" x14ac:dyDescent="0.2">
      <c r="B184" s="11"/>
      <c r="C184" s="11"/>
      <c r="D184" s="11"/>
      <c r="E184" s="11"/>
      <c r="F184" s="1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2"/>
  <sheetViews>
    <sheetView topLeftCell="A46" zoomScale="60" zoomScaleNormal="60" zoomScalePageLayoutView="60" workbookViewId="0">
      <selection activeCell="L51" sqref="L51"/>
    </sheetView>
  </sheetViews>
  <sheetFormatPr defaultColWidth="8.85546875" defaultRowHeight="20.25" x14ac:dyDescent="0.3"/>
  <cols>
    <col min="1" max="1" width="44.140625" style="53" bestFit="1" customWidth="1"/>
    <col min="2" max="2" width="19.140625" style="53" bestFit="1" customWidth="1"/>
    <col min="3" max="5" width="20.140625" style="53" bestFit="1" customWidth="1"/>
    <col min="6" max="6" width="21" style="53" bestFit="1" customWidth="1"/>
    <col min="7" max="12" width="20.140625" style="53" bestFit="1" customWidth="1"/>
    <col min="13" max="13" width="13" style="53" bestFit="1" customWidth="1"/>
    <col min="14" max="14" width="18.28515625" style="53" customWidth="1"/>
    <col min="15" max="15" width="17.140625" style="53" bestFit="1" customWidth="1"/>
    <col min="16" max="16" width="10.7109375" style="53" bestFit="1" customWidth="1"/>
    <col min="17" max="17" width="15.140625" style="53" bestFit="1" customWidth="1"/>
    <col min="18" max="18" width="12.85546875" style="53" bestFit="1" customWidth="1"/>
    <col min="19" max="16384" width="8.85546875" style="53"/>
  </cols>
  <sheetData>
    <row r="1" spans="1:21" x14ac:dyDescent="0.3">
      <c r="A1" s="14"/>
      <c r="B1" s="14"/>
      <c r="C1" s="14">
        <v>2014</v>
      </c>
      <c r="D1" s="14">
        <v>2015</v>
      </c>
      <c r="E1" s="14">
        <v>2016</v>
      </c>
      <c r="F1" s="14">
        <v>2017</v>
      </c>
      <c r="G1" s="14">
        <v>2018</v>
      </c>
      <c r="H1" s="14">
        <v>2019</v>
      </c>
      <c r="I1" s="14">
        <v>2020</v>
      </c>
      <c r="J1" s="14">
        <v>2021</v>
      </c>
      <c r="K1" s="14">
        <v>2022</v>
      </c>
      <c r="L1" s="14">
        <v>2023</v>
      </c>
      <c r="M1" s="14"/>
      <c r="N1" s="14"/>
      <c r="O1" s="14"/>
      <c r="P1" s="14"/>
      <c r="Q1" s="14"/>
      <c r="R1" s="14"/>
      <c r="S1" s="14"/>
      <c r="T1" s="14"/>
      <c r="U1" s="14"/>
    </row>
    <row r="2" spans="1:21" x14ac:dyDescent="0.3">
      <c r="A2" s="15" t="s">
        <v>34</v>
      </c>
      <c r="B2" s="16"/>
      <c r="C2" s="16"/>
      <c r="D2" s="16"/>
      <c r="E2" s="16"/>
      <c r="F2" s="16"/>
      <c r="G2" s="16"/>
      <c r="H2" s="16"/>
      <c r="I2" s="16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3">
      <c r="A3" s="16" t="s">
        <v>58</v>
      </c>
      <c r="B3" s="16"/>
      <c r="C3" s="17">
        <f>67*365</f>
        <v>24455</v>
      </c>
      <c r="D3" s="17">
        <f t="shared" ref="D3:L12" si="0">(1+$M3)*C3</f>
        <v>25188.65</v>
      </c>
      <c r="E3" s="17">
        <f t="shared" si="0"/>
        <v>25944.309500000003</v>
      </c>
      <c r="F3" s="18">
        <f t="shared" si="0"/>
        <v>26722.638785000003</v>
      </c>
      <c r="G3" s="18">
        <f t="shared" si="0"/>
        <v>27524.317948550004</v>
      </c>
      <c r="H3" s="18">
        <f t="shared" si="0"/>
        <v>28350.047487006505</v>
      </c>
      <c r="I3" s="18">
        <f t="shared" si="0"/>
        <v>29200.548911616701</v>
      </c>
      <c r="J3" s="18">
        <f t="shared" si="0"/>
        <v>30076.565378965202</v>
      </c>
      <c r="K3" s="18">
        <f t="shared" si="0"/>
        <v>30978.862340334159</v>
      </c>
      <c r="L3" s="18">
        <f t="shared" si="0"/>
        <v>31908.228210544185</v>
      </c>
      <c r="M3" s="19">
        <v>0.03</v>
      </c>
      <c r="N3" s="16" t="s">
        <v>35</v>
      </c>
      <c r="O3" s="16"/>
      <c r="P3" s="14"/>
      <c r="Q3" s="14"/>
      <c r="R3" s="14"/>
      <c r="S3" s="14"/>
      <c r="T3" s="14"/>
      <c r="U3" s="14"/>
    </row>
    <row r="4" spans="1:21" x14ac:dyDescent="0.3">
      <c r="A4" s="16" t="s">
        <v>59</v>
      </c>
      <c r="B4" s="16"/>
      <c r="C4" s="17">
        <f>C3</f>
        <v>24455</v>
      </c>
      <c r="D4" s="17">
        <f t="shared" si="0"/>
        <v>24944.100000000002</v>
      </c>
      <c r="E4" s="17">
        <f t="shared" si="0"/>
        <v>25442.982000000004</v>
      </c>
      <c r="F4" s="17">
        <f t="shared" si="0"/>
        <v>25951.841640000002</v>
      </c>
      <c r="G4" s="17">
        <f t="shared" si="0"/>
        <v>26470.878472800003</v>
      </c>
      <c r="H4" s="17">
        <f t="shared" si="0"/>
        <v>27000.296042256003</v>
      </c>
      <c r="I4" s="17">
        <f t="shared" si="0"/>
        <v>27540.301963101123</v>
      </c>
      <c r="J4" s="17">
        <f t="shared" si="0"/>
        <v>28091.108002363148</v>
      </c>
      <c r="K4" s="17">
        <f t="shared" si="0"/>
        <v>28652.930162410412</v>
      </c>
      <c r="L4" s="17">
        <f t="shared" si="0"/>
        <v>29225.988765658622</v>
      </c>
      <c r="M4" s="19">
        <v>0.02</v>
      </c>
      <c r="N4" s="16" t="s">
        <v>35</v>
      </c>
      <c r="O4" s="16"/>
      <c r="P4" s="14"/>
      <c r="Q4" s="14"/>
      <c r="R4" s="14"/>
      <c r="S4" s="14"/>
      <c r="T4" s="14"/>
      <c r="U4" s="14"/>
    </row>
    <row r="5" spans="1:21" x14ac:dyDescent="0.3">
      <c r="A5" s="16" t="s">
        <v>61</v>
      </c>
      <c r="B5" s="16"/>
      <c r="C5" s="17">
        <f>46*365</f>
        <v>16790</v>
      </c>
      <c r="D5" s="17">
        <f t="shared" si="0"/>
        <v>17125.8</v>
      </c>
      <c r="E5" s="17">
        <f t="shared" si="0"/>
        <v>17468.315999999999</v>
      </c>
      <c r="F5" s="17">
        <f t="shared" si="0"/>
        <v>17817.68232</v>
      </c>
      <c r="G5" s="17">
        <f t="shared" si="0"/>
        <v>18174.035966399999</v>
      </c>
      <c r="H5" s="17">
        <f t="shared" si="0"/>
        <v>18537.516685727998</v>
      </c>
      <c r="I5" s="17">
        <f t="shared" si="0"/>
        <v>18908.267019442559</v>
      </c>
      <c r="J5" s="17">
        <f t="shared" si="0"/>
        <v>19286.432359831411</v>
      </c>
      <c r="K5" s="17">
        <f t="shared" si="0"/>
        <v>19672.16100702804</v>
      </c>
      <c r="L5" s="17">
        <f t="shared" si="0"/>
        <v>20065.604227168602</v>
      </c>
      <c r="M5" s="19">
        <v>0.02</v>
      </c>
      <c r="N5" s="16" t="s">
        <v>35</v>
      </c>
      <c r="O5" s="16"/>
      <c r="P5" s="14"/>
      <c r="Q5" s="14"/>
      <c r="R5" s="14"/>
      <c r="S5" s="14"/>
      <c r="T5" s="14"/>
      <c r="U5" s="14"/>
    </row>
    <row r="6" spans="1:21" x14ac:dyDescent="0.3">
      <c r="A6" s="16" t="s">
        <v>60</v>
      </c>
      <c r="B6" s="16"/>
      <c r="C6" s="17">
        <f>C4</f>
        <v>24455</v>
      </c>
      <c r="D6" s="17">
        <f t="shared" si="0"/>
        <v>24944.100000000002</v>
      </c>
      <c r="E6" s="17">
        <f t="shared" si="0"/>
        <v>25442.982000000004</v>
      </c>
      <c r="F6" s="17">
        <f t="shared" si="0"/>
        <v>25951.841640000002</v>
      </c>
      <c r="G6" s="17">
        <f t="shared" si="0"/>
        <v>26470.878472800003</v>
      </c>
      <c r="H6" s="17">
        <f t="shared" si="0"/>
        <v>27000.296042256003</v>
      </c>
      <c r="I6" s="17">
        <f t="shared" si="0"/>
        <v>27540.301963101123</v>
      </c>
      <c r="J6" s="17">
        <f t="shared" si="0"/>
        <v>28091.108002363148</v>
      </c>
      <c r="K6" s="17">
        <f t="shared" si="0"/>
        <v>28652.930162410412</v>
      </c>
      <c r="L6" s="17">
        <f t="shared" si="0"/>
        <v>29225.988765658622</v>
      </c>
      <c r="M6" s="19">
        <v>0.02</v>
      </c>
      <c r="N6" s="16" t="s">
        <v>35</v>
      </c>
      <c r="O6" s="16"/>
      <c r="P6" s="14"/>
      <c r="Q6" s="14"/>
      <c r="R6" s="14"/>
      <c r="S6" s="14"/>
      <c r="T6" s="14"/>
      <c r="U6" s="14"/>
    </row>
    <row r="7" spans="1:21" x14ac:dyDescent="0.3">
      <c r="A7" s="16" t="s">
        <v>62</v>
      </c>
      <c r="B7" s="16"/>
      <c r="C7" s="17">
        <v>356</v>
      </c>
      <c r="D7" s="17">
        <f t="shared" si="0"/>
        <v>363.12</v>
      </c>
      <c r="E7" s="17">
        <f t="shared" si="0"/>
        <v>370.38240000000002</v>
      </c>
      <c r="F7" s="17">
        <f t="shared" si="0"/>
        <v>377.79004800000001</v>
      </c>
      <c r="G7" s="17">
        <f t="shared" si="0"/>
        <v>385.34584896000001</v>
      </c>
      <c r="H7" s="17">
        <f t="shared" si="0"/>
        <v>393.05276593920001</v>
      </c>
      <c r="I7" s="17">
        <f t="shared" si="0"/>
        <v>400.91382125798401</v>
      </c>
      <c r="J7" s="17">
        <f t="shared" si="0"/>
        <v>408.9320976831437</v>
      </c>
      <c r="K7" s="17">
        <f t="shared" si="0"/>
        <v>417.11073963680656</v>
      </c>
      <c r="L7" s="17">
        <f t="shared" si="0"/>
        <v>425.45295442954267</v>
      </c>
      <c r="M7" s="19">
        <v>0.02</v>
      </c>
      <c r="N7" s="16" t="s">
        <v>35</v>
      </c>
      <c r="O7" s="16"/>
      <c r="P7" s="14"/>
      <c r="Q7" s="14"/>
      <c r="R7" s="14"/>
      <c r="S7" s="14"/>
      <c r="T7" s="14"/>
      <c r="U7" s="14"/>
    </row>
    <row r="8" spans="1:21" x14ac:dyDescent="0.3">
      <c r="A8" s="16" t="s">
        <v>63</v>
      </c>
      <c r="B8" s="16"/>
      <c r="C8" s="17">
        <v>3</v>
      </c>
      <c r="D8" s="20">
        <f t="shared" si="0"/>
        <v>3.06</v>
      </c>
      <c r="E8" s="20">
        <f t="shared" si="0"/>
        <v>3.1212</v>
      </c>
      <c r="F8" s="20">
        <f t="shared" si="0"/>
        <v>3.183624</v>
      </c>
      <c r="G8" s="20">
        <f t="shared" si="0"/>
        <v>3.2472964800000002</v>
      </c>
      <c r="H8" s="20">
        <f t="shared" si="0"/>
        <v>3.3122424096</v>
      </c>
      <c r="I8" s="20">
        <f t="shared" si="0"/>
        <v>3.378487257792</v>
      </c>
      <c r="J8" s="20">
        <f t="shared" si="0"/>
        <v>3.4460570029478399</v>
      </c>
      <c r="K8" s="20">
        <f t="shared" si="0"/>
        <v>3.5149781430067968</v>
      </c>
      <c r="L8" s="20">
        <f t="shared" si="0"/>
        <v>3.585277705866933</v>
      </c>
      <c r="M8" s="19">
        <v>0.02</v>
      </c>
      <c r="N8" s="16"/>
      <c r="O8" s="16"/>
      <c r="P8" s="14"/>
      <c r="Q8" s="14"/>
      <c r="R8" s="14"/>
      <c r="S8" s="14"/>
      <c r="T8" s="14"/>
      <c r="U8" s="14"/>
    </row>
    <row r="9" spans="1:21" x14ac:dyDescent="0.3">
      <c r="A9" s="16" t="s">
        <v>64</v>
      </c>
      <c r="B9" s="16"/>
      <c r="C9" s="21">
        <v>6.5</v>
      </c>
      <c r="D9" s="20">
        <f t="shared" si="0"/>
        <v>6.63</v>
      </c>
      <c r="E9" s="20">
        <f t="shared" si="0"/>
        <v>6.7625999999999999</v>
      </c>
      <c r="F9" s="20">
        <f t="shared" si="0"/>
        <v>6.8978520000000003</v>
      </c>
      <c r="G9" s="20">
        <f t="shared" si="0"/>
        <v>7.0358090400000002</v>
      </c>
      <c r="H9" s="20">
        <f t="shared" si="0"/>
        <v>7.1765252208000003</v>
      </c>
      <c r="I9" s="20">
        <f t="shared" si="0"/>
        <v>7.3200557252160001</v>
      </c>
      <c r="J9" s="20">
        <f t="shared" si="0"/>
        <v>7.4664568397203199</v>
      </c>
      <c r="K9" s="20">
        <f t="shared" si="0"/>
        <v>7.6157859765147267</v>
      </c>
      <c r="L9" s="20">
        <f t="shared" si="0"/>
        <v>7.7681016960450213</v>
      </c>
      <c r="M9" s="19">
        <v>0.02</v>
      </c>
      <c r="N9" s="16"/>
      <c r="O9" s="16"/>
      <c r="P9" s="14"/>
      <c r="Q9" s="14"/>
      <c r="R9" s="14"/>
      <c r="S9" s="14"/>
      <c r="T9" s="14"/>
      <c r="U9" s="14"/>
    </row>
    <row r="10" spans="1:21" x14ac:dyDescent="0.3">
      <c r="A10" s="16" t="s">
        <v>65</v>
      </c>
      <c r="B10" s="16"/>
      <c r="C10" s="17">
        <v>3</v>
      </c>
      <c r="D10" s="20">
        <f t="shared" si="0"/>
        <v>3.06</v>
      </c>
      <c r="E10" s="20">
        <f t="shared" si="0"/>
        <v>3.1212</v>
      </c>
      <c r="F10" s="20">
        <f t="shared" si="0"/>
        <v>3.183624</v>
      </c>
      <c r="G10" s="20">
        <f t="shared" si="0"/>
        <v>3.2472964800000002</v>
      </c>
      <c r="H10" s="20">
        <f t="shared" si="0"/>
        <v>3.3122424096</v>
      </c>
      <c r="I10" s="20">
        <f t="shared" si="0"/>
        <v>3.378487257792</v>
      </c>
      <c r="J10" s="20">
        <f t="shared" si="0"/>
        <v>3.4460570029478399</v>
      </c>
      <c r="K10" s="20">
        <f t="shared" si="0"/>
        <v>3.5149781430067968</v>
      </c>
      <c r="L10" s="20">
        <f t="shared" si="0"/>
        <v>3.585277705866933</v>
      </c>
      <c r="M10" s="19">
        <v>0.02</v>
      </c>
      <c r="N10" s="16"/>
      <c r="O10" s="16"/>
      <c r="P10" s="14"/>
      <c r="Q10" s="14"/>
      <c r="R10" s="14"/>
      <c r="S10" s="14"/>
      <c r="T10" s="14"/>
      <c r="U10" s="14"/>
    </row>
    <row r="11" spans="1:21" x14ac:dyDescent="0.3">
      <c r="A11" s="16" t="s">
        <v>66</v>
      </c>
      <c r="B11" s="16"/>
      <c r="C11" s="20">
        <v>5</v>
      </c>
      <c r="D11" s="20">
        <f>(1+$M11)*C11</f>
        <v>5.15</v>
      </c>
      <c r="E11" s="20">
        <f t="shared" si="0"/>
        <v>5.3045000000000009</v>
      </c>
      <c r="F11" s="20">
        <f t="shared" si="0"/>
        <v>5.4636350000000009</v>
      </c>
      <c r="G11" s="20">
        <f t="shared" si="0"/>
        <v>5.6275440500000009</v>
      </c>
      <c r="H11" s="20">
        <f t="shared" si="0"/>
        <v>5.796370371500001</v>
      </c>
      <c r="I11" s="20">
        <f t="shared" si="0"/>
        <v>5.9702614826450011</v>
      </c>
      <c r="J11" s="20">
        <f t="shared" si="0"/>
        <v>6.1493693271243517</v>
      </c>
      <c r="K11" s="20">
        <f t="shared" si="0"/>
        <v>6.3338504069380823</v>
      </c>
      <c r="L11" s="20">
        <f t="shared" si="0"/>
        <v>6.5238659191462247</v>
      </c>
      <c r="M11" s="19">
        <v>0.03</v>
      </c>
      <c r="N11" s="16" t="s">
        <v>35</v>
      </c>
      <c r="O11" s="16"/>
      <c r="P11" s="14"/>
      <c r="Q11" s="14" t="s">
        <v>54</v>
      </c>
      <c r="R11" s="14"/>
      <c r="S11" s="14"/>
      <c r="T11" s="14"/>
      <c r="U11" s="14"/>
    </row>
    <row r="12" spans="1:21" x14ac:dyDescent="0.3">
      <c r="A12" s="22" t="s">
        <v>67</v>
      </c>
      <c r="B12" s="16"/>
      <c r="C12" s="16">
        <v>22</v>
      </c>
      <c r="D12" s="20">
        <f t="shared" si="0"/>
        <v>22.44</v>
      </c>
      <c r="E12" s="20">
        <f t="shared" si="0"/>
        <v>22.888800000000003</v>
      </c>
      <c r="F12" s="20">
        <f t="shared" si="0"/>
        <v>23.346576000000002</v>
      </c>
      <c r="G12" s="20">
        <f t="shared" si="0"/>
        <v>23.813507520000002</v>
      </c>
      <c r="H12" s="20">
        <f t="shared" si="0"/>
        <v>24.289777670400003</v>
      </c>
      <c r="I12" s="20">
        <f t="shared" si="0"/>
        <v>24.775573223808003</v>
      </c>
      <c r="J12" s="20">
        <f t="shared" si="0"/>
        <v>25.271084688284162</v>
      </c>
      <c r="K12" s="20">
        <f t="shared" si="0"/>
        <v>25.776506382049845</v>
      </c>
      <c r="L12" s="20">
        <f t="shared" si="0"/>
        <v>26.292036509690842</v>
      </c>
      <c r="M12" s="16">
        <v>0.02</v>
      </c>
      <c r="N12" s="16"/>
      <c r="O12" s="16"/>
      <c r="P12" s="14"/>
      <c r="Q12" s="14" t="s">
        <v>55</v>
      </c>
      <c r="R12" s="14"/>
      <c r="S12" s="14"/>
      <c r="T12" s="14"/>
      <c r="U12" s="14"/>
    </row>
    <row r="13" spans="1:21" x14ac:dyDescent="0.3">
      <c r="A13" s="16"/>
      <c r="B13" s="16"/>
      <c r="C13" s="16"/>
      <c r="D13" s="16"/>
      <c r="E13" s="16"/>
      <c r="F13" s="16"/>
      <c r="G13" s="14"/>
      <c r="H13" s="14"/>
      <c r="I13" s="14"/>
      <c r="J13" s="14"/>
      <c r="K13" s="14"/>
      <c r="L13" s="14"/>
      <c r="M13" s="16"/>
      <c r="N13" s="16"/>
      <c r="O13" s="16"/>
      <c r="P13" s="14"/>
      <c r="Q13" s="14" t="s">
        <v>56</v>
      </c>
      <c r="R13" s="14"/>
      <c r="S13" s="14"/>
      <c r="T13" s="14"/>
      <c r="U13" s="14"/>
    </row>
    <row r="14" spans="1:21" x14ac:dyDescent="0.3">
      <c r="A14" s="15" t="s">
        <v>36</v>
      </c>
      <c r="B14" s="16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6"/>
      <c r="N14" s="16"/>
      <c r="O14" s="16"/>
      <c r="P14" s="14"/>
      <c r="Q14" s="14" t="s">
        <v>57</v>
      </c>
      <c r="R14" s="14"/>
      <c r="S14" s="14"/>
      <c r="T14" s="14"/>
      <c r="U14" s="14"/>
    </row>
    <row r="15" spans="1:21" x14ac:dyDescent="0.3">
      <c r="A15" s="16" t="s">
        <v>77</v>
      </c>
      <c r="B15" s="16"/>
      <c r="C15" s="16">
        <v>3</v>
      </c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16">
        <v>3</v>
      </c>
      <c r="L15" s="16">
        <v>3</v>
      </c>
      <c r="M15" s="23">
        <v>-0.01</v>
      </c>
      <c r="N15" s="16" t="s">
        <v>35</v>
      </c>
      <c r="O15" s="16"/>
      <c r="P15" s="14"/>
      <c r="Q15" s="14"/>
      <c r="R15" s="14"/>
      <c r="S15" s="14"/>
      <c r="T15" s="14"/>
      <c r="U15" s="14"/>
    </row>
    <row r="16" spans="1:21" x14ac:dyDescent="0.3">
      <c r="A16" s="16" t="s">
        <v>38</v>
      </c>
      <c r="B16" s="16"/>
      <c r="C16" s="24">
        <v>3</v>
      </c>
      <c r="D16" s="24">
        <f t="shared" ref="D16:L16" si="1">(1+$M15)*C16</f>
        <v>2.9699999999999998</v>
      </c>
      <c r="E16" s="24">
        <f t="shared" si="1"/>
        <v>2.9402999999999997</v>
      </c>
      <c r="F16" s="24">
        <f t="shared" si="1"/>
        <v>2.9108969999999998</v>
      </c>
      <c r="G16" s="24">
        <f t="shared" si="1"/>
        <v>2.8817880299999996</v>
      </c>
      <c r="H16" s="24">
        <f t="shared" si="1"/>
        <v>2.8529701496999995</v>
      </c>
      <c r="I16" s="24">
        <f t="shared" si="1"/>
        <v>2.8244404482029997</v>
      </c>
      <c r="J16" s="24">
        <f t="shared" si="1"/>
        <v>2.7961960437209696</v>
      </c>
      <c r="K16" s="24">
        <f t="shared" si="1"/>
        <v>2.76823408328376</v>
      </c>
      <c r="L16" s="24">
        <f t="shared" si="1"/>
        <v>2.7405517424509225</v>
      </c>
      <c r="M16" s="23"/>
      <c r="N16" s="16"/>
      <c r="O16" s="16"/>
      <c r="P16" s="14"/>
      <c r="Q16" s="14"/>
      <c r="R16" s="14"/>
      <c r="S16" s="14"/>
      <c r="T16" s="14"/>
      <c r="U16" s="14"/>
    </row>
    <row r="17" spans="1:21" x14ac:dyDescent="0.3">
      <c r="A17" s="16" t="s">
        <v>78</v>
      </c>
      <c r="B17" s="16"/>
      <c r="C17" s="24">
        <f>365/C16</f>
        <v>121.66666666666667</v>
      </c>
      <c r="D17" s="24">
        <f>365/D16</f>
        <v>122.89562289562291</v>
      </c>
      <c r="E17" s="24">
        <f>365/E16</f>
        <v>124.13699282386152</v>
      </c>
      <c r="F17" s="24">
        <f>365/F16</f>
        <v>125.39090184228436</v>
      </c>
      <c r="G17" s="24">
        <f t="shared" ref="G17:L17" si="2">365/G16</f>
        <v>126.65747660836806</v>
      </c>
      <c r="H17" s="24">
        <f t="shared" si="2"/>
        <v>127.93684505895763</v>
      </c>
      <c r="I17" s="24">
        <f t="shared" si="2"/>
        <v>129.22913642318952</v>
      </c>
      <c r="J17" s="24">
        <f t="shared" si="2"/>
        <v>130.53448123554497</v>
      </c>
      <c r="K17" s="24">
        <f t="shared" si="2"/>
        <v>131.85301134903531</v>
      </c>
      <c r="L17" s="24">
        <f t="shared" si="2"/>
        <v>133.18485994852051</v>
      </c>
      <c r="M17" s="16"/>
      <c r="N17" s="16"/>
      <c r="O17" s="16"/>
      <c r="P17" s="14"/>
      <c r="Q17" s="14"/>
      <c r="R17" s="14"/>
      <c r="S17" s="14"/>
      <c r="T17" s="14"/>
      <c r="U17" s="14"/>
    </row>
    <row r="18" spans="1:21" x14ac:dyDescent="0.3">
      <c r="A18" s="16" t="s">
        <v>37</v>
      </c>
      <c r="B18" s="16"/>
      <c r="C18" s="17">
        <v>30</v>
      </c>
      <c r="D18" s="17">
        <v>30</v>
      </c>
      <c r="E18" s="17">
        <v>30</v>
      </c>
      <c r="F18" s="17">
        <v>30</v>
      </c>
      <c r="G18" s="17">
        <v>30</v>
      </c>
      <c r="H18" s="17">
        <v>30</v>
      </c>
      <c r="I18" s="17">
        <v>30</v>
      </c>
      <c r="J18" s="17">
        <v>30</v>
      </c>
      <c r="K18" s="17">
        <v>30</v>
      </c>
      <c r="L18" s="17">
        <v>30</v>
      </c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/>
      <c r="B19" s="14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4"/>
      <c r="N19" s="14"/>
      <c r="O19" s="14"/>
      <c r="P19" s="14"/>
      <c r="Q19" s="14"/>
      <c r="R19" s="14"/>
      <c r="S19" s="14"/>
      <c r="T19" s="14"/>
      <c r="U19" s="14"/>
    </row>
    <row r="20" spans="1:21" x14ac:dyDescent="0.3">
      <c r="A20" s="14" t="s">
        <v>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4" t="s">
        <v>68</v>
      </c>
      <c r="B21" s="14"/>
      <c r="C21" s="25">
        <f>C3*C8</f>
        <v>73365</v>
      </c>
      <c r="D21" s="25">
        <f t="shared" ref="D21:L22" si="3">D3*D8</f>
        <v>77077.269</v>
      </c>
      <c r="E21" s="25">
        <f t="shared" si="3"/>
        <v>80977.378811400005</v>
      </c>
      <c r="F21" s="25">
        <f t="shared" si="3"/>
        <v>85074.834179256854</v>
      </c>
      <c r="G21" s="25">
        <f t="shared" si="3"/>
        <v>89379.620788727247</v>
      </c>
      <c r="H21" s="25">
        <f t="shared" si="3"/>
        <v>93902.229600636856</v>
      </c>
      <c r="I21" s="25">
        <f t="shared" si="3"/>
        <v>98653.682418429074</v>
      </c>
      <c r="J21" s="25">
        <f t="shared" si="3"/>
        <v>103645.55874880159</v>
      </c>
      <c r="K21" s="25">
        <f t="shared" si="3"/>
        <v>108890.02402149096</v>
      </c>
      <c r="L21" s="25">
        <f t="shared" si="3"/>
        <v>114399.8592369784</v>
      </c>
      <c r="M21" s="14">
        <v>1.6</v>
      </c>
      <c r="N21" s="14" t="s">
        <v>39</v>
      </c>
      <c r="O21" s="14"/>
      <c r="P21" s="14"/>
      <c r="Q21" s="14"/>
      <c r="R21" s="14"/>
      <c r="S21" s="14"/>
      <c r="T21" s="14"/>
      <c r="U21" s="14"/>
    </row>
    <row r="22" spans="1:21" x14ac:dyDescent="0.3">
      <c r="A22" s="22" t="s">
        <v>69</v>
      </c>
      <c r="B22" s="14"/>
      <c r="C22" s="25">
        <f>C4*C9</f>
        <v>158957.5</v>
      </c>
      <c r="D22" s="25">
        <f t="shared" si="3"/>
        <v>165379.383</v>
      </c>
      <c r="E22" s="25">
        <f t="shared" si="3"/>
        <v>172060.71007320003</v>
      </c>
      <c r="F22" s="25">
        <f t="shared" si="3"/>
        <v>179011.9627601573</v>
      </c>
      <c r="G22" s="25">
        <f t="shared" si="3"/>
        <v>186244.04605566766</v>
      </c>
      <c r="H22" s="25">
        <f t="shared" si="3"/>
        <v>193768.30551631664</v>
      </c>
      <c r="I22" s="25">
        <f t="shared" si="3"/>
        <v>201596.54505917581</v>
      </c>
      <c r="J22" s="25">
        <f t="shared" si="3"/>
        <v>209741.04547956653</v>
      </c>
      <c r="K22" s="25">
        <f t="shared" si="3"/>
        <v>218214.58371694104</v>
      </c>
      <c r="L22" s="25">
        <f t="shared" si="3"/>
        <v>227030.45289910547</v>
      </c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22" t="s">
        <v>70</v>
      </c>
      <c r="B23" s="14"/>
      <c r="C23" s="25">
        <f t="shared" ref="C23:L25" si="4">C5*C10</f>
        <v>50370</v>
      </c>
      <c r="D23" s="25">
        <f t="shared" si="4"/>
        <v>52404.947999999997</v>
      </c>
      <c r="E23" s="25">
        <f t="shared" si="4"/>
        <v>54522.107899199997</v>
      </c>
      <c r="F23" s="25">
        <f t="shared" si="4"/>
        <v>56724.801058327677</v>
      </c>
      <c r="G23" s="25">
        <f t="shared" si="4"/>
        <v>59016.483021084117</v>
      </c>
      <c r="H23" s="25">
        <f t="shared" si="4"/>
        <v>61400.748935135911</v>
      </c>
      <c r="I23" s="25">
        <f t="shared" si="4"/>
        <v>63881.339192115403</v>
      </c>
      <c r="J23" s="25">
        <f t="shared" si="4"/>
        <v>66462.145295476876</v>
      </c>
      <c r="K23" s="25">
        <f t="shared" si="4"/>
        <v>69147.215965414143</v>
      </c>
      <c r="L23" s="25">
        <f t="shared" si="4"/>
        <v>71940.763490416881</v>
      </c>
      <c r="M23" s="14"/>
      <c r="N23" s="14"/>
      <c r="O23" s="14"/>
      <c r="P23" s="14"/>
      <c r="Q23" s="14"/>
      <c r="R23" s="14"/>
      <c r="S23" s="14"/>
      <c r="T23" s="14"/>
      <c r="U23" s="14"/>
    </row>
    <row r="24" spans="1:21" x14ac:dyDescent="0.3">
      <c r="A24" s="22" t="s">
        <v>71</v>
      </c>
      <c r="B24" s="14"/>
      <c r="C24" s="25">
        <f t="shared" si="4"/>
        <v>122275</v>
      </c>
      <c r="D24" s="25">
        <f t="shared" si="4"/>
        <v>128462.11500000002</v>
      </c>
      <c r="E24" s="25">
        <f t="shared" si="4"/>
        <v>134962.29801900004</v>
      </c>
      <c r="F24" s="25">
        <f t="shared" si="4"/>
        <v>141791.39029876143</v>
      </c>
      <c r="G24" s="25">
        <f t="shared" si="4"/>
        <v>148966.03464787875</v>
      </c>
      <c r="H24" s="25">
        <f t="shared" si="4"/>
        <v>156503.71600106143</v>
      </c>
      <c r="I24" s="25">
        <f t="shared" si="4"/>
        <v>164422.80403071514</v>
      </c>
      <c r="J24" s="25">
        <f t="shared" si="4"/>
        <v>172742.59791466937</v>
      </c>
      <c r="K24" s="25">
        <f t="shared" si="4"/>
        <v>181483.37336915164</v>
      </c>
      <c r="L24" s="25">
        <f t="shared" si="4"/>
        <v>190666.43206163071</v>
      </c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22" t="s">
        <v>72</v>
      </c>
      <c r="B25" s="14"/>
      <c r="C25" s="25">
        <f t="shared" si="4"/>
        <v>7832</v>
      </c>
      <c r="D25" s="25">
        <f t="shared" si="4"/>
        <v>8148.412800000001</v>
      </c>
      <c r="E25" s="25">
        <f t="shared" si="4"/>
        <v>8477.6086771200025</v>
      </c>
      <c r="F25" s="25">
        <f t="shared" si="4"/>
        <v>8820.1040676756493</v>
      </c>
      <c r="G25" s="25">
        <f t="shared" si="4"/>
        <v>9176.4362720097452</v>
      </c>
      <c r="H25" s="25">
        <f t="shared" si="4"/>
        <v>9547.1642973989401</v>
      </c>
      <c r="I25" s="25">
        <f t="shared" si="4"/>
        <v>9932.8697350138555</v>
      </c>
      <c r="J25" s="25">
        <f t="shared" si="4"/>
        <v>10334.157672308416</v>
      </c>
      <c r="K25" s="25">
        <f t="shared" si="4"/>
        <v>10751.657642269676</v>
      </c>
      <c r="L25" s="25">
        <f t="shared" si="4"/>
        <v>11186.02461101737</v>
      </c>
      <c r="M25" s="14"/>
      <c r="N25" s="14"/>
      <c r="O25" s="14"/>
      <c r="P25" s="14"/>
      <c r="Q25" s="14"/>
      <c r="R25" s="14"/>
      <c r="S25" s="14"/>
      <c r="T25" s="14"/>
      <c r="U25" s="14"/>
    </row>
    <row r="26" spans="1:21" x14ac:dyDescent="0.3">
      <c r="A26" s="14" t="s">
        <v>1</v>
      </c>
      <c r="B26" s="14"/>
      <c r="C26" s="25">
        <f>(SUM(C21:C25))*$M$26</f>
        <v>247679.69999999998</v>
      </c>
      <c r="D26" s="25">
        <f t="shared" ref="D26:L26" si="5">(SUM(D21:D25))*$M$26</f>
        <v>258883.27667999995</v>
      </c>
      <c r="E26" s="25">
        <f t="shared" si="5"/>
        <v>270600.06208795204</v>
      </c>
      <c r="F26" s="25">
        <f t="shared" si="5"/>
        <v>282853.85541850736</v>
      </c>
      <c r="G26" s="25">
        <f t="shared" si="5"/>
        <v>295669.57247122045</v>
      </c>
      <c r="H26" s="25">
        <f t="shared" si="5"/>
        <v>309073.29861032986</v>
      </c>
      <c r="I26" s="25">
        <f t="shared" si="5"/>
        <v>323092.34426126955</v>
      </c>
      <c r="J26" s="25">
        <f t="shared" si="5"/>
        <v>337755.30306649371</v>
      </c>
      <c r="K26" s="25">
        <f t="shared" si="5"/>
        <v>353092.11282916047</v>
      </c>
      <c r="L26" s="25">
        <f t="shared" si="5"/>
        <v>369134.11937948922</v>
      </c>
      <c r="M26" s="14">
        <v>0.6</v>
      </c>
      <c r="N26" s="14" t="s">
        <v>96</v>
      </c>
      <c r="O26" s="14"/>
      <c r="P26" s="14"/>
      <c r="Q26" s="14"/>
      <c r="R26" s="14"/>
      <c r="S26" s="14"/>
      <c r="T26" s="14"/>
      <c r="U26" s="14"/>
    </row>
    <row r="27" spans="1:2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4" t="s">
        <v>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x14ac:dyDescent="0.3">
      <c r="A30" s="14" t="s">
        <v>76</v>
      </c>
      <c r="B30" s="14"/>
      <c r="C30" s="14">
        <v>4800</v>
      </c>
      <c r="D30" s="26">
        <f>C30*(1+$M$30)</f>
        <v>4944</v>
      </c>
      <c r="E30" s="26">
        <f t="shared" ref="E30:L30" si="6">D30*(1+$M$30)</f>
        <v>5092.32</v>
      </c>
      <c r="F30" s="26">
        <f t="shared" si="6"/>
        <v>5245.0896000000002</v>
      </c>
      <c r="G30" s="26">
        <f t="shared" si="6"/>
        <v>5402.4422880000002</v>
      </c>
      <c r="H30" s="26">
        <f t="shared" si="6"/>
        <v>5564.5155566399999</v>
      </c>
      <c r="I30" s="26">
        <f t="shared" si="6"/>
        <v>5731.4510233392002</v>
      </c>
      <c r="J30" s="26">
        <f t="shared" si="6"/>
        <v>5903.3945540393761</v>
      </c>
      <c r="K30" s="26">
        <f t="shared" si="6"/>
        <v>6080.4963906605572</v>
      </c>
      <c r="L30" s="26">
        <f t="shared" si="6"/>
        <v>6262.9112823803744</v>
      </c>
      <c r="M30" s="19">
        <v>0.03</v>
      </c>
      <c r="N30" s="14" t="s">
        <v>35</v>
      </c>
      <c r="O30" s="14"/>
      <c r="P30" s="14"/>
      <c r="Q30" s="14"/>
      <c r="R30" s="14"/>
      <c r="S30" s="14"/>
      <c r="T30" s="14"/>
      <c r="U30" s="14"/>
    </row>
    <row r="31" spans="1:21" x14ac:dyDescent="0.3">
      <c r="A31" s="14" t="s">
        <v>75</v>
      </c>
      <c r="B31" s="14"/>
      <c r="C31" s="27">
        <v>700</v>
      </c>
      <c r="D31" s="26">
        <f>C31*(1+$M$31)</f>
        <v>721</v>
      </c>
      <c r="E31" s="26">
        <f t="shared" ref="E31:L31" si="7">D31*(1+$M$31)</f>
        <v>742.63</v>
      </c>
      <c r="F31" s="26">
        <f t="shared" si="7"/>
        <v>764.90890000000002</v>
      </c>
      <c r="G31" s="26">
        <f t="shared" si="7"/>
        <v>787.85616700000003</v>
      </c>
      <c r="H31" s="26">
        <f t="shared" si="7"/>
        <v>811.49185201</v>
      </c>
      <c r="I31" s="26">
        <f t="shared" si="7"/>
        <v>835.83660757029998</v>
      </c>
      <c r="J31" s="26">
        <f t="shared" si="7"/>
        <v>860.91170579740901</v>
      </c>
      <c r="K31" s="26">
        <f t="shared" si="7"/>
        <v>886.73905697133125</v>
      </c>
      <c r="L31" s="26">
        <f t="shared" si="7"/>
        <v>913.3412286804712</v>
      </c>
      <c r="M31" s="19">
        <v>0.03</v>
      </c>
      <c r="N31" s="14" t="s">
        <v>35</v>
      </c>
      <c r="O31" s="14"/>
      <c r="P31" s="14"/>
      <c r="Q31" s="14"/>
      <c r="R31" s="14"/>
      <c r="S31" s="14"/>
      <c r="T31" s="14"/>
      <c r="U31" s="14"/>
    </row>
    <row r="32" spans="1:21" x14ac:dyDescent="0.3">
      <c r="A32" s="14" t="s">
        <v>73</v>
      </c>
      <c r="B32" s="14"/>
      <c r="C32" s="27">
        <v>5000</v>
      </c>
      <c r="D32" s="26">
        <f>C32*(1+$M$32)</f>
        <v>5250</v>
      </c>
      <c r="E32" s="26">
        <f t="shared" ref="E32:L32" si="8">D32*(1+$M$32)</f>
        <v>5512.5</v>
      </c>
      <c r="F32" s="26">
        <f t="shared" si="8"/>
        <v>5788.125</v>
      </c>
      <c r="G32" s="26">
        <f t="shared" si="8"/>
        <v>6077.53125</v>
      </c>
      <c r="H32" s="26">
        <f t="shared" si="8"/>
        <v>6381.4078125000005</v>
      </c>
      <c r="I32" s="26">
        <f t="shared" si="8"/>
        <v>6700.4782031250006</v>
      </c>
      <c r="J32" s="26">
        <f t="shared" si="8"/>
        <v>7035.5021132812508</v>
      </c>
      <c r="K32" s="26">
        <f t="shared" si="8"/>
        <v>7387.2772189453135</v>
      </c>
      <c r="L32" s="26">
        <f t="shared" si="8"/>
        <v>7756.6410798925799</v>
      </c>
      <c r="M32" s="19">
        <v>0.05</v>
      </c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4" t="s">
        <v>74</v>
      </c>
      <c r="B33" s="14"/>
      <c r="C33" s="27">
        <f>(7.25*5)*(50*48)</f>
        <v>87000</v>
      </c>
      <c r="D33" s="26">
        <f>C33*(1+$M$33)</f>
        <v>89610</v>
      </c>
      <c r="E33" s="26">
        <f t="shared" ref="E33:L33" si="9">D33*(1+$M$33)</f>
        <v>92298.3</v>
      </c>
      <c r="F33" s="26">
        <f t="shared" si="9"/>
        <v>95067.249000000011</v>
      </c>
      <c r="G33" s="26">
        <f t="shared" si="9"/>
        <v>97919.266470000017</v>
      </c>
      <c r="H33" s="26">
        <f t="shared" si="9"/>
        <v>100856.84446410002</v>
      </c>
      <c r="I33" s="26">
        <f t="shared" si="9"/>
        <v>103882.54979802303</v>
      </c>
      <c r="J33" s="26">
        <f t="shared" si="9"/>
        <v>106999.02629196372</v>
      </c>
      <c r="K33" s="26">
        <f t="shared" si="9"/>
        <v>110208.99708072263</v>
      </c>
      <c r="L33" s="26">
        <f t="shared" si="9"/>
        <v>113515.26699314432</v>
      </c>
      <c r="M33" s="19">
        <v>0.03</v>
      </c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4" t="s">
        <v>3</v>
      </c>
      <c r="B34" s="14"/>
      <c r="C34" s="14">
        <v>70000</v>
      </c>
      <c r="D34" s="26">
        <f>C34*(1+$M$34)</f>
        <v>68600</v>
      </c>
      <c r="E34" s="26">
        <f t="shared" ref="E34:L34" si="10">D34*(1+$M$34)</f>
        <v>67228</v>
      </c>
      <c r="F34" s="26">
        <f t="shared" si="10"/>
        <v>65883.44</v>
      </c>
      <c r="G34" s="26">
        <f t="shared" si="10"/>
        <v>64565.771200000003</v>
      </c>
      <c r="H34" s="26">
        <f t="shared" si="10"/>
        <v>63274.455776000003</v>
      </c>
      <c r="I34" s="26">
        <f t="shared" si="10"/>
        <v>62008.96666048</v>
      </c>
      <c r="J34" s="26">
        <f t="shared" si="10"/>
        <v>60768.787327270402</v>
      </c>
      <c r="K34" s="26">
        <f t="shared" si="10"/>
        <v>59553.411580724991</v>
      </c>
      <c r="L34" s="26">
        <f t="shared" si="10"/>
        <v>58362.343349110488</v>
      </c>
      <c r="M34" s="19">
        <v>-0.02</v>
      </c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x14ac:dyDescent="0.3">
      <c r="A37" s="14" t="s">
        <v>4</v>
      </c>
      <c r="B37" s="14"/>
      <c r="C37" s="27">
        <f>Mortgage!D14</f>
        <v>8691.3647285118295</v>
      </c>
      <c r="D37" s="27">
        <f>Mortgage!D28</f>
        <v>8559.2703690025282</v>
      </c>
      <c r="E37" s="27">
        <f>Mortgage!D42</f>
        <v>8420.4178113612616</v>
      </c>
      <c r="F37" s="27">
        <f>Mortgage!D56</f>
        <v>8274.46129334533</v>
      </c>
      <c r="G37" s="27">
        <f>Mortgage!D70</f>
        <v>8121.0373628594989</v>
      </c>
      <c r="H37" s="27">
        <f>Mortgage!D84</f>
        <v>7959.7639729095399</v>
      </c>
      <c r="I37" s="27">
        <f>Mortgage!D98</f>
        <v>7790.2395302519171</v>
      </c>
      <c r="J37" s="27">
        <f>Mortgage!D112</f>
        <v>7612.0418953705876</v>
      </c>
      <c r="K37" s="27">
        <f>Mortgage!D126</f>
        <v>7424.7273312906927</v>
      </c>
      <c r="L37" s="27">
        <f>Mortgage!D140</f>
        <v>7227.8293986115814</v>
      </c>
      <c r="M37" s="18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4" t="s">
        <v>93</v>
      </c>
      <c r="B38" s="14"/>
      <c r="C38" s="25">
        <f t="shared" ref="C38:L38" si="11">(C55/$M$55)+(C54/$M$38)</f>
        <v>16547.619047619046</v>
      </c>
      <c r="D38" s="25">
        <f t="shared" si="11"/>
        <v>16547.619047619046</v>
      </c>
      <c r="E38" s="25">
        <f t="shared" si="11"/>
        <v>16547.619047619046</v>
      </c>
      <c r="F38" s="25">
        <f t="shared" si="11"/>
        <v>16547.619047619046</v>
      </c>
      <c r="G38" s="25">
        <f t="shared" si="11"/>
        <v>16547.619047619046</v>
      </c>
      <c r="H38" s="25">
        <f t="shared" si="11"/>
        <v>16547.619047619046</v>
      </c>
      <c r="I38" s="25">
        <f t="shared" si="11"/>
        <v>16547.619047619046</v>
      </c>
      <c r="J38" s="25">
        <f t="shared" si="11"/>
        <v>16547.619047619046</v>
      </c>
      <c r="K38" s="25">
        <f t="shared" si="11"/>
        <v>16547.619047619046</v>
      </c>
      <c r="L38" s="25">
        <f t="shared" si="11"/>
        <v>16547.619047619046</v>
      </c>
      <c r="M38" s="18">
        <v>30</v>
      </c>
      <c r="N38" s="14" t="s">
        <v>53</v>
      </c>
      <c r="O38" s="14"/>
      <c r="P38" s="14"/>
      <c r="Q38" s="14"/>
      <c r="R38" s="14"/>
      <c r="S38" s="14"/>
      <c r="T38" s="14"/>
      <c r="U38" s="14"/>
    </row>
    <row r="39" spans="1:21" x14ac:dyDescent="0.3">
      <c r="A39" s="14" t="s">
        <v>94</v>
      </c>
      <c r="B39" s="14"/>
      <c r="C39" s="27">
        <f>C54/M38</f>
        <v>5833.333333333333</v>
      </c>
      <c r="D39" s="27">
        <f>C39</f>
        <v>5833.333333333333</v>
      </c>
      <c r="E39" s="27">
        <f t="shared" ref="E39:L39" si="12">D39</f>
        <v>5833.333333333333</v>
      </c>
      <c r="F39" s="27">
        <f t="shared" si="12"/>
        <v>5833.333333333333</v>
      </c>
      <c r="G39" s="27">
        <f t="shared" si="12"/>
        <v>5833.333333333333</v>
      </c>
      <c r="H39" s="27">
        <f t="shared" si="12"/>
        <v>5833.333333333333</v>
      </c>
      <c r="I39" s="27">
        <f t="shared" si="12"/>
        <v>5833.333333333333</v>
      </c>
      <c r="J39" s="27">
        <f t="shared" si="12"/>
        <v>5833.333333333333</v>
      </c>
      <c r="K39" s="27">
        <f t="shared" si="12"/>
        <v>5833.333333333333</v>
      </c>
      <c r="L39" s="27">
        <f t="shared" si="12"/>
        <v>5833.333333333333</v>
      </c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4" t="s">
        <v>95</v>
      </c>
      <c r="B40" s="14"/>
      <c r="C40" s="27">
        <f>C55/$M$55</f>
        <v>10714.285714285714</v>
      </c>
      <c r="D40" s="27">
        <f t="shared" ref="D40:L40" si="13">D55/$M$55</f>
        <v>10714.285714285714</v>
      </c>
      <c r="E40" s="27">
        <f t="shared" si="13"/>
        <v>10714.285714285714</v>
      </c>
      <c r="F40" s="27">
        <f t="shared" si="13"/>
        <v>10714.285714285714</v>
      </c>
      <c r="G40" s="27">
        <f t="shared" si="13"/>
        <v>10714.285714285714</v>
      </c>
      <c r="H40" s="27">
        <f t="shared" si="13"/>
        <v>10714.285714285714</v>
      </c>
      <c r="I40" s="27">
        <f t="shared" si="13"/>
        <v>10714.285714285714</v>
      </c>
      <c r="J40" s="27">
        <f t="shared" si="13"/>
        <v>10714.285714285714</v>
      </c>
      <c r="K40" s="27">
        <f t="shared" si="13"/>
        <v>10714.285714285714</v>
      </c>
      <c r="L40" s="27">
        <f t="shared" si="13"/>
        <v>10714.285714285714</v>
      </c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4"/>
      <c r="B41" s="1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4" t="s">
        <v>5</v>
      </c>
      <c r="B42" s="14"/>
      <c r="C42" s="25">
        <f>SUM(C21:C25)-SUM(C26:C38)</f>
        <v>-27619.183776130842</v>
      </c>
      <c r="D42" s="25">
        <f t="shared" ref="D42:K42" si="14">SUM(D21:D25)-SUM(D26:D38)</f>
        <v>-21643.038296621584</v>
      </c>
      <c r="E42" s="25">
        <f t="shared" si="14"/>
        <v>-15441.745467012282</v>
      </c>
      <c r="F42" s="25">
        <f t="shared" si="14"/>
        <v>-9001.6558952928171</v>
      </c>
      <c r="G42" s="25">
        <f t="shared" si="14"/>
        <v>-2308.4754713316797</v>
      </c>
      <c r="H42" s="25">
        <f t="shared" si="14"/>
        <v>4652.7672584412503</v>
      </c>
      <c r="I42" s="25">
        <f t="shared" si="14"/>
        <v>11897.755303771235</v>
      </c>
      <c r="J42" s="25">
        <f t="shared" si="14"/>
        <v>19442.919108987437</v>
      </c>
      <c r="K42" s="25">
        <f t="shared" si="14"/>
        <v>27305.474179172306</v>
      </c>
      <c r="L42" s="25">
        <f>SUM(L21:L25)-SUM(L26:L38)</f>
        <v>35503.460540220723</v>
      </c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4" t="s">
        <v>6</v>
      </c>
      <c r="B43" s="14"/>
      <c r="C43" s="27">
        <f t="shared" ref="C43:L43" si="15">IF(C42&lt;0,0,C42*$M$43)</f>
        <v>0</v>
      </c>
      <c r="D43" s="27">
        <f t="shared" si="15"/>
        <v>0</v>
      </c>
      <c r="E43" s="27">
        <f t="shared" si="15"/>
        <v>0</v>
      </c>
      <c r="F43" s="27">
        <f t="shared" si="15"/>
        <v>0</v>
      </c>
      <c r="G43" s="27">
        <f t="shared" si="15"/>
        <v>0</v>
      </c>
      <c r="H43" s="27">
        <f t="shared" si="15"/>
        <v>1163.1918146103126</v>
      </c>
      <c r="I43" s="27">
        <f t="shared" si="15"/>
        <v>2974.4388259428088</v>
      </c>
      <c r="J43" s="27">
        <f t="shared" si="15"/>
        <v>4860.7297772468592</v>
      </c>
      <c r="K43" s="27">
        <f t="shared" si="15"/>
        <v>6826.3685447930766</v>
      </c>
      <c r="L43" s="27">
        <f t="shared" si="15"/>
        <v>8875.8651350551809</v>
      </c>
      <c r="M43" s="29">
        <v>0.25</v>
      </c>
      <c r="N43" s="14" t="s">
        <v>52</v>
      </c>
      <c r="O43" s="14"/>
      <c r="P43" s="14"/>
      <c r="Q43" s="14"/>
      <c r="R43" s="14"/>
      <c r="S43" s="14"/>
      <c r="T43" s="14"/>
      <c r="U43" s="14"/>
    </row>
    <row r="44" spans="1:21" x14ac:dyDescent="0.3">
      <c r="A44" s="14" t="s">
        <v>7</v>
      </c>
      <c r="B44" s="14"/>
      <c r="C44" s="25">
        <f>C42-C43</f>
        <v>-27619.183776130842</v>
      </c>
      <c r="D44" s="25">
        <f t="shared" ref="D44:L44" si="16">D42-D43</f>
        <v>-21643.038296621584</v>
      </c>
      <c r="E44" s="25">
        <f t="shared" si="16"/>
        <v>-15441.745467012282</v>
      </c>
      <c r="F44" s="25">
        <f t="shared" si="16"/>
        <v>-9001.6558952928171</v>
      </c>
      <c r="G44" s="25">
        <f t="shared" si="16"/>
        <v>-2308.4754713316797</v>
      </c>
      <c r="H44" s="25">
        <f t="shared" si="16"/>
        <v>3489.5754438309377</v>
      </c>
      <c r="I44" s="25">
        <f t="shared" si="16"/>
        <v>8923.3164778284263</v>
      </c>
      <c r="J44" s="25">
        <f t="shared" si="16"/>
        <v>14582.189331740577</v>
      </c>
      <c r="K44" s="25">
        <f t="shared" si="16"/>
        <v>20479.10563437923</v>
      </c>
      <c r="L44" s="25">
        <f t="shared" si="16"/>
        <v>26627.595405165543</v>
      </c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x14ac:dyDescent="0.3">
      <c r="A46" s="14" t="s">
        <v>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4" t="s">
        <v>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x14ac:dyDescent="0.3">
      <c r="A48" s="14" t="s">
        <v>10</v>
      </c>
      <c r="B48" s="14"/>
      <c r="C48" s="27">
        <v>1500</v>
      </c>
      <c r="D48" s="27">
        <v>1500</v>
      </c>
      <c r="E48" s="27">
        <v>1500</v>
      </c>
      <c r="F48" s="27">
        <v>1500</v>
      </c>
      <c r="G48" s="27">
        <v>1500</v>
      </c>
      <c r="H48" s="27">
        <v>1500</v>
      </c>
      <c r="I48" s="27">
        <v>1500</v>
      </c>
      <c r="J48" s="27">
        <v>1500</v>
      </c>
      <c r="K48" s="27">
        <v>1500</v>
      </c>
      <c r="L48" s="27">
        <v>1500</v>
      </c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4" t="s">
        <v>11</v>
      </c>
      <c r="B49" s="14"/>
      <c r="C49" s="27">
        <v>59354</v>
      </c>
      <c r="D49" s="27">
        <v>51997</v>
      </c>
      <c r="E49" s="27"/>
      <c r="F49" s="27"/>
      <c r="G49" s="27"/>
      <c r="H49" s="27"/>
      <c r="I49" s="27"/>
      <c r="J49" s="27"/>
      <c r="K49" s="27"/>
      <c r="L49" s="27"/>
      <c r="M49" s="14"/>
      <c r="N49" s="14"/>
      <c r="O49" s="14"/>
      <c r="P49" s="14"/>
      <c r="Q49" s="14"/>
      <c r="R49" s="14"/>
      <c r="S49" s="14"/>
      <c r="T49" s="14"/>
      <c r="U49" s="14"/>
    </row>
    <row r="50" spans="1:21" x14ac:dyDescent="0.3">
      <c r="A50" s="14" t="s">
        <v>12</v>
      </c>
      <c r="B50" s="14"/>
      <c r="C50" s="30">
        <f t="shared" ref="C50:D50" si="17">(C15/365)*SUM(C21:C25)</f>
        <v>3392.8726027397256</v>
      </c>
      <c r="D50" s="30">
        <f t="shared" si="17"/>
        <v>3546.3462558904102</v>
      </c>
      <c r="E50" s="30">
        <v>54430</v>
      </c>
      <c r="F50" s="30">
        <v>59640</v>
      </c>
      <c r="G50" s="30">
        <v>71421</v>
      </c>
      <c r="H50" s="30">
        <v>90033</v>
      </c>
      <c r="I50" s="30">
        <v>114590</v>
      </c>
      <c r="J50" s="30">
        <v>144738</v>
      </c>
      <c r="K50" s="30">
        <v>180712</v>
      </c>
      <c r="L50" s="30">
        <v>222759</v>
      </c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4" t="s">
        <v>13</v>
      </c>
      <c r="B51" s="14"/>
      <c r="C51" s="30">
        <f t="shared" ref="C51:K51" si="18">(10/356)*C26</f>
        <v>6957.294943820224</v>
      </c>
      <c r="D51" s="30">
        <f t="shared" si="18"/>
        <v>7272.0021539325826</v>
      </c>
      <c r="E51" s="30">
        <f t="shared" si="18"/>
        <v>7601.1253395492149</v>
      </c>
      <c r="F51" s="30">
        <f t="shared" si="18"/>
        <v>7945.3330173738022</v>
      </c>
      <c r="G51" s="30">
        <f t="shared" si="18"/>
        <v>8305.3250694163053</v>
      </c>
      <c r="H51" s="30">
        <f t="shared" si="18"/>
        <v>8681.8342306272425</v>
      </c>
      <c r="I51" s="30">
        <f t="shared" si="18"/>
        <v>9075.6276477884694</v>
      </c>
      <c r="J51" s="30">
        <f t="shared" si="18"/>
        <v>9487.5085131037558</v>
      </c>
      <c r="K51" s="30">
        <f t="shared" si="18"/>
        <v>9918.3177761000134</v>
      </c>
      <c r="L51" s="30">
        <f>(10/356)*L26</f>
        <v>10368.935937626102</v>
      </c>
      <c r="M51" s="14"/>
      <c r="N51" s="14"/>
      <c r="O51" s="14"/>
      <c r="P51" s="14"/>
      <c r="Q51" s="14"/>
      <c r="R51" s="14"/>
      <c r="S51" s="14"/>
      <c r="T51" s="14"/>
      <c r="U51" s="14"/>
    </row>
    <row r="52" spans="1:2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4" t="s">
        <v>79</v>
      </c>
      <c r="B53" s="14"/>
      <c r="C53" s="14">
        <v>10500</v>
      </c>
      <c r="D53" s="14">
        <v>10500</v>
      </c>
      <c r="E53" s="14">
        <v>10500</v>
      </c>
      <c r="F53" s="14">
        <v>10500</v>
      </c>
      <c r="G53" s="14">
        <v>10500</v>
      </c>
      <c r="H53" s="14">
        <v>10500</v>
      </c>
      <c r="I53" s="14">
        <v>10500</v>
      </c>
      <c r="J53" s="14">
        <v>10500</v>
      </c>
      <c r="K53" s="14">
        <v>10500</v>
      </c>
      <c r="L53" s="14">
        <v>10500</v>
      </c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 t="s">
        <v>14</v>
      </c>
      <c r="B54" s="14"/>
      <c r="C54" s="27">
        <f>Mortgage!$I$6</f>
        <v>175000</v>
      </c>
      <c r="D54" s="27">
        <f>Mortgage!$I$6</f>
        <v>175000</v>
      </c>
      <c r="E54" s="27">
        <f>Mortgage!$I$6</f>
        <v>175000</v>
      </c>
      <c r="F54" s="27">
        <f>Mortgage!$I$6</f>
        <v>175000</v>
      </c>
      <c r="G54" s="27">
        <f>Mortgage!$I$6</f>
        <v>175000</v>
      </c>
      <c r="H54" s="27">
        <f>Mortgage!$I$6</f>
        <v>175000</v>
      </c>
      <c r="I54" s="27">
        <f>Mortgage!$I$6</f>
        <v>175000</v>
      </c>
      <c r="J54" s="27">
        <f>Mortgage!$I$6</f>
        <v>175000</v>
      </c>
      <c r="K54" s="27">
        <f>Mortgage!$I$6</f>
        <v>175000</v>
      </c>
      <c r="L54" s="27">
        <f>Mortgage!$I$6</f>
        <v>175000</v>
      </c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4" t="s">
        <v>115</v>
      </c>
      <c r="B55" s="14"/>
      <c r="C55" s="27">
        <v>75000</v>
      </c>
      <c r="D55" s="27">
        <v>75000</v>
      </c>
      <c r="E55" s="27">
        <v>75000</v>
      </c>
      <c r="F55" s="27">
        <v>75000</v>
      </c>
      <c r="G55" s="27">
        <v>75000</v>
      </c>
      <c r="H55" s="27">
        <v>75000</v>
      </c>
      <c r="I55" s="27">
        <v>75000</v>
      </c>
      <c r="J55" s="27">
        <v>75000</v>
      </c>
      <c r="K55" s="27">
        <v>75000</v>
      </c>
      <c r="L55" s="27">
        <v>75000</v>
      </c>
      <c r="M55" s="18">
        <v>7</v>
      </c>
      <c r="N55" s="35" t="s">
        <v>97</v>
      </c>
      <c r="O55" s="35"/>
      <c r="P55" s="35"/>
      <c r="Q55" s="35"/>
      <c r="R55" s="35"/>
      <c r="S55" s="35"/>
      <c r="T55" s="14"/>
      <c r="U55" s="14"/>
    </row>
    <row r="56" spans="1:21" x14ac:dyDescent="0.3">
      <c r="A56" s="14" t="s">
        <v>15</v>
      </c>
      <c r="B56" s="14"/>
      <c r="C56" s="25">
        <f t="shared" ref="C56:L56" si="19">C38+B56</f>
        <v>16547.619047619046</v>
      </c>
      <c r="D56" s="25">
        <f t="shared" si="19"/>
        <v>33095.238095238092</v>
      </c>
      <c r="E56" s="25">
        <f t="shared" si="19"/>
        <v>49642.857142857138</v>
      </c>
      <c r="F56" s="25">
        <f t="shared" si="19"/>
        <v>66190.476190476184</v>
      </c>
      <c r="G56" s="25">
        <f t="shared" si="19"/>
        <v>82738.095238095237</v>
      </c>
      <c r="H56" s="25">
        <f t="shared" si="19"/>
        <v>99285.71428571429</v>
      </c>
      <c r="I56" s="25">
        <f t="shared" si="19"/>
        <v>115833.33333333334</v>
      </c>
      <c r="J56" s="25">
        <f t="shared" si="19"/>
        <v>132380.9523809524</v>
      </c>
      <c r="K56" s="25">
        <f t="shared" si="19"/>
        <v>148928.57142857145</v>
      </c>
      <c r="L56" s="25">
        <f t="shared" si="19"/>
        <v>165476.1904761905</v>
      </c>
      <c r="M56" s="14" t="s">
        <v>80</v>
      </c>
      <c r="N56" s="35"/>
      <c r="O56" s="35" t="s">
        <v>98</v>
      </c>
      <c r="P56" s="51">
        <v>2.09</v>
      </c>
      <c r="Q56" s="35"/>
      <c r="R56" s="35"/>
      <c r="S56" s="35"/>
      <c r="T56" s="14"/>
      <c r="U56" s="14"/>
    </row>
    <row r="57" spans="1:21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35"/>
      <c r="O57" s="35" t="s">
        <v>99</v>
      </c>
      <c r="P57" s="45">
        <v>3.7400000000000003E-2</v>
      </c>
      <c r="Q57" s="35"/>
      <c r="R57" s="35"/>
      <c r="S57" s="35"/>
      <c r="T57" s="14"/>
      <c r="U57" s="14"/>
    </row>
    <row r="58" spans="1:21" x14ac:dyDescent="0.3">
      <c r="A58" s="14" t="s">
        <v>16</v>
      </c>
      <c r="B58" s="14"/>
      <c r="C58" s="25">
        <f>SUM(C48:C55)-C56</f>
        <v>315156.54849894089</v>
      </c>
      <c r="D58" s="25">
        <f t="shared" ref="D58:L58" si="20">SUM(D48:D55)-D56</f>
        <v>291720.11031458492</v>
      </c>
      <c r="E58" s="25">
        <f t="shared" si="20"/>
        <v>274388.26819669205</v>
      </c>
      <c r="F58" s="25">
        <f t="shared" si="20"/>
        <v>263394.85682689759</v>
      </c>
      <c r="G58" s="25">
        <f t="shared" si="20"/>
        <v>258988.22983132108</v>
      </c>
      <c r="H58" s="25">
        <f t="shared" si="20"/>
        <v>261429.11994491293</v>
      </c>
      <c r="I58" s="25">
        <f t="shared" si="20"/>
        <v>269832.29431445512</v>
      </c>
      <c r="J58" s="25">
        <f t="shared" si="20"/>
        <v>283844.5561321514</v>
      </c>
      <c r="K58" s="25">
        <f t="shared" si="20"/>
        <v>303701.74634752853</v>
      </c>
      <c r="L58" s="25">
        <f t="shared" si="20"/>
        <v>329651.74546143564</v>
      </c>
      <c r="M58" s="14"/>
      <c r="N58" s="35"/>
      <c r="O58" s="35" t="s">
        <v>100</v>
      </c>
      <c r="P58" s="45">
        <v>0.1</v>
      </c>
      <c r="Q58" s="35"/>
      <c r="R58" s="35"/>
      <c r="S58" s="35"/>
      <c r="T58" s="14"/>
      <c r="U58" s="14"/>
    </row>
    <row r="59" spans="1:21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35"/>
      <c r="O59" s="35"/>
      <c r="P59" s="35"/>
      <c r="Q59" s="35"/>
      <c r="R59" s="35"/>
      <c r="S59" s="35"/>
      <c r="T59" s="14"/>
      <c r="U59" s="14"/>
    </row>
    <row r="60" spans="1:21" x14ac:dyDescent="0.3">
      <c r="A60" s="14" t="s">
        <v>17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35"/>
      <c r="O60" s="35" t="s">
        <v>101</v>
      </c>
      <c r="P60" s="35"/>
      <c r="Q60" s="48">
        <f>P56*(P58-P57)+P57</f>
        <v>0.16823399999999999</v>
      </c>
      <c r="R60" s="35"/>
      <c r="S60" s="35"/>
      <c r="T60" s="14"/>
      <c r="U60" s="14"/>
    </row>
    <row r="61" spans="1:21" x14ac:dyDescent="0.3">
      <c r="A61" s="14" t="s">
        <v>18</v>
      </c>
      <c r="B61" s="14"/>
      <c r="C61" s="30">
        <f t="shared" ref="C61:L61" si="21">(30/365)*C26</f>
        <v>20357.235616438353</v>
      </c>
      <c r="D61" s="30">
        <f t="shared" si="21"/>
        <v>21278.077535342461</v>
      </c>
      <c r="E61" s="30">
        <f t="shared" si="21"/>
        <v>22241.100993530305</v>
      </c>
      <c r="F61" s="30">
        <f t="shared" si="21"/>
        <v>23248.262089192383</v>
      </c>
      <c r="G61" s="30">
        <f t="shared" si="21"/>
        <v>24301.608696264695</v>
      </c>
      <c r="H61" s="30">
        <f t="shared" si="21"/>
        <v>25403.284817287386</v>
      </c>
      <c r="I61" s="30">
        <f t="shared" si="21"/>
        <v>26555.535144761878</v>
      </c>
      <c r="J61" s="30">
        <f t="shared" si="21"/>
        <v>27760.709841081672</v>
      </c>
      <c r="K61" s="30">
        <f t="shared" si="21"/>
        <v>29021.269547602227</v>
      </c>
      <c r="L61" s="30">
        <f t="shared" si="21"/>
        <v>30339.790633930617</v>
      </c>
      <c r="M61" s="14"/>
      <c r="N61" s="35"/>
      <c r="O61" s="35"/>
      <c r="P61" s="35"/>
      <c r="Q61" s="35"/>
      <c r="R61" s="35"/>
      <c r="S61" s="35"/>
      <c r="T61" s="14"/>
      <c r="U61" s="14"/>
    </row>
    <row r="62" spans="1:21" x14ac:dyDescent="0.3">
      <c r="A62" s="14" t="s">
        <v>19</v>
      </c>
      <c r="B62" s="14"/>
      <c r="C62" s="25">
        <f t="shared" ref="C62:L62" si="22">C43</f>
        <v>0</v>
      </c>
      <c r="D62" s="25">
        <f t="shared" si="22"/>
        <v>0</v>
      </c>
      <c r="E62" s="25">
        <f t="shared" si="22"/>
        <v>0</v>
      </c>
      <c r="F62" s="25">
        <f t="shared" si="22"/>
        <v>0</v>
      </c>
      <c r="G62" s="25">
        <f t="shared" si="22"/>
        <v>0</v>
      </c>
      <c r="H62" s="25">
        <f t="shared" si="22"/>
        <v>1163.1918146103126</v>
      </c>
      <c r="I62" s="25">
        <f t="shared" si="22"/>
        <v>2974.4388259428088</v>
      </c>
      <c r="J62" s="25">
        <f t="shared" si="22"/>
        <v>4860.7297772468592</v>
      </c>
      <c r="K62" s="25">
        <f t="shared" si="22"/>
        <v>6826.3685447930766</v>
      </c>
      <c r="L62" s="25">
        <f t="shared" si="22"/>
        <v>8875.8651350551809</v>
      </c>
      <c r="M62" s="14"/>
      <c r="N62" s="35"/>
      <c r="O62" s="35"/>
      <c r="P62" s="35"/>
      <c r="Q62" s="35"/>
      <c r="R62" s="35"/>
      <c r="S62" s="35"/>
      <c r="T62" s="14"/>
      <c r="U62" s="14"/>
    </row>
    <row r="63" spans="1:2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38" t="s">
        <v>102</v>
      </c>
      <c r="O63" s="38" t="s">
        <v>103</v>
      </c>
      <c r="P63" s="38" t="s">
        <v>47</v>
      </c>
      <c r="Q63" s="38" t="s">
        <v>104</v>
      </c>
      <c r="R63" s="38" t="s">
        <v>105</v>
      </c>
      <c r="S63" s="35"/>
      <c r="T63" s="14"/>
      <c r="U63" s="14"/>
    </row>
    <row r="64" spans="1:21" x14ac:dyDescent="0.3">
      <c r="A64" s="14" t="s">
        <v>20</v>
      </c>
      <c r="B64" s="14"/>
      <c r="C64" s="27">
        <f>Mortgage!F13</f>
        <v>172418.11064525691</v>
      </c>
      <c r="D64" s="27">
        <f>Mortgage!F27</f>
        <v>169704.12693100449</v>
      </c>
      <c r="E64" s="27">
        <f>Mortgage!F41</f>
        <v>166851.29065911082</v>
      </c>
      <c r="F64" s="27">
        <f>Mortgage!F55</f>
        <v>163852.49786920121</v>
      </c>
      <c r="G64" s="27">
        <f>Mortgage!F69</f>
        <v>160700.28114880581</v>
      </c>
      <c r="H64" s="27">
        <f>Mortgage!F83</f>
        <v>157386.79103846048</v>
      </c>
      <c r="I64" s="27">
        <f>Mortgage!F97</f>
        <v>153903.77648545746</v>
      </c>
      <c r="J64" s="27">
        <f>Mortgage!F111</f>
        <v>150242.56429757315</v>
      </c>
      <c r="K64" s="27">
        <f>Mortgage!F125</f>
        <v>146394.03754560894</v>
      </c>
      <c r="L64" s="27">
        <f>Mortgage!F139</f>
        <v>142348.61286096563</v>
      </c>
      <c r="M64" s="14"/>
      <c r="N64" s="39">
        <f>AVERAGE(C64:L64)</f>
        <v>158380.20894814446</v>
      </c>
      <c r="O64" s="37">
        <f>N64/$N$70</f>
        <v>0.61461526602557193</v>
      </c>
      <c r="P64" s="46">
        <v>0.05</v>
      </c>
      <c r="Q64" s="46">
        <f>P64*(1-$M$43)</f>
        <v>3.7500000000000006E-2</v>
      </c>
      <c r="R64" s="47">
        <f>O64*Q64</f>
        <v>2.3048072475958952E-2</v>
      </c>
      <c r="S64" s="35"/>
      <c r="T64" s="14" t="s">
        <v>107</v>
      </c>
      <c r="U64" s="14"/>
    </row>
    <row r="65" spans="1:21" x14ac:dyDescent="0.3">
      <c r="A65" s="14" t="s">
        <v>21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39"/>
      <c r="O65" s="37">
        <f>N65/$N$70</f>
        <v>0</v>
      </c>
      <c r="P65" s="46">
        <v>0.1</v>
      </c>
      <c r="Q65" s="46">
        <f>P65*(1-$M$43)</f>
        <v>7.5000000000000011E-2</v>
      </c>
      <c r="R65" s="47">
        <f>O65*Q65</f>
        <v>0</v>
      </c>
      <c r="S65" s="35"/>
      <c r="T65" s="14"/>
      <c r="U65" s="14"/>
    </row>
    <row r="66" spans="1:21" x14ac:dyDescent="0.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39"/>
      <c r="O66" s="37"/>
      <c r="P66" s="46"/>
      <c r="Q66" s="46"/>
      <c r="R66" s="47"/>
      <c r="S66" s="35"/>
      <c r="T66" s="14"/>
      <c r="U66" s="14"/>
    </row>
    <row r="67" spans="1:21" x14ac:dyDescent="0.3">
      <c r="A67" s="14" t="s">
        <v>22</v>
      </c>
      <c r="B67" s="14"/>
      <c r="C67" s="18">
        <v>150000</v>
      </c>
      <c r="D67" s="18">
        <v>150000</v>
      </c>
      <c r="E67" s="18">
        <v>150000</v>
      </c>
      <c r="F67" s="18">
        <v>150000</v>
      </c>
      <c r="G67" s="18">
        <v>150000</v>
      </c>
      <c r="H67" s="18">
        <v>150000</v>
      </c>
      <c r="I67" s="18">
        <v>150000</v>
      </c>
      <c r="J67" s="18">
        <v>150000</v>
      </c>
      <c r="K67" s="18">
        <v>150000</v>
      </c>
      <c r="L67" s="18">
        <v>150000</v>
      </c>
      <c r="M67" s="14"/>
      <c r="N67" s="39">
        <v>150000</v>
      </c>
      <c r="O67" s="50">
        <f>N67/$N$70</f>
        <v>0.58209476118332837</v>
      </c>
      <c r="P67" s="46">
        <f>Q60</f>
        <v>0.16823399999999999</v>
      </c>
      <c r="Q67" s="46">
        <f>P67*(1-$M$43)</f>
        <v>0.1261755</v>
      </c>
      <c r="R67" s="47">
        <f>O67*Q67</f>
        <v>7.3446097539687047E-2</v>
      </c>
      <c r="S67" s="35"/>
      <c r="T67" s="14"/>
      <c r="U67" s="14"/>
    </row>
    <row r="68" spans="1:21" x14ac:dyDescent="0.3">
      <c r="A68" s="14" t="s">
        <v>23</v>
      </c>
      <c r="B68" s="14"/>
      <c r="C68" s="25">
        <f>B68+C44</f>
        <v>-27619.183776130842</v>
      </c>
      <c r="D68" s="25">
        <f t="shared" ref="D68:L68" si="23">C68+D44</f>
        <v>-49262.222072752425</v>
      </c>
      <c r="E68" s="25">
        <f t="shared" si="23"/>
        <v>-64703.967539764708</v>
      </c>
      <c r="F68" s="25">
        <f t="shared" si="23"/>
        <v>-73705.623435057525</v>
      </c>
      <c r="G68" s="25">
        <f t="shared" si="23"/>
        <v>-76014.098906389205</v>
      </c>
      <c r="H68" s="25">
        <f t="shared" si="23"/>
        <v>-72524.523462558267</v>
      </c>
      <c r="I68" s="25">
        <f t="shared" si="23"/>
        <v>-63601.206984729841</v>
      </c>
      <c r="J68" s="25">
        <f t="shared" si="23"/>
        <v>-49019.017652989263</v>
      </c>
      <c r="K68" s="25">
        <f t="shared" si="23"/>
        <v>-28539.912018610034</v>
      </c>
      <c r="L68" s="25">
        <f t="shared" si="23"/>
        <v>-1912.3166134444909</v>
      </c>
      <c r="M68" s="14"/>
      <c r="N68" s="39">
        <f>AVERAGE(C68:L68)</f>
        <v>-50690.207246242659</v>
      </c>
      <c r="O68" s="37">
        <f>N68/$N$70</f>
        <v>-0.19671002720890027</v>
      </c>
      <c r="P68" s="36">
        <f>Q60</f>
        <v>0.16823399999999999</v>
      </c>
      <c r="Q68" s="46">
        <f>P68*(1-$M$43)</f>
        <v>0.1261755</v>
      </c>
      <c r="R68" s="47">
        <f>O68*Q68</f>
        <v>-2.4819986038096594E-2</v>
      </c>
      <c r="S68" s="35"/>
      <c r="T68" s="14"/>
      <c r="U68" s="14"/>
    </row>
    <row r="69" spans="1:21" x14ac:dyDescent="0.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39"/>
      <c r="O69" s="40"/>
      <c r="P69" s="40"/>
      <c r="Q69" s="36"/>
      <c r="R69" s="40"/>
      <c r="S69" s="35"/>
      <c r="T69" s="14"/>
      <c r="U69" s="14"/>
    </row>
    <row r="70" spans="1:21" x14ac:dyDescent="0.3">
      <c r="A70" s="14" t="s">
        <v>24</v>
      </c>
      <c r="B70" s="14"/>
      <c r="C70" s="25">
        <f>SUM(C61:C68)</f>
        <v>315156.16248556442</v>
      </c>
      <c r="D70" s="25">
        <f t="shared" ref="D70:L70" si="24">SUM(D61:D68)</f>
        <v>291719.98239359452</v>
      </c>
      <c r="E70" s="25">
        <f t="shared" si="24"/>
        <v>274388.42411287641</v>
      </c>
      <c r="F70" s="25">
        <f t="shared" si="24"/>
        <v>263395.13652333606</v>
      </c>
      <c r="G70" s="25">
        <f t="shared" si="24"/>
        <v>258987.79093868128</v>
      </c>
      <c r="H70" s="25">
        <f t="shared" si="24"/>
        <v>261428.7442077999</v>
      </c>
      <c r="I70" s="25">
        <f t="shared" si="24"/>
        <v>269832.54347143229</v>
      </c>
      <c r="J70" s="25">
        <f t="shared" si="24"/>
        <v>283844.9862629124</v>
      </c>
      <c r="K70" s="25">
        <f t="shared" si="24"/>
        <v>303701.76361939416</v>
      </c>
      <c r="L70" s="25">
        <f t="shared" si="24"/>
        <v>329651.95201650693</v>
      </c>
      <c r="M70" s="14"/>
      <c r="N70" s="41">
        <f>SUM(N64:N69)</f>
        <v>257690.00170190178</v>
      </c>
      <c r="O70" s="42"/>
      <c r="P70" s="42"/>
      <c r="Q70" s="43"/>
      <c r="R70" s="52">
        <f>R64+R65+R67+R68</f>
        <v>7.1674183977549405E-2</v>
      </c>
      <c r="S70" s="44" t="s">
        <v>106</v>
      </c>
      <c r="T70" s="14"/>
      <c r="U70" s="14"/>
    </row>
    <row r="71" spans="1:2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</row>
    <row r="72" spans="1:21" x14ac:dyDescent="0.3">
      <c r="A72" s="14" t="s">
        <v>25</v>
      </c>
      <c r="B72" s="14"/>
      <c r="C72" s="25">
        <f>C58-C70</f>
        <v>0.3860133764683269</v>
      </c>
      <c r="D72" s="25">
        <f t="shared" ref="D72:L72" si="25">D58-D70</f>
        <v>0.12792099040234461</v>
      </c>
      <c r="E72" s="25">
        <f t="shared" si="25"/>
        <v>-0.15591618436155841</v>
      </c>
      <c r="F72" s="25">
        <f t="shared" si="25"/>
        <v>-0.27969643846154213</v>
      </c>
      <c r="G72" s="25">
        <f t="shared" si="25"/>
        <v>0.43889263979508542</v>
      </c>
      <c r="H72" s="25">
        <f t="shared" si="25"/>
        <v>0.37573711303411983</v>
      </c>
      <c r="I72" s="25">
        <f t="shared" si="25"/>
        <v>-0.24915697716642171</v>
      </c>
      <c r="J72" s="25">
        <f t="shared" si="25"/>
        <v>-0.43013076100032777</v>
      </c>
      <c r="K72" s="25">
        <f t="shared" si="25"/>
        <v>-1.7271865624934435E-2</v>
      </c>
      <c r="L72" s="25">
        <f t="shared" si="25"/>
        <v>-0.20655507128685713</v>
      </c>
      <c r="M72" s="14"/>
      <c r="N72" s="14"/>
      <c r="O72" s="14" t="s">
        <v>108</v>
      </c>
      <c r="P72" s="14">
        <v>1.05</v>
      </c>
      <c r="Q72" s="14"/>
      <c r="R72" s="14"/>
      <c r="S72" s="14"/>
      <c r="T72" s="14"/>
      <c r="U72" s="14"/>
    </row>
    <row r="73" spans="1:21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 t="s">
        <v>109</v>
      </c>
      <c r="P73" s="49">
        <f>P72*(1+(1-M43)*(O64/(O67+O68)))</f>
        <v>2.305912544857716</v>
      </c>
      <c r="Q73" s="14"/>
      <c r="R73" s="14"/>
      <c r="S73" s="14"/>
      <c r="T73" s="14"/>
      <c r="U73" s="14"/>
    </row>
    <row r="74" spans="1:21" x14ac:dyDescent="0.3">
      <c r="A74" s="31" t="s">
        <v>26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</row>
    <row r="75" spans="1:21" x14ac:dyDescent="0.3">
      <c r="A75" s="14" t="s">
        <v>81</v>
      </c>
      <c r="B75" s="14"/>
      <c r="C75" s="25">
        <f>C21+C22+C23+C24+C25-C26-C30-C31-C33-C32-C34</f>
        <v>-2380.1999999999825</v>
      </c>
      <c r="D75" s="25">
        <f t="shared" ref="D75:L75" si="26">D21+D22+D23+D24+D25-D26-D30-D31-D33-D32-D34</f>
        <v>3463.8511200000066</v>
      </c>
      <c r="E75" s="25">
        <f t="shared" si="26"/>
        <v>9526.2913919680141</v>
      </c>
      <c r="F75" s="25">
        <f t="shared" si="26"/>
        <v>15820.424445671524</v>
      </c>
      <c r="G75" s="25">
        <f t="shared" si="26"/>
        <v>22360.180939146987</v>
      </c>
      <c r="H75" s="25">
        <f t="shared" si="26"/>
        <v>29160.150278969886</v>
      </c>
      <c r="I75" s="25">
        <f t="shared" si="26"/>
        <v>36235.613881642203</v>
      </c>
      <c r="J75" s="25">
        <f t="shared" si="26"/>
        <v>43602.580051976969</v>
      </c>
      <c r="K75" s="25">
        <f t="shared" si="26"/>
        <v>51277.820558082138</v>
      </c>
      <c r="L75" s="25">
        <f t="shared" si="26"/>
        <v>59278.908986451272</v>
      </c>
      <c r="M75" s="14"/>
      <c r="N75" s="14"/>
      <c r="O75" s="14"/>
      <c r="P75" s="14"/>
      <c r="Q75" s="14"/>
      <c r="R75" s="14"/>
      <c r="S75" s="14"/>
      <c r="T75" s="14"/>
      <c r="U75" s="14"/>
    </row>
    <row r="76" spans="1:21" x14ac:dyDescent="0.3">
      <c r="A76" s="14" t="s">
        <v>82</v>
      </c>
      <c r="B76" s="14"/>
      <c r="C76" s="32">
        <f t="shared" ref="C76:L76" si="27">-C38</f>
        <v>-16547.619047619046</v>
      </c>
      <c r="D76" s="32">
        <f t="shared" si="27"/>
        <v>-16547.619047619046</v>
      </c>
      <c r="E76" s="32">
        <f t="shared" si="27"/>
        <v>-16547.619047619046</v>
      </c>
      <c r="F76" s="32">
        <f t="shared" si="27"/>
        <v>-16547.619047619046</v>
      </c>
      <c r="G76" s="32">
        <f t="shared" si="27"/>
        <v>-16547.619047619046</v>
      </c>
      <c r="H76" s="32">
        <f t="shared" si="27"/>
        <v>-16547.619047619046</v>
      </c>
      <c r="I76" s="32">
        <f t="shared" si="27"/>
        <v>-16547.619047619046</v>
      </c>
      <c r="J76" s="32">
        <f t="shared" si="27"/>
        <v>-16547.619047619046</v>
      </c>
      <c r="K76" s="32">
        <f t="shared" si="27"/>
        <v>-16547.619047619046</v>
      </c>
      <c r="L76" s="32">
        <f t="shared" si="27"/>
        <v>-16547.619047619046</v>
      </c>
      <c r="M76" s="14"/>
      <c r="N76" s="14"/>
      <c r="O76" s="14"/>
      <c r="P76" s="14"/>
      <c r="Q76" s="14"/>
      <c r="R76" s="14"/>
      <c r="S76" s="14"/>
      <c r="T76" s="14"/>
      <c r="U76" s="14"/>
    </row>
    <row r="77" spans="1:21" x14ac:dyDescent="0.3">
      <c r="A77" s="14" t="s">
        <v>83</v>
      </c>
      <c r="B77" s="14"/>
      <c r="C77" s="27">
        <f>C75+C76</f>
        <v>-18927.819047619028</v>
      </c>
      <c r="D77" s="27">
        <f t="shared" ref="D77:L77" si="28">D75+D76</f>
        <v>-13083.767927619039</v>
      </c>
      <c r="E77" s="27">
        <f t="shared" si="28"/>
        <v>-7021.3276556510318</v>
      </c>
      <c r="F77" s="27">
        <f t="shared" si="28"/>
        <v>-727.19460194752173</v>
      </c>
      <c r="G77" s="27">
        <f t="shared" si="28"/>
        <v>5812.561891527941</v>
      </c>
      <c r="H77" s="27">
        <f t="shared" si="28"/>
        <v>12612.53123135084</v>
      </c>
      <c r="I77" s="27">
        <f t="shared" si="28"/>
        <v>19687.994834023157</v>
      </c>
      <c r="J77" s="27">
        <f t="shared" si="28"/>
        <v>27054.961004357923</v>
      </c>
      <c r="K77" s="27">
        <f t="shared" si="28"/>
        <v>34730.201510463092</v>
      </c>
      <c r="L77" s="27">
        <f t="shared" si="28"/>
        <v>42731.289938832226</v>
      </c>
      <c r="M77" s="14"/>
      <c r="N77" s="14"/>
      <c r="O77" s="14"/>
      <c r="P77" s="14"/>
      <c r="Q77" s="14"/>
      <c r="R77" s="14"/>
      <c r="S77" s="14"/>
      <c r="T77" s="14"/>
      <c r="U77" s="14"/>
    </row>
    <row r="78" spans="1:21" x14ac:dyDescent="0.3">
      <c r="A78" s="14" t="s">
        <v>84</v>
      </c>
      <c r="B78" s="14"/>
      <c r="C78" s="27">
        <f>IF(C77&lt;0,0,C77*$M$43)</f>
        <v>0</v>
      </c>
      <c r="D78" s="27">
        <f t="shared" ref="D78:L78" si="29">IF(D77&lt;0,0,D77*$M$43)</f>
        <v>0</v>
      </c>
      <c r="E78" s="27">
        <f t="shared" si="29"/>
        <v>0</v>
      </c>
      <c r="F78" s="27">
        <f t="shared" si="29"/>
        <v>0</v>
      </c>
      <c r="G78" s="27">
        <f t="shared" si="29"/>
        <v>1453.1404728819853</v>
      </c>
      <c r="H78" s="27">
        <f t="shared" si="29"/>
        <v>3153.1328078377101</v>
      </c>
      <c r="I78" s="27">
        <f t="shared" si="29"/>
        <v>4921.9987085057892</v>
      </c>
      <c r="J78" s="27">
        <f t="shared" si="29"/>
        <v>6763.7402510894808</v>
      </c>
      <c r="K78" s="27">
        <f t="shared" si="29"/>
        <v>8682.550377615773</v>
      </c>
      <c r="L78" s="27">
        <f t="shared" si="29"/>
        <v>10682.822484708056</v>
      </c>
      <c r="M78" s="14"/>
      <c r="N78" s="14"/>
      <c r="O78" s="14"/>
      <c r="P78" s="14"/>
      <c r="Q78" s="14"/>
      <c r="R78" s="14"/>
      <c r="S78" s="14"/>
      <c r="T78" s="14"/>
      <c r="U78" s="14"/>
    </row>
    <row r="79" spans="1:21" x14ac:dyDescent="0.3">
      <c r="A79" s="14" t="s">
        <v>85</v>
      </c>
      <c r="B79" s="14"/>
      <c r="C79" s="32">
        <f>-C76</f>
        <v>16547.619047619046</v>
      </c>
      <c r="D79" s="32">
        <f t="shared" ref="D79:L79" si="30">-D76</f>
        <v>16547.619047619046</v>
      </c>
      <c r="E79" s="32">
        <f t="shared" si="30"/>
        <v>16547.619047619046</v>
      </c>
      <c r="F79" s="32">
        <f t="shared" si="30"/>
        <v>16547.619047619046</v>
      </c>
      <c r="G79" s="32">
        <f t="shared" si="30"/>
        <v>16547.619047619046</v>
      </c>
      <c r="H79" s="32">
        <f t="shared" si="30"/>
        <v>16547.619047619046</v>
      </c>
      <c r="I79" s="32">
        <f t="shared" si="30"/>
        <v>16547.619047619046</v>
      </c>
      <c r="J79" s="32">
        <f t="shared" si="30"/>
        <v>16547.619047619046</v>
      </c>
      <c r="K79" s="32">
        <f t="shared" si="30"/>
        <v>16547.619047619046</v>
      </c>
      <c r="L79" s="32">
        <f t="shared" si="30"/>
        <v>16547.619047619046</v>
      </c>
      <c r="M79" s="14"/>
      <c r="N79" s="14"/>
      <c r="O79" s="14"/>
      <c r="P79" s="14"/>
      <c r="Q79" s="14"/>
      <c r="R79" s="14"/>
      <c r="S79" s="14"/>
      <c r="T79" s="14"/>
      <c r="U79" s="14"/>
    </row>
    <row r="80" spans="1:21" x14ac:dyDescent="0.3">
      <c r="A80" s="14" t="s">
        <v>86</v>
      </c>
      <c r="B80" s="14"/>
      <c r="C80" s="27">
        <f>C77-C78+C79</f>
        <v>-2380.1999999999825</v>
      </c>
      <c r="D80" s="27">
        <f t="shared" ref="D80:K80" si="31">D77-D78+D79</f>
        <v>3463.8511200000066</v>
      </c>
      <c r="E80" s="27">
        <f t="shared" si="31"/>
        <v>9526.2913919680141</v>
      </c>
      <c r="F80" s="27">
        <f t="shared" si="31"/>
        <v>15820.424445671524</v>
      </c>
      <c r="G80" s="27">
        <f t="shared" si="31"/>
        <v>20907.040466265003</v>
      </c>
      <c r="H80" s="27">
        <f t="shared" si="31"/>
        <v>26007.017471132174</v>
      </c>
      <c r="I80" s="27">
        <f t="shared" si="31"/>
        <v>31313.615173136415</v>
      </c>
      <c r="J80" s="27">
        <f t="shared" si="31"/>
        <v>36838.839800887486</v>
      </c>
      <c r="K80" s="27">
        <f t="shared" si="31"/>
        <v>42595.270180466367</v>
      </c>
      <c r="L80" s="27">
        <f>L77-L78+L79</f>
        <v>48596.086501743215</v>
      </c>
      <c r="M80" s="14"/>
      <c r="N80" s="14"/>
      <c r="O80" s="14"/>
      <c r="P80" s="14"/>
      <c r="Q80" s="14"/>
      <c r="R80" s="14"/>
      <c r="S80" s="14"/>
      <c r="T80" s="14"/>
      <c r="U80" s="14"/>
    </row>
    <row r="81" spans="1:21" x14ac:dyDescent="0.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</row>
    <row r="82" spans="1:21" x14ac:dyDescent="0.3">
      <c r="A82" s="31" t="s">
        <v>27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</row>
    <row r="83" spans="1:21" x14ac:dyDescent="0.3">
      <c r="A83" s="14" t="s">
        <v>87</v>
      </c>
      <c r="B83" s="25">
        <f>-Mortgage!I6</f>
        <v>-175000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</row>
    <row r="84" spans="1:21" x14ac:dyDescent="0.3">
      <c r="A84" s="14" t="s">
        <v>88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28">
        <f>O84*O85</f>
        <v>9619.0476190475929</v>
      </c>
      <c r="M84" s="14"/>
      <c r="N84" s="14" t="s">
        <v>90</v>
      </c>
      <c r="O84" s="25">
        <f>L54-L56</f>
        <v>9523.8095238094975</v>
      </c>
      <c r="P84" s="14"/>
      <c r="Q84" s="14"/>
      <c r="R84" s="14"/>
      <c r="S84" s="14"/>
      <c r="T84" s="14"/>
      <c r="U84" s="14"/>
    </row>
    <row r="85" spans="1:21" x14ac:dyDescent="0.3">
      <c r="A85" s="14" t="s">
        <v>89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28">
        <f>-O86*M43</f>
        <v>-23.809523809523853</v>
      </c>
      <c r="M85" s="14"/>
      <c r="N85" s="14" t="s">
        <v>91</v>
      </c>
      <c r="O85" s="19">
        <v>1.01</v>
      </c>
      <c r="P85" s="14"/>
      <c r="Q85" s="14"/>
      <c r="R85" s="14"/>
      <c r="S85" s="14"/>
      <c r="T85" s="14"/>
      <c r="U85" s="14"/>
    </row>
    <row r="86" spans="1:21" x14ac:dyDescent="0.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28">
        <f>L84+L85</f>
        <v>9595.2380952380699</v>
      </c>
      <c r="M86" s="14"/>
      <c r="N86" s="14" t="s">
        <v>92</v>
      </c>
      <c r="O86" s="28">
        <f>L84-O84</f>
        <v>95.238095238095411</v>
      </c>
      <c r="P86" s="14"/>
      <c r="Q86" s="14"/>
      <c r="R86" s="14"/>
      <c r="S86" s="14"/>
      <c r="T86" s="14"/>
      <c r="U86" s="14"/>
    </row>
    <row r="87" spans="1:21" x14ac:dyDescent="0.3">
      <c r="A87" s="31" t="s">
        <v>28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</row>
    <row r="88" spans="1:21" x14ac:dyDescent="0.3">
      <c r="A88" s="14" t="s">
        <v>12</v>
      </c>
      <c r="B88" s="14"/>
      <c r="C88" s="28">
        <f>B50-C50</f>
        <v>-3392.8726027397256</v>
      </c>
      <c r="D88" s="28">
        <f t="shared" ref="D88:L89" si="32">C50-D50</f>
        <v>-153.47365315068464</v>
      </c>
      <c r="E88" s="28">
        <f t="shared" si="32"/>
        <v>-50883.653744109586</v>
      </c>
      <c r="F88" s="28">
        <f t="shared" si="32"/>
        <v>-5210</v>
      </c>
      <c r="G88" s="28">
        <f t="shared" si="32"/>
        <v>-11781</v>
      </c>
      <c r="H88" s="28">
        <f t="shared" si="32"/>
        <v>-18612</v>
      </c>
      <c r="I88" s="28">
        <f t="shared" si="32"/>
        <v>-24557</v>
      </c>
      <c r="J88" s="28">
        <f t="shared" si="32"/>
        <v>-30148</v>
      </c>
      <c r="K88" s="28">
        <f t="shared" si="32"/>
        <v>-35974</v>
      </c>
      <c r="L88" s="28">
        <f t="shared" si="32"/>
        <v>-42047</v>
      </c>
      <c r="M88" s="14"/>
      <c r="N88" s="14"/>
      <c r="O88" s="14"/>
      <c r="P88" s="14"/>
      <c r="Q88" s="14"/>
      <c r="R88" s="14"/>
      <c r="S88" s="14"/>
      <c r="T88" s="14"/>
      <c r="U88" s="14"/>
    </row>
    <row r="89" spans="1:21" x14ac:dyDescent="0.3">
      <c r="A89" s="14" t="s">
        <v>13</v>
      </c>
      <c r="B89" s="14"/>
      <c r="C89" s="28">
        <f>B51-C51</f>
        <v>-6957.294943820224</v>
      </c>
      <c r="D89" s="28">
        <f t="shared" si="32"/>
        <v>-314.70721011235855</v>
      </c>
      <c r="E89" s="28">
        <f t="shared" si="32"/>
        <v>-329.12318561663233</v>
      </c>
      <c r="F89" s="28">
        <f t="shared" si="32"/>
        <v>-344.20767782458734</v>
      </c>
      <c r="G89" s="28">
        <f t="shared" si="32"/>
        <v>-359.99205204250302</v>
      </c>
      <c r="H89" s="28">
        <f t="shared" si="32"/>
        <v>-376.50916121093724</v>
      </c>
      <c r="I89" s="28">
        <f t="shared" si="32"/>
        <v>-393.7934171612269</v>
      </c>
      <c r="J89" s="28">
        <f t="shared" si="32"/>
        <v>-411.88086531528643</v>
      </c>
      <c r="K89" s="28">
        <f t="shared" si="32"/>
        <v>-430.80926299625753</v>
      </c>
      <c r="L89" s="28">
        <f t="shared" si="32"/>
        <v>-450.61816152608844</v>
      </c>
      <c r="M89" s="14"/>
      <c r="N89" s="14"/>
      <c r="O89" s="14"/>
      <c r="P89" s="14"/>
      <c r="Q89" s="14"/>
      <c r="R89" s="14"/>
      <c r="S89" s="14"/>
      <c r="T89" s="14"/>
      <c r="U89" s="14"/>
    </row>
    <row r="90" spans="1:21" x14ac:dyDescent="0.3">
      <c r="A90" s="14" t="s">
        <v>18</v>
      </c>
      <c r="B90" s="14"/>
      <c r="C90" s="28">
        <f>-(B61-C61)</f>
        <v>20357.235616438353</v>
      </c>
      <c r="D90" s="28">
        <f t="shared" ref="D90:L91" si="33">-(C61-D61)</f>
        <v>920.84191890410875</v>
      </c>
      <c r="E90" s="28">
        <f t="shared" si="33"/>
        <v>963.02345818784306</v>
      </c>
      <c r="F90" s="28">
        <f t="shared" si="33"/>
        <v>1007.1610956620789</v>
      </c>
      <c r="G90" s="28">
        <f t="shared" si="33"/>
        <v>1053.3466070723116</v>
      </c>
      <c r="H90" s="28">
        <f t="shared" si="33"/>
        <v>1101.6761210226905</v>
      </c>
      <c r="I90" s="28">
        <f t="shared" si="33"/>
        <v>1152.2503274744922</v>
      </c>
      <c r="J90" s="28">
        <f t="shared" si="33"/>
        <v>1205.1746963197947</v>
      </c>
      <c r="K90" s="28">
        <f t="shared" si="33"/>
        <v>1260.5597065205548</v>
      </c>
      <c r="L90" s="28">
        <f t="shared" si="33"/>
        <v>1318.5210863283901</v>
      </c>
      <c r="M90" s="14"/>
      <c r="N90" s="14"/>
      <c r="O90" s="14"/>
      <c r="P90" s="14"/>
      <c r="Q90" s="14"/>
      <c r="R90" s="14"/>
      <c r="S90" s="14"/>
      <c r="T90" s="14"/>
      <c r="U90" s="14"/>
    </row>
    <row r="91" spans="1:21" x14ac:dyDescent="0.3">
      <c r="A91" s="14" t="s">
        <v>19</v>
      </c>
      <c r="B91" s="14"/>
      <c r="C91" s="25">
        <f>-(B62-C62)</f>
        <v>0</v>
      </c>
      <c r="D91" s="25">
        <f>-(C62-D62)</f>
        <v>0</v>
      </c>
      <c r="E91" s="25">
        <f t="shared" si="33"/>
        <v>0</v>
      </c>
      <c r="F91" s="25">
        <f t="shared" si="33"/>
        <v>0</v>
      </c>
      <c r="G91" s="25">
        <f t="shared" si="33"/>
        <v>0</v>
      </c>
      <c r="H91" s="25">
        <f t="shared" si="33"/>
        <v>1163.1918146103126</v>
      </c>
      <c r="I91" s="25">
        <f t="shared" si="33"/>
        <v>1811.2470113324962</v>
      </c>
      <c r="J91" s="25">
        <f t="shared" si="33"/>
        <v>1886.2909513040504</v>
      </c>
      <c r="K91" s="25">
        <f t="shared" si="33"/>
        <v>1965.6387675462174</v>
      </c>
      <c r="L91" s="25">
        <f t="shared" si="33"/>
        <v>2049.4965902621043</v>
      </c>
      <c r="M91" s="14"/>
      <c r="N91" s="14"/>
      <c r="O91" s="14"/>
      <c r="P91" s="14"/>
      <c r="Q91" s="14"/>
      <c r="R91" s="14"/>
      <c r="S91" s="14"/>
      <c r="T91" s="14"/>
      <c r="U91" s="14"/>
    </row>
    <row r="92" spans="1:21" x14ac:dyDescent="0.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</row>
    <row r="93" spans="1:21" x14ac:dyDescent="0.3">
      <c r="A93" s="31" t="s">
        <v>29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</row>
    <row r="94" spans="1:21" x14ac:dyDescent="0.3">
      <c r="A94" s="14" t="s">
        <v>12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28">
        <f>L50</f>
        <v>222759</v>
      </c>
      <c r="M94" s="14"/>
      <c r="N94" s="14"/>
      <c r="O94" s="14"/>
      <c r="P94" s="14"/>
      <c r="Q94" s="14"/>
      <c r="R94" s="14"/>
      <c r="S94" s="14"/>
      <c r="T94" s="14"/>
      <c r="U94" s="14"/>
    </row>
    <row r="95" spans="1:21" x14ac:dyDescent="0.3">
      <c r="A95" s="14" t="s">
        <v>13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28">
        <f>L51</f>
        <v>10368.935937626102</v>
      </c>
      <c r="M95" s="14"/>
      <c r="N95" s="14"/>
      <c r="O95" s="14"/>
      <c r="P95" s="14"/>
      <c r="Q95" s="14"/>
      <c r="R95" s="14"/>
      <c r="S95" s="14"/>
      <c r="T95" s="14"/>
      <c r="U95" s="14"/>
    </row>
    <row r="96" spans="1:21" x14ac:dyDescent="0.3">
      <c r="A96" s="14" t="s">
        <v>18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25">
        <f>-L62</f>
        <v>-8875.8651350551809</v>
      </c>
      <c r="M96" s="14"/>
      <c r="N96" s="14"/>
      <c r="O96" s="14"/>
      <c r="P96" s="14"/>
      <c r="Q96" s="14"/>
      <c r="R96" s="14"/>
      <c r="S96" s="14"/>
      <c r="T96" s="14"/>
      <c r="U96" s="14"/>
    </row>
    <row r="97" spans="1:21" x14ac:dyDescent="0.3">
      <c r="A97" s="14" t="s">
        <v>19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25">
        <f>-L62</f>
        <v>-8875.8651350551809</v>
      </c>
      <c r="M97" s="14"/>
      <c r="N97" s="14"/>
      <c r="O97" s="14"/>
      <c r="P97" s="14"/>
      <c r="Q97" s="14"/>
      <c r="R97" s="14"/>
      <c r="S97" s="14"/>
      <c r="T97" s="14"/>
      <c r="U97" s="14"/>
    </row>
    <row r="98" spans="1:21" x14ac:dyDescent="0.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28">
        <f>SUM(L94:L97)</f>
        <v>215376.20566751575</v>
      </c>
      <c r="M98" s="14"/>
      <c r="N98" s="14"/>
      <c r="O98" s="14"/>
      <c r="P98" s="14"/>
      <c r="Q98" s="14"/>
      <c r="R98" s="14"/>
      <c r="S98" s="14"/>
      <c r="T98" s="14"/>
      <c r="U98" s="14"/>
    </row>
    <row r="99" spans="1:21" x14ac:dyDescent="0.3">
      <c r="A99" s="31" t="s">
        <v>30</v>
      </c>
      <c r="B99" s="18">
        <f>SUM(B80:B98)</f>
        <v>-175000</v>
      </c>
      <c r="C99" s="18">
        <f>SUM(C80:C98)</f>
        <v>7626.8680698784192</v>
      </c>
      <c r="D99" s="18">
        <f t="shared" ref="D99:K99" si="34">SUM(D80:D98)</f>
        <v>3916.5121756410722</v>
      </c>
      <c r="E99" s="18">
        <f t="shared" si="34"/>
        <v>-40723.462079570367</v>
      </c>
      <c r="F99" s="18">
        <f t="shared" si="34"/>
        <v>11273.377863509017</v>
      </c>
      <c r="G99" s="18">
        <f t="shared" si="34"/>
        <v>9819.3950212948112</v>
      </c>
      <c r="H99" s="18">
        <f t="shared" si="34"/>
        <v>9283.3762455542401</v>
      </c>
      <c r="I99" s="18">
        <f t="shared" si="34"/>
        <v>9326.3190947821768</v>
      </c>
      <c r="J99" s="18">
        <f t="shared" si="34"/>
        <v>9370.4245831960452</v>
      </c>
      <c r="K99" s="18">
        <f t="shared" si="34"/>
        <v>9416.6593915368812</v>
      </c>
      <c r="L99" s="18">
        <f>SUM(L80:L98)</f>
        <v>459409.37354231527</v>
      </c>
      <c r="M99" s="14"/>
      <c r="N99" s="14"/>
      <c r="O99" s="14"/>
      <c r="P99" s="14"/>
      <c r="Q99" s="14"/>
      <c r="R99" s="14"/>
      <c r="S99" s="14"/>
      <c r="T99" s="14"/>
      <c r="U99" s="14"/>
    </row>
    <row r="100" spans="1:21" x14ac:dyDescent="0.3">
      <c r="A100" s="14" t="s">
        <v>31</v>
      </c>
      <c r="B100" s="18">
        <f>-PV(B102,,,B99)</f>
        <v>-175000</v>
      </c>
      <c r="C100" s="18">
        <f>-PV($B$102,C101,,C99)</f>
        <v>7127.9140839985221</v>
      </c>
      <c r="D100" s="18">
        <f t="shared" ref="D100:L100" si="35">-PV($B$102,D101,,D99)</f>
        <v>3420.8334139584872</v>
      </c>
      <c r="E100" s="18">
        <f t="shared" si="35"/>
        <v>-33242.475635198411</v>
      </c>
      <c r="F100" s="18">
        <f t="shared" si="35"/>
        <v>8600.4059956735873</v>
      </c>
      <c r="G100" s="18">
        <f t="shared" si="35"/>
        <v>7001.0929410739418</v>
      </c>
      <c r="H100" s="18">
        <f t="shared" si="35"/>
        <v>6185.9055719879989</v>
      </c>
      <c r="I100" s="18">
        <f t="shared" si="35"/>
        <v>5807.9628090089336</v>
      </c>
      <c r="J100" s="18">
        <f t="shared" si="35"/>
        <v>5453.6724210601542</v>
      </c>
      <c r="K100" s="18">
        <f t="shared" si="35"/>
        <v>5122.0387854788214</v>
      </c>
      <c r="L100" s="18">
        <f t="shared" si="35"/>
        <v>233540.4298402901</v>
      </c>
      <c r="M100" s="14"/>
      <c r="N100" s="14"/>
      <c r="O100" s="14"/>
      <c r="P100" s="14"/>
      <c r="Q100" s="14"/>
      <c r="R100" s="14"/>
      <c r="S100" s="14"/>
      <c r="T100" s="14"/>
      <c r="U100" s="14"/>
    </row>
    <row r="101" spans="1:21" x14ac:dyDescent="0.3">
      <c r="A101" s="14"/>
      <c r="B101" s="14"/>
      <c r="C101" s="14">
        <v>1</v>
      </c>
      <c r="D101" s="14">
        <v>2</v>
      </c>
      <c r="E101" s="14">
        <v>3</v>
      </c>
      <c r="F101" s="14">
        <v>4</v>
      </c>
      <c r="G101" s="14">
        <v>5</v>
      </c>
      <c r="H101" s="14">
        <v>6</v>
      </c>
      <c r="I101" s="14">
        <v>7</v>
      </c>
      <c r="J101" s="14">
        <v>8</v>
      </c>
      <c r="K101" s="14">
        <v>9</v>
      </c>
      <c r="L101" s="14">
        <v>10</v>
      </c>
      <c r="M101" s="14"/>
      <c r="N101" s="14"/>
      <c r="O101" s="14"/>
      <c r="P101" s="14"/>
      <c r="Q101" s="14"/>
      <c r="R101" s="14"/>
      <c r="S101" s="14"/>
      <c r="T101" s="14"/>
      <c r="U101" s="14"/>
    </row>
    <row r="102" spans="1:21" x14ac:dyDescent="0.3">
      <c r="A102" s="14"/>
      <c r="B102" s="19">
        <v>7.0000000000000007E-2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</row>
    <row r="103" spans="1:21" x14ac:dyDescent="0.3">
      <c r="A103" s="14" t="s">
        <v>32</v>
      </c>
      <c r="B103" s="18">
        <f>NPV(B102,B100:L100)</f>
        <v>-45340.462193534644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</row>
    <row r="104" spans="1:21" x14ac:dyDescent="0.3">
      <c r="A104" s="14" t="s">
        <v>33</v>
      </c>
      <c r="B104" s="33">
        <f>IRR(B99:L99)</f>
        <v>0.10842280088368539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</row>
    <row r="106" spans="1:21" x14ac:dyDescent="0.3">
      <c r="C106" s="53">
        <v>1</v>
      </c>
      <c r="D106" s="53">
        <v>2</v>
      </c>
      <c r="E106" s="53">
        <v>3</v>
      </c>
      <c r="F106" s="53">
        <v>4</v>
      </c>
      <c r="G106" s="53">
        <v>5</v>
      </c>
      <c r="H106" s="53">
        <v>6</v>
      </c>
      <c r="I106" s="53">
        <v>7</v>
      </c>
      <c r="J106" s="53">
        <v>8</v>
      </c>
      <c r="K106" s="53">
        <v>9</v>
      </c>
      <c r="L106" s="53">
        <v>10</v>
      </c>
      <c r="N106" s="61" t="s">
        <v>102</v>
      </c>
      <c r="O106" s="61" t="s">
        <v>103</v>
      </c>
      <c r="P106" s="61" t="s">
        <v>47</v>
      </c>
      <c r="Q106" s="61" t="s">
        <v>104</v>
      </c>
      <c r="R106" s="61" t="s">
        <v>105</v>
      </c>
    </row>
    <row r="107" spans="1:21" x14ac:dyDescent="0.3">
      <c r="A107" s="57" t="s">
        <v>30</v>
      </c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N107" s="62">
        <f>AVERAGE(C64:L64)</f>
        <v>158380.20894814446</v>
      </c>
      <c r="O107" s="63">
        <f>N107/$N$113</f>
        <v>0.15889263770474224</v>
      </c>
      <c r="P107" s="64">
        <v>0.05</v>
      </c>
      <c r="Q107" s="64">
        <f>P107*(1-$M$43)</f>
        <v>3.7500000000000006E-2</v>
      </c>
      <c r="R107" s="65">
        <f>O107*Q107</f>
        <v>5.958473913927835E-3</v>
      </c>
      <c r="T107" s="53" t="s">
        <v>107</v>
      </c>
    </row>
    <row r="108" spans="1:21" x14ac:dyDescent="0.3">
      <c r="A108" s="53" t="s">
        <v>31</v>
      </c>
      <c r="B108" s="54">
        <f>B$100</f>
        <v>-175000</v>
      </c>
      <c r="C108" s="54">
        <f t="shared" ref="C108:L108" si="36">C$100</f>
        <v>7127.9140839985221</v>
      </c>
      <c r="D108" s="54">
        <f t="shared" si="36"/>
        <v>3420.8334139584872</v>
      </c>
      <c r="E108" s="54">
        <f t="shared" si="36"/>
        <v>-33242.475635198411</v>
      </c>
      <c r="F108" s="54">
        <f t="shared" si="36"/>
        <v>8600.4059956735873</v>
      </c>
      <c r="G108" s="54">
        <f t="shared" si="36"/>
        <v>7001.0929410739418</v>
      </c>
      <c r="H108" s="54">
        <f t="shared" si="36"/>
        <v>6185.9055719879989</v>
      </c>
      <c r="I108" s="54">
        <f t="shared" si="36"/>
        <v>5807.9628090089336</v>
      </c>
      <c r="J108" s="54">
        <f t="shared" si="36"/>
        <v>5453.6724210601542</v>
      </c>
      <c r="K108" s="54">
        <f t="shared" si="36"/>
        <v>5122.0387854788214</v>
      </c>
      <c r="L108" s="54">
        <f t="shared" si="36"/>
        <v>233540.4298402901</v>
      </c>
      <c r="N108" s="62"/>
      <c r="O108" s="63">
        <f>N108/$N$113</f>
        <v>0</v>
      </c>
      <c r="P108" s="64">
        <v>0.1</v>
      </c>
      <c r="Q108" s="64">
        <f>P108*(1-$M$43)</f>
        <v>7.5000000000000011E-2</v>
      </c>
      <c r="R108" s="65">
        <f>O108*Q108</f>
        <v>0</v>
      </c>
    </row>
    <row r="109" spans="1:21" x14ac:dyDescent="0.3">
      <c r="A109" s="53" t="s">
        <v>32</v>
      </c>
      <c r="B109" s="54">
        <f>SUM(B108:L108)</f>
        <v>74017.780227332143</v>
      </c>
      <c r="N109" s="62"/>
      <c r="O109" s="63"/>
      <c r="P109" s="64"/>
      <c r="Q109" s="64"/>
      <c r="R109" s="65"/>
    </row>
    <row r="110" spans="1:21" x14ac:dyDescent="0.3">
      <c r="A110" s="53" t="s">
        <v>33</v>
      </c>
      <c r="B110" s="60">
        <f>IRR(B108:L108)</f>
        <v>3.5909159704378801E-2</v>
      </c>
      <c r="N110" s="62">
        <f>AVERAGE(C67:L67)</f>
        <v>150000</v>
      </c>
      <c r="O110" s="66">
        <f>N110/$N$113</f>
        <v>0.15048531514133079</v>
      </c>
      <c r="P110" s="64">
        <f>Q103</f>
        <v>0</v>
      </c>
      <c r="Q110" s="64">
        <f>P110*(1-$M$43)</f>
        <v>0</v>
      </c>
      <c r="R110" s="65">
        <f>O110*Q110</f>
        <v>0</v>
      </c>
    </row>
    <row r="111" spans="1:21" x14ac:dyDescent="0.3">
      <c r="N111" s="62">
        <f>AVERAGE(C68:L68)</f>
        <v>-50690.207246242659</v>
      </c>
      <c r="O111" s="63">
        <f>N111/$N$113</f>
        <v>-5.0854212080201307E-2</v>
      </c>
      <c r="P111" s="56">
        <f>Q103</f>
        <v>0</v>
      </c>
      <c r="Q111" s="64">
        <f>P111*(1-$M$43)</f>
        <v>0</v>
      </c>
      <c r="R111" s="65">
        <f>O111*Q111</f>
        <v>0</v>
      </c>
    </row>
    <row r="112" spans="1:21" x14ac:dyDescent="0.3">
      <c r="A112" s="53" t="s">
        <v>116</v>
      </c>
      <c r="N112" s="62"/>
      <c r="O112" s="67"/>
      <c r="P112" s="67"/>
      <c r="Q112" s="56"/>
      <c r="R112" s="67"/>
    </row>
    <row r="113" spans="1:19" x14ac:dyDescent="0.3">
      <c r="A113" s="53" t="s">
        <v>110</v>
      </c>
      <c r="B113" s="67">
        <f>B$108</f>
        <v>-175000</v>
      </c>
      <c r="C113" s="67">
        <f t="shared" ref="C113" si="37">C$108</f>
        <v>7127.9140839985221</v>
      </c>
      <c r="D113" s="59">
        <f>D$108+(D$108*$M$115)-10000</f>
        <v>-6168.6665763664942</v>
      </c>
      <c r="E113" s="59">
        <f t="shared" ref="E113:L113" si="38">E$108+(E$108*$M$115)</f>
        <v>-37231.572711422217</v>
      </c>
      <c r="F113" s="59">
        <f t="shared" si="38"/>
        <v>9632.4547151544175</v>
      </c>
      <c r="G113" s="59">
        <f t="shared" si="38"/>
        <v>7841.224094002815</v>
      </c>
      <c r="H113" s="59">
        <f t="shared" si="38"/>
        <v>6928.2142406265584</v>
      </c>
      <c r="I113" s="59">
        <f t="shared" si="38"/>
        <v>6504.9183460900058</v>
      </c>
      <c r="J113" s="59">
        <f t="shared" si="38"/>
        <v>6108.1131115873723</v>
      </c>
      <c r="K113" s="59">
        <f t="shared" si="38"/>
        <v>5736.68343973628</v>
      </c>
      <c r="L113" s="59">
        <f t="shared" si="38"/>
        <v>261565.28142112491</v>
      </c>
      <c r="N113" s="70">
        <v>996775</v>
      </c>
      <c r="O113" s="71"/>
      <c r="P113" s="71"/>
      <c r="Q113" s="72"/>
      <c r="R113" s="73">
        <f>R107+R108+R110+R111</f>
        <v>5.958473913927835E-3</v>
      </c>
      <c r="S113" s="57" t="s">
        <v>106</v>
      </c>
    </row>
    <row r="114" spans="1:19" x14ac:dyDescent="0.3">
      <c r="A114" s="53" t="s">
        <v>33</v>
      </c>
      <c r="B114" s="65">
        <f>IRR(B113:L113)</f>
        <v>4.1882255505109045E-2</v>
      </c>
      <c r="M114" s="53">
        <v>0.6</v>
      </c>
      <c r="N114" s="69"/>
    </row>
    <row r="115" spans="1:19" x14ac:dyDescent="0.3">
      <c r="A115" s="53" t="s">
        <v>42</v>
      </c>
      <c r="B115" s="54">
        <f t="shared" ref="B115:L115" si="39">PV(B102,B101,,-B113)</f>
        <v>-175000</v>
      </c>
      <c r="C115" s="54">
        <f t="shared" si="39"/>
        <v>7127.9140839985221</v>
      </c>
      <c r="D115" s="54">
        <f t="shared" si="39"/>
        <v>-6168.6665763664942</v>
      </c>
      <c r="E115" s="54">
        <f t="shared" si="39"/>
        <v>-37231.572711422217</v>
      </c>
      <c r="F115" s="54">
        <f t="shared" si="39"/>
        <v>9632.4547151544175</v>
      </c>
      <c r="G115" s="54">
        <f t="shared" si="39"/>
        <v>7841.224094002815</v>
      </c>
      <c r="H115" s="54">
        <f t="shared" si="39"/>
        <v>6928.2142406265584</v>
      </c>
      <c r="I115" s="54">
        <f t="shared" si="39"/>
        <v>6504.9183460900058</v>
      </c>
      <c r="J115" s="54">
        <f t="shared" si="39"/>
        <v>6108.1131115873723</v>
      </c>
      <c r="K115" s="54">
        <f t="shared" si="39"/>
        <v>5736.68343973628</v>
      </c>
      <c r="L115" s="54">
        <f t="shared" si="39"/>
        <v>261565.28142112491</v>
      </c>
      <c r="M115" s="53">
        <v>0.12</v>
      </c>
      <c r="N115" s="68"/>
      <c r="O115" s="53" t="s">
        <v>108</v>
      </c>
      <c r="P115" s="53">
        <v>1.05</v>
      </c>
    </row>
    <row r="116" spans="1:19" x14ac:dyDescent="0.3">
      <c r="A116" s="53" t="s">
        <v>113</v>
      </c>
      <c r="B116" s="54">
        <f>SUM(B115:L115)</f>
        <v>93044.564164532174</v>
      </c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N116" s="68"/>
    </row>
    <row r="117" spans="1:19" x14ac:dyDescent="0.3">
      <c r="N117" s="68"/>
    </row>
    <row r="118" spans="1:19" x14ac:dyDescent="0.3">
      <c r="A118" s="53" t="s">
        <v>121</v>
      </c>
      <c r="N118" s="68"/>
    </row>
    <row r="119" spans="1:19" x14ac:dyDescent="0.3">
      <c r="A119" s="53" t="s">
        <v>111</v>
      </c>
      <c r="B119" s="67">
        <f>B$108</f>
        <v>-175000</v>
      </c>
      <c r="C119" s="67">
        <f t="shared" ref="C119:L119" si="40">C$108</f>
        <v>7127.9140839985221</v>
      </c>
      <c r="D119" s="67">
        <f t="shared" si="40"/>
        <v>3420.8334139584872</v>
      </c>
      <c r="E119" s="67">
        <f t="shared" si="40"/>
        <v>-33242.475635198411</v>
      </c>
      <c r="F119" s="67">
        <f t="shared" si="40"/>
        <v>8600.4059956735873</v>
      </c>
      <c r="G119" s="67">
        <f t="shared" si="40"/>
        <v>7001.0929410739418</v>
      </c>
      <c r="H119" s="67">
        <f t="shared" si="40"/>
        <v>6185.9055719879989</v>
      </c>
      <c r="I119" s="67">
        <f t="shared" si="40"/>
        <v>5807.9628090089336</v>
      </c>
      <c r="J119" s="67">
        <f t="shared" si="40"/>
        <v>5453.6724210601542</v>
      </c>
      <c r="K119" s="67">
        <f t="shared" si="40"/>
        <v>5122.0387854788214</v>
      </c>
      <c r="L119" s="67">
        <f t="shared" si="40"/>
        <v>233540.4298402901</v>
      </c>
      <c r="N119" s="68"/>
      <c r="O119" s="53" t="s">
        <v>109</v>
      </c>
      <c r="P119" s="59">
        <f>P115*(1+(1-M43)*(O107/(O110+O111)))</f>
        <v>2.305912544857716</v>
      </c>
    </row>
    <row r="120" spans="1:19" x14ac:dyDescent="0.3">
      <c r="A120" s="53" t="s">
        <v>33</v>
      </c>
      <c r="B120" s="65">
        <f>IRR(B119:L119)</f>
        <v>3.5909159704378801E-2</v>
      </c>
      <c r="M120" s="53">
        <v>0.3</v>
      </c>
      <c r="N120" s="68"/>
    </row>
    <row r="121" spans="1:19" x14ac:dyDescent="0.3">
      <c r="A121" s="53" t="s">
        <v>42</v>
      </c>
      <c r="B121" s="53">
        <f t="shared" ref="B121:L121" si="41">PV(B107,B106,,-B119)</f>
        <v>-175000</v>
      </c>
      <c r="C121" s="53">
        <f t="shared" si="41"/>
        <v>7127.9140839985221</v>
      </c>
      <c r="D121" s="53">
        <f t="shared" si="41"/>
        <v>3420.8334139584872</v>
      </c>
      <c r="E121" s="53">
        <f t="shared" si="41"/>
        <v>-33242.475635198411</v>
      </c>
      <c r="F121" s="53">
        <f t="shared" si="41"/>
        <v>8600.4059956735873</v>
      </c>
      <c r="G121" s="53">
        <f t="shared" si="41"/>
        <v>7001.0929410739418</v>
      </c>
      <c r="H121" s="53">
        <f t="shared" si="41"/>
        <v>6185.9055719879989</v>
      </c>
      <c r="I121" s="53">
        <f t="shared" si="41"/>
        <v>5807.9628090089336</v>
      </c>
      <c r="J121" s="53">
        <f t="shared" si="41"/>
        <v>5453.6724210601542</v>
      </c>
      <c r="K121" s="53">
        <f t="shared" si="41"/>
        <v>5122.0387854788214</v>
      </c>
      <c r="L121" s="53">
        <f t="shared" si="41"/>
        <v>233540.4298402901</v>
      </c>
      <c r="N121" s="68"/>
    </row>
    <row r="122" spans="1:19" x14ac:dyDescent="0.3">
      <c r="A122" s="53" t="s">
        <v>113</v>
      </c>
      <c r="B122" s="53">
        <f>SUM(B121:L121)</f>
        <v>74017.780227332143</v>
      </c>
      <c r="N122" s="68"/>
    </row>
    <row r="123" spans="1:19" x14ac:dyDescent="0.3">
      <c r="N123" s="68"/>
    </row>
    <row r="124" spans="1:19" x14ac:dyDescent="0.3">
      <c r="A124" s="53" t="s">
        <v>122</v>
      </c>
      <c r="N124" s="68"/>
    </row>
    <row r="125" spans="1:19" x14ac:dyDescent="0.3">
      <c r="A125" s="53" t="s">
        <v>112</v>
      </c>
      <c r="B125" s="54">
        <f>B$108</f>
        <v>-175000</v>
      </c>
      <c r="C125" s="54">
        <f t="shared" ref="C125:E125" si="42">C$108</f>
        <v>7127.9140839985221</v>
      </c>
      <c r="D125" s="54">
        <f t="shared" si="42"/>
        <v>3420.8334139584872</v>
      </c>
      <c r="E125" s="54">
        <f t="shared" si="42"/>
        <v>-33242.475635198411</v>
      </c>
      <c r="F125" s="54">
        <f>F$108-(F$108*$M$126)</f>
        <v>7740.3653961062282</v>
      </c>
      <c r="G125" s="54">
        <f t="shared" ref="G125:L125" si="43">G$108-(G$108*$M$126)</f>
        <v>6300.9836469665479</v>
      </c>
      <c r="H125" s="54">
        <f t="shared" si="43"/>
        <v>5567.3150147891993</v>
      </c>
      <c r="I125" s="54">
        <f t="shared" si="43"/>
        <v>5227.1665281080404</v>
      </c>
      <c r="J125" s="54">
        <f t="shared" si="43"/>
        <v>4908.3051789541387</v>
      </c>
      <c r="K125" s="54">
        <f t="shared" si="43"/>
        <v>4609.8349069309388</v>
      </c>
      <c r="L125" s="54">
        <f t="shared" si="43"/>
        <v>210186.38685626109</v>
      </c>
      <c r="N125" s="68"/>
    </row>
    <row r="126" spans="1:19" x14ac:dyDescent="0.3">
      <c r="A126" s="53" t="s">
        <v>33</v>
      </c>
      <c r="B126" s="65">
        <f>IRR(B125:L125)</f>
        <v>2.3853618573111968E-2</v>
      </c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3">
        <v>0.1</v>
      </c>
      <c r="N126" s="68"/>
    </row>
    <row r="127" spans="1:19" x14ac:dyDescent="0.3">
      <c r="A127" s="53" t="s">
        <v>42</v>
      </c>
      <c r="B127" s="54">
        <f t="shared" ref="B127:L127" si="44">PV(B111,B110,,-B125)</f>
        <v>-175000</v>
      </c>
      <c r="C127" s="54">
        <f t="shared" si="44"/>
        <v>7127.9140839985221</v>
      </c>
      <c r="D127" s="54">
        <f t="shared" si="44"/>
        <v>3420.8334139584872</v>
      </c>
      <c r="E127" s="54">
        <f t="shared" si="44"/>
        <v>-33242.475635198411</v>
      </c>
      <c r="F127" s="54">
        <f t="shared" si="44"/>
        <v>7740.3653961062282</v>
      </c>
      <c r="G127" s="54">
        <f t="shared" si="44"/>
        <v>6300.9836469665479</v>
      </c>
      <c r="H127" s="54">
        <f t="shared" si="44"/>
        <v>5567.3150147891993</v>
      </c>
      <c r="I127" s="54">
        <f t="shared" si="44"/>
        <v>5227.1665281080404</v>
      </c>
      <c r="J127" s="54">
        <f t="shared" si="44"/>
        <v>4908.3051789541387</v>
      </c>
      <c r="K127" s="54">
        <f t="shared" si="44"/>
        <v>4609.8349069309388</v>
      </c>
      <c r="L127" s="54">
        <f t="shared" si="44"/>
        <v>210186.38685626109</v>
      </c>
      <c r="N127" s="68"/>
    </row>
    <row r="128" spans="1:19" x14ac:dyDescent="0.3">
      <c r="A128" s="53" t="s">
        <v>113</v>
      </c>
      <c r="B128" s="54">
        <f>SUM(B127:L127)</f>
        <v>46846.629390874819</v>
      </c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N128" s="68"/>
    </row>
    <row r="129" spans="1:14" x14ac:dyDescent="0.3"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N129" s="68"/>
    </row>
    <row r="130" spans="1:14" x14ac:dyDescent="0.3">
      <c r="A130" s="53" t="s">
        <v>114</v>
      </c>
      <c r="B130" s="54">
        <f>(B113*$M$114)+(B119*$M$120)+(B125*$M$126)</f>
        <v>-175000</v>
      </c>
      <c r="C130" s="77">
        <f>(C113*$M$114)+(C119*$M$120)+(C125*$M$126)</f>
        <v>7127.9140839985212</v>
      </c>
      <c r="D130" s="54">
        <f t="shared" ref="D130:L130" si="45">(D113*$M$114)+(D119*$M$120)+(D125*$M$126)</f>
        <v>-2332.8665802365012</v>
      </c>
      <c r="E130" s="54">
        <f t="shared" si="45"/>
        <v>-35635.933880932695</v>
      </c>
      <c r="F130" s="54">
        <f t="shared" si="45"/>
        <v>9133.6311674053486</v>
      </c>
      <c r="G130" s="54">
        <f t="shared" si="45"/>
        <v>7435.1607034205263</v>
      </c>
      <c r="H130" s="54">
        <f t="shared" si="45"/>
        <v>6569.4317174512544</v>
      </c>
      <c r="I130" s="54">
        <f t="shared" si="45"/>
        <v>6168.0565031674869</v>
      </c>
      <c r="J130" s="54">
        <f t="shared" si="45"/>
        <v>5791.8001111658841</v>
      </c>
      <c r="K130" s="54">
        <f t="shared" si="45"/>
        <v>5439.6051901785086</v>
      </c>
      <c r="L130" s="54">
        <f t="shared" si="45"/>
        <v>248019.93649038806</v>
      </c>
      <c r="N130" s="68"/>
    </row>
    <row r="131" spans="1:14" x14ac:dyDescent="0.3">
      <c r="B131" s="54">
        <f>SUM(B130:L130)</f>
        <v>82716.7355060064</v>
      </c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N131" s="68"/>
    </row>
    <row r="132" spans="1:14" x14ac:dyDescent="0.3">
      <c r="A132" s="76" t="s">
        <v>117</v>
      </c>
      <c r="B132" s="53" t="s">
        <v>124</v>
      </c>
      <c r="G132" s="75"/>
      <c r="H132" s="75"/>
      <c r="I132" s="75"/>
      <c r="J132" s="75"/>
      <c r="K132" s="75"/>
      <c r="L132" s="75"/>
      <c r="N132" s="68"/>
    </row>
    <row r="133" spans="1:14" x14ac:dyDescent="0.3">
      <c r="A133" s="76" t="s">
        <v>118</v>
      </c>
      <c r="B133" s="53" t="s">
        <v>120</v>
      </c>
      <c r="G133" s="68"/>
      <c r="H133" s="68"/>
      <c r="I133" s="68"/>
      <c r="J133" s="68"/>
      <c r="K133" s="68"/>
      <c r="L133" s="68"/>
    </row>
    <row r="134" spans="1:14" x14ac:dyDescent="0.3">
      <c r="A134" s="76" t="s">
        <v>119</v>
      </c>
      <c r="B134" s="53" t="s">
        <v>123</v>
      </c>
      <c r="G134" s="68"/>
      <c r="H134" s="68"/>
      <c r="I134" s="68"/>
      <c r="J134" s="68"/>
      <c r="K134" s="58"/>
      <c r="L134" s="68"/>
    </row>
    <row r="135" spans="1:14" x14ac:dyDescent="0.3">
      <c r="G135" s="68"/>
      <c r="H135" s="74"/>
      <c r="I135" s="68"/>
      <c r="J135" s="68"/>
      <c r="K135" s="68"/>
      <c r="L135" s="68"/>
    </row>
    <row r="136" spans="1:14" x14ac:dyDescent="0.3">
      <c r="G136" s="55"/>
      <c r="H136" s="55"/>
      <c r="I136" s="55"/>
      <c r="J136" s="55"/>
      <c r="K136" s="55"/>
      <c r="L136" s="55"/>
    </row>
    <row r="137" spans="1:14" x14ac:dyDescent="0.3">
      <c r="G137" s="68"/>
      <c r="H137" s="68"/>
      <c r="I137" s="68"/>
      <c r="J137" s="74"/>
      <c r="K137" s="68"/>
      <c r="L137" s="68"/>
    </row>
    <row r="138" spans="1:14" x14ac:dyDescent="0.3">
      <c r="G138" s="68"/>
      <c r="H138" s="68"/>
      <c r="I138" s="68"/>
      <c r="J138" s="68"/>
      <c r="K138" s="68"/>
      <c r="L138" s="55"/>
    </row>
    <row r="139" spans="1:14" x14ac:dyDescent="0.3">
      <c r="G139" s="74"/>
      <c r="H139" s="68"/>
      <c r="I139" s="68"/>
      <c r="J139" s="74"/>
      <c r="K139" s="68"/>
      <c r="L139" s="68"/>
    </row>
    <row r="140" spans="1:14" x14ac:dyDescent="0.3">
      <c r="G140" s="68"/>
      <c r="H140" s="68"/>
      <c r="I140" s="68"/>
      <c r="J140" s="68"/>
      <c r="K140" s="68"/>
      <c r="L140" s="68"/>
    </row>
    <row r="143" spans="1:14" x14ac:dyDescent="0.3">
      <c r="G143" s="69"/>
      <c r="H143" s="68"/>
      <c r="I143" s="69"/>
      <c r="J143" s="68"/>
      <c r="K143" s="69"/>
      <c r="L143" s="68"/>
    </row>
    <row r="144" spans="1:14" x14ac:dyDescent="0.3">
      <c r="G144" s="75"/>
      <c r="H144" s="75"/>
      <c r="I144" s="75"/>
      <c r="J144" s="75"/>
      <c r="K144" s="75"/>
      <c r="L144" s="75"/>
    </row>
    <row r="145" spans="7:12" x14ac:dyDescent="0.3">
      <c r="G145" s="68"/>
      <c r="H145" s="68"/>
      <c r="I145" s="68"/>
      <c r="J145" s="68"/>
      <c r="K145" s="68"/>
      <c r="L145" s="68"/>
    </row>
    <row r="146" spans="7:12" x14ac:dyDescent="0.3">
      <c r="G146" s="68"/>
      <c r="H146" s="68"/>
      <c r="I146" s="68"/>
      <c r="J146" s="68"/>
      <c r="K146" s="58"/>
      <c r="L146" s="68"/>
    </row>
    <row r="147" spans="7:12" x14ac:dyDescent="0.3">
      <c r="G147" s="68"/>
      <c r="H147" s="74"/>
      <c r="I147" s="68"/>
      <c r="J147" s="68"/>
      <c r="K147" s="68"/>
      <c r="L147" s="68"/>
    </row>
    <row r="148" spans="7:12" x14ac:dyDescent="0.3">
      <c r="G148" s="55"/>
      <c r="H148" s="55"/>
      <c r="I148" s="55"/>
      <c r="J148" s="55"/>
      <c r="K148" s="55"/>
      <c r="L148" s="55"/>
    </row>
    <row r="149" spans="7:12" x14ac:dyDescent="0.3">
      <c r="G149" s="68"/>
      <c r="H149" s="68"/>
      <c r="I149" s="68"/>
      <c r="J149" s="74"/>
      <c r="K149" s="68"/>
      <c r="L149" s="68"/>
    </row>
    <row r="150" spans="7:12" x14ac:dyDescent="0.3">
      <c r="G150" s="68"/>
      <c r="H150" s="68"/>
      <c r="I150" s="68"/>
      <c r="J150" s="68"/>
      <c r="K150" s="68"/>
      <c r="L150" s="55"/>
    </row>
    <row r="151" spans="7:12" x14ac:dyDescent="0.3">
      <c r="G151" s="74"/>
      <c r="H151" s="68"/>
      <c r="I151" s="68"/>
      <c r="J151" s="74"/>
      <c r="K151" s="68"/>
      <c r="L151" s="68"/>
    </row>
    <row r="152" spans="7:12" x14ac:dyDescent="0.3">
      <c r="G152" s="68"/>
      <c r="H152" s="68"/>
      <c r="I152" s="68"/>
      <c r="J152" s="68"/>
      <c r="K152" s="68"/>
      <c r="L152" s="68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8"/>
  <sheetViews>
    <sheetView topLeftCell="A61" zoomScale="50" zoomScaleNormal="50" zoomScalePageLayoutView="50" workbookViewId="0">
      <selection activeCell="B124" sqref="B124"/>
    </sheetView>
  </sheetViews>
  <sheetFormatPr defaultColWidth="8.85546875" defaultRowHeight="20.25" x14ac:dyDescent="0.3"/>
  <cols>
    <col min="1" max="1" width="44.140625" style="14" bestFit="1" customWidth="1"/>
    <col min="2" max="2" width="19.140625" style="14" bestFit="1" customWidth="1"/>
    <col min="3" max="5" width="20.140625" style="14" bestFit="1" customWidth="1"/>
    <col min="6" max="6" width="21" style="14" bestFit="1" customWidth="1"/>
    <col min="7" max="10" width="20.140625" style="14" bestFit="1" customWidth="1"/>
    <col min="11" max="11" width="13" style="14" bestFit="1" customWidth="1"/>
    <col min="12" max="12" width="18.85546875" style="14" customWidth="1"/>
    <col min="13" max="13" width="15.140625" style="14" bestFit="1" customWidth="1"/>
    <col min="14" max="14" width="13" style="14" customWidth="1"/>
    <col min="15" max="15" width="15.85546875" style="14" bestFit="1" customWidth="1"/>
    <col min="16" max="16" width="18.85546875" style="14" bestFit="1" customWidth="1"/>
    <col min="17" max="19" width="13" style="14" customWidth="1"/>
    <col min="20" max="20" width="15.85546875" style="14" customWidth="1"/>
    <col min="21" max="21" width="19.140625" style="14" customWidth="1"/>
    <col min="22" max="22" width="12.140625" style="14" customWidth="1"/>
    <col min="23" max="23" width="15.140625" style="14" bestFit="1" customWidth="1"/>
    <col min="24" max="24" width="12.85546875" style="14" bestFit="1" customWidth="1"/>
    <col min="25" max="16384" width="8.85546875" style="14"/>
  </cols>
  <sheetData>
    <row r="1" spans="1:21" x14ac:dyDescent="0.3">
      <c r="C1" s="14">
        <v>2014</v>
      </c>
      <c r="D1" s="14">
        <v>2015</v>
      </c>
      <c r="E1" s="14">
        <v>2016</v>
      </c>
      <c r="F1" s="14">
        <v>2017</v>
      </c>
      <c r="G1" s="14">
        <v>2018</v>
      </c>
      <c r="H1" s="14">
        <v>2019</v>
      </c>
      <c r="I1" s="14">
        <v>2020</v>
      </c>
      <c r="J1" s="14">
        <v>2021</v>
      </c>
    </row>
    <row r="2" spans="1:21" x14ac:dyDescent="0.3">
      <c r="A2" s="15" t="s">
        <v>34</v>
      </c>
      <c r="B2" s="16"/>
      <c r="C2" s="16"/>
      <c r="D2" s="16"/>
      <c r="E2" s="16"/>
      <c r="F2" s="16"/>
      <c r="G2" s="16"/>
      <c r="H2" s="16"/>
      <c r="I2" s="16"/>
    </row>
    <row r="3" spans="1:21" x14ac:dyDescent="0.3">
      <c r="A3" s="16" t="s">
        <v>58</v>
      </c>
      <c r="B3" s="16"/>
      <c r="C3" s="17">
        <f>67*365</f>
        <v>24455</v>
      </c>
      <c r="D3" s="17">
        <f t="shared" ref="D3:J12" si="0">(1+$K3)*C3</f>
        <v>24210.45</v>
      </c>
      <c r="E3" s="17">
        <f t="shared" si="0"/>
        <v>23968.345499999999</v>
      </c>
      <c r="F3" s="18">
        <f t="shared" si="0"/>
        <v>23728.662045000001</v>
      </c>
      <c r="G3" s="18">
        <f t="shared" si="0"/>
        <v>23491.375424550002</v>
      </c>
      <c r="H3" s="18">
        <f t="shared" si="0"/>
        <v>23256.461670304503</v>
      </c>
      <c r="I3" s="18">
        <f t="shared" si="0"/>
        <v>23023.897053601457</v>
      </c>
      <c r="J3" s="18">
        <f t="shared" si="0"/>
        <v>22793.658083065442</v>
      </c>
      <c r="K3" s="19">
        <v>-0.01</v>
      </c>
      <c r="L3" s="16" t="s">
        <v>35</v>
      </c>
      <c r="M3" s="19"/>
      <c r="N3" s="19"/>
      <c r="O3" s="19"/>
      <c r="P3" s="19"/>
      <c r="Q3" s="19"/>
      <c r="R3" s="19"/>
      <c r="S3" s="19"/>
      <c r="U3" s="16"/>
    </row>
    <row r="4" spans="1:21" x14ac:dyDescent="0.3">
      <c r="A4" s="16" t="s">
        <v>59</v>
      </c>
      <c r="B4" s="16"/>
      <c r="C4" s="17">
        <f>C3</f>
        <v>24455</v>
      </c>
      <c r="D4" s="17">
        <f t="shared" si="0"/>
        <v>23965.899999999998</v>
      </c>
      <c r="E4" s="17">
        <f t="shared" si="0"/>
        <v>23486.581999999999</v>
      </c>
      <c r="F4" s="17">
        <f t="shared" si="0"/>
        <v>23016.850359999997</v>
      </c>
      <c r="G4" s="17">
        <f t="shared" si="0"/>
        <v>22556.513352799997</v>
      </c>
      <c r="H4" s="17">
        <f t="shared" si="0"/>
        <v>22105.383085743997</v>
      </c>
      <c r="I4" s="17">
        <f t="shared" si="0"/>
        <v>21663.275424029118</v>
      </c>
      <c r="J4" s="17">
        <f t="shared" si="0"/>
        <v>21230.009915548537</v>
      </c>
      <c r="K4" s="19">
        <v>-0.02</v>
      </c>
      <c r="L4" s="16" t="s">
        <v>35</v>
      </c>
      <c r="M4" s="19"/>
      <c r="N4" s="19"/>
      <c r="O4" s="19"/>
      <c r="P4" s="19"/>
      <c r="Q4" s="19"/>
      <c r="R4" s="19"/>
      <c r="S4" s="19"/>
      <c r="U4" s="16"/>
    </row>
    <row r="5" spans="1:21" x14ac:dyDescent="0.3">
      <c r="A5" s="16" t="s">
        <v>61</v>
      </c>
      <c r="B5" s="16"/>
      <c r="C5" s="17">
        <f>46*365</f>
        <v>16790</v>
      </c>
      <c r="D5" s="17">
        <f t="shared" si="0"/>
        <v>16622.099999999999</v>
      </c>
      <c r="E5" s="17">
        <f t="shared" si="0"/>
        <v>16455.878999999997</v>
      </c>
      <c r="F5" s="17">
        <f t="shared" si="0"/>
        <v>16291.320209999996</v>
      </c>
      <c r="G5" s="17">
        <f t="shared" si="0"/>
        <v>16128.407007899996</v>
      </c>
      <c r="H5" s="17">
        <f t="shared" si="0"/>
        <v>15967.122937820996</v>
      </c>
      <c r="I5" s="17">
        <f t="shared" si="0"/>
        <v>15807.451708442786</v>
      </c>
      <c r="J5" s="17">
        <f t="shared" si="0"/>
        <v>15649.377191358359</v>
      </c>
      <c r="K5" s="19">
        <v>-0.01</v>
      </c>
      <c r="L5" s="16" t="s">
        <v>35</v>
      </c>
      <c r="M5" s="19"/>
      <c r="N5" s="19"/>
      <c r="O5" s="19"/>
      <c r="P5" s="19"/>
      <c r="Q5" s="19"/>
      <c r="R5" s="19"/>
      <c r="S5" s="19"/>
      <c r="U5" s="16"/>
    </row>
    <row r="6" spans="1:21" x14ac:dyDescent="0.3">
      <c r="A6" s="16" t="s">
        <v>60</v>
      </c>
      <c r="B6" s="16"/>
      <c r="C6" s="17">
        <f>C4</f>
        <v>24455</v>
      </c>
      <c r="D6" s="17">
        <f t="shared" si="0"/>
        <v>23965.899999999998</v>
      </c>
      <c r="E6" s="17">
        <f t="shared" si="0"/>
        <v>23486.581999999999</v>
      </c>
      <c r="F6" s="17">
        <f t="shared" si="0"/>
        <v>23016.850359999997</v>
      </c>
      <c r="G6" s="17">
        <f t="shared" si="0"/>
        <v>22556.513352799997</v>
      </c>
      <c r="H6" s="17">
        <f t="shared" si="0"/>
        <v>22105.383085743997</v>
      </c>
      <c r="I6" s="17">
        <f t="shared" si="0"/>
        <v>21663.275424029118</v>
      </c>
      <c r="J6" s="17">
        <f t="shared" si="0"/>
        <v>21230.009915548537</v>
      </c>
      <c r="K6" s="19">
        <v>-0.02</v>
      </c>
      <c r="L6" s="16" t="s">
        <v>35</v>
      </c>
      <c r="M6" s="19"/>
      <c r="N6" s="19"/>
      <c r="O6" s="19"/>
      <c r="P6" s="19"/>
      <c r="Q6" s="19"/>
      <c r="R6" s="19"/>
      <c r="S6" s="19"/>
      <c r="U6" s="16"/>
    </row>
    <row r="7" spans="1:21" x14ac:dyDescent="0.3">
      <c r="A7" s="16" t="s">
        <v>62</v>
      </c>
      <c r="B7" s="16"/>
      <c r="C7" s="17">
        <v>356</v>
      </c>
      <c r="D7" s="17">
        <f t="shared" si="0"/>
        <v>348.88</v>
      </c>
      <c r="E7" s="17">
        <f t="shared" si="0"/>
        <v>341.9024</v>
      </c>
      <c r="F7" s="17">
        <f t="shared" si="0"/>
        <v>335.06435199999999</v>
      </c>
      <c r="G7" s="17">
        <f t="shared" si="0"/>
        <v>328.36306495999997</v>
      </c>
      <c r="H7" s="17">
        <f t="shared" si="0"/>
        <v>321.79580366079995</v>
      </c>
      <c r="I7" s="17">
        <f t="shared" si="0"/>
        <v>315.35988758758396</v>
      </c>
      <c r="J7" s="17">
        <f t="shared" si="0"/>
        <v>309.05268983583227</v>
      </c>
      <c r="K7" s="19">
        <v>-0.02</v>
      </c>
      <c r="L7" s="16" t="s">
        <v>35</v>
      </c>
      <c r="M7" s="19"/>
      <c r="N7" s="19"/>
      <c r="O7" s="19"/>
      <c r="P7" s="19"/>
      <c r="Q7" s="19"/>
      <c r="R7" s="19"/>
      <c r="S7" s="19"/>
      <c r="U7" s="16"/>
    </row>
    <row r="8" spans="1:21" x14ac:dyDescent="0.3">
      <c r="A8" s="16" t="s">
        <v>63</v>
      </c>
      <c r="B8" s="16"/>
      <c r="C8" s="21">
        <v>3.2</v>
      </c>
      <c r="D8" s="20">
        <f t="shared" si="0"/>
        <v>3.2640000000000002</v>
      </c>
      <c r="E8" s="20">
        <f t="shared" si="0"/>
        <v>3.3292800000000002</v>
      </c>
      <c r="F8" s="20">
        <f t="shared" si="0"/>
        <v>3.3958656000000005</v>
      </c>
      <c r="G8" s="20">
        <f t="shared" si="0"/>
        <v>3.4637829120000005</v>
      </c>
      <c r="H8" s="20">
        <f t="shared" si="0"/>
        <v>3.5330585702400006</v>
      </c>
      <c r="I8" s="20">
        <f t="shared" si="0"/>
        <v>3.6037197416448006</v>
      </c>
      <c r="J8" s="20">
        <f t="shared" si="0"/>
        <v>3.6757941364776965</v>
      </c>
      <c r="K8" s="19">
        <v>0.02</v>
      </c>
      <c r="L8" s="19"/>
      <c r="M8" s="19"/>
      <c r="N8" s="19"/>
      <c r="O8" s="19"/>
      <c r="P8" s="19"/>
      <c r="Q8" s="19"/>
      <c r="R8" s="19"/>
      <c r="S8" s="19"/>
      <c r="T8" s="16"/>
      <c r="U8" s="16"/>
    </row>
    <row r="9" spans="1:21" x14ac:dyDescent="0.3">
      <c r="A9" s="16" t="s">
        <v>64</v>
      </c>
      <c r="B9" s="16"/>
      <c r="C9" s="21">
        <v>6.5</v>
      </c>
      <c r="D9" s="20">
        <f t="shared" si="0"/>
        <v>6.63</v>
      </c>
      <c r="E9" s="20">
        <f t="shared" si="0"/>
        <v>6.7625999999999999</v>
      </c>
      <c r="F9" s="20">
        <f t="shared" si="0"/>
        <v>6.8978520000000003</v>
      </c>
      <c r="G9" s="20">
        <f t="shared" si="0"/>
        <v>7.0358090400000002</v>
      </c>
      <c r="H9" s="20">
        <f t="shared" si="0"/>
        <v>7.1765252208000003</v>
      </c>
      <c r="I9" s="20">
        <f t="shared" si="0"/>
        <v>7.3200557252160001</v>
      </c>
      <c r="J9" s="20">
        <f t="shared" si="0"/>
        <v>7.4664568397203199</v>
      </c>
      <c r="K9" s="19">
        <v>0.02</v>
      </c>
      <c r="L9" s="19"/>
      <c r="M9" s="19"/>
      <c r="N9" s="19"/>
      <c r="O9" s="19"/>
      <c r="P9" s="19"/>
      <c r="Q9" s="19"/>
      <c r="R9" s="19"/>
      <c r="S9" s="19"/>
      <c r="T9" s="16"/>
      <c r="U9" s="16"/>
    </row>
    <row r="10" spans="1:21" x14ac:dyDescent="0.3">
      <c r="A10" s="16" t="s">
        <v>65</v>
      </c>
      <c r="B10" s="16"/>
      <c r="C10" s="21">
        <v>3</v>
      </c>
      <c r="D10" s="20">
        <f t="shared" si="0"/>
        <v>3.06</v>
      </c>
      <c r="E10" s="20">
        <f t="shared" si="0"/>
        <v>3.1212</v>
      </c>
      <c r="F10" s="20">
        <f t="shared" si="0"/>
        <v>3.183624</v>
      </c>
      <c r="G10" s="20">
        <f t="shared" si="0"/>
        <v>3.2472964800000002</v>
      </c>
      <c r="H10" s="20">
        <f t="shared" si="0"/>
        <v>3.3122424096</v>
      </c>
      <c r="I10" s="20">
        <f t="shared" si="0"/>
        <v>3.378487257792</v>
      </c>
      <c r="J10" s="20">
        <f t="shared" si="0"/>
        <v>3.4460570029478399</v>
      </c>
      <c r="K10" s="19">
        <v>0.02</v>
      </c>
      <c r="L10" s="19"/>
      <c r="M10" s="19"/>
      <c r="N10" s="19"/>
      <c r="O10" s="19"/>
      <c r="P10" s="19"/>
      <c r="Q10" s="19"/>
      <c r="R10" s="19"/>
      <c r="S10" s="19"/>
      <c r="T10" s="16"/>
      <c r="U10" s="16"/>
    </row>
    <row r="11" spans="1:21" x14ac:dyDescent="0.3">
      <c r="A11" s="16" t="s">
        <v>66</v>
      </c>
      <c r="B11" s="16"/>
      <c r="C11" s="20">
        <v>5</v>
      </c>
      <c r="D11" s="20">
        <f t="shared" si="0"/>
        <v>5.15</v>
      </c>
      <c r="E11" s="20">
        <f t="shared" si="0"/>
        <v>5.3045000000000009</v>
      </c>
      <c r="F11" s="20">
        <f t="shared" si="0"/>
        <v>5.4636350000000009</v>
      </c>
      <c r="G11" s="20">
        <f t="shared" si="0"/>
        <v>5.6275440500000009</v>
      </c>
      <c r="H11" s="20">
        <f t="shared" si="0"/>
        <v>5.796370371500001</v>
      </c>
      <c r="I11" s="20">
        <f t="shared" si="0"/>
        <v>5.9702614826450011</v>
      </c>
      <c r="J11" s="20">
        <f t="shared" si="0"/>
        <v>6.1493693271243517</v>
      </c>
      <c r="K11" s="19">
        <v>0.03</v>
      </c>
      <c r="L11" s="16" t="s">
        <v>35</v>
      </c>
      <c r="M11" s="19"/>
      <c r="N11" s="19"/>
      <c r="O11" s="19"/>
      <c r="P11" s="19"/>
      <c r="Q11" s="19"/>
      <c r="R11" s="19"/>
      <c r="S11" s="19"/>
      <c r="U11" s="16"/>
    </row>
    <row r="12" spans="1:21" x14ac:dyDescent="0.3">
      <c r="A12" s="22" t="s">
        <v>67</v>
      </c>
      <c r="B12" s="16"/>
      <c r="C12" s="16">
        <v>22</v>
      </c>
      <c r="D12" s="20">
        <f t="shared" si="0"/>
        <v>22.44</v>
      </c>
      <c r="E12" s="20">
        <f t="shared" si="0"/>
        <v>22.888800000000003</v>
      </c>
      <c r="F12" s="20">
        <f t="shared" si="0"/>
        <v>23.346576000000002</v>
      </c>
      <c r="G12" s="20">
        <f t="shared" si="0"/>
        <v>23.813507520000002</v>
      </c>
      <c r="H12" s="20">
        <f t="shared" si="0"/>
        <v>24.289777670400003</v>
      </c>
      <c r="I12" s="20">
        <f t="shared" si="0"/>
        <v>24.775573223808003</v>
      </c>
      <c r="J12" s="20">
        <f t="shared" si="0"/>
        <v>25.271084688284162</v>
      </c>
      <c r="K12" s="16">
        <v>0.02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x14ac:dyDescent="0.3">
      <c r="A13" s="16"/>
      <c r="B13" s="16"/>
      <c r="C13" s="16"/>
      <c r="D13" s="16"/>
      <c r="E13" s="16"/>
      <c r="F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x14ac:dyDescent="0.3">
      <c r="A14" s="15" t="s">
        <v>36</v>
      </c>
      <c r="B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x14ac:dyDescent="0.3">
      <c r="A15" s="16" t="s">
        <v>77</v>
      </c>
      <c r="B15" s="16"/>
      <c r="C15" s="16">
        <v>3</v>
      </c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23">
        <v>-0.01</v>
      </c>
      <c r="L15" s="16" t="s">
        <v>35</v>
      </c>
      <c r="M15" s="23"/>
      <c r="N15" s="23"/>
      <c r="O15" s="23"/>
      <c r="P15" s="23"/>
      <c r="Q15" s="23"/>
      <c r="R15" s="23"/>
      <c r="S15" s="23"/>
      <c r="U15" s="16"/>
    </row>
    <row r="16" spans="1:21" x14ac:dyDescent="0.3">
      <c r="A16" s="16" t="s">
        <v>38</v>
      </c>
      <c r="B16" s="16"/>
      <c r="C16" s="24">
        <v>3</v>
      </c>
      <c r="D16" s="24">
        <f t="shared" ref="D16:J16" si="1">(1+$K15)*C16</f>
        <v>2.9699999999999998</v>
      </c>
      <c r="E16" s="24">
        <f t="shared" si="1"/>
        <v>2.9402999999999997</v>
      </c>
      <c r="F16" s="24">
        <f t="shared" si="1"/>
        <v>2.9108969999999998</v>
      </c>
      <c r="G16" s="24">
        <f t="shared" si="1"/>
        <v>2.8817880299999996</v>
      </c>
      <c r="H16" s="24">
        <f t="shared" si="1"/>
        <v>2.8529701496999995</v>
      </c>
      <c r="I16" s="24">
        <f t="shared" si="1"/>
        <v>2.8244404482029997</v>
      </c>
      <c r="J16" s="24">
        <f t="shared" si="1"/>
        <v>2.7961960437209696</v>
      </c>
      <c r="K16" s="23"/>
      <c r="L16" s="23"/>
      <c r="M16" s="23"/>
      <c r="N16" s="23"/>
      <c r="O16" s="23"/>
      <c r="P16" s="23"/>
      <c r="Q16" s="23"/>
      <c r="R16" s="23"/>
      <c r="S16" s="23"/>
      <c r="T16" s="16"/>
      <c r="U16" s="16"/>
    </row>
    <row r="17" spans="1:21" x14ac:dyDescent="0.3">
      <c r="A17" s="16" t="s">
        <v>78</v>
      </c>
      <c r="B17" s="16"/>
      <c r="C17" s="24">
        <f>365/C16</f>
        <v>121.66666666666667</v>
      </c>
      <c r="D17" s="24">
        <f>365/D16</f>
        <v>122.89562289562291</v>
      </c>
      <c r="E17" s="24">
        <f>365/E16</f>
        <v>124.13699282386152</v>
      </c>
      <c r="F17" s="24">
        <f>365/F16</f>
        <v>125.39090184228436</v>
      </c>
      <c r="G17" s="24">
        <f t="shared" ref="G17:J17" si="2">365/G16</f>
        <v>126.65747660836806</v>
      </c>
      <c r="H17" s="24">
        <f t="shared" si="2"/>
        <v>127.93684505895763</v>
      </c>
      <c r="I17" s="24">
        <f t="shared" si="2"/>
        <v>129.22913642318952</v>
      </c>
      <c r="J17" s="24">
        <f t="shared" si="2"/>
        <v>130.53448123554497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x14ac:dyDescent="0.3">
      <c r="A18" s="16" t="s">
        <v>37</v>
      </c>
      <c r="B18" s="16"/>
      <c r="C18" s="17">
        <v>30</v>
      </c>
      <c r="D18" s="17">
        <v>30</v>
      </c>
      <c r="E18" s="17">
        <v>30</v>
      </c>
      <c r="F18" s="17">
        <v>30</v>
      </c>
      <c r="G18" s="17">
        <v>30</v>
      </c>
      <c r="H18" s="17">
        <v>30</v>
      </c>
      <c r="I18" s="17">
        <v>30</v>
      </c>
      <c r="J18" s="17">
        <v>30</v>
      </c>
    </row>
    <row r="19" spans="1:21" x14ac:dyDescent="0.3">
      <c r="A19" s="16"/>
      <c r="C19" s="17"/>
      <c r="D19" s="17"/>
      <c r="E19" s="17"/>
      <c r="F19" s="17"/>
      <c r="G19" s="17"/>
      <c r="H19" s="17"/>
      <c r="I19" s="17"/>
      <c r="J19" s="17"/>
    </row>
    <row r="20" spans="1:21" x14ac:dyDescent="0.3">
      <c r="A20" s="14" t="s">
        <v>0</v>
      </c>
    </row>
    <row r="21" spans="1:21" x14ac:dyDescent="0.3">
      <c r="A21" s="14" t="s">
        <v>68</v>
      </c>
      <c r="C21" s="25">
        <f>C3*C8</f>
        <v>78256</v>
      </c>
      <c r="D21" s="25">
        <f t="shared" ref="D21:J22" si="3">D3*D8</f>
        <v>79022.908800000005</v>
      </c>
      <c r="E21" s="25">
        <f t="shared" si="3"/>
        <v>79797.333306240005</v>
      </c>
      <c r="F21" s="25">
        <f t="shared" si="3"/>
        <v>80579.347172641166</v>
      </c>
      <c r="G21" s="25">
        <f t="shared" si="3"/>
        <v>81369.024774933059</v>
      </c>
      <c r="H21" s="25">
        <f t="shared" si="3"/>
        <v>82166.441217727406</v>
      </c>
      <c r="I21" s="25">
        <f t="shared" si="3"/>
        <v>82971.67234166112</v>
      </c>
      <c r="J21" s="25">
        <f t="shared" si="3"/>
        <v>83784.794730609399</v>
      </c>
      <c r="K21" s="14">
        <v>1.6</v>
      </c>
      <c r="L21" s="14" t="s">
        <v>39</v>
      </c>
    </row>
    <row r="22" spans="1:21" x14ac:dyDescent="0.3">
      <c r="A22" s="22" t="s">
        <v>69</v>
      </c>
      <c r="C22" s="25">
        <f>C4*C9</f>
        <v>158957.5</v>
      </c>
      <c r="D22" s="25">
        <f t="shared" si="3"/>
        <v>158893.91699999999</v>
      </c>
      <c r="E22" s="25">
        <f t="shared" si="3"/>
        <v>158830.35943319998</v>
      </c>
      <c r="F22" s="25">
        <f t="shared" si="3"/>
        <v>158766.8272894267</v>
      </c>
      <c r="G22" s="25">
        <f t="shared" si="3"/>
        <v>158703.32055851092</v>
      </c>
      <c r="H22" s="25">
        <f t="shared" si="3"/>
        <v>158639.83923028753</v>
      </c>
      <c r="I22" s="25">
        <f t="shared" si="3"/>
        <v>158576.38329459541</v>
      </c>
      <c r="J22" s="25">
        <f t="shared" si="3"/>
        <v>158512.95274127758</v>
      </c>
    </row>
    <row r="23" spans="1:21" x14ac:dyDescent="0.3">
      <c r="A23" s="22" t="s">
        <v>70</v>
      </c>
      <c r="C23" s="25">
        <f t="shared" ref="C23:J25" si="4">C5*C10</f>
        <v>50370</v>
      </c>
      <c r="D23" s="25">
        <f t="shared" si="4"/>
        <v>50863.625999999997</v>
      </c>
      <c r="E23" s="25">
        <f t="shared" si="4"/>
        <v>51362.08953479999</v>
      </c>
      <c r="F23" s="25">
        <f t="shared" si="4"/>
        <v>51865.438012241029</v>
      </c>
      <c r="G23" s="25">
        <f t="shared" si="4"/>
        <v>52373.719304760991</v>
      </c>
      <c r="H23" s="25">
        <f t="shared" si="4"/>
        <v>52886.981753947643</v>
      </c>
      <c r="I23" s="25">
        <f t="shared" si="4"/>
        <v>53405.274175136336</v>
      </c>
      <c r="J23" s="25">
        <f t="shared" si="4"/>
        <v>53928.645862052668</v>
      </c>
    </row>
    <row r="24" spans="1:21" x14ac:dyDescent="0.3">
      <c r="A24" s="22" t="s">
        <v>71</v>
      </c>
      <c r="C24" s="25">
        <f t="shared" si="4"/>
        <v>122275</v>
      </c>
      <c r="D24" s="25">
        <f t="shared" si="4"/>
        <v>123424.38499999999</v>
      </c>
      <c r="E24" s="25">
        <f t="shared" si="4"/>
        <v>124584.57421900002</v>
      </c>
      <c r="F24" s="25">
        <f t="shared" si="4"/>
        <v>125755.6692166586</v>
      </c>
      <c r="G24" s="25">
        <f t="shared" si="4"/>
        <v>126937.77250729519</v>
      </c>
      <c r="H24" s="25">
        <f t="shared" si="4"/>
        <v>128130.98756886377</v>
      </c>
      <c r="I24" s="25">
        <f t="shared" si="4"/>
        <v>129335.41885201109</v>
      </c>
      <c r="J24" s="25">
        <f t="shared" si="4"/>
        <v>130551.17178922002</v>
      </c>
    </row>
    <row r="25" spans="1:21" x14ac:dyDescent="0.3">
      <c r="A25" s="22" t="s">
        <v>72</v>
      </c>
      <c r="C25" s="25">
        <f t="shared" si="4"/>
        <v>7832</v>
      </c>
      <c r="D25" s="25">
        <f t="shared" si="4"/>
        <v>7828.8672000000006</v>
      </c>
      <c r="E25" s="25">
        <f t="shared" si="4"/>
        <v>7825.7356531200012</v>
      </c>
      <c r="F25" s="25">
        <f t="shared" si="4"/>
        <v>7822.6053588587529</v>
      </c>
      <c r="G25" s="25">
        <f t="shared" si="4"/>
        <v>7819.4763167152087</v>
      </c>
      <c r="H25" s="25">
        <f t="shared" si="4"/>
        <v>7816.3485261885226</v>
      </c>
      <c r="I25" s="25">
        <f t="shared" si="4"/>
        <v>7813.2219867780468</v>
      </c>
      <c r="J25" s="25">
        <f t="shared" si="4"/>
        <v>7810.0966979833356</v>
      </c>
    </row>
    <row r="26" spans="1:21" x14ac:dyDescent="0.3">
      <c r="A26" s="14" t="s">
        <v>1</v>
      </c>
      <c r="C26" s="25">
        <f t="shared" ref="C26:J26" si="5">(SUM(C21:C25))*$K$26</f>
        <v>250614.3</v>
      </c>
      <c r="D26" s="25">
        <f t="shared" si="5"/>
        <v>252020.22239999997</v>
      </c>
      <c r="E26" s="25">
        <f t="shared" si="5"/>
        <v>253440.05528781598</v>
      </c>
      <c r="F26" s="25">
        <f t="shared" si="5"/>
        <v>254873.93222989576</v>
      </c>
      <c r="G26" s="25">
        <f t="shared" si="5"/>
        <v>256321.98807732921</v>
      </c>
      <c r="H26" s="25">
        <f t="shared" si="5"/>
        <v>257784.35897820891</v>
      </c>
      <c r="I26" s="25">
        <f t="shared" si="5"/>
        <v>259261.18239010917</v>
      </c>
      <c r="J26" s="25">
        <f t="shared" si="5"/>
        <v>260752.59709268578</v>
      </c>
      <c r="K26" s="14">
        <v>0.6</v>
      </c>
      <c r="L26" s="14" t="s">
        <v>96</v>
      </c>
    </row>
    <row r="29" spans="1:21" x14ac:dyDescent="0.3">
      <c r="A29" s="14" t="s">
        <v>2</v>
      </c>
    </row>
    <row r="30" spans="1:21" x14ac:dyDescent="0.3">
      <c r="A30" s="14" t="s">
        <v>76</v>
      </c>
      <c r="C30" s="14">
        <v>4800</v>
      </c>
      <c r="D30" s="26">
        <f t="shared" ref="D30:J30" si="6">C30*(1+$K$30)</f>
        <v>4944</v>
      </c>
      <c r="E30" s="26">
        <f t="shared" si="6"/>
        <v>5092.32</v>
      </c>
      <c r="F30" s="26">
        <f t="shared" si="6"/>
        <v>5245.0896000000002</v>
      </c>
      <c r="G30" s="26">
        <f t="shared" si="6"/>
        <v>5402.4422880000002</v>
      </c>
      <c r="H30" s="26">
        <f t="shared" si="6"/>
        <v>5564.5155566399999</v>
      </c>
      <c r="I30" s="26">
        <f t="shared" si="6"/>
        <v>5731.4510233392002</v>
      </c>
      <c r="J30" s="26">
        <f t="shared" si="6"/>
        <v>5903.3945540393761</v>
      </c>
      <c r="K30" s="19">
        <v>0.03</v>
      </c>
      <c r="L30" s="14" t="s">
        <v>35</v>
      </c>
      <c r="M30" s="19"/>
      <c r="N30" s="19"/>
      <c r="O30" s="19"/>
      <c r="P30" s="19"/>
      <c r="Q30" s="19"/>
      <c r="R30" s="19"/>
      <c r="S30" s="19"/>
    </row>
    <row r="31" spans="1:21" x14ac:dyDescent="0.3">
      <c r="A31" s="14" t="s">
        <v>75</v>
      </c>
      <c r="C31" s="27">
        <v>700</v>
      </c>
      <c r="D31" s="26">
        <f t="shared" ref="D31:J31" si="7">C31*(1+$K$31)</f>
        <v>721</v>
      </c>
      <c r="E31" s="26">
        <f t="shared" si="7"/>
        <v>742.63</v>
      </c>
      <c r="F31" s="26">
        <f t="shared" si="7"/>
        <v>764.90890000000002</v>
      </c>
      <c r="G31" s="26">
        <f t="shared" si="7"/>
        <v>787.85616700000003</v>
      </c>
      <c r="H31" s="26">
        <f t="shared" si="7"/>
        <v>811.49185201</v>
      </c>
      <c r="I31" s="26">
        <f t="shared" si="7"/>
        <v>835.83660757029998</v>
      </c>
      <c r="J31" s="26">
        <f t="shared" si="7"/>
        <v>860.91170579740901</v>
      </c>
      <c r="K31" s="19">
        <v>0.03</v>
      </c>
      <c r="L31" s="14" t="s">
        <v>35</v>
      </c>
      <c r="M31" s="19"/>
      <c r="N31" s="19"/>
      <c r="O31" s="19"/>
      <c r="P31" s="19"/>
      <c r="Q31" s="19"/>
      <c r="R31" s="19"/>
      <c r="S31" s="19"/>
    </row>
    <row r="32" spans="1:21" x14ac:dyDescent="0.3">
      <c r="A32" s="14" t="s">
        <v>73</v>
      </c>
      <c r="C32" s="27">
        <v>5000</v>
      </c>
      <c r="D32" s="26">
        <f t="shared" ref="D32:J32" si="8">C32*(1+$K$32)</f>
        <v>5250</v>
      </c>
      <c r="E32" s="26">
        <f t="shared" si="8"/>
        <v>5512.5</v>
      </c>
      <c r="F32" s="26">
        <f t="shared" si="8"/>
        <v>5788.125</v>
      </c>
      <c r="G32" s="26">
        <f t="shared" si="8"/>
        <v>6077.53125</v>
      </c>
      <c r="H32" s="26">
        <f t="shared" si="8"/>
        <v>6381.4078125000005</v>
      </c>
      <c r="I32" s="26">
        <f t="shared" si="8"/>
        <v>6700.4782031250006</v>
      </c>
      <c r="J32" s="26">
        <f t="shared" si="8"/>
        <v>7035.5021132812508</v>
      </c>
      <c r="K32" s="19">
        <v>0.05</v>
      </c>
      <c r="L32" s="19"/>
      <c r="M32" s="19"/>
      <c r="N32" s="19"/>
      <c r="O32" s="19"/>
      <c r="P32" s="19"/>
      <c r="Q32" s="19"/>
      <c r="R32" s="19"/>
      <c r="S32" s="19"/>
    </row>
    <row r="33" spans="1:21" x14ac:dyDescent="0.3">
      <c r="A33" s="14" t="s">
        <v>74</v>
      </c>
      <c r="C33" s="27">
        <f>(7.25*5)*(50*48)</f>
        <v>87000</v>
      </c>
      <c r="D33" s="26">
        <f t="shared" ref="D33:J33" si="9">C33*(1+$K$33)</f>
        <v>89610</v>
      </c>
      <c r="E33" s="26">
        <f t="shared" si="9"/>
        <v>92298.3</v>
      </c>
      <c r="F33" s="26">
        <f t="shared" si="9"/>
        <v>95067.249000000011</v>
      </c>
      <c r="G33" s="26">
        <f t="shared" si="9"/>
        <v>97919.266470000017</v>
      </c>
      <c r="H33" s="26">
        <f t="shared" si="9"/>
        <v>100856.84446410002</v>
      </c>
      <c r="I33" s="26">
        <f t="shared" si="9"/>
        <v>103882.54979802303</v>
      </c>
      <c r="J33" s="26">
        <f t="shared" si="9"/>
        <v>106999.02629196372</v>
      </c>
      <c r="K33" s="19">
        <v>0.03</v>
      </c>
      <c r="L33" s="19"/>
      <c r="M33" s="19"/>
      <c r="N33" s="19"/>
      <c r="O33" s="19"/>
      <c r="P33" s="19"/>
      <c r="Q33" s="19"/>
      <c r="R33" s="19"/>
      <c r="S33" s="19"/>
    </row>
    <row r="34" spans="1:21" x14ac:dyDescent="0.3">
      <c r="A34" s="14" t="s">
        <v>3</v>
      </c>
      <c r="C34" s="14">
        <v>70000</v>
      </c>
      <c r="D34" s="26">
        <f t="shared" ref="D34:J34" si="10">C34*(1+$K$34)</f>
        <v>68600</v>
      </c>
      <c r="E34" s="26">
        <f t="shared" si="10"/>
        <v>67228</v>
      </c>
      <c r="F34" s="26">
        <f t="shared" si="10"/>
        <v>65883.44</v>
      </c>
      <c r="G34" s="26">
        <f t="shared" si="10"/>
        <v>64565.771200000003</v>
      </c>
      <c r="H34" s="26">
        <f t="shared" si="10"/>
        <v>63274.455776000003</v>
      </c>
      <c r="I34" s="26">
        <f t="shared" si="10"/>
        <v>62008.96666048</v>
      </c>
      <c r="J34" s="26">
        <f t="shared" si="10"/>
        <v>60768.787327270402</v>
      </c>
      <c r="K34" s="19">
        <v>-0.02</v>
      </c>
      <c r="L34" s="19"/>
      <c r="M34" s="19"/>
      <c r="N34" s="19"/>
      <c r="O34" s="19"/>
      <c r="P34" s="19"/>
      <c r="Q34" s="19"/>
      <c r="R34" s="19"/>
      <c r="S34" s="19"/>
    </row>
    <row r="37" spans="1:21" x14ac:dyDescent="0.3">
      <c r="A37" s="14" t="s">
        <v>4</v>
      </c>
      <c r="C37" s="27">
        <f>Mortgage!D14</f>
        <v>8691.3647285118295</v>
      </c>
      <c r="D37" s="27">
        <f>Mortgage!D28</f>
        <v>8559.2703690025282</v>
      </c>
      <c r="E37" s="27">
        <f>Mortgage!D42</f>
        <v>8420.4178113612616</v>
      </c>
      <c r="F37" s="27">
        <f>Mortgage!D56</f>
        <v>8274.46129334533</v>
      </c>
      <c r="G37" s="27">
        <f>Mortgage!D70</f>
        <v>8121.0373628594989</v>
      </c>
      <c r="H37" s="27">
        <f>Mortgage!D84</f>
        <v>7959.7639729095399</v>
      </c>
      <c r="I37" s="27">
        <f>Mortgage!D98</f>
        <v>7790.2395302519171</v>
      </c>
      <c r="J37" s="27">
        <f>Mortgage!D112</f>
        <v>7612.0418953705876</v>
      </c>
      <c r="K37" s="18"/>
      <c r="L37" s="18"/>
      <c r="M37" s="18"/>
      <c r="N37" s="18"/>
      <c r="O37" s="18"/>
      <c r="P37" s="18"/>
      <c r="Q37" s="18"/>
      <c r="R37" s="18"/>
      <c r="S37" s="18"/>
    </row>
    <row r="38" spans="1:21" x14ac:dyDescent="0.3">
      <c r="A38" s="14" t="s">
        <v>125</v>
      </c>
      <c r="C38" s="27">
        <f t="shared" ref="C38:J38" si="11">C66*$K$38</f>
        <v>0</v>
      </c>
      <c r="D38" s="27">
        <f t="shared" si="11"/>
        <v>0</v>
      </c>
      <c r="E38" s="27">
        <f t="shared" si="11"/>
        <v>0</v>
      </c>
      <c r="F38" s="27">
        <f t="shared" si="11"/>
        <v>0</v>
      </c>
      <c r="G38" s="27">
        <f t="shared" si="11"/>
        <v>0</v>
      </c>
      <c r="H38" s="27">
        <f t="shared" si="11"/>
        <v>1045.5669543403787</v>
      </c>
      <c r="I38" s="27">
        <f t="shared" si="11"/>
        <v>3109.7499082602271</v>
      </c>
      <c r="J38" s="27">
        <f t="shared" si="11"/>
        <v>5560.3391565794964</v>
      </c>
      <c r="K38" s="19">
        <v>0.1</v>
      </c>
      <c r="L38" s="19"/>
      <c r="M38" s="19"/>
      <c r="N38" s="19"/>
      <c r="O38" s="19"/>
      <c r="P38" s="19"/>
      <c r="Q38" s="19"/>
      <c r="R38" s="19"/>
      <c r="S38" s="19"/>
    </row>
    <row r="39" spans="1:21" x14ac:dyDescent="0.3">
      <c r="A39" s="14" t="s">
        <v>93</v>
      </c>
      <c r="C39" s="25">
        <f t="shared" ref="C39:J39" si="12">(C56/$K$56)+(C55/$K$39)</f>
        <v>16547.619047619046</v>
      </c>
      <c r="D39" s="25">
        <f t="shared" si="12"/>
        <v>16547.619047619046</v>
      </c>
      <c r="E39" s="25">
        <f t="shared" si="12"/>
        <v>16547.619047619046</v>
      </c>
      <c r="F39" s="25">
        <f t="shared" si="12"/>
        <v>16547.619047619046</v>
      </c>
      <c r="G39" s="25">
        <f t="shared" si="12"/>
        <v>16547.619047619046</v>
      </c>
      <c r="H39" s="25">
        <f t="shared" si="12"/>
        <v>16547.619047619046</v>
      </c>
      <c r="I39" s="25">
        <f t="shared" si="12"/>
        <v>16547.619047619046</v>
      </c>
      <c r="J39" s="25">
        <f t="shared" si="12"/>
        <v>16547.619047619046</v>
      </c>
      <c r="K39" s="18">
        <v>30</v>
      </c>
      <c r="L39" s="14" t="s">
        <v>53</v>
      </c>
      <c r="S39" s="18"/>
    </row>
    <row r="40" spans="1:21" x14ac:dyDescent="0.3">
      <c r="A40" s="14" t="s">
        <v>94</v>
      </c>
      <c r="C40" s="27">
        <f>C55/K39</f>
        <v>5833.333333333333</v>
      </c>
      <c r="D40" s="27">
        <f>C40</f>
        <v>5833.333333333333</v>
      </c>
      <c r="E40" s="27">
        <f t="shared" ref="E40:J40" si="13">D40</f>
        <v>5833.333333333333</v>
      </c>
      <c r="F40" s="27">
        <f t="shared" si="13"/>
        <v>5833.333333333333</v>
      </c>
      <c r="G40" s="27">
        <f t="shared" si="13"/>
        <v>5833.333333333333</v>
      </c>
      <c r="H40" s="27">
        <f t="shared" si="13"/>
        <v>5833.333333333333</v>
      </c>
      <c r="I40" s="27">
        <f t="shared" si="13"/>
        <v>5833.333333333333</v>
      </c>
      <c r="J40" s="27">
        <f t="shared" si="13"/>
        <v>5833.333333333333</v>
      </c>
    </row>
    <row r="41" spans="1:21" x14ac:dyDescent="0.3">
      <c r="A41" s="14" t="s">
        <v>95</v>
      </c>
      <c r="C41" s="27">
        <f t="shared" ref="C41:J41" si="14">C56/$K$56</f>
        <v>10714.285714285714</v>
      </c>
      <c r="D41" s="27">
        <f t="shared" si="14"/>
        <v>10714.285714285714</v>
      </c>
      <c r="E41" s="27">
        <f t="shared" si="14"/>
        <v>10714.285714285714</v>
      </c>
      <c r="F41" s="27">
        <f t="shared" si="14"/>
        <v>10714.285714285714</v>
      </c>
      <c r="G41" s="27">
        <f t="shared" si="14"/>
        <v>10714.285714285714</v>
      </c>
      <c r="H41" s="27">
        <f t="shared" si="14"/>
        <v>10714.285714285714</v>
      </c>
      <c r="I41" s="27">
        <f t="shared" si="14"/>
        <v>10714.285714285714</v>
      </c>
      <c r="J41" s="27">
        <f t="shared" si="14"/>
        <v>10714.285714285714</v>
      </c>
    </row>
    <row r="42" spans="1:21" x14ac:dyDescent="0.3">
      <c r="C42" s="25"/>
      <c r="D42" s="25"/>
      <c r="E42" s="25"/>
      <c r="F42" s="25"/>
      <c r="G42" s="25"/>
      <c r="H42" s="25"/>
      <c r="I42" s="25"/>
      <c r="J42" s="25"/>
    </row>
    <row r="43" spans="1:21" x14ac:dyDescent="0.3">
      <c r="A43" s="14" t="s">
        <v>5</v>
      </c>
      <c r="C43" s="25">
        <f>SUM(C21:C25)-SUM(C26:C39)</f>
        <v>-25662.783776130877</v>
      </c>
      <c r="D43" s="25">
        <f t="shared" ref="D43:J43" si="15">SUM(D21:D25)-SUM(D26:D39)</f>
        <v>-26218.407816621591</v>
      </c>
      <c r="E43" s="25">
        <f t="shared" si="15"/>
        <v>-26881.750000436325</v>
      </c>
      <c r="F43" s="25">
        <f t="shared" si="15"/>
        <v>-27654.938021033886</v>
      </c>
      <c r="G43" s="25">
        <f t="shared" si="15"/>
        <v>-28540.19840059249</v>
      </c>
      <c r="H43" s="25">
        <f t="shared" si="15"/>
        <v>-30585.426117313036</v>
      </c>
      <c r="I43" s="25">
        <f t="shared" si="15"/>
        <v>-33766.10251859593</v>
      </c>
      <c r="J43" s="25">
        <f t="shared" si="15"/>
        <v>-37452.55736346409</v>
      </c>
    </row>
    <row r="44" spans="1:21" x14ac:dyDescent="0.3">
      <c r="A44" s="14" t="s">
        <v>6</v>
      </c>
      <c r="C44" s="27">
        <f t="shared" ref="C44:J44" si="16">IF(C43&lt;0,0,C43*$K$44)</f>
        <v>0</v>
      </c>
      <c r="D44" s="27">
        <f t="shared" si="16"/>
        <v>0</v>
      </c>
      <c r="E44" s="27">
        <f t="shared" si="16"/>
        <v>0</v>
      </c>
      <c r="F44" s="27">
        <f t="shared" si="16"/>
        <v>0</v>
      </c>
      <c r="G44" s="27">
        <f t="shared" si="16"/>
        <v>0</v>
      </c>
      <c r="H44" s="27">
        <f t="shared" si="16"/>
        <v>0</v>
      </c>
      <c r="I44" s="27">
        <f t="shared" si="16"/>
        <v>0</v>
      </c>
      <c r="J44" s="27">
        <f t="shared" si="16"/>
        <v>0</v>
      </c>
      <c r="K44" s="29">
        <v>0.25</v>
      </c>
      <c r="L44" s="14" t="s">
        <v>52</v>
      </c>
      <c r="S44" s="29"/>
      <c r="U44" s="25"/>
    </row>
    <row r="45" spans="1:21" x14ac:dyDescent="0.3">
      <c r="A45" s="14" t="s">
        <v>7</v>
      </c>
      <c r="C45" s="25">
        <f>C43-C44</f>
        <v>-25662.783776130877</v>
      </c>
      <c r="D45" s="25">
        <f t="shared" ref="D45:J45" si="17">D43-D44</f>
        <v>-26218.407816621591</v>
      </c>
      <c r="E45" s="25">
        <f t="shared" si="17"/>
        <v>-26881.750000436325</v>
      </c>
      <c r="F45" s="25">
        <f t="shared" si="17"/>
        <v>-27654.938021033886</v>
      </c>
      <c r="G45" s="25">
        <f t="shared" si="17"/>
        <v>-28540.19840059249</v>
      </c>
      <c r="H45" s="25">
        <f t="shared" si="17"/>
        <v>-30585.426117313036</v>
      </c>
      <c r="I45" s="25">
        <f t="shared" si="17"/>
        <v>-33766.10251859593</v>
      </c>
      <c r="J45" s="25">
        <f t="shared" si="17"/>
        <v>-37452.55736346409</v>
      </c>
    </row>
    <row r="47" spans="1:21" x14ac:dyDescent="0.3">
      <c r="A47" s="14" t="s">
        <v>8</v>
      </c>
    </row>
    <row r="48" spans="1:21" x14ac:dyDescent="0.3">
      <c r="A48" s="14" t="s">
        <v>9</v>
      </c>
    </row>
    <row r="49" spans="1:25" x14ac:dyDescent="0.3">
      <c r="A49" s="14" t="s">
        <v>10</v>
      </c>
      <c r="C49" s="27">
        <v>1500</v>
      </c>
      <c r="D49" s="27">
        <v>1500</v>
      </c>
      <c r="E49" s="27">
        <v>1500</v>
      </c>
      <c r="F49" s="27">
        <v>1500</v>
      </c>
      <c r="G49" s="27">
        <v>1500</v>
      </c>
      <c r="H49" s="27">
        <v>1500</v>
      </c>
      <c r="I49" s="27">
        <v>1500</v>
      </c>
      <c r="J49" s="27">
        <v>1500</v>
      </c>
      <c r="L49" s="29">
        <v>1</v>
      </c>
      <c r="M49" s="25">
        <f>J49*$L49</f>
        <v>1500</v>
      </c>
    </row>
    <row r="50" spans="1:25" x14ac:dyDescent="0.3">
      <c r="A50" s="14" t="s">
        <v>11</v>
      </c>
      <c r="C50" s="27">
        <v>61429</v>
      </c>
      <c r="D50" s="27">
        <v>49101</v>
      </c>
      <c r="E50" s="27">
        <v>35971</v>
      </c>
      <c r="F50" s="27">
        <v>21923</v>
      </c>
      <c r="G50" s="27">
        <v>6837</v>
      </c>
      <c r="H50" s="27"/>
      <c r="I50" s="27"/>
      <c r="J50" s="27"/>
      <c r="L50" s="29">
        <v>1</v>
      </c>
      <c r="M50" s="25">
        <f t="shared" ref="M50:M54" si="18">J50*$L50</f>
        <v>0</v>
      </c>
    </row>
    <row r="51" spans="1:25" x14ac:dyDescent="0.3">
      <c r="A51" s="14" t="s">
        <v>12</v>
      </c>
      <c r="C51" s="30">
        <f t="shared" ref="C51:J51" si="19">(C15/365)*SUM(C21:C25)</f>
        <v>3433.0726027397259</v>
      </c>
      <c r="D51" s="30">
        <f t="shared" si="19"/>
        <v>3452.3318136986295</v>
      </c>
      <c r="E51" s="30">
        <f t="shared" si="19"/>
        <v>3471.7815792851502</v>
      </c>
      <c r="F51" s="30">
        <f t="shared" si="19"/>
        <v>3491.423729176654</v>
      </c>
      <c r="G51" s="30">
        <f t="shared" si="19"/>
        <v>3511.2601106483453</v>
      </c>
      <c r="H51" s="30">
        <f t="shared" si="19"/>
        <v>3531.2925887425877</v>
      </c>
      <c r="I51" s="30">
        <f t="shared" si="19"/>
        <v>3551.5230464398514</v>
      </c>
      <c r="J51" s="30">
        <f t="shared" si="19"/>
        <v>3571.9533848313122</v>
      </c>
      <c r="L51" s="29">
        <v>0.8</v>
      </c>
      <c r="M51" s="25">
        <f t="shared" si="18"/>
        <v>2857.56270786505</v>
      </c>
    </row>
    <row r="52" spans="1:25" x14ac:dyDescent="0.3">
      <c r="A52" s="14" t="s">
        <v>13</v>
      </c>
      <c r="C52" s="30">
        <f t="shared" ref="C52:J52" si="20">(10/356)*C26</f>
        <v>7039.7275280898875</v>
      </c>
      <c r="D52" s="30">
        <f t="shared" si="20"/>
        <v>7079.2197303370776</v>
      </c>
      <c r="E52" s="30">
        <f t="shared" si="20"/>
        <v>7119.1026766240439</v>
      </c>
      <c r="F52" s="30">
        <f t="shared" si="20"/>
        <v>7159.3801188172965</v>
      </c>
      <c r="G52" s="30">
        <f t="shared" si="20"/>
        <v>7200.055844868798</v>
      </c>
      <c r="H52" s="30">
        <f t="shared" si="20"/>
        <v>7241.1336791631711</v>
      </c>
      <c r="I52" s="30">
        <f t="shared" si="20"/>
        <v>7282.6174828682351</v>
      </c>
      <c r="J52" s="30">
        <f t="shared" si="20"/>
        <v>7324.5111542889263</v>
      </c>
      <c r="L52" s="29">
        <v>0.7</v>
      </c>
      <c r="M52" s="25">
        <f t="shared" si="18"/>
        <v>5127.1578080022482</v>
      </c>
    </row>
    <row r="53" spans="1:25" x14ac:dyDescent="0.3">
      <c r="M53" s="25"/>
    </row>
    <row r="54" spans="1:25" x14ac:dyDescent="0.3">
      <c r="A54" s="14" t="s">
        <v>79</v>
      </c>
      <c r="C54" s="14">
        <v>10500</v>
      </c>
      <c r="D54" s="14">
        <v>10500</v>
      </c>
      <c r="E54" s="14">
        <v>10500</v>
      </c>
      <c r="F54" s="14">
        <v>10500</v>
      </c>
      <c r="G54" s="14">
        <v>10500</v>
      </c>
      <c r="H54" s="14">
        <v>10500</v>
      </c>
      <c r="I54" s="14">
        <v>10500</v>
      </c>
      <c r="J54" s="14">
        <v>10500</v>
      </c>
      <c r="L54" s="29">
        <v>0.8</v>
      </c>
      <c r="M54" s="25">
        <f t="shared" si="18"/>
        <v>8400</v>
      </c>
    </row>
    <row r="55" spans="1:25" x14ac:dyDescent="0.3">
      <c r="A55" s="14" t="s">
        <v>14</v>
      </c>
      <c r="C55" s="27">
        <f>Mortgage!$I$6</f>
        <v>175000</v>
      </c>
      <c r="D55" s="27">
        <f>Mortgage!$I$6</f>
        <v>175000</v>
      </c>
      <c r="E55" s="27">
        <f>Mortgage!$I$6</f>
        <v>175000</v>
      </c>
      <c r="F55" s="27">
        <f>Mortgage!$I$6</f>
        <v>175000</v>
      </c>
      <c r="G55" s="27">
        <f>Mortgage!$I$6</f>
        <v>175000</v>
      </c>
      <c r="H55" s="27">
        <f>Mortgage!$I$6</f>
        <v>175000</v>
      </c>
      <c r="I55" s="27">
        <f>Mortgage!$I$6</f>
        <v>175000</v>
      </c>
      <c r="J55" s="27">
        <f>Mortgage!$I$6</f>
        <v>175000</v>
      </c>
      <c r="L55" s="29">
        <v>0.7</v>
      </c>
      <c r="M55" s="25">
        <f>J55*L55</f>
        <v>122499.99999999999</v>
      </c>
      <c r="O55" s="14" t="s">
        <v>128</v>
      </c>
      <c r="P55" s="14" t="s">
        <v>129</v>
      </c>
    </row>
    <row r="56" spans="1:25" x14ac:dyDescent="0.3">
      <c r="A56" s="14" t="s">
        <v>115</v>
      </c>
      <c r="C56" s="27">
        <v>75000</v>
      </c>
      <c r="D56" s="27">
        <v>75000</v>
      </c>
      <c r="E56" s="27">
        <v>75000</v>
      </c>
      <c r="F56" s="27">
        <v>75000</v>
      </c>
      <c r="G56" s="27">
        <v>75000</v>
      </c>
      <c r="H56" s="27">
        <v>75000</v>
      </c>
      <c r="I56" s="27">
        <v>75000</v>
      </c>
      <c r="J56" s="27">
        <v>75000</v>
      </c>
      <c r="K56" s="18">
        <v>7</v>
      </c>
      <c r="L56" s="29">
        <v>0.8</v>
      </c>
      <c r="M56" s="25">
        <f>J56*L56</f>
        <v>60000</v>
      </c>
      <c r="O56" s="18">
        <f>M54+M55</f>
        <v>130899.99999999999</v>
      </c>
      <c r="P56" s="18">
        <f>M49+M50+M51+M52+M56</f>
        <v>69484.720515867302</v>
      </c>
      <c r="Q56" s="18"/>
      <c r="R56" s="18"/>
      <c r="S56" s="18"/>
      <c r="T56" s="35" t="s">
        <v>97</v>
      </c>
      <c r="U56" s="35"/>
      <c r="V56" s="35"/>
      <c r="W56" s="35"/>
      <c r="X56" s="35"/>
      <c r="Y56" s="35"/>
    </row>
    <row r="57" spans="1:25" x14ac:dyDescent="0.3">
      <c r="A57" s="14" t="s">
        <v>15</v>
      </c>
      <c r="C57" s="25">
        <f t="shared" ref="C57:J57" si="21">C39+B57</f>
        <v>16547.619047619046</v>
      </c>
      <c r="D57" s="25">
        <f t="shared" si="21"/>
        <v>33095.238095238092</v>
      </c>
      <c r="E57" s="25">
        <f t="shared" si="21"/>
        <v>49642.857142857138</v>
      </c>
      <c r="F57" s="25">
        <f t="shared" si="21"/>
        <v>66190.476190476184</v>
      </c>
      <c r="G57" s="25">
        <f t="shared" si="21"/>
        <v>82738.095238095237</v>
      </c>
      <c r="H57" s="25">
        <f t="shared" si="21"/>
        <v>99285.71428571429</v>
      </c>
      <c r="I57" s="25">
        <f t="shared" si="21"/>
        <v>115833.33333333334</v>
      </c>
      <c r="J57" s="25">
        <f t="shared" si="21"/>
        <v>132380.9523809524</v>
      </c>
      <c r="T57" s="35"/>
      <c r="U57" s="35" t="s">
        <v>98</v>
      </c>
      <c r="V57" s="51">
        <v>2.09</v>
      </c>
      <c r="W57" s="35"/>
      <c r="X57" s="35"/>
      <c r="Y57" s="35"/>
    </row>
    <row r="58" spans="1:25" x14ac:dyDescent="0.3">
      <c r="M58" s="25"/>
      <c r="T58" s="35"/>
      <c r="U58" s="35" t="s">
        <v>99</v>
      </c>
      <c r="V58" s="45">
        <v>3.7400000000000003E-2</v>
      </c>
      <c r="W58" s="35"/>
      <c r="X58" s="35"/>
      <c r="Y58" s="35"/>
    </row>
    <row r="59" spans="1:25" x14ac:dyDescent="0.3">
      <c r="A59" s="14" t="s">
        <v>16</v>
      </c>
      <c r="C59" s="25">
        <f>SUM(C49:C56)-C57</f>
        <v>317354.18108321057</v>
      </c>
      <c r="D59" s="25">
        <f t="shared" ref="D59:J59" si="22">SUM(D49:D56)-D57</f>
        <v>288537.31344879756</v>
      </c>
      <c r="E59" s="25">
        <f t="shared" si="22"/>
        <v>258919.02711305206</v>
      </c>
      <c r="F59" s="25">
        <f t="shared" si="22"/>
        <v>228383.32765751777</v>
      </c>
      <c r="G59" s="25">
        <f t="shared" si="22"/>
        <v>196810.22071742188</v>
      </c>
      <c r="H59" s="25">
        <f t="shared" si="22"/>
        <v>173486.71198219145</v>
      </c>
      <c r="I59" s="25">
        <f t="shared" si="22"/>
        <v>157000.80719597478</v>
      </c>
      <c r="J59" s="25">
        <f t="shared" si="22"/>
        <v>140515.51215816781</v>
      </c>
      <c r="T59" s="35"/>
      <c r="U59" s="35" t="s">
        <v>100</v>
      </c>
      <c r="V59" s="45">
        <v>0.1</v>
      </c>
      <c r="W59" s="35"/>
      <c r="X59" s="35"/>
      <c r="Y59" s="35"/>
    </row>
    <row r="60" spans="1:25" x14ac:dyDescent="0.3">
      <c r="T60" s="35"/>
      <c r="U60" s="35"/>
      <c r="V60" s="35"/>
      <c r="W60" s="35"/>
      <c r="X60" s="35"/>
      <c r="Y60" s="35"/>
    </row>
    <row r="61" spans="1:25" x14ac:dyDescent="0.3">
      <c r="A61" s="14" t="s">
        <v>17</v>
      </c>
      <c r="T61" s="35"/>
      <c r="U61" s="35" t="s">
        <v>101</v>
      </c>
      <c r="V61" s="35"/>
      <c r="W61" s="48">
        <f>V57*(V59-V58)+V58</f>
        <v>0.16823399999999999</v>
      </c>
      <c r="X61" s="35"/>
      <c r="Y61" s="35"/>
    </row>
    <row r="62" spans="1:25" x14ac:dyDescent="0.3">
      <c r="A62" s="14" t="s">
        <v>18</v>
      </c>
      <c r="C62" s="30">
        <f t="shared" ref="C62:J62" si="23">(30/365)*C26</f>
        <v>20598.435616438353</v>
      </c>
      <c r="D62" s="30">
        <f t="shared" si="23"/>
        <v>20713.990882191778</v>
      </c>
      <c r="E62" s="30">
        <f t="shared" si="23"/>
        <v>20830.6894757109</v>
      </c>
      <c r="F62" s="30">
        <f t="shared" si="23"/>
        <v>20948.542375059926</v>
      </c>
      <c r="G62" s="30">
        <f t="shared" si="23"/>
        <v>21067.560663890072</v>
      </c>
      <c r="H62" s="30">
        <f t="shared" si="23"/>
        <v>21187.755532455525</v>
      </c>
      <c r="I62" s="30">
        <f t="shared" si="23"/>
        <v>21309.138278639108</v>
      </c>
      <c r="J62" s="30">
        <f t="shared" si="23"/>
        <v>21431.720308987871</v>
      </c>
      <c r="T62" s="35"/>
      <c r="U62" s="35"/>
      <c r="V62" s="35"/>
      <c r="W62" s="35"/>
      <c r="X62" s="35"/>
      <c r="Y62" s="35"/>
    </row>
    <row r="63" spans="1:25" x14ac:dyDescent="0.3">
      <c r="A63" s="14" t="s">
        <v>19</v>
      </c>
      <c r="C63" s="25">
        <f t="shared" ref="C63:J63" si="24">C44</f>
        <v>0</v>
      </c>
      <c r="D63" s="25">
        <f t="shared" si="24"/>
        <v>0</v>
      </c>
      <c r="E63" s="25">
        <f t="shared" si="24"/>
        <v>0</v>
      </c>
      <c r="F63" s="25">
        <f t="shared" si="24"/>
        <v>0</v>
      </c>
      <c r="G63" s="25">
        <f t="shared" si="24"/>
        <v>0</v>
      </c>
      <c r="H63" s="25">
        <f t="shared" si="24"/>
        <v>0</v>
      </c>
      <c r="I63" s="25">
        <f t="shared" si="24"/>
        <v>0</v>
      </c>
      <c r="J63" s="25">
        <f t="shared" si="24"/>
        <v>0</v>
      </c>
      <c r="T63" s="35"/>
      <c r="U63" s="35"/>
      <c r="V63" s="35"/>
      <c r="W63" s="35"/>
      <c r="X63" s="35"/>
      <c r="Y63" s="35"/>
    </row>
    <row r="64" spans="1:25" x14ac:dyDescent="0.3">
      <c r="L64" s="14" t="s">
        <v>127</v>
      </c>
      <c r="M64" s="14" t="s">
        <v>126</v>
      </c>
      <c r="N64" s="14" t="s">
        <v>130</v>
      </c>
      <c r="P64" s="14" t="s">
        <v>131</v>
      </c>
      <c r="T64" s="38" t="s">
        <v>102</v>
      </c>
      <c r="U64" s="38" t="s">
        <v>103</v>
      </c>
      <c r="V64" s="38" t="s">
        <v>47</v>
      </c>
      <c r="W64" s="38" t="s">
        <v>104</v>
      </c>
      <c r="X64" s="38" t="s">
        <v>105</v>
      </c>
      <c r="Y64" s="35"/>
    </row>
    <row r="65" spans="1:26" x14ac:dyDescent="0.3">
      <c r="A65" s="14" t="s">
        <v>20</v>
      </c>
      <c r="C65" s="27">
        <f>Mortgage!F13</f>
        <v>172418.11064525691</v>
      </c>
      <c r="D65" s="27">
        <f>Mortgage!F27</f>
        <v>169704.12693100449</v>
      </c>
      <c r="E65" s="27">
        <f>Mortgage!F41</f>
        <v>166851.29065911082</v>
      </c>
      <c r="F65" s="27">
        <f>Mortgage!F55</f>
        <v>163852.49786920121</v>
      </c>
      <c r="G65" s="27">
        <f>Mortgage!F69</f>
        <v>160700.28114880581</v>
      </c>
      <c r="H65" s="27">
        <f>Mortgage!F83</f>
        <v>157386.79103846048</v>
      </c>
      <c r="I65" s="27">
        <f>Mortgage!F97</f>
        <v>153903.77648545746</v>
      </c>
      <c r="J65" s="27">
        <f>Mortgage!F111</f>
        <v>150242.56429757315</v>
      </c>
      <c r="L65" s="25">
        <f>M54+M55</f>
        <v>130899.99999999999</v>
      </c>
      <c r="M65" s="25">
        <f>J65-L65</f>
        <v>19342.564297573161</v>
      </c>
      <c r="N65" s="14">
        <f>M65/M67</f>
        <v>0.25808683170091329</v>
      </c>
      <c r="O65" s="49">
        <f>P56*N65</f>
        <v>17933.091369563641</v>
      </c>
      <c r="P65" s="28">
        <f>L65+O65</f>
        <v>148833.09136956363</v>
      </c>
      <c r="T65" s="39">
        <f>AVERAGE(C65:J65)</f>
        <v>161882.42988435877</v>
      </c>
      <c r="U65" s="37">
        <f>T65/$T$71</f>
        <v>0.86581959835724476</v>
      </c>
      <c r="V65" s="46">
        <v>0.05</v>
      </c>
      <c r="W65" s="46">
        <f>V65*(1-$K$44)</f>
        <v>3.7500000000000006E-2</v>
      </c>
      <c r="X65" s="47">
        <f>U65*W65</f>
        <v>3.2468234938396685E-2</v>
      </c>
      <c r="Y65" s="35"/>
      <c r="Z65" s="14" t="s">
        <v>107</v>
      </c>
    </row>
    <row r="66" spans="1:26" x14ac:dyDescent="0.3">
      <c r="A66" s="14" t="s">
        <v>21</v>
      </c>
      <c r="C66" s="78"/>
      <c r="D66" s="78"/>
      <c r="E66" s="78"/>
      <c r="F66" s="78"/>
      <c r="G66" s="78"/>
      <c r="H66" s="78">
        <v>10455.669543403787</v>
      </c>
      <c r="I66" s="78">
        <v>31097.499082602269</v>
      </c>
      <c r="J66" s="78">
        <v>55603.391565794962</v>
      </c>
      <c r="L66" s="14">
        <v>0</v>
      </c>
      <c r="M66" s="79">
        <f>J66</f>
        <v>55603.391565794962</v>
      </c>
      <c r="N66" s="14">
        <f>M66/M67</f>
        <v>0.74191316829908682</v>
      </c>
      <c r="O66" s="49">
        <f>N66*P56</f>
        <v>51551.629146303669</v>
      </c>
      <c r="P66" s="49">
        <f>L66+O66</f>
        <v>51551.629146303669</v>
      </c>
      <c r="T66" s="39"/>
      <c r="U66" s="37">
        <f>T66/$T$71</f>
        <v>0</v>
      </c>
      <c r="V66" s="46">
        <v>0.1</v>
      </c>
      <c r="W66" s="46">
        <f>V66*(1-$K$44)</f>
        <v>7.5000000000000011E-2</v>
      </c>
      <c r="X66" s="47">
        <f>U66*W66</f>
        <v>0</v>
      </c>
      <c r="Y66" s="35"/>
    </row>
    <row r="67" spans="1:26" x14ac:dyDescent="0.3">
      <c r="M67" s="25">
        <f>M65+M66</f>
        <v>74945.955863368115</v>
      </c>
      <c r="P67" s="28"/>
      <c r="T67" s="39"/>
      <c r="U67" s="37"/>
      <c r="V67" s="46"/>
      <c r="W67" s="46"/>
      <c r="X67" s="47"/>
      <c r="Y67" s="35"/>
    </row>
    <row r="68" spans="1:26" x14ac:dyDescent="0.3">
      <c r="A68" s="14" t="s">
        <v>22</v>
      </c>
      <c r="C68" s="18">
        <v>150000</v>
      </c>
      <c r="D68" s="18">
        <v>150000</v>
      </c>
      <c r="E68" s="18">
        <v>150000</v>
      </c>
      <c r="F68" s="18">
        <v>150000</v>
      </c>
      <c r="G68" s="18">
        <v>150000</v>
      </c>
      <c r="H68" s="18">
        <v>150000</v>
      </c>
      <c r="I68" s="18">
        <v>150000</v>
      </c>
      <c r="J68" s="18">
        <v>150000</v>
      </c>
      <c r="T68" s="39">
        <v>150000</v>
      </c>
      <c r="U68" s="50">
        <f>T68/$T$71</f>
        <v>0.80226705175084079</v>
      </c>
      <c r="V68" s="46">
        <f>W61</f>
        <v>0.16823399999999999</v>
      </c>
      <c r="W68" s="46">
        <f>V68*(1-$K$44)</f>
        <v>0.1261755</v>
      </c>
      <c r="X68" s="47">
        <f>U68*W68</f>
        <v>0.10122644638818822</v>
      </c>
      <c r="Y68" s="35"/>
    </row>
    <row r="69" spans="1:26" x14ac:dyDescent="0.3">
      <c r="A69" s="14" t="s">
        <v>23</v>
      </c>
      <c r="C69" s="25">
        <f>B69+C45</f>
        <v>-25662.783776130877</v>
      </c>
      <c r="D69" s="25">
        <f t="shared" ref="D69:J69" si="25">C69+D45</f>
        <v>-51881.191592752468</v>
      </c>
      <c r="E69" s="25">
        <f t="shared" si="25"/>
        <v>-78762.941593188792</v>
      </c>
      <c r="F69" s="25">
        <f t="shared" si="25"/>
        <v>-106417.87961422268</v>
      </c>
      <c r="G69" s="25">
        <f t="shared" si="25"/>
        <v>-134958.07801481517</v>
      </c>
      <c r="H69" s="25">
        <f t="shared" si="25"/>
        <v>-165543.5041321282</v>
      </c>
      <c r="I69" s="25">
        <f t="shared" si="25"/>
        <v>-199309.60665072413</v>
      </c>
      <c r="J69" s="25">
        <f t="shared" si="25"/>
        <v>-236762.16401418822</v>
      </c>
      <c r="T69" s="39">
        <f>AVERAGE(C69:J69)</f>
        <v>-124912.2686735188</v>
      </c>
      <c r="U69" s="37">
        <f>T69/$T$71</f>
        <v>-0.66808665010808554</v>
      </c>
      <c r="V69" s="36">
        <f>W61</f>
        <v>0.16823399999999999</v>
      </c>
      <c r="W69" s="46">
        <f>V69*(1-$K$44)</f>
        <v>0.1261755</v>
      </c>
      <c r="X69" s="47">
        <f>U69*W69</f>
        <v>-8.4296167120712751E-2</v>
      </c>
      <c r="Y69" s="35"/>
    </row>
    <row r="70" spans="1:26" x14ac:dyDescent="0.3">
      <c r="T70" s="39"/>
      <c r="U70" s="40"/>
      <c r="V70" s="40"/>
      <c r="W70" s="36"/>
      <c r="X70" s="40"/>
      <c r="Y70" s="35"/>
    </row>
    <row r="71" spans="1:26" x14ac:dyDescent="0.3">
      <c r="A71" s="14" t="s">
        <v>24</v>
      </c>
      <c r="C71" s="25">
        <f>SUM(C62:C69)</f>
        <v>317353.7624855644</v>
      </c>
      <c r="D71" s="25">
        <f t="shared" ref="D71:J71" si="26">SUM(D62:D69)</f>
        <v>288536.9262204438</v>
      </c>
      <c r="E71" s="25">
        <f t="shared" si="26"/>
        <v>258919.03854163294</v>
      </c>
      <c r="F71" s="25">
        <f t="shared" si="26"/>
        <v>228383.16063003847</v>
      </c>
      <c r="G71" s="25">
        <f t="shared" si="26"/>
        <v>196809.76379788067</v>
      </c>
      <c r="H71" s="25">
        <f t="shared" si="26"/>
        <v>173486.71198219154</v>
      </c>
      <c r="I71" s="25">
        <f t="shared" si="26"/>
        <v>157000.80719597469</v>
      </c>
      <c r="J71" s="25">
        <f t="shared" si="26"/>
        <v>140515.51215816778</v>
      </c>
      <c r="T71" s="41">
        <f>SUM(T65:T70)</f>
        <v>186970.16121083999</v>
      </c>
      <c r="U71" s="42"/>
      <c r="V71" s="42"/>
      <c r="W71" s="43"/>
      <c r="X71" s="52">
        <f>X65+X66+X68+X69</f>
        <v>4.9398514205872157E-2</v>
      </c>
      <c r="Y71" s="44" t="s">
        <v>106</v>
      </c>
    </row>
    <row r="73" spans="1:26" x14ac:dyDescent="0.3">
      <c r="A73" s="14" t="s">
        <v>25</v>
      </c>
      <c r="C73" s="25">
        <f>C59-C71</f>
        <v>0.41859764617402107</v>
      </c>
      <c r="D73" s="25">
        <f t="shared" ref="D73:J73" si="27">D59-D71</f>
        <v>0.3872283537639305</v>
      </c>
      <c r="E73" s="25">
        <f t="shared" si="27"/>
        <v>-1.1428580881329253E-2</v>
      </c>
      <c r="F73" s="25">
        <f t="shared" si="27"/>
        <v>0.16702747929957695</v>
      </c>
      <c r="G73" s="25">
        <f t="shared" si="27"/>
        <v>0.45691954120411538</v>
      </c>
      <c r="H73" s="25">
        <f t="shared" si="27"/>
        <v>0</v>
      </c>
      <c r="I73" s="25">
        <f t="shared" si="27"/>
        <v>0</v>
      </c>
      <c r="J73" s="25">
        <f t="shared" si="27"/>
        <v>0</v>
      </c>
      <c r="U73" s="14" t="s">
        <v>108</v>
      </c>
      <c r="V73" s="14">
        <v>1.05</v>
      </c>
    </row>
    <row r="74" spans="1:26" x14ac:dyDescent="0.3">
      <c r="U74" s="14" t="s">
        <v>109</v>
      </c>
      <c r="V74" s="49">
        <f>V73*(1+(1-K44)*(U65/(U68+U69)))</f>
        <v>6.1314643968770994</v>
      </c>
    </row>
    <row r="75" spans="1:26" x14ac:dyDescent="0.3">
      <c r="A75" s="31" t="s">
        <v>26</v>
      </c>
    </row>
    <row r="76" spans="1:26" x14ac:dyDescent="0.3">
      <c r="A76" s="14" t="s">
        <v>81</v>
      </c>
      <c r="C76" s="25">
        <f>C21+C22+C23+C24+C25-C26-C30-C31-C33-C32-C34</f>
        <v>-423.79999999998836</v>
      </c>
      <c r="D76" s="25">
        <f t="shared" ref="D76:J76" si="28">D21+D22+D23+D24+D25-D26-D30-D31-D33-D32-D34</f>
        <v>-1111.5184000000008</v>
      </c>
      <c r="E76" s="25">
        <f t="shared" si="28"/>
        <v>-1913.7131414560281</v>
      </c>
      <c r="F76" s="25">
        <f t="shared" si="28"/>
        <v>-2832.8576800695155</v>
      </c>
      <c r="G76" s="25">
        <f t="shared" si="28"/>
        <v>-3871.5419901138521</v>
      </c>
      <c r="H76" s="25">
        <f t="shared" si="28"/>
        <v>-5032.4761424440294</v>
      </c>
      <c r="I76" s="25">
        <f t="shared" si="28"/>
        <v>-6318.4940324647105</v>
      </c>
      <c r="J76" s="25">
        <f t="shared" si="28"/>
        <v>-7732.5572638949525</v>
      </c>
    </row>
    <row r="77" spans="1:26" x14ac:dyDescent="0.3">
      <c r="A77" s="14" t="s">
        <v>82</v>
      </c>
      <c r="C77" s="32">
        <f t="shared" ref="C77:J77" si="29">-C39</f>
        <v>-16547.619047619046</v>
      </c>
      <c r="D77" s="32">
        <f t="shared" si="29"/>
        <v>-16547.619047619046</v>
      </c>
      <c r="E77" s="32">
        <f t="shared" si="29"/>
        <v>-16547.619047619046</v>
      </c>
      <c r="F77" s="32">
        <f t="shared" si="29"/>
        <v>-16547.619047619046</v>
      </c>
      <c r="G77" s="32">
        <f t="shared" si="29"/>
        <v>-16547.619047619046</v>
      </c>
      <c r="H77" s="32">
        <f t="shared" si="29"/>
        <v>-16547.619047619046</v>
      </c>
      <c r="I77" s="32">
        <f t="shared" si="29"/>
        <v>-16547.619047619046</v>
      </c>
      <c r="J77" s="32">
        <f t="shared" si="29"/>
        <v>-16547.619047619046</v>
      </c>
    </row>
    <row r="78" spans="1:26" x14ac:dyDescent="0.3">
      <c r="A78" s="14" t="s">
        <v>83</v>
      </c>
      <c r="C78" s="27">
        <f>C76+C77</f>
        <v>-16971.419047619034</v>
      </c>
      <c r="D78" s="27">
        <f t="shared" ref="D78:J78" si="30">D76+D77</f>
        <v>-17659.137447619047</v>
      </c>
      <c r="E78" s="27">
        <f t="shared" si="30"/>
        <v>-18461.332189075074</v>
      </c>
      <c r="F78" s="27">
        <f t="shared" si="30"/>
        <v>-19380.476727688561</v>
      </c>
      <c r="G78" s="27">
        <f t="shared" si="30"/>
        <v>-20419.161037732898</v>
      </c>
      <c r="H78" s="27">
        <f t="shared" si="30"/>
        <v>-21580.095190063075</v>
      </c>
      <c r="I78" s="27">
        <f t="shared" si="30"/>
        <v>-22866.113080083756</v>
      </c>
      <c r="J78" s="27">
        <f t="shared" si="30"/>
        <v>-24280.176311513998</v>
      </c>
    </row>
    <row r="79" spans="1:26" x14ac:dyDescent="0.3">
      <c r="A79" s="14" t="s">
        <v>84</v>
      </c>
      <c r="C79" s="27">
        <f t="shared" ref="C79:J79" si="31">IF(C78&lt;0,0,C78*$K$44)</f>
        <v>0</v>
      </c>
      <c r="D79" s="27">
        <f t="shared" si="31"/>
        <v>0</v>
      </c>
      <c r="E79" s="27">
        <f t="shared" si="31"/>
        <v>0</v>
      </c>
      <c r="F79" s="27">
        <f t="shared" si="31"/>
        <v>0</v>
      </c>
      <c r="G79" s="27">
        <f t="shared" si="31"/>
        <v>0</v>
      </c>
      <c r="H79" s="27">
        <f t="shared" si="31"/>
        <v>0</v>
      </c>
      <c r="I79" s="27">
        <f t="shared" si="31"/>
        <v>0</v>
      </c>
      <c r="J79" s="27">
        <f t="shared" si="31"/>
        <v>0</v>
      </c>
    </row>
    <row r="80" spans="1:26" x14ac:dyDescent="0.3">
      <c r="A80" s="14" t="s">
        <v>85</v>
      </c>
      <c r="C80" s="32">
        <f>-C77</f>
        <v>16547.619047619046</v>
      </c>
      <c r="D80" s="32">
        <f t="shared" ref="D80:J80" si="32">-D77</f>
        <v>16547.619047619046</v>
      </c>
      <c r="E80" s="32">
        <f t="shared" si="32"/>
        <v>16547.619047619046</v>
      </c>
      <c r="F80" s="32">
        <f t="shared" si="32"/>
        <v>16547.619047619046</v>
      </c>
      <c r="G80" s="32">
        <f t="shared" si="32"/>
        <v>16547.619047619046</v>
      </c>
      <c r="H80" s="32">
        <f t="shared" si="32"/>
        <v>16547.619047619046</v>
      </c>
      <c r="I80" s="32">
        <f t="shared" si="32"/>
        <v>16547.619047619046</v>
      </c>
      <c r="J80" s="32">
        <f t="shared" si="32"/>
        <v>16547.619047619046</v>
      </c>
    </row>
    <row r="81" spans="1:21" x14ac:dyDescent="0.3">
      <c r="A81" s="14" t="s">
        <v>86</v>
      </c>
      <c r="C81" s="27">
        <f>C78-C79+C80</f>
        <v>-423.79999999998836</v>
      </c>
      <c r="D81" s="27">
        <f t="shared" ref="D81:J81" si="33">D78-D79+D80</f>
        <v>-1111.5184000000008</v>
      </c>
      <c r="E81" s="27">
        <f t="shared" si="33"/>
        <v>-1913.7131414560281</v>
      </c>
      <c r="F81" s="27">
        <f t="shared" si="33"/>
        <v>-2832.8576800695155</v>
      </c>
      <c r="G81" s="27">
        <f t="shared" si="33"/>
        <v>-3871.5419901138521</v>
      </c>
      <c r="H81" s="27">
        <f t="shared" si="33"/>
        <v>-5032.4761424440294</v>
      </c>
      <c r="I81" s="27">
        <f t="shared" si="33"/>
        <v>-6318.4940324647105</v>
      </c>
      <c r="J81" s="27">
        <f t="shared" si="33"/>
        <v>-7732.5572638949525</v>
      </c>
    </row>
    <row r="83" spans="1:21" x14ac:dyDescent="0.3">
      <c r="A83" s="31" t="s">
        <v>27</v>
      </c>
    </row>
    <row r="84" spans="1:21" x14ac:dyDescent="0.3">
      <c r="A84" s="14" t="s">
        <v>87</v>
      </c>
      <c r="B84" s="25">
        <f>-Mortgage!I6</f>
        <v>-175000</v>
      </c>
    </row>
    <row r="85" spans="1:21" x14ac:dyDescent="0.3">
      <c r="A85" s="14" t="s">
        <v>88</v>
      </c>
      <c r="T85" s="14" t="s">
        <v>90</v>
      </c>
      <c r="U85" s="25" t="e">
        <f>#REF!-#REF!</f>
        <v>#REF!</v>
      </c>
    </row>
    <row r="86" spans="1:21" x14ac:dyDescent="0.3">
      <c r="A86" s="14" t="s">
        <v>89</v>
      </c>
      <c r="T86" s="14" t="s">
        <v>91</v>
      </c>
      <c r="U86" s="19">
        <v>1.01</v>
      </c>
    </row>
    <row r="87" spans="1:21" x14ac:dyDescent="0.3">
      <c r="T87" s="14" t="s">
        <v>92</v>
      </c>
      <c r="U87" s="28" t="e">
        <f>#REF!-U85</f>
        <v>#REF!</v>
      </c>
    </row>
    <row r="88" spans="1:21" x14ac:dyDescent="0.3">
      <c r="A88" s="31" t="s">
        <v>28</v>
      </c>
    </row>
    <row r="89" spans="1:21" x14ac:dyDescent="0.3">
      <c r="A89" s="14" t="s">
        <v>12</v>
      </c>
      <c r="C89" s="28">
        <f>B51-C51</f>
        <v>-3433.0726027397259</v>
      </c>
      <c r="D89" s="28">
        <f t="shared" ref="D89:J90" si="34">C51-D51</f>
        <v>-19.259210958903623</v>
      </c>
      <c r="E89" s="28">
        <f t="shared" si="34"/>
        <v>-19.449765586520698</v>
      </c>
      <c r="F89" s="28">
        <f t="shared" si="34"/>
        <v>-19.642149891503777</v>
      </c>
      <c r="G89" s="28">
        <f t="shared" si="34"/>
        <v>-19.836381471691311</v>
      </c>
      <c r="H89" s="28">
        <f t="shared" si="34"/>
        <v>-20.032478094242379</v>
      </c>
      <c r="I89" s="28">
        <f t="shared" si="34"/>
        <v>-20.230457697263773</v>
      </c>
      <c r="J89" s="28">
        <f t="shared" si="34"/>
        <v>-20.430338391460737</v>
      </c>
    </row>
    <row r="90" spans="1:21" x14ac:dyDescent="0.3">
      <c r="A90" s="14" t="s">
        <v>13</v>
      </c>
      <c r="C90" s="28">
        <f>B52-C52</f>
        <v>-7039.7275280898875</v>
      </c>
      <c r="D90" s="28">
        <f t="shared" si="34"/>
        <v>-39.492202247190107</v>
      </c>
      <c r="E90" s="28">
        <f t="shared" si="34"/>
        <v>-39.882946286966217</v>
      </c>
      <c r="F90" s="28">
        <f t="shared" si="34"/>
        <v>-40.277442193252682</v>
      </c>
      <c r="G90" s="28">
        <f t="shared" si="34"/>
        <v>-40.675726051501442</v>
      </c>
      <c r="H90" s="28">
        <f t="shared" si="34"/>
        <v>-41.077834294373133</v>
      </c>
      <c r="I90" s="28">
        <f t="shared" si="34"/>
        <v>-41.48380370506402</v>
      </c>
      <c r="J90" s="28">
        <f t="shared" si="34"/>
        <v>-41.893671420691135</v>
      </c>
    </row>
    <row r="91" spans="1:21" x14ac:dyDescent="0.3">
      <c r="A91" s="14" t="s">
        <v>18</v>
      </c>
      <c r="C91" s="28">
        <f>-(B62-C62)</f>
        <v>20598.435616438353</v>
      </c>
      <c r="D91" s="28">
        <f t="shared" ref="D91:J92" si="35">-(C62-D62)</f>
        <v>115.55526575342446</v>
      </c>
      <c r="E91" s="28">
        <f t="shared" si="35"/>
        <v>116.69859351912237</v>
      </c>
      <c r="F91" s="28">
        <f t="shared" si="35"/>
        <v>117.85289934902539</v>
      </c>
      <c r="G91" s="28">
        <f t="shared" si="35"/>
        <v>119.01828883014605</v>
      </c>
      <c r="H91" s="28">
        <f t="shared" si="35"/>
        <v>120.19486856545336</v>
      </c>
      <c r="I91" s="28">
        <f t="shared" si="35"/>
        <v>121.38274618358264</v>
      </c>
      <c r="J91" s="28">
        <f t="shared" si="35"/>
        <v>122.58203034876351</v>
      </c>
    </row>
    <row r="92" spans="1:21" x14ac:dyDescent="0.3">
      <c r="A92" s="14" t="s">
        <v>19</v>
      </c>
      <c r="C92" s="25">
        <f>-(B63-C63)</f>
        <v>0</v>
      </c>
      <c r="D92" s="25">
        <f>-(C63-D63)</f>
        <v>0</v>
      </c>
      <c r="E92" s="25">
        <f t="shared" si="35"/>
        <v>0</v>
      </c>
      <c r="F92" s="25">
        <f t="shared" si="35"/>
        <v>0</v>
      </c>
      <c r="G92" s="25">
        <f t="shared" si="35"/>
        <v>0</v>
      </c>
      <c r="H92" s="25">
        <f t="shared" si="35"/>
        <v>0</v>
      </c>
      <c r="I92" s="25">
        <f t="shared" si="35"/>
        <v>0</v>
      </c>
      <c r="J92" s="25">
        <f t="shared" si="35"/>
        <v>0</v>
      </c>
    </row>
    <row r="94" spans="1:21" x14ac:dyDescent="0.3">
      <c r="A94" s="31" t="s">
        <v>29</v>
      </c>
    </row>
    <row r="95" spans="1:21" x14ac:dyDescent="0.3">
      <c r="A95" s="14" t="s">
        <v>12</v>
      </c>
    </row>
    <row r="96" spans="1:21" x14ac:dyDescent="0.3">
      <c r="A96" s="14" t="s">
        <v>13</v>
      </c>
    </row>
    <row r="97" spans="1:10" x14ac:dyDescent="0.3">
      <c r="A97" s="14" t="s">
        <v>18</v>
      </c>
    </row>
    <row r="98" spans="1:10" x14ac:dyDescent="0.3">
      <c r="A98" s="14" t="s">
        <v>19</v>
      </c>
    </row>
    <row r="100" spans="1:10" x14ac:dyDescent="0.3">
      <c r="A100" s="31" t="s">
        <v>30</v>
      </c>
      <c r="B100" s="18">
        <f>SUM(B81:B99)</f>
        <v>-175000</v>
      </c>
      <c r="C100" s="18">
        <f>SUM(C81:C99)</f>
        <v>9701.8354856087517</v>
      </c>
      <c r="D100" s="18">
        <f t="shared" ref="D100:J100" si="36">SUM(D81:D99)</f>
        <v>-1054.7145474526701</v>
      </c>
      <c r="E100" s="18">
        <f t="shared" si="36"/>
        <v>-1856.3472598103926</v>
      </c>
      <c r="F100" s="18">
        <f t="shared" si="36"/>
        <v>-2774.9243728052465</v>
      </c>
      <c r="G100" s="18">
        <f t="shared" si="36"/>
        <v>-3813.0358088068988</v>
      </c>
      <c r="H100" s="18">
        <f t="shared" si="36"/>
        <v>-4973.391586267192</v>
      </c>
      <c r="I100" s="18">
        <f t="shared" si="36"/>
        <v>-6258.8255476834556</v>
      </c>
      <c r="J100" s="18">
        <f t="shared" si="36"/>
        <v>-7672.2992433583413</v>
      </c>
    </row>
    <row r="101" spans="1:10" x14ac:dyDescent="0.3">
      <c r="A101" s="14" t="s">
        <v>31</v>
      </c>
      <c r="B101" s="18">
        <f>-PV(B103,,,B100)</f>
        <v>-175000</v>
      </c>
      <c r="C101" s="18">
        <f>-PV($B$103,C102,,C100)</f>
        <v>9067.135967858645</v>
      </c>
      <c r="D101" s="18">
        <f t="shared" ref="D101:J101" si="37">-PV($B$103,D102,,D100)</f>
        <v>-921.22853301831606</v>
      </c>
      <c r="E101" s="18">
        <f t="shared" si="37"/>
        <v>-1515.3323269553741</v>
      </c>
      <c r="F101" s="18">
        <f t="shared" si="37"/>
        <v>-2116.9765178071043</v>
      </c>
      <c r="G101" s="18">
        <f t="shared" si="37"/>
        <v>-2718.64183355565</v>
      </c>
      <c r="H101" s="18">
        <f t="shared" si="37"/>
        <v>-3313.9808095036137</v>
      </c>
      <c r="I101" s="18">
        <f t="shared" si="37"/>
        <v>-3897.6819943205564</v>
      </c>
      <c r="J101" s="18">
        <f t="shared" si="37"/>
        <v>-4465.3480125820106</v>
      </c>
    </row>
    <row r="102" spans="1:10" x14ac:dyDescent="0.3">
      <c r="C102" s="14">
        <v>1</v>
      </c>
      <c r="D102" s="14">
        <v>2</v>
      </c>
      <c r="E102" s="14">
        <v>3</v>
      </c>
      <c r="F102" s="14">
        <v>4</v>
      </c>
      <c r="G102" s="14">
        <v>5</v>
      </c>
      <c r="H102" s="14">
        <v>6</v>
      </c>
      <c r="I102" s="14">
        <v>7</v>
      </c>
      <c r="J102" s="14">
        <v>8</v>
      </c>
    </row>
    <row r="103" spans="1:10" x14ac:dyDescent="0.3">
      <c r="B103" s="19">
        <v>7.0000000000000007E-2</v>
      </c>
    </row>
    <row r="104" spans="1:10" x14ac:dyDescent="0.3">
      <c r="A104" s="14" t="s">
        <v>32</v>
      </c>
      <c r="B104" s="18">
        <f>NPV(B103,B101:J101)</f>
        <v>-167621.89223500842</v>
      </c>
    </row>
    <row r="105" spans="1:10" x14ac:dyDescent="0.3">
      <c r="A105" s="14" t="s">
        <v>33</v>
      </c>
      <c r="B105" s="33" t="e">
        <f>IRR(B100:J100)</f>
        <v>#NUM!</v>
      </c>
    </row>
    <row r="108" spans="1:10" x14ac:dyDescent="0.3">
      <c r="I108" s="18"/>
      <c r="J108" s="18"/>
    </row>
    <row r="109" spans="1:10" x14ac:dyDescent="0.3">
      <c r="A109" s="14" t="s">
        <v>132</v>
      </c>
      <c r="B109" s="80" t="s">
        <v>139</v>
      </c>
      <c r="C109" s="18">
        <v>1</v>
      </c>
      <c r="D109" s="18">
        <v>2</v>
      </c>
      <c r="E109" s="18">
        <v>3</v>
      </c>
      <c r="F109" s="18">
        <v>4</v>
      </c>
      <c r="G109" s="18">
        <v>5</v>
      </c>
      <c r="H109" s="18">
        <v>6</v>
      </c>
      <c r="I109" s="18">
        <v>7</v>
      </c>
      <c r="J109" s="18">
        <v>8</v>
      </c>
    </row>
    <row r="110" spans="1:10" x14ac:dyDescent="0.3">
      <c r="A110" s="31" t="s">
        <v>133</v>
      </c>
      <c r="B110" s="18"/>
      <c r="C110" s="18"/>
      <c r="D110" s="18"/>
      <c r="E110" s="18"/>
      <c r="F110" s="18"/>
      <c r="G110" s="18"/>
      <c r="H110" s="18"/>
      <c r="I110" s="18"/>
      <c r="J110" s="18"/>
    </row>
    <row r="111" spans="1:10" x14ac:dyDescent="0.3">
      <c r="A111" s="14" t="s">
        <v>134</v>
      </c>
      <c r="B111" s="18">
        <f>-C65</f>
        <v>-172418.11064525691</v>
      </c>
      <c r="C111" s="18"/>
      <c r="D111" s="18"/>
      <c r="E111" s="18"/>
      <c r="F111" s="18"/>
      <c r="G111" s="18"/>
      <c r="H111" s="18"/>
      <c r="I111" s="18"/>
      <c r="J111" s="18"/>
    </row>
    <row r="112" spans="1:10" x14ac:dyDescent="0.3">
      <c r="A112" s="14" t="s">
        <v>135</v>
      </c>
      <c r="B112" s="18"/>
      <c r="C112" s="18">
        <f>C$37</f>
        <v>8691.3647285118295</v>
      </c>
      <c r="D112" s="18">
        <f t="shared" ref="D112:J112" si="38">D$37</f>
        <v>8559.2703690025282</v>
      </c>
      <c r="E112" s="18">
        <f t="shared" si="38"/>
        <v>8420.4178113612616</v>
      </c>
      <c r="F112" s="18">
        <f t="shared" si="38"/>
        <v>8274.46129334533</v>
      </c>
      <c r="G112" s="18">
        <f t="shared" si="38"/>
        <v>8121.0373628594989</v>
      </c>
      <c r="H112" s="18">
        <f t="shared" si="38"/>
        <v>7959.7639729095399</v>
      </c>
      <c r="I112" s="18">
        <f t="shared" si="38"/>
        <v>7790.2395302519171</v>
      </c>
      <c r="J112" s="18">
        <f t="shared" si="38"/>
        <v>7612.0418953705876</v>
      </c>
    </row>
    <row r="113" spans="1:10" x14ac:dyDescent="0.3">
      <c r="A113" s="14" t="s">
        <v>136</v>
      </c>
      <c r="B113" s="18"/>
      <c r="C113" s="18">
        <f t="shared" ref="C113:I113" si="39">C65-D65</f>
        <v>2713.9837142524193</v>
      </c>
      <c r="D113" s="18">
        <f t="shared" si="39"/>
        <v>2852.8362718936696</v>
      </c>
      <c r="E113" s="18">
        <f t="shared" si="39"/>
        <v>2998.7927899096103</v>
      </c>
      <c r="F113" s="18">
        <f t="shared" si="39"/>
        <v>3152.2167203954014</v>
      </c>
      <c r="G113" s="18">
        <f t="shared" si="39"/>
        <v>3313.4901103453303</v>
      </c>
      <c r="H113" s="18">
        <f t="shared" si="39"/>
        <v>3483.0145530030131</v>
      </c>
      <c r="I113" s="18">
        <f t="shared" si="39"/>
        <v>3661.2121878843172</v>
      </c>
      <c r="J113" s="18"/>
    </row>
    <row r="114" spans="1:10" x14ac:dyDescent="0.3">
      <c r="A114" s="14" t="s">
        <v>137</v>
      </c>
      <c r="B114" s="18"/>
      <c r="C114" s="18"/>
      <c r="D114" s="18"/>
      <c r="E114" s="18"/>
      <c r="F114" s="18"/>
      <c r="G114" s="18"/>
      <c r="H114" s="18"/>
      <c r="I114" s="18"/>
      <c r="J114" s="18">
        <f>P65</f>
        <v>148833.09136956363</v>
      </c>
    </row>
    <row r="115" spans="1:10" x14ac:dyDescent="0.3">
      <c r="A115" s="14" t="s">
        <v>138</v>
      </c>
      <c r="B115" s="18">
        <f>SUM(B111:B114)</f>
        <v>-172418.11064525691</v>
      </c>
      <c r="C115" s="18">
        <f>SUM(C111:C114)</f>
        <v>11405.348442764249</v>
      </c>
      <c r="D115" s="18">
        <f>SUM(D111:D114)</f>
        <v>11412.106640896198</v>
      </c>
      <c r="E115" s="18">
        <f t="shared" ref="E115:J115" si="40">SUM(E111:E114)</f>
        <v>11419.210601270872</v>
      </c>
      <c r="F115" s="18">
        <f t="shared" si="40"/>
        <v>11426.678013740731</v>
      </c>
      <c r="G115" s="18">
        <f t="shared" si="40"/>
        <v>11434.527473204829</v>
      </c>
      <c r="H115" s="18">
        <f t="shared" si="40"/>
        <v>11442.778525912552</v>
      </c>
      <c r="I115" s="18">
        <f t="shared" si="40"/>
        <v>11451.451718136235</v>
      </c>
      <c r="J115" s="18">
        <f t="shared" si="40"/>
        <v>156445.13326493421</v>
      </c>
    </row>
    <row r="116" spans="1:10" x14ac:dyDescent="0.3">
      <c r="A116" s="14" t="s">
        <v>33</v>
      </c>
      <c r="B116" s="81">
        <f>IRR(B115:J115)</f>
        <v>4.9604005031695486E-2</v>
      </c>
      <c r="C116" s="18"/>
      <c r="D116" s="18"/>
      <c r="E116" s="18"/>
      <c r="F116" s="18"/>
      <c r="G116" s="18"/>
      <c r="H116" s="18"/>
      <c r="I116" s="18"/>
      <c r="J116" s="18"/>
    </row>
    <row r="117" spans="1:10" x14ac:dyDescent="0.3">
      <c r="B117" s="18"/>
      <c r="C117" s="18"/>
      <c r="D117" s="18"/>
      <c r="E117" s="18"/>
      <c r="F117" s="18"/>
      <c r="G117" s="18"/>
      <c r="H117" s="18"/>
      <c r="I117" s="18"/>
      <c r="J117" s="18"/>
    </row>
    <row r="118" spans="1:10" x14ac:dyDescent="0.3">
      <c r="A118" s="31" t="s">
        <v>21</v>
      </c>
      <c r="B118" s="80" t="s">
        <v>139</v>
      </c>
      <c r="C118" s="18">
        <v>1</v>
      </c>
      <c r="D118" s="18">
        <v>2</v>
      </c>
      <c r="E118" s="18">
        <v>3</v>
      </c>
      <c r="F118" s="18">
        <v>4</v>
      </c>
      <c r="G118" s="18">
        <v>5</v>
      </c>
      <c r="H118" s="18">
        <v>6</v>
      </c>
      <c r="I118" s="18">
        <v>7</v>
      </c>
      <c r="J118" s="18">
        <v>8</v>
      </c>
    </row>
    <row r="119" spans="1:10" x14ac:dyDescent="0.3">
      <c r="A119" s="14" t="s">
        <v>134</v>
      </c>
      <c r="B119" s="18">
        <f>-C66</f>
        <v>0</v>
      </c>
      <c r="C119" s="18"/>
      <c r="D119" s="18"/>
      <c r="E119" s="18"/>
      <c r="F119" s="18"/>
      <c r="G119" s="18"/>
      <c r="H119" s="18"/>
      <c r="I119" s="18"/>
      <c r="J119" s="18"/>
    </row>
    <row r="120" spans="1:10" x14ac:dyDescent="0.3">
      <c r="A120" s="14" t="s">
        <v>135</v>
      </c>
      <c r="B120" s="18"/>
      <c r="C120" s="18">
        <f>C$38</f>
        <v>0</v>
      </c>
      <c r="D120" s="18">
        <f t="shared" ref="D120:J120" si="41">D$38</f>
        <v>0</v>
      </c>
      <c r="E120" s="18">
        <f t="shared" si="41"/>
        <v>0</v>
      </c>
      <c r="F120" s="18">
        <f t="shared" si="41"/>
        <v>0</v>
      </c>
      <c r="G120" s="18">
        <f t="shared" si="41"/>
        <v>0</v>
      </c>
      <c r="H120" s="18">
        <f t="shared" si="41"/>
        <v>1045.5669543403787</v>
      </c>
      <c r="I120" s="18">
        <f t="shared" si="41"/>
        <v>3109.7499082602271</v>
      </c>
      <c r="J120" s="18">
        <f t="shared" si="41"/>
        <v>5560.3391565794964</v>
      </c>
    </row>
    <row r="121" spans="1:10" x14ac:dyDescent="0.3">
      <c r="A121" s="14" t="s">
        <v>136</v>
      </c>
      <c r="B121" s="18"/>
      <c r="C121" s="18">
        <f t="shared" ref="C121:I121" si="42">C66-D66</f>
        <v>0</v>
      </c>
      <c r="D121" s="18">
        <f t="shared" si="42"/>
        <v>0</v>
      </c>
      <c r="E121" s="18">
        <f t="shared" si="42"/>
        <v>0</v>
      </c>
      <c r="F121" s="18">
        <f t="shared" si="42"/>
        <v>0</v>
      </c>
      <c r="G121" s="18">
        <f t="shared" si="42"/>
        <v>-10455.669543403787</v>
      </c>
      <c r="H121" s="18">
        <f t="shared" si="42"/>
        <v>-20641.829539198483</v>
      </c>
      <c r="I121" s="18">
        <f t="shared" si="42"/>
        <v>-24505.892483192692</v>
      </c>
      <c r="J121" s="18"/>
    </row>
    <row r="122" spans="1:10" x14ac:dyDescent="0.3">
      <c r="A122" s="14" t="s">
        <v>137</v>
      </c>
      <c r="B122" s="18"/>
      <c r="C122" s="18"/>
      <c r="D122" s="18"/>
      <c r="E122" s="18"/>
      <c r="F122" s="18"/>
      <c r="G122" s="18"/>
      <c r="H122" s="18"/>
      <c r="I122" s="18"/>
      <c r="J122" s="18">
        <f>P66</f>
        <v>51551.629146303669</v>
      </c>
    </row>
    <row r="123" spans="1:10" x14ac:dyDescent="0.3">
      <c r="A123" s="14" t="s">
        <v>138</v>
      </c>
      <c r="B123" s="18">
        <f>SUM(B119:B122)</f>
        <v>0</v>
      </c>
      <c r="C123" s="18">
        <f>SUM(C119:C122)</f>
        <v>0</v>
      </c>
      <c r="D123" s="18">
        <f t="shared" ref="D123:J123" si="43">SUM(D119:D122)</f>
        <v>0</v>
      </c>
      <c r="E123" s="18">
        <f t="shared" si="43"/>
        <v>0</v>
      </c>
      <c r="F123" s="18">
        <f t="shared" si="43"/>
        <v>0</v>
      </c>
      <c r="G123" s="18">
        <f t="shared" si="43"/>
        <v>-10455.669543403787</v>
      </c>
      <c r="H123" s="18">
        <f t="shared" si="43"/>
        <v>-19596.262584858105</v>
      </c>
      <c r="I123" s="18">
        <f t="shared" si="43"/>
        <v>-21396.142574932466</v>
      </c>
      <c r="J123" s="18">
        <f t="shared" si="43"/>
        <v>57111.968302883164</v>
      </c>
    </row>
    <row r="124" spans="1:10" x14ac:dyDescent="0.3">
      <c r="A124" s="14" t="s">
        <v>33</v>
      </c>
      <c r="B124" s="81">
        <f>IRR(B123:J123)</f>
        <v>5.9600937801495002E-2</v>
      </c>
      <c r="C124" s="18"/>
      <c r="D124" s="18"/>
      <c r="E124" s="18"/>
      <c r="F124" s="18"/>
      <c r="G124" s="18"/>
      <c r="H124" s="18"/>
      <c r="I124" s="18"/>
      <c r="J124" s="18"/>
    </row>
    <row r="125" spans="1:10" x14ac:dyDescent="0.3">
      <c r="B125" s="18"/>
      <c r="C125" s="18"/>
      <c r="D125" s="18"/>
      <c r="E125" s="18"/>
      <c r="F125" s="18"/>
      <c r="G125" s="18"/>
      <c r="H125" s="18"/>
      <c r="I125" s="18"/>
      <c r="J125" s="18"/>
    </row>
    <row r="126" spans="1:10" x14ac:dyDescent="0.3">
      <c r="B126" s="18"/>
      <c r="C126" s="18"/>
      <c r="D126" s="18"/>
      <c r="E126" s="18"/>
      <c r="F126" s="18"/>
      <c r="G126" s="18"/>
      <c r="H126" s="18"/>
      <c r="I126" s="18"/>
      <c r="J126" s="18"/>
    </row>
    <row r="127" spans="1:10" x14ac:dyDescent="0.3">
      <c r="B127" s="18"/>
      <c r="C127" s="18"/>
      <c r="D127" s="18"/>
      <c r="E127" s="18"/>
      <c r="F127" s="18"/>
      <c r="G127" s="18"/>
      <c r="H127" s="18"/>
      <c r="I127" s="18"/>
      <c r="J127" s="18"/>
    </row>
    <row r="128" spans="1:10" x14ac:dyDescent="0.3">
      <c r="B128" s="18"/>
      <c r="C128" s="18"/>
      <c r="D128" s="18"/>
      <c r="E128" s="18"/>
      <c r="F128" s="18"/>
      <c r="G128" s="18"/>
      <c r="H128" s="18"/>
      <c r="I128" s="18"/>
      <c r="J128" s="18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Forecast</vt:lpstr>
      <vt:lpstr>Mortgage</vt:lpstr>
      <vt:lpstr>Good-Bad</vt:lpstr>
      <vt:lpstr>Bankrupt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2013-12-20T15:39:24Z</dcterms:created>
  <dcterms:modified xsi:type="dcterms:W3CDTF">2019-07-31T21:35:36Z</dcterms:modified>
</cp:coreProperties>
</file>